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BusinessPilot\Vaihdetut 2026\BP4 260310\"/>
    </mc:Choice>
  </mc:AlternateContent>
  <xr:revisionPtr revIDLastSave="0" documentId="13_ncr:1_{9BDE4E20-A4E5-4942-AE19-8BE61EA12DF4}" xr6:coauthVersionLast="47" xr6:coauthVersionMax="47" xr10:uidLastSave="{00000000-0000-0000-0000-000000000000}"/>
  <workbookProtection workbookAlgorithmName="SHA-512" workbookHashValue="LVmvCupftAiuzIs/xy6YdfRHIQwzM8TKjpXleg8OikX4qySzmyTC9Qessow9fKzu3qESGMsmsWrDd/f3Qc2KkA==" workbookSaltValue="Pw/Q8I3CdA2dVSdP+exFAQ==" workbookSpinCount="100000" lockStructure="1"/>
  <bookViews>
    <workbookView xWindow="17895" yWindow="0" windowWidth="34605" windowHeight="20985" xr2:uid="{EE356E30-E80B-4114-8286-345480103BD4}"/>
  </bookViews>
  <sheets>
    <sheet name="Front page" sheetId="27" r:id="rId1"/>
    <sheet name="1. Calculation" sheetId="11" r:id="rId2"/>
    <sheet name="2. Cash budget" sheetId="22" r:id="rId3"/>
    <sheet name="3. Calculation no VAT" sheetId="26" r:id="rId4"/>
    <sheet name="Cash budget no VAT"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Calculation'!$C$2:$X$226</definedName>
    <definedName name="_xlnm.Print_Area" localSheetId="2">'2. Cash budget'!$B$4:$S$58</definedName>
    <definedName name="_xlnm.Print_Area" localSheetId="3">'3. Calculation no VAT'!$C$2:$X$226</definedName>
    <definedName name="_xlnm.Print_Area" localSheetId="4">'Cash budget no VAT'!$B$4:$S$58</definedName>
    <definedName name="YT" localSheetId="1">'1. Calculation'!$C$2:$X$226</definedName>
    <definedName name="YT" localSheetId="3">'3. Calculation no VAT'!$C$2:$X$226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l="1"/>
  <c r="Y35" i="22"/>
  <c r="M51" i="11" l="1"/>
  <c r="K51" i="11"/>
  <c r="J51" i="11"/>
  <c r="M22" i="26"/>
  <c r="M153" i="11"/>
  <c r="K153" i="11"/>
  <c r="I153" i="11"/>
  <c r="I154" i="11"/>
  <c r="I120" i="11"/>
  <c r="I72" i="11"/>
  <c r="M119" i="11"/>
  <c r="K119" i="11"/>
  <c r="I119" i="11"/>
  <c r="M71" i="11"/>
  <c r="K71" i="11"/>
  <c r="I71" i="11"/>
  <c r="I154" i="26" l="1"/>
  <c r="C155" i="26"/>
  <c r="M153" i="26"/>
  <c r="K153" i="26"/>
  <c r="I153" i="26"/>
  <c r="C153" i="26"/>
  <c r="C58" i="28" l="1"/>
  <c r="C58" i="22"/>
  <c r="C153" i="11"/>
  <c r="G190" i="11" l="1"/>
  <c r="G182" i="11"/>
  <c r="G174" i="11"/>
  <c r="G166" i="11"/>
  <c r="G158" i="11"/>
  <c r="K43" i="26" l="1"/>
  <c r="D225" i="11"/>
  <c r="D225" i="26"/>
  <c r="I109" i="26"/>
  <c r="I110" i="26"/>
  <c r="I111" i="26"/>
  <c r="I109" i="11"/>
  <c r="I110" i="11"/>
  <c r="I111" i="11"/>
  <c r="K45" i="26"/>
  <c r="K62" i="26"/>
  <c r="M62" i="26" s="1"/>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C17" i="31"/>
  <c r="D40" i="29"/>
  <c r="D39" i="29"/>
  <c r="F24" i="29"/>
  <c r="F25" i="29"/>
  <c r="F23" i="29"/>
  <c r="N19" i="29"/>
  <c r="N20" i="29"/>
  <c r="N18" i="29"/>
  <c r="F33" i="29"/>
  <c r="F34" i="29"/>
  <c r="F32" i="29"/>
  <c r="O13" i="29"/>
  <c r="L19" i="29"/>
  <c r="L20" i="29"/>
  <c r="L18" i="29"/>
  <c r="M19" i="29"/>
  <c r="AC19" i="29" s="1"/>
  <c r="M20" i="29"/>
  <c r="AC20" i="29" s="1"/>
  <c r="M18" i="29"/>
  <c r="K19" i="29"/>
  <c r="O19" i="29" s="1"/>
  <c r="K20" i="29"/>
  <c r="O20" i="29" s="1"/>
  <c r="K18" i="29"/>
  <c r="O18" i="29" s="1"/>
  <c r="J19" i="29"/>
  <c r="J20" i="29"/>
  <c r="J18" i="29"/>
  <c r="Q18" i="29" l="1"/>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32" i="28"/>
  <c r="B46" i="28" s="1"/>
  <c r="B51" i="28" s="1"/>
  <c r="G18" i="28"/>
  <c r="S12" i="28"/>
  <c r="T12" i="28" s="1"/>
  <c r="S10" i="28"/>
  <c r="T10"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J211" i="26" l="1"/>
  <c r="K74" i="26"/>
  <c r="J74" i="26"/>
  <c r="G7" i="29"/>
  <c r="G9" i="29" s="1"/>
  <c r="E51" i="29"/>
  <c r="M18" i="26" s="1"/>
  <c r="M17"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P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AC33" i="28"/>
  <c r="AD35" i="28"/>
  <c r="AD39" i="28"/>
  <c r="AA35" i="28"/>
  <c r="AA39" i="28"/>
  <c r="AA44" i="28" s="1"/>
  <c r="H33" i="28" s="1"/>
  <c r="L38" i="28"/>
  <c r="AE43" i="28" s="1"/>
  <c r="AI41" i="28"/>
  <c r="AL41" i="28" s="1"/>
  <c r="AI34" i="28"/>
  <c r="AE37" i="28"/>
  <c r="AE40" i="28"/>
  <c r="AB39" i="28"/>
  <c r="AB44" i="28" s="1"/>
  <c r="I33" i="28" s="1"/>
  <c r="AB35" i="28"/>
  <c r="AF40" i="28"/>
  <c r="AF37" i="28"/>
  <c r="Z34" i="28"/>
  <c r="S24" i="28"/>
  <c r="S37" i="28"/>
  <c r="Z36"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M29" i="26" l="1"/>
  <c r="U15" i="28"/>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AF33" i="28"/>
  <c r="J2" i="31" l="1"/>
  <c r="J17" i="31" s="1"/>
  <c r="N18" i="28"/>
  <c r="E190" i="29"/>
  <c r="E130" i="29"/>
  <c r="E144" i="29" s="1"/>
  <c r="H88" i="29"/>
  <c r="H89" i="29" s="1"/>
  <c r="G90" i="29"/>
  <c r="G124" i="29" s="1"/>
  <c r="G92" i="29"/>
  <c r="G172" i="29"/>
  <c r="F97" i="29"/>
  <c r="H81" i="29"/>
  <c r="F126" i="29"/>
  <c r="I72" i="29"/>
  <c r="J70" i="29"/>
  <c r="I74" i="29"/>
  <c r="I82" i="29" s="1"/>
  <c r="I106" i="29"/>
  <c r="H110" i="29"/>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F21" i="26"/>
  <c r="F14" i="26"/>
  <c r="M10" i="26"/>
  <c r="U14" i="28" s="1"/>
  <c r="F10" i="26"/>
  <c r="U26" i="28" s="1"/>
  <c r="G26" i="28" s="1"/>
  <c r="S26" i="28" s="1"/>
  <c r="J104" i="11"/>
  <c r="I104" i="11" s="1"/>
  <c r="T61" i="24"/>
  <c r="T67" i="24"/>
  <c r="N67" i="24" s="1"/>
  <c r="T65" i="24"/>
  <c r="I65" i="24" s="1"/>
  <c r="T64" i="24"/>
  <c r="T63" i="24"/>
  <c r="V43" i="22"/>
  <c r="K107" i="11"/>
  <c r="M107" i="11" s="1"/>
  <c r="K106" i="11"/>
  <c r="K105" i="11"/>
  <c r="L105" i="11" s="1"/>
  <c r="L104" i="11" s="1"/>
  <c r="P106" i="11"/>
  <c r="P107" i="11"/>
  <c r="P105" i="11"/>
  <c r="T56" i="24"/>
  <c r="S56" i="24" s="1"/>
  <c r="T53" i="24"/>
  <c r="I53" i="24" s="1"/>
  <c r="I54" i="24" s="1"/>
  <c r="D54" i="24"/>
  <c r="T62" i="24"/>
  <c r="K62" i="24" s="1"/>
  <c r="T66" i="24"/>
  <c r="I66" i="24" s="1"/>
  <c r="T49" i="24"/>
  <c r="M51" i="26" l="1"/>
  <c r="K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48" i="26" l="1"/>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4"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M104" i="11"/>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J166" i="11"/>
  <c r="I166" i="11" s="1"/>
  <c r="K167" i="11"/>
  <c r="AL173" i="29" l="1"/>
  <c r="AL186" i="29" s="1"/>
  <c r="AK138" i="29"/>
  <c r="AK152" i="29" s="1"/>
  <c r="AK198" i="29"/>
  <c r="AL126" i="29"/>
  <c r="AL123" i="29"/>
  <c r="AL108" i="29"/>
  <c r="AL124" i="29" s="1"/>
  <c r="J186" i="11"/>
  <c r="J235" i="11" s="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J41" i="11" l="1"/>
  <c r="T47" i="24"/>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E45" i="24" s="1"/>
  <c r="E38" i="24" s="1"/>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F5" i="30"/>
  <c r="F15" i="30" s="1"/>
  <c r="F33" i="30" l="1"/>
  <c r="Q32" i="30"/>
  <c r="Q32" i="24"/>
  <c r="E23" i="30"/>
  <c r="Q22" i="30"/>
  <c r="Q22" i="24"/>
  <c r="Z37" i="22"/>
  <c r="Z40" i="22"/>
  <c r="D2" i="23"/>
  <c r="D17" i="23" s="1"/>
  <c r="F5" i="24"/>
  <c r="F15" i="24" s="1"/>
  <c r="AA33" i="22"/>
  <c r="H18" i="22"/>
  <c r="S48" i="22"/>
  <c r="S44" i="22"/>
  <c r="S35" i="22"/>
  <c r="S42" i="22"/>
  <c r="AC33" i="22" l="1"/>
  <c r="G5" i="30"/>
  <c r="G15" i="30" s="1"/>
  <c r="E2" i="23"/>
  <c r="E17" i="23" s="1"/>
  <c r="G5" i="24"/>
  <c r="G15" i="24" s="1"/>
  <c r="I18" i="22"/>
  <c r="AB33" i="22"/>
  <c r="F2" i="23" l="1"/>
  <c r="F17" i="23" s="1"/>
  <c r="G2" i="23"/>
  <c r="G17" i="23" s="1"/>
  <c r="H5" i="24"/>
  <c r="H15" i="24" s="1"/>
  <c r="H5" i="30"/>
  <c r="H15" i="30" s="1"/>
  <c r="J18" i="22"/>
  <c r="K18" i="22" l="1"/>
  <c r="I5" i="24"/>
  <c r="I15" i="24" s="1"/>
  <c r="I5" i="30"/>
  <c r="I15" i="30" s="1"/>
  <c r="AE33" i="22"/>
  <c r="AD33" i="22"/>
  <c r="H2" i="23" l="1"/>
  <c r="H17" i="23" s="1"/>
  <c r="L18" i="22"/>
  <c r="I2" i="23"/>
  <c r="I17" i="23" s="1"/>
  <c r="J5" i="24"/>
  <c r="J15" i="24" s="1"/>
  <c r="J5" i="30"/>
  <c r="J15" i="30" s="1"/>
  <c r="M18" i="22" l="1"/>
  <c r="AF33" i="22"/>
  <c r="K5" i="24"/>
  <c r="K15" i="24" s="1"/>
  <c r="K5" i="30"/>
  <c r="K15" i="30" s="1"/>
  <c r="L5" i="30" l="1"/>
  <c r="L15" i="30" s="1"/>
  <c r="N18" i="22"/>
  <c r="AG33" i="22"/>
  <c r="L5" i="24"/>
  <c r="L15" i="24" s="1"/>
  <c r="J2" i="23"/>
  <c r="J17" i="23" s="1"/>
  <c r="M5" i="24"/>
  <c r="M15" i="24" s="1"/>
  <c r="M5" i="30"/>
  <c r="M15" i="30" s="1"/>
  <c r="AH33" i="22"/>
  <c r="K2" i="23"/>
  <c r="K17" i="23" s="1"/>
  <c r="O18" i="22"/>
  <c r="N5" i="24" l="1"/>
  <c r="N15" i="24" s="1"/>
  <c r="N5" i="30"/>
  <c r="N15" i="30" s="1"/>
  <c r="AI33" i="22"/>
  <c r="L2" i="23"/>
  <c r="L17" i="23" s="1"/>
  <c r="P18" i="22"/>
  <c r="O5" i="24" l="1"/>
  <c r="O15" i="24" s="1"/>
  <c r="O5" i="30"/>
  <c r="O15" i="30" s="1"/>
  <c r="AJ33" i="22"/>
  <c r="M2" i="23"/>
  <c r="M17" i="23" s="1"/>
  <c r="Q18" i="22"/>
  <c r="P5" i="30"/>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P48" i="11" l="1"/>
  <c r="M41" i="11"/>
  <c r="J38" i="11"/>
  <c r="M39" i="11"/>
  <c r="J209" i="11" l="1"/>
  <c r="J48" i="11"/>
  <c r="M38" i="11"/>
  <c r="M209" i="11" s="1"/>
  <c r="I38" i="11"/>
  <c r="L39" i="11"/>
  <c r="K38" i="11"/>
  <c r="K209" i="11" s="1"/>
  <c r="K48" i="11" l="1"/>
  <c r="M48" i="11" s="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G14" i="28" s="1"/>
  <c r="S14" i="28" s="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I24" i="22" l="1"/>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O47" i="11"/>
  <c r="M101" i="11"/>
  <c r="I128" i="11"/>
  <c r="B8" i="8"/>
  <c r="M32" i="11"/>
  <c r="B15" i="8"/>
  <c r="C14" i="8"/>
  <c r="I158" i="11"/>
  <c r="M123" i="11"/>
  <c r="O42" i="11"/>
  <c r="O55" i="11"/>
  <c r="L129" i="11"/>
  <c r="K128" i="11"/>
  <c r="C8" i="8" s="1"/>
  <c r="M49" i="11"/>
  <c r="J205" i="11" l="1"/>
  <c r="I20" i="14"/>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47" i="11"/>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Q36" i="30" l="1"/>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V22" i="22"/>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H3" i="14" l="1"/>
  <c r="H5" i="14" s="1"/>
  <c r="G6" i="14"/>
  <c r="J206" i="11"/>
  <c r="J208" i="11" s="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F5" i="23" s="1"/>
  <c r="F18" i="23" s="1"/>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E6" i="23"/>
  <c r="F19" i="23" s="1"/>
  <c r="F25" i="23" s="1"/>
  <c r="C6" i="23"/>
  <c r="D19" i="23" s="1"/>
  <c r="D25" i="23" s="1"/>
  <c r="K6" i="23"/>
  <c r="L19" i="23" s="1"/>
  <c r="L25" i="23" s="1"/>
  <c r="J6" i="23"/>
  <c r="K19" i="23" s="1"/>
  <c r="K25" i="23" s="1"/>
  <c r="N6" i="23"/>
  <c r="M6" i="23"/>
  <c r="N19" i="23" s="1"/>
  <c r="N25" i="23" s="1"/>
  <c r="Q13" i="22" l="1"/>
  <c r="Q16" i="22" s="1"/>
  <c r="G16" i="28"/>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yritysTULKKI</author>
  </authors>
  <commentList>
    <comment ref="B4" authorId="0" shapeId="0" xr:uid="{603F87F1-F891-454C-8AC7-7D864D7C5AA3}">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with few employees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yellow cells in order from top to bottom.
- Financing needs table section 2. Machinery and equipment at VAT prices.
- Financing needs table item 6. Working capital: The exact value is only obtained at the end of the calculation from 
  item 37.
- FINANCIAL REQUIREMENTS AND SOURCES OF FANDING totals must be equal. Alignment can be done by changing
  6. WORKING CAPITAL figure.
- When calculating operating costs, attention is paid to significant expenses. Small amounts are not crucial
  relevance to the outcome. Calculate operating costs at VAT-free prices, only social and healthcare sector and 
  companies with a turnover of less than € 20 000 at VAT-inclusive prices.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1" authorId="0" shapeId="0" xr:uid="{A96DC3DF-AB71-4CC3-A04B-1BDE7D4BC767}">
      <text>
        <r>
          <rPr>
            <sz val="10"/>
            <color indexed="81"/>
            <rFont val="Tahoma"/>
            <family val="2"/>
          </rPr>
          <t>Non-depreciable investments such as:
- plot, land area
- electricity, water, etc. Connection
- franchise licensing fees</t>
        </r>
      </text>
    </comment>
    <comment ref="J12" authorId="0" shapeId="0" xr:uid="{3D7837BF-A87B-42A2-8452-7B740C5C3E42}">
      <text>
        <r>
          <rPr>
            <sz val="10"/>
            <color indexed="81"/>
            <rFont val="Tahoma"/>
            <family val="2"/>
          </rPr>
          <t>The bank's interest rate. Collateral and risk affect the interest rate.</t>
        </r>
      </text>
    </comment>
    <comment ref="K12" authorId="0" shapeId="0" xr:uid="{3150A324-D36C-4E7B-997A-05FE79736EF8}">
      <text>
        <r>
          <rPr>
            <sz val="10"/>
            <color indexed="81"/>
            <rFont val="Tahoma"/>
            <family val="2"/>
          </rPr>
          <t>Free years of amortizing the loan (max 2 years). We recommend one year.</t>
        </r>
      </text>
    </comment>
    <comment ref="L12" authorId="0" shapeId="0" xr:uid="{1A8F6123-5ACC-4209-B979-4FED13D8B67C}">
      <text>
        <r>
          <rPr>
            <sz val="10"/>
            <color indexed="81"/>
            <rFont val="Tahoma"/>
            <family val="2"/>
          </rPr>
          <t>Minimum loan period 3 years.</t>
        </r>
      </text>
    </comment>
    <comment ref="H13" authorId="0" shapeId="0" xr:uid="{D7350F99-CE55-4751-A155-3BD251F502B7}">
      <text>
        <r>
          <rPr>
            <sz val="10"/>
            <color indexed="81"/>
            <rFont val="Tahoma"/>
            <family val="2"/>
          </rPr>
          <t xml:space="preserve">Finnvera is a specialised financing company owned by the State of Finland. Finnvera provides financing for the start, growth and internationalisation of enterprises and guarantees against risks arising from exports. </t>
        </r>
      </text>
    </comment>
    <comment ref="K13" authorId="0" shapeId="0" xr:uid="{4488C8B3-5EF8-4FC1-A37C-8116A200FA1A}">
      <text>
        <r>
          <rPr>
            <sz val="10"/>
            <color indexed="81"/>
            <rFont val="Tahoma"/>
            <family val="2"/>
          </rPr>
          <t>Free years of amortizing the loan (max 2 years). We recommend one year.</t>
        </r>
      </text>
    </comment>
    <comment ref="L13" authorId="0" shapeId="0" xr:uid="{13C82886-5F6B-44DF-AC17-0DB91E4E081E}">
      <text>
        <r>
          <rPr>
            <sz val="10"/>
            <color indexed="81"/>
            <rFont val="Tahoma"/>
            <family val="2"/>
          </rPr>
          <t>Minimum loan period 3 years.</t>
        </r>
      </text>
    </comment>
    <comment ref="K14" authorId="0" shapeId="0" xr:uid="{C6069141-B973-400A-9275-3C6F5759AE70}">
      <text>
        <r>
          <rPr>
            <sz val="10"/>
            <color indexed="81"/>
            <rFont val="Tahoma"/>
            <family val="2"/>
          </rPr>
          <t>Free years of amortizing the loan (max 2 years). We recommend one year.</t>
        </r>
      </text>
    </comment>
    <comment ref="L14" authorId="0" shapeId="0" xr:uid="{1A4DE2AC-DD75-4A54-97F2-C3A6E46B9C45}">
      <text>
        <r>
          <rPr>
            <sz val="10"/>
            <color indexed="81"/>
            <rFont val="Tahoma"/>
            <family val="2"/>
          </rPr>
          <t>Minimum loan period 3 years.</t>
        </r>
      </text>
    </comment>
    <comment ref="C15" authorId="0" shapeId="0" xr:uid="{EB7558DA-11CB-4F6F-929C-23D70C77A961}">
      <text>
        <r>
          <rPr>
            <sz val="10"/>
            <color indexed="81"/>
            <rFont val="Tahoma"/>
            <family val="2"/>
          </rPr>
          <t>Machinery, equipment, supplies and other long-term depreciable purchases (including patents,
IT systems, manufacturing rights).
Place VAT-free purchases lower
"- tax-free machinery and equipment, goodwill".</t>
        </r>
      </text>
    </comment>
    <comment ref="E15" authorId="0" shapeId="0" xr:uid="{1E9307F3-B91D-47D4-8B44-1FEA7C46F7ED}">
      <text>
        <r>
          <rPr>
            <sz val="10"/>
            <color indexed="81"/>
            <rFont val="Tahoma"/>
            <family val="2"/>
          </rPr>
          <t>Investment aid is not normally granted to the transport, trade, contracting and construction sectors. The grant is awarded at a VAT-free price!</t>
        </r>
      </text>
    </comment>
    <comment ref="H15" authorId="0" shapeId="0" xr:uid="{C80B7CE4-CC93-4EFA-B150-8D0DB65AAB01}">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EEF70F11-61DF-463E-AB8D-6816CC9BFCB2}">
      <text>
        <r>
          <rPr>
            <sz val="10"/>
            <color indexed="81"/>
            <rFont val="Tahoma"/>
            <family val="2"/>
          </rPr>
          <t>Longest credit period for leasing and partial payment is 5 years!</t>
        </r>
      </text>
    </comment>
    <comment ref="M15" authorId="0" shapeId="0" xr:uid="{2CDD4F11-9C5C-4DF8-8CCF-C433586858D9}">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D4306EA7-D5E5-41C2-8DEF-3C1EE61E3B8D}">
      <text>
        <r>
          <rPr>
            <sz val="10"/>
            <color indexed="81"/>
            <rFont val="Tahoma"/>
            <family val="2"/>
          </rPr>
          <t>Machines and equipment purchased 
for business use.
Installment costs of company vehicles 
to item 35. Company vehicle costs 
(for private use)</t>
        </r>
      </text>
    </comment>
    <comment ref="K16" authorId="0" shapeId="0" xr:uid="{3FA144C5-098D-4318-94CA-4F36F87092F5}">
      <text>
        <r>
          <rPr>
            <sz val="10"/>
            <color indexed="81"/>
            <rFont val="Tahoma"/>
            <family val="2"/>
          </rPr>
          <t>Longest credit period for leasing and partial payment is 5 years!</t>
        </r>
      </text>
    </comment>
    <comment ref="M16" authorId="0" shapeId="0" xr:uid="{124D4077-A377-4BCF-B381-F039C6FFE0E1}">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B3116343-6C72-493E-99BA-203654DF11EF}">
      <text>
        <r>
          <rPr>
            <sz val="10"/>
            <color indexed="81"/>
            <rFont val="Tahoma"/>
            <family val="2"/>
          </rPr>
          <t>When purchasing a running business, no VAT included in purchased goods storage.</t>
        </r>
      </text>
    </comment>
    <comment ref="M18" authorId="0" shapeId="0" xr:uid="{7A07C269-9004-4604-9B6C-3A3CFDB6ABCB}">
      <text>
        <r>
          <rPr>
            <sz val="10"/>
            <color indexed="81"/>
            <rFont val="Tahoma"/>
            <family val="2"/>
          </rPr>
          <t>Support is available for an investment for which VAT has been deducted. WHEN USING LEASING, THE FIGURE IS INDICATIVE!</t>
        </r>
      </text>
    </comment>
    <comment ref="F19" authorId="0" shapeId="0" xr:uid="{711A394C-B2E9-4964-8AE9-26288CE4FA03}">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FA2D1CE9-0C31-4899-A1E4-62DA33A2A1A1}">
      <text>
        <r>
          <rPr>
            <sz val="10"/>
            <color indexed="81"/>
            <rFont val="Tahoma"/>
            <family val="2"/>
          </rPr>
          <t>Other allowances might be e.g.
- KELA's (National Pension Institution) allowance
- allowance for marketing or product development 
  from ELY-centre</t>
        </r>
      </text>
    </comment>
    <comment ref="F20" authorId="1" shapeId="0" xr:uid="{6ECC92CE-13CA-4FD9-B7E9-87430AC4E6B1}">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B2912EAB-718D-408C-B160-F3F074C067DD}">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A9952619-2473-4BF4-96FF-64D4633FC1B7}">
      <text>
        <r>
          <rPr>
            <sz val="10"/>
            <color indexed="81"/>
            <rFont val="Tahoma"/>
            <family val="2"/>
          </rPr>
          <t>Immaterial short-term investments at prices incl. VAT, which are not depreciated for tax purposes. 
- marketing investments (website, logo, licenses, etc.)
- renewal of a business premises (renovation to pos.1. Premises).</t>
        </r>
      </text>
    </comment>
    <comment ref="M23" authorId="0" shapeId="0" xr:uid="{B25C29C5-7AEE-46F6-B950-0504BDFD0D14}">
      <text>
        <r>
          <rPr>
            <sz val="10"/>
            <color indexed="81"/>
            <rFont val="Tahoma"/>
            <family val="2"/>
          </rPr>
          <t>It would be good for the success of the project that the total amount of own funding be at least 20% of the total funding need.</t>
        </r>
      </text>
    </comment>
    <comment ref="F24" authorId="0" shapeId="0" xr:uid="{4E21991C-CF8A-401C-B4D6-77E6D7D55587}">
      <text>
        <r>
          <rPr>
            <sz val="10"/>
            <color indexed="81"/>
            <rFont val="Tahoma"/>
            <family val="2"/>
          </rPr>
          <t xml:space="preserve">Immaterial and development investments of VAT-free business branches. </t>
        </r>
      </text>
    </comment>
    <comment ref="M24" authorId="0" shapeId="0" xr:uid="{46190483-52BF-4867-8EF9-3FC7A9A0FEE0}">
      <text>
        <r>
          <rPr>
            <sz val="10"/>
            <color indexed="81"/>
            <rFont val="Tahoma"/>
            <family val="2"/>
          </rPr>
          <t>Finnvera' s entrepreneur loan is an entrepreneur's personal loan that can be used to finance:
- investments in the share capital of a public limited company and /
  or unrestricted equity fund
- the purchase of a shareholding in a public or private limited 
  company 
- the purchase of shares in an existing company
Finnvera is a specialised financing company owned by the State of Finland.</t>
        </r>
      </text>
    </comment>
    <comment ref="F26" authorId="0" shapeId="0" xr:uid="{157B398A-BFE0-43DB-8BB2-02B56FA66E1D}">
      <text>
        <r>
          <rPr>
            <sz val="10"/>
            <color indexed="81"/>
            <rFont val="Tahoma"/>
            <family val="2"/>
          </rPr>
          <t xml:space="preserve">Working capital = cash. The need for working capital is affected by the company's operating costs and fluctuations in sales and purchases. If the financing need and the financing plan are not exactly the same, you can make a correction to working capital, i.e. cash.
</t>
        </r>
        <r>
          <rPr>
            <b/>
            <sz val="10"/>
            <color indexed="81"/>
            <rFont val="Tahoma"/>
            <family val="2"/>
          </rPr>
          <t>Recommendation for a minimum working capital in a start-up company:</t>
        </r>
        <r>
          <rPr>
            <sz val="10"/>
            <color indexed="81"/>
            <rFont val="Tahoma"/>
            <family val="2"/>
          </rPr>
          <t xml:space="preserve">
- in wholesale and retail trade about 20% of turnover 
- consumer services €5000 - 30 000 per person (by takeover a business
  €2000 - 10 000 per person)
- services for companies €15 000 - 30 000 per person (by takeover a 
  business €5000 - 10 000 per person)
- industry and manufacturing €10 000 - 60 000 per person
  (by takeover a business €4000 - 20 000 per person)
- construction €15 000 - 50 000 per person (by takeover a business 
  €5 000 - 18 000 per person)</t>
        </r>
      </text>
    </comment>
    <comment ref="F29" authorId="0" shapeId="0" xr:uid="{AA057E94-9959-4E9B-909E-991F3A43DC5B}">
      <text>
        <r>
          <rPr>
            <sz val="10"/>
            <color indexed="81"/>
            <rFont val="Tahoma"/>
            <family val="2"/>
          </rPr>
          <t>The totals for the left and right must be equal. If the number is negative, there is money "too much". Add additional funds to item 6. Working capital".</t>
        </r>
      </text>
    </comment>
    <comment ref="M29" authorId="0" shapeId="0" xr:uid="{16ADC27A-4562-4C69-8055-0B0688EA765A}">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4AE23401-D323-41AC-8937-E416FA09D14D}">
      <text>
        <r>
          <rPr>
            <sz val="10"/>
            <color indexed="81"/>
            <rFont val="Tahoma"/>
            <family val="2"/>
          </rPr>
          <t>This column indicates how much the cost or sale is per month!</t>
        </r>
      </text>
    </comment>
    <comment ref="J32" authorId="0" shapeId="0" xr:uid="{DD1043DC-A43D-4428-9BD4-A75855A7AE09}">
      <text>
        <r>
          <rPr>
            <sz val="10"/>
            <color indexed="81"/>
            <rFont val="Tahoma"/>
            <family val="2"/>
          </rPr>
          <t>Closing year of the first accounting period.</t>
        </r>
      </text>
    </comment>
    <comment ref="K32" authorId="0" shapeId="0" xr:uid="{0495F537-B568-4CC4-A32F-39146CBF110A}">
      <text>
        <r>
          <rPr>
            <sz val="10"/>
            <color indexed="81"/>
            <rFont val="Tahoma"/>
            <family val="2"/>
          </rPr>
          <t>Check the year according to the length of the accounting years!</t>
        </r>
      </text>
    </comment>
    <comment ref="D34" authorId="0" shapeId="0" xr:uid="{8EB8A357-C071-42EB-A129-947040310C80}">
      <text>
        <r>
          <rPr>
            <sz val="10"/>
            <color indexed="81"/>
            <rFont val="Tahoma"/>
            <family val="2"/>
          </rPr>
          <t xml:space="preserve">Yearly costs on loans are based on 2 equal instalments, interval 6 months.  Free years of amortizing noted. </t>
        </r>
      </text>
    </comment>
    <comment ref="B37" authorId="0" shapeId="0" xr:uid="{367182F0-6AA2-42BE-ADF6-10F0DF794D02}">
      <text>
        <r>
          <rPr>
            <sz val="10"/>
            <color indexed="81"/>
            <rFont val="Tahoma"/>
            <family val="2"/>
          </rPr>
          <t xml:space="preserve">Instructions for filling in can be found on BusinessPilot's website -&gt; Financial calculations. You can find instructions for filling in the line number. </t>
        </r>
      </text>
    </comment>
    <comment ref="J39" authorId="0" shapeId="0" xr:uid="{B2C028F2-45E1-461D-BF7C-954FE7DF546F}">
      <text>
        <r>
          <rPr>
            <sz val="10"/>
            <color indexed="81"/>
            <rFont val="Tahoma"/>
            <family val="2"/>
          </rPr>
          <t>Private trader (own firm) can not pay salary for him/herself, but you should take the salary with in calculation for better understanding of "real salary costs". Notice the number of entrepreneurs.</t>
        </r>
      </text>
    </comment>
    <comment ref="O39" authorId="0" shapeId="0" xr:uid="{B0637168-CDFA-4494-84A7-2FAF366438AF}">
      <text>
        <r>
          <rPr>
            <sz val="10"/>
            <color indexed="81"/>
            <rFont val="Tahoma"/>
            <family val="2"/>
          </rPr>
          <t>Costs are increasing every year!</t>
        </r>
      </text>
    </comment>
    <comment ref="J40" authorId="0" shapeId="0" xr:uid="{3B3CFF31-2B1E-4C7C-8847-729BB7998BB7}">
      <text>
        <r>
          <rPr>
            <sz val="10"/>
            <color indexed="81"/>
            <rFont val="Tahoma"/>
            <family val="2"/>
          </rPr>
          <t>A private trader cannot use any fringe benefits. In Ay and Ky, it is possible, if a cash salary is paid. 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1" authorId="0" shapeId="0" xr:uid="{9772887F-B141-42DF-AC31-AF4839EA8F99}">
      <text>
        <r>
          <rPr>
            <sz val="10"/>
            <color indexed="81"/>
            <rFont val="Tahoma"/>
            <family val="2"/>
          </rPr>
          <t>By beginning business 12 months in 1. year, later 12,5 months (incl. Holiday bonus).</t>
        </r>
      </text>
    </comment>
    <comment ref="J42" authorId="0" shapeId="0" xr:uid="{ADF174EF-861B-40F0-9E37-33F2C9F81A22}">
      <text>
        <r>
          <rPr>
            <sz val="10"/>
            <color indexed="81"/>
            <rFont val="Tahoma"/>
            <family val="2"/>
          </rPr>
          <t xml:space="preserve">The figure includes ancillary costs incurred by the company from cash salaries and fringe benefits. </t>
        </r>
      </text>
    </comment>
    <comment ref="J44" authorId="0" shapeId="0" xr:uid="{C7D3C067-2B3A-4008-83E2-D68E2D264CF2}">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642E1B7-9BCA-4DD0-BC21-D802C251DE32}">
      <text>
        <r>
          <rPr>
            <sz val="10"/>
            <color indexed="81"/>
            <rFont val="Tahoma"/>
            <family val="2"/>
          </rPr>
          <t>By beginning business 12 months in 1. year, later 12,5 months (incl. Holiday bonus).</t>
        </r>
      </text>
    </comment>
    <comment ref="F46" authorId="0" shapeId="0" xr:uid="{A83DFD1A-A30B-4553-9FF3-BE58BE63D421}">
      <text>
        <r>
          <rPr>
            <sz val="10"/>
            <color indexed="81"/>
            <rFont val="Tahoma"/>
            <family val="2"/>
          </rPr>
          <t xml:space="preserve">Social cost 30 - 50%. </t>
        </r>
      </text>
    </comment>
    <comment ref="J49" authorId="0" shapeId="0" xr:uid="{B3306D7F-0F57-45EC-8ADA-7E3A552935EB}">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E5C3959B-4C4B-4392-9CAC-C1F8199066B9}">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174F6920-BBCF-439C-BCBD-3126F78D8F0F}">
      <text>
        <r>
          <rPr>
            <sz val="10"/>
            <color indexed="81"/>
            <rFont val="Tahoma"/>
            <family val="2"/>
          </rPr>
          <t xml:space="preserve">E.G. life insurance, travel insurance paid by the enterprise. </t>
        </r>
      </text>
    </comment>
    <comment ref="J69" authorId="0" shapeId="0" xr:uid="{0413B2B2-3B80-41CF-9BF0-ACEBE49B90CF}">
      <text>
        <r>
          <rPr>
            <sz val="10"/>
            <color indexed="81"/>
            <rFont val="Tahoma"/>
            <family val="2"/>
          </rPr>
          <t xml:space="preserve">Insurance premium 0.3% of the insured value. Insurable property includes buildings, machinery, warehouse, customer property premises. </t>
        </r>
      </text>
    </comment>
    <comment ref="B71" authorId="0" shapeId="0" xr:uid="{67BC4652-8B0A-41AC-B014-AA295A8C4219}">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D88CFB45-1439-4C0F-845B-6E86D5A3F964}">
      <text>
        <r>
          <rPr>
            <sz val="10"/>
            <color indexed="81"/>
            <rFont val="Tahoma"/>
            <family val="2"/>
          </rPr>
          <t>By leasing you can choose the amount of the final instalment in percentage of the total financing, max. 40 %. If 0 %, use part payment!</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96EDA90D-703B-40A3-93EC-A18A6055BA25}">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78" authorId="0" shapeId="0" xr:uid="{A032B099-197D-435C-A1FC-9E9D7C523482}">
      <text>
        <r>
          <rPr>
            <sz val="10"/>
            <color indexed="81"/>
            <rFont val="Tahoma"/>
            <family val="2"/>
          </rPr>
          <t>Prices VAT 0 %</t>
        </r>
      </text>
    </comment>
    <comment ref="J90" authorId="0" shapeId="0" xr:uid="{590017B3-DCAC-4C4A-B682-195D8852E53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D93" authorId="2" shapeId="0" xr:uid="{84B2B7BC-3698-4319-B416-6EEB3B2969FD}">
      <text>
        <r>
          <rPr>
            <sz val="10"/>
            <color indexed="81"/>
            <rFont val="Tahoma"/>
            <family val="2"/>
          </rPr>
          <t xml:space="preserve">Practitioners and privat traders are not allowed to pay kilometre and daily expense allowances to themselves in cash (other forms of business can). </t>
        </r>
      </text>
    </comment>
    <comment ref="J95" authorId="0" shapeId="0" xr:uid="{40B479AA-5A9B-49FE-B39D-CE8A46B6D24A}">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17EE585F-C001-47E5-950A-B3F6F7C4DE05}">
      <text>
        <r>
          <rPr>
            <b/>
            <sz val="10"/>
            <color indexed="81"/>
            <rFont val="Tahoma"/>
            <family val="2"/>
          </rPr>
          <t>2026</t>
        </r>
        <r>
          <rPr>
            <sz val="10"/>
            <color indexed="81"/>
            <rFont val="Tahoma"/>
            <family val="2"/>
          </rPr>
          <t xml:space="preserve">
Domestic full-time allowance €54, part-time allowance €25.</t>
        </r>
      </text>
    </comment>
    <comment ref="J112" authorId="0" shapeId="0" xr:uid="{4973ACD0-71C1-47B5-986D-40F7CA11DCC0}">
      <text>
        <r>
          <rPr>
            <sz val="10"/>
            <color indexed="81"/>
            <rFont val="Tahoma"/>
            <family val="2"/>
          </rPr>
          <t>All company vehicle expenses are included. VAT is not deducted from them.</t>
        </r>
      </text>
    </comment>
    <comment ref="J115" authorId="0" shapeId="0" xr:uid="{FE5074E2-E01D-458A-A209-7746BF8701E2}">
      <text>
        <r>
          <rPr>
            <sz val="10"/>
            <color indexed="81"/>
            <rFont val="Tahoma"/>
            <family val="2"/>
          </rPr>
          <t>All company vehicle expenses are included. VAT is not deducted from them.</t>
        </r>
      </text>
    </comment>
    <comment ref="F123" authorId="0" shapeId="0" xr:uid="{DDF432F1-AF85-49E4-956F-0F89F8B03938}">
      <text>
        <r>
          <rPr>
            <b/>
            <sz val="10"/>
            <color indexed="81"/>
            <rFont val="Tahoma"/>
            <family val="2"/>
          </rPr>
          <t xml:space="preserve">
You can find the VAT percentages for different industries on the BusinessPilot website in section 3.27
Percentage of the Value Added Tax (VAT) in Finland:
• 25,5 % common
VAT 13,5 %
</t>
        </r>
        <r>
          <rPr>
            <sz val="10"/>
            <color indexed="81"/>
            <rFont val="Tahoma"/>
            <family val="2"/>
          </rPr>
          <t>• accommodation services (hotels, motels, hostels, farm stays, camping sites for tents, camper vans or trailers, and cottage rental).
• groceries and fodder, food in restaurant
• books (printed and electronic)
• pharmaceuticals
• sports and fitness services, such as gym, golf and ice rink bookings, and sale of ski lift tickets (personal trainer 25,5 %)
• entrance fees to cultural, entertainment and sporting events, such as theatre, circus, cinema, exhibitions, amusement parks, zoos and museums
• passenger transport services (buses and coaches, trains, taxis, domestic flights)</t>
        </r>
        <r>
          <rPr>
            <b/>
            <sz val="10"/>
            <color indexed="81"/>
            <rFont val="Tahoma"/>
            <family val="2"/>
          </rPr>
          <t xml:space="preserve">
VAT 10 %
</t>
        </r>
        <r>
          <rPr>
            <sz val="10"/>
            <color indexed="81"/>
            <rFont val="Tahoma"/>
            <family val="2"/>
          </rPr>
          <t>• newspapers and magazines
• public broadcasting</t>
        </r>
        <r>
          <rPr>
            <b/>
            <sz val="10"/>
            <color indexed="81"/>
            <rFont val="Tahoma"/>
            <family val="2"/>
          </rPr>
          <t xml:space="preserve">
VAT 0 % OR BUSINESS OPERATIONS exempt from VAT
</t>
        </r>
        <r>
          <rPr>
            <sz val="10"/>
            <color indexed="81"/>
            <rFont val="Tahoma"/>
            <family val="2"/>
          </rPr>
          <t>• healthcare
• exports outside the EU
• sales of goods within the EU to VAT-liable buyers
• business turnover under €20 000 per year</t>
        </r>
      </text>
    </comment>
    <comment ref="O124" authorId="0" shapeId="0" xr:uid="{979AF78B-0AC9-45FF-9117-A82F0FF86A2C}">
      <text>
        <r>
          <rPr>
            <sz val="10"/>
            <color indexed="81"/>
            <rFont val="Tahoma"/>
            <family val="2"/>
          </rPr>
          <t>Be sure to raise prices as costs go up every year.</t>
        </r>
      </text>
    </comment>
    <comment ref="J126" authorId="0" shapeId="0" xr:uid="{6EBD322E-2447-48C8-BFFA-E98466340DB5}">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6FC312DF-F5AA-4A50-8385-1FEE3A20DA8B}">
      <text>
        <r>
          <rPr>
            <sz val="10"/>
            <color indexed="81"/>
            <rFont val="Tahoma"/>
            <family val="2"/>
          </rPr>
          <t>Write here the name of the product or product group.</t>
        </r>
      </text>
    </comment>
    <comment ref="F158" authorId="0" shapeId="0" xr:uid="{09A1D77A-C16E-4AA5-9703-D3A01CDF6056}">
      <text>
        <r>
          <rPr>
            <sz val="10"/>
            <color indexed="81"/>
            <rFont val="Tahoma"/>
            <family val="2"/>
          </rPr>
          <t>Percentage of the Value Added Tax (Sales)</t>
        </r>
      </text>
    </comment>
    <comment ref="G158" authorId="0" shapeId="0" xr:uid="{4DCDDA49-6520-47B4-A91B-4C7CADF410F3}">
      <text>
        <r>
          <rPr>
            <sz val="10"/>
            <color indexed="81"/>
            <rFont val="Tahoma"/>
            <family val="2"/>
          </rPr>
          <t>Percentage of the Value Added Tax (purchase)</t>
        </r>
      </text>
    </comment>
    <comment ref="J161" authorId="0" shapeId="0" xr:uid="{B82EB745-0AC1-493A-B326-D760947A7B3D}">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A0FF9D2-0AE9-4833-A2B9-1EDDDD8C44D1}">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66" authorId="0" shapeId="0" xr:uid="{DA18CB70-A2FD-4A59-BF07-5EDBDB25760D}">
      <text>
        <r>
          <rPr>
            <sz val="10"/>
            <color indexed="81"/>
            <rFont val="Tahoma"/>
            <family val="2"/>
          </rPr>
          <t>Write here the name of the product or product group.</t>
        </r>
      </text>
    </comment>
    <comment ref="F166" authorId="0" shapeId="0" xr:uid="{4FFD53A2-349E-43EB-B5D6-09F9CB433A8B}">
      <text>
        <r>
          <rPr>
            <sz val="10"/>
            <color indexed="81"/>
            <rFont val="Tahoma"/>
            <family val="2"/>
          </rPr>
          <t>Percentage of the Value Added Tax (Sales)</t>
        </r>
      </text>
    </comment>
    <comment ref="G166" authorId="0" shapeId="0" xr:uid="{A68B9FD9-AD35-483A-BF7C-838462FF96B9}">
      <text>
        <r>
          <rPr>
            <sz val="10"/>
            <color indexed="81"/>
            <rFont val="Tahoma"/>
            <family val="2"/>
          </rPr>
          <t>Percentage of the Value Added Tax (purchase)</t>
        </r>
      </text>
    </comment>
    <comment ref="C171" authorId="0" shapeId="0" xr:uid="{CD0ACD73-2024-4DDE-9542-669F2E1C5C8A}">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4" authorId="0" shapeId="0" xr:uid="{65C0D836-CEC7-4AB9-9D55-F0F2DF0AA76A}">
      <text>
        <r>
          <rPr>
            <sz val="10"/>
            <color indexed="81"/>
            <rFont val="Tahoma"/>
            <family val="2"/>
          </rPr>
          <t>Write here the name of the product or product group.</t>
        </r>
      </text>
    </comment>
    <comment ref="F174" authorId="0" shapeId="0" xr:uid="{9AD34627-C822-4F80-8D26-78382F71A701}">
      <text>
        <r>
          <rPr>
            <sz val="10"/>
            <color indexed="81"/>
            <rFont val="Tahoma"/>
            <family val="2"/>
          </rPr>
          <t>Percentage of the Value Added Tax (Sales)</t>
        </r>
      </text>
    </comment>
    <comment ref="G174" authorId="0" shapeId="0" xr:uid="{0B5995D2-9C37-420E-94E2-E78EBC6BF364}">
      <text>
        <r>
          <rPr>
            <sz val="10"/>
            <color indexed="81"/>
            <rFont val="Tahoma"/>
            <family val="2"/>
          </rPr>
          <t>Percentage of the Value Added Tax (purchase)</t>
        </r>
      </text>
    </comment>
    <comment ref="C179" authorId="0" shapeId="0" xr:uid="{7815FB3C-36BB-4B86-882A-27FE464B5880}">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2" authorId="0" shapeId="0" xr:uid="{30B94FA3-842C-4BA8-8B16-2BDCC8291B3F}">
      <text>
        <r>
          <rPr>
            <sz val="10"/>
            <color indexed="81"/>
            <rFont val="Tahoma"/>
            <family val="2"/>
          </rPr>
          <t>Write here the name of the product or product group.</t>
        </r>
      </text>
    </comment>
    <comment ref="F182" authorId="0" shapeId="0" xr:uid="{ACB3DE98-075D-4965-9A65-A7031E3CC05A}">
      <text>
        <r>
          <rPr>
            <sz val="10"/>
            <color indexed="81"/>
            <rFont val="Tahoma"/>
            <family val="2"/>
          </rPr>
          <t>Percentage of the Value Added Tax (Sales)</t>
        </r>
      </text>
    </comment>
    <comment ref="G182" authorId="0" shapeId="0" xr:uid="{3B639416-DC6A-4340-BB6A-5581D5B60F8D}">
      <text>
        <r>
          <rPr>
            <sz val="10"/>
            <color indexed="81"/>
            <rFont val="Tahoma"/>
            <family val="2"/>
          </rPr>
          <t>Percentage of the Value Added Tax (purchase)</t>
        </r>
      </text>
    </comment>
    <comment ref="C187" authorId="0" shapeId="0" xr:uid="{5DF38DF1-BD83-4C5C-BA2F-CCFAF38F3562}">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0" authorId="0" shapeId="0" xr:uid="{6273EDCA-0053-477E-87A2-7200B1FD4C49}">
      <text>
        <r>
          <rPr>
            <sz val="10"/>
            <color indexed="81"/>
            <rFont val="Tahoma"/>
            <family val="2"/>
          </rPr>
          <t>Write here the name of the product or product group.</t>
        </r>
      </text>
    </comment>
    <comment ref="F190" authorId="0" shapeId="0" xr:uid="{3E025253-054A-47DD-AC39-CCAF856656D1}">
      <text>
        <r>
          <rPr>
            <sz val="10"/>
            <color indexed="81"/>
            <rFont val="Tahoma"/>
            <family val="2"/>
          </rPr>
          <t>Percentage of the Value Added Tax (Sales)</t>
        </r>
      </text>
    </comment>
    <comment ref="G190" authorId="0" shapeId="0" xr:uid="{3D347E5C-ACDE-4B06-A217-AF8AF7A166CD}">
      <text>
        <r>
          <rPr>
            <sz val="10"/>
            <color indexed="81"/>
            <rFont val="Tahoma"/>
            <family val="2"/>
          </rPr>
          <t>Percentage of the Value Added Tax (purchase)</t>
        </r>
      </text>
    </comment>
    <comment ref="C195" authorId="0" shapeId="0" xr:uid="{CED03E2A-32A4-4ED9-BE7B-F5DB490D8235}">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F96B105A-CD35-4BDC-934E-28B23681C6C6}">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F198" authorId="0" shapeId="0" xr:uid="{4E0D5824-0F33-4E0C-9149-8EE08CB582B6}">
      <text>
        <r>
          <rPr>
            <sz val="10"/>
            <color indexed="81"/>
            <rFont val="Tahoma"/>
            <family val="2"/>
          </rPr>
          <t xml:space="preserve">Percentage of the Value Added Tax (VAT) </t>
        </r>
      </text>
    </comment>
    <comment ref="J207" authorId="0" shapeId="0" xr:uid="{243BEB2F-F45D-4A1B-9030-3AE054DBA806}">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2E01278C-7CB3-47A3-AC25-8465B80A5946}">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B1FFC4EC-D47B-4BF3-87BC-FF296014A1DF}">
      <text>
        <r>
          <rPr>
            <sz val="10"/>
            <color indexed="81"/>
            <rFont val="Tahoma"/>
            <family val="2"/>
          </rPr>
          <t xml:space="preserve">Depreciation is a deferred expense item that reduces the amount of taxable income.  </t>
        </r>
      </text>
    </comment>
    <comment ref="D212" authorId="0" shapeId="0" xr:uid="{093202F7-6B80-46AD-93E9-89637F1823CF}">
      <text>
        <r>
          <rPr>
            <sz val="10"/>
            <color indexed="81"/>
            <rFont val="Tahoma"/>
            <family val="2"/>
          </rPr>
          <t>The private trader (often referred to as "toiminimi", "t:mi", "toiminimiyrittäjä" in colloquial Finnish) pays taxes on the company's results as his personal income.</t>
        </r>
      </text>
    </comment>
    <comment ref="J212" authorId="0" shapeId="0" xr:uid="{C79926DF-00FD-49DF-9932-20A464561CB7}">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 ref="D213" authorId="0" shapeId="0" xr:uid="{FC442912-CC56-467C-8ACF-D7EF081BF49A}">
      <text>
        <r>
          <rPr>
            <sz val="10"/>
            <color indexed="81"/>
            <rFont val="Tahoma"/>
            <family val="2"/>
          </rPr>
          <t>General partnership and a limited partnership companies pay taxes on the company's result in full as personal income.</t>
        </r>
      </text>
    </comment>
    <comment ref="D214" authorId="0" shapeId="0" xr:uid="{AF0CA2F8-41E7-49B3-9E34-2176D658DF8A}">
      <text>
        <r>
          <rPr>
            <sz val="10"/>
            <color indexed="81"/>
            <rFont val="Tahoma"/>
            <family val="2"/>
          </rPr>
          <t>The corporation income tax is paid by the company. Shareholders pay income tax on their salary and dividend received.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F9" authorId="0" shapeId="0" xr:uid="{CF880E12-C47F-4E86-BEE4-6DB5541E8FB9}">
      <text>
        <r>
          <rPr>
            <sz val="10"/>
            <color indexed="81"/>
            <rFont val="Tahoma"/>
            <family val="2"/>
          </rPr>
          <t>Enter here the percentage of cash sales out of total sales. Notice the marginal VAT sales!</t>
        </r>
      </text>
    </comment>
    <comment ref="G9" authorId="0" shapeId="0" xr:uid="{FCB4B661-61AC-4FE9-9A7D-C8DEDCD1FAD9}">
      <text>
        <r>
          <rPr>
            <sz val="10"/>
            <color indexed="81"/>
            <rFont val="Tahoma"/>
            <family val="2"/>
          </rPr>
          <t xml:space="preserve">The program calculates the share of cash sales according to the given percentage distribution as monthly installments. </t>
        </r>
      </text>
    </comment>
    <comment ref="G10" authorId="0" shapeId="0" xr:uid="{EDD402C8-9C83-4DC4-B155-61B0A66D8AE5}">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G11" authorId="0" shapeId="0" xr:uid="{02060F52-F53D-4230-A01F-5B59B549AD75}">
      <text>
        <r>
          <rPr>
            <sz val="10"/>
            <color indexed="81"/>
            <rFont val="Tahoma"/>
            <family val="2"/>
          </rPr>
          <t xml:space="preserve">The program calculates the share of billing sales according to the given percentage distribution as monthly installments. </t>
        </r>
      </text>
    </comment>
    <comment ref="G12" authorId="0" shapeId="0" xr:uid="{F27F070F-40CE-4243-B3AF-B270A983BD40}">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89531573-AAAD-46A7-8219-08428E4ED292}">
      <text>
        <r>
          <rPr>
            <sz val="10"/>
            <color indexed="81"/>
            <rFont val="Tahoma"/>
            <family val="2"/>
          </rPr>
          <t xml:space="preserve">Average payment time for sales invoices. The longest payment period is 180 days. </t>
        </r>
      </text>
    </comment>
    <comment ref="G13" authorId="0" shapeId="0" xr:uid="{782F15DC-9386-408D-BBA3-E73E106DDCCA}">
      <text>
        <r>
          <rPr>
            <sz val="10"/>
            <color indexed="81"/>
            <rFont val="Tahoma"/>
            <family val="2"/>
          </rPr>
          <t xml:space="preserve">The program calculates the monthly income from billing sales based on the payment term (e.g., 14 days). </t>
        </r>
      </text>
    </comment>
    <comment ref="G14" authorId="0" shapeId="0" xr:uid="{AEE848CC-527C-48FB-BD5F-E4B3C3BD9EEB}">
      <text>
        <r>
          <rPr>
            <sz val="10"/>
            <color indexed="81"/>
            <rFont val="Tahoma"/>
            <family val="2"/>
          </rPr>
          <t>The total amount of loans to be drawn in this cell. If necessary, move to the correct month. Add loan interest to item 26 and loan repayments to item 30.</t>
        </r>
      </text>
    </comment>
    <comment ref="N15" authorId="0" shapeId="0" xr:uid="{A1F930E6-4496-49D8-A496-D356DBC1CC2E}">
      <text>
        <r>
          <rPr>
            <sz val="10"/>
            <color indexed="81"/>
            <rFont val="Tahoma"/>
            <family val="2"/>
          </rPr>
          <t>The investment aid is expected to be received in the 8th month from the start. If necessary, move to the correct month.</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FF46C8DF-2E3A-45C3-B612-00DD4BCEE673}">
      <text>
        <r>
          <rPr>
            <sz val="10"/>
            <color indexed="81"/>
            <rFont val="Tahoma"/>
            <family val="2"/>
          </rPr>
          <t>The program assumes that half of the monthly purchases will be paid in the same month and half in the following month (payment period 14 days). You can change the amount if necessary. Be sure to check the Total amount!</t>
        </r>
      </text>
    </comment>
    <comment ref="U19" authorId="0" shapeId="0" xr:uid="{C2684CA8-42B7-41B0-9A98-8E3A9AF29536}">
      <text>
        <r>
          <rPr>
            <sz val="10"/>
            <color indexed="81"/>
            <rFont val="Tahoma"/>
            <family val="2"/>
          </rPr>
          <t xml:space="preserve">Ainekäytön arvo sis. alv. </t>
        </r>
      </text>
    </comment>
    <comment ref="F21" authorId="0" shapeId="0" xr:uid="{121D8AF7-DCA5-4DB1-9C23-AC4718C0AC9C}">
      <text>
        <r>
          <rPr>
            <sz val="10"/>
            <color indexed="81"/>
            <rFont val="Tahoma"/>
            <family val="2"/>
          </rPr>
          <t>VAT rates</t>
        </r>
      </text>
    </comment>
    <comment ref="G22" authorId="0" shapeId="0" xr:uid="{2847CD68-AE3C-43B7-80EA-A28D5699ED52}">
      <text>
        <r>
          <rPr>
            <sz val="10"/>
            <color indexed="81"/>
            <rFont val="Tahoma"/>
            <family val="2"/>
          </rPr>
          <t>The program calculates exactly in monthly installments. Change if necessary.</t>
        </r>
      </text>
    </comment>
    <comment ref="G26" authorId="0" shapeId="0" xr:uid="{55FC40AD-77EE-4AA6-BECC-F1496B373092}">
      <text>
        <r>
          <rPr>
            <sz val="10"/>
            <color indexed="81"/>
            <rFont val="Tahoma"/>
            <family val="2"/>
          </rPr>
          <t xml:space="preserve">Investments financed by installment and leasing financing must be deducted from this amount, as they are not paid in one installment but on a monthly basis.
The program assumes that all 25,5% VAT for the first fiscal year - investments (construction, equipment, immaterial and development investments) will be made in the first month. In other cases, set your investment for the right months. </t>
        </r>
      </text>
    </comment>
    <comment ref="C29" authorId="0" shapeId="0" xr:uid="{C48B7D8A-697B-4232-8399-6CDB4714FA91}">
      <text>
        <r>
          <rPr>
            <sz val="10"/>
            <color indexed="81"/>
            <rFont val="Tahoma"/>
            <family val="2"/>
          </rPr>
          <t xml:space="preserve">Small purchases and purchases with a useful life of less than 3 years. These can be deducted for tax purposes as an expense at a time:
- Small purchases, eg hand tools, small appliances, telephones, the price of which is up to
  €1200 VAT 0% and the total value of purchases €3600 / year VAT 0%.
- Machinery and equipment (current fixed assets) with a probable economic 
  life of less than 3 years. No price cap. </t>
        </r>
      </text>
    </comment>
    <comment ref="C32" authorId="0" shapeId="0" xr:uid="{E45BA5BE-F29B-4538-8D74-F23E838F5618}">
      <text>
        <r>
          <rPr>
            <sz val="10"/>
            <color indexed="81"/>
            <rFont val="Tahoma"/>
            <family val="2"/>
          </rPr>
          <t>VAT is calculated on the last VAT purchases and sales of the previous month, ie VAT in March is calculated on the events in January. 
• a positive number means payment
• a minus sign means a refund</t>
        </r>
      </text>
    </comment>
    <comment ref="G32" authorId="0" shapeId="0" xr:uid="{59E44E3A-AC14-461B-91C5-C97819B4B5B0}">
      <text>
        <r>
          <rPr>
            <sz val="10"/>
            <color indexed="81"/>
            <rFont val="Tahoma"/>
            <family val="2"/>
          </rPr>
          <t xml:space="preserve">There is usually no VAT payable or receivable by the starting company, if there is question of taking-over an old company. </t>
        </r>
      </text>
    </comment>
    <comment ref="H32" authorId="0" shapeId="0" xr:uid="{34AA85F2-BC9B-4015-A4BC-53341859B051}">
      <text>
        <r>
          <rPr>
            <sz val="10"/>
            <color indexed="81"/>
            <rFont val="Tahoma"/>
            <family val="2"/>
          </rPr>
          <t xml:space="preserve">There is usually no VAT payable or receivable by the starting company, if there is question of taking-over an old company. </t>
        </r>
      </text>
    </comment>
    <comment ref="C34" authorId="0" shapeId="0" xr:uid="{91739003-9C05-4618-A4AC-CB38F740006A}">
      <text>
        <r>
          <rPr>
            <sz val="10"/>
            <color indexed="81"/>
            <rFont val="Tahoma"/>
            <family val="2"/>
          </rPr>
          <t xml:space="preserve">Cash salaries of entrepreneurs paying the YEL (pension insurance) contribution without tax deductions. </t>
        </r>
      </text>
    </comment>
    <comment ref="F34" authorId="0" shapeId="0" xr:uid="{1C6AAB4E-7180-4346-9CE1-770C6E45765A}">
      <text>
        <r>
          <rPr>
            <sz val="10"/>
            <color indexed="81"/>
            <rFont val="Tahoma"/>
            <family val="2"/>
          </rPr>
          <t>Average tax withholding percentage, which can be found on the tax card or with the Tax Calculator www.vero.fi.</t>
        </r>
      </text>
    </comment>
    <comment ref="G34" authorId="0" shapeId="0" xr:uid="{75D4A6F6-8121-4241-8F63-95E023820714}">
      <text>
        <r>
          <rPr>
            <sz val="10"/>
            <color indexed="81"/>
            <rFont val="Tahoma"/>
            <family val="2"/>
          </rPr>
          <t>The program calculates exactly in monthly installments. Change if necessary.</t>
        </r>
      </text>
    </comment>
    <comment ref="M34" authorId="0" shapeId="0" xr:uid="{0B714806-D85B-4598-A4F8-24690647CDEB}">
      <text>
        <r>
          <rPr>
            <sz val="10"/>
            <color indexed="81"/>
            <rFont val="Tahoma"/>
            <family val="2"/>
          </rPr>
          <t xml:space="preserve">Remember to take into account the possible holiday pay, ie the normal monthly salary x 1.5. </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C35" authorId="0" shapeId="0" xr:uid="{547622A6-2AA3-47E1-9AEA-80C0B92AD8D9}">
      <text>
        <r>
          <rPr>
            <sz val="10"/>
            <color indexed="81"/>
            <rFont val="Tahoma"/>
            <family val="2"/>
          </rPr>
          <t>The tax is calculated on the total amount of cash salary and fringe benefits.</t>
        </r>
      </text>
    </comment>
    <comment ref="Y35" authorId="0" shapeId="0" xr:uid="{3B1297B8-6718-44FA-AEFC-BEE71E09BD31}">
      <text>
        <r>
          <rPr>
            <b/>
            <sz val="9"/>
            <color indexed="81"/>
            <rFont val="Tahoma"/>
            <family val="2"/>
          </rPr>
          <t xml:space="preserve">
Työnantajan sairausvakuutusmaksu: 
2026 1,91</t>
        </r>
        <r>
          <rPr>
            <sz val="9"/>
            <color indexed="81"/>
            <rFont val="Tahoma"/>
            <family val="2"/>
          </rPr>
          <t xml:space="preserve">
2024   1,16 %
2023   1,53 %
</t>
        </r>
      </text>
    </comment>
    <comment ref="C36" authorId="0" shapeId="0" xr:uid="{C76C7F93-2D55-48ED-BF6B-016EFB3D807C}">
      <text>
        <r>
          <rPr>
            <sz val="10"/>
            <color indexed="81"/>
            <rFont val="Tahoma"/>
            <family val="2"/>
          </rPr>
          <t xml:space="preserve">Employees and Co-owners (less than 30%) cash wages without tax deductions. </t>
        </r>
      </text>
    </comment>
    <comment ref="F36" authorId="0" shapeId="0" xr:uid="{0D70642D-A4B3-4FBA-B5D9-F4314F52975E}">
      <text>
        <r>
          <rPr>
            <sz val="10"/>
            <color indexed="81"/>
            <rFont val="Tahoma"/>
            <family val="2"/>
          </rPr>
          <t>Average tax withholding percentage, which can be found on the tax card or with the Tax Calculator www.vero.fi.</t>
        </r>
      </text>
    </comment>
    <comment ref="M36" authorId="0" shapeId="0" xr:uid="{015EBE95-1A56-4CCF-8322-A87695A8AC27}">
      <text>
        <r>
          <rPr>
            <sz val="10"/>
            <color indexed="81"/>
            <rFont val="Tahoma"/>
            <family val="2"/>
          </rPr>
          <t xml:space="preserve">Remember to take into account the possible holiday pay, ie the normal monthly salary x 1.5. </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C37" authorId="0" shapeId="0" xr:uid="{FB1BCD37-40A0-473B-A2A5-8AF0968E51C8}">
      <text>
        <r>
          <rPr>
            <sz val="10"/>
            <color indexed="81"/>
            <rFont val="Tahoma"/>
            <family val="2"/>
          </rPr>
          <t>The tax is calculated on the total amount of cash salary and fringe benefits</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4F29EFD9-C0BB-4A30-B98D-2EA62AED4E5F}">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G39" authorId="0" shapeId="0" xr:uid="{63D7B68F-D0C9-474F-AFD6-0C92ECCD7145}">
      <text>
        <r>
          <rPr>
            <sz val="10"/>
            <color indexed="81"/>
            <rFont val="Tahoma"/>
            <family val="2"/>
          </rPr>
          <t xml:space="preserve">Company takes taxes from the workers salary and pays to the taxman. The first month is empty because taxes will be paid to the taxman month after. </t>
        </r>
      </text>
    </comment>
    <comment ref="F41" authorId="0" shapeId="0" xr:uid="{DF668F5B-8694-4173-9AB8-F427C6BBBA24}">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G42" authorId="0" shapeId="0" xr:uid="{15641BDD-9AAE-4E2E-8897-70C31B5E7AA0}">
      <text>
        <r>
          <rPr>
            <sz val="10"/>
            <color indexed="81"/>
            <rFont val="Tahoma"/>
            <family val="2"/>
          </rPr>
          <t>The program calculates exactly in monthly installments. Change if necessary.</t>
        </r>
      </text>
    </comment>
    <comment ref="H43" authorId="0" shapeId="0" xr:uid="{4F0A1172-169F-4E57-B89F-380A69A35ACC}">
      <text>
        <r>
          <rPr>
            <sz val="10"/>
            <color indexed="81"/>
            <rFont val="Tahoma"/>
            <family val="2"/>
          </rPr>
          <t xml:space="preserve">For a start-up, insurance premiums and business vehicle usage fees are usually paid in the 2nd month of operation unless paid in several installments. Otherwise, correct the amount. </t>
        </r>
      </text>
    </comment>
    <comment ref="C45" authorId="0" shapeId="0" xr:uid="{8D825DB7-8821-4515-9881-C6F4A8B093E8}">
      <text>
        <r>
          <rPr>
            <sz val="10"/>
            <color indexed="81"/>
            <rFont val="Tahoma"/>
            <family val="2"/>
          </rPr>
          <t xml:space="preserve">Interest on the loans is estimated to be paid twice a year. Payments after 6 months and 12 months, change if necessary. </t>
        </r>
      </text>
    </comment>
    <comment ref="C46" authorId="0" shapeId="0" xr:uid="{32A2172A-1E8F-427E-BF3D-D962C31E2340}">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O46" authorId="0" shapeId="0" xr:uid="{B2F68440-D5E2-4107-8EB7-1311E137A938}">
      <text>
        <r>
          <rPr>
            <sz val="10"/>
            <color indexed="81"/>
            <rFont val="Tahoma"/>
            <family val="2"/>
          </rPr>
          <t xml:space="preserve">Property tax is usually paid in September. Add if necessary. </t>
        </r>
      </text>
    </comment>
    <comment ref="C49" authorId="0" shapeId="0" xr:uid="{27AF5342-10A4-4354-BB84-1A386A545DA5}">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0F25D52D-37E9-4B33-810D-BDB1EAA06B7C}">
      <text>
        <r>
          <rPr>
            <sz val="10"/>
            <color indexed="81"/>
            <rFont val="Tahoma"/>
            <family val="2"/>
          </rPr>
          <t xml:space="preserve">The program assumes tax-free investments to come in the first month. Otherwise, break down the investment into the correct months. </t>
        </r>
      </text>
    </comment>
    <comment ref="C52" authorId="0" shapeId="0" xr:uid="{208586A1-90B4-4A9D-8D36-39B850A91E2F}">
      <text>
        <r>
          <rPr>
            <sz val="10"/>
            <color indexed="81"/>
            <rFont val="Tahoma"/>
            <family val="2"/>
          </rPr>
          <t>This means, for example, investments in listed shares.</t>
        </r>
      </text>
    </comment>
    <comment ref="R56" authorId="0" shapeId="0" xr:uid="{B070FD6B-B525-42FB-9F31-36029E77AA1B}">
      <text>
        <r>
          <rPr>
            <sz val="10"/>
            <color indexed="81"/>
            <rFont val="Tahoma"/>
            <family val="2"/>
          </rPr>
          <t xml:space="preserve">Cash balances for the last month of the planning period.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B4" authorId="0" shapeId="0" xr:uid="{221F66F7-83FF-4874-9CD5-665F6EB6D765}">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turnover under €20 000
- Business operations exempt from VAT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green cells in order from top to bottom.
- Financing needs table section 2. Machinery and equipment at VAT prices.
- Financing needs table item 6. Working capital: The exact value is only obtained at the end of the calculation from 
  item 39.
- FINANCIAL REQUIREMENTS AND SOURCES OF FANDING totals must be equal. Alignment can be done by changing
  6. WORKING CAPITAL figure.
- When calculating operating costs, attention is paid to significant expenses. Small amounts are not crucial
  relevance to the outcome. </t>
        </r>
        <r>
          <rPr>
            <b/>
            <sz val="10"/>
            <color indexed="81"/>
            <rFont val="Tahoma"/>
            <family val="2"/>
          </rPr>
          <t>Calculate operating costs at VAT-inclusive prices.</t>
        </r>
        <r>
          <rPr>
            <sz val="10"/>
            <color indexed="81"/>
            <rFont val="Tahoma"/>
            <family val="2"/>
          </rPr>
          <t xml:space="preserve">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0" authorId="0" shapeId="0" xr:uid="{BE27ADB0-A7DA-4353-9E8A-6F2C5F509F48}">
      <text>
        <r>
          <rPr>
            <sz val="10"/>
            <color indexed="81"/>
            <rFont val="Tahoma"/>
            <family val="2"/>
          </rPr>
          <t>Non-depreciable investments such as:
- plot, land area
- electricity, water, etc. Connection
- franchise licensing fees
- share of the taxi center</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taksikeskus- yms. liittymis- tai osuusmaksu
- asunto-osakkeet, toimitila- ja liiketilaosakkeet</t>
        </r>
      </text>
    </comment>
    <comment ref="J12" authorId="0" shapeId="0" xr:uid="{30605F92-41D1-4206-B001-AB6F1CBBA3B3}">
      <text>
        <r>
          <rPr>
            <sz val="10"/>
            <color indexed="81"/>
            <rFont val="Tahoma"/>
            <family val="2"/>
          </rPr>
          <t>The bank's interest rate. Collateral and risk affect the interest rate.</t>
        </r>
      </text>
    </comment>
    <comment ref="K12" authorId="0" shapeId="0" xr:uid="{10A1FA4B-597F-4B18-BF0C-DBD5F03AE86E}">
      <text>
        <r>
          <rPr>
            <sz val="10"/>
            <color indexed="81"/>
            <rFont val="Tahoma"/>
            <family val="2"/>
          </rPr>
          <t>Free years of amortizing the loan (max 2 years). We recommend one year.</t>
        </r>
      </text>
    </comment>
    <comment ref="L12" authorId="0" shapeId="0" xr:uid="{5F39454A-80E0-4F8B-8305-671E60770326}">
      <text>
        <r>
          <rPr>
            <sz val="10"/>
            <color indexed="81"/>
            <rFont val="Tahoma"/>
            <family val="2"/>
          </rPr>
          <t>Minimum loan period 3 years.</t>
        </r>
      </text>
    </comment>
    <comment ref="K13" authorId="0" shapeId="0" xr:uid="{39BBCC51-8140-420C-B75F-2C7687A39CB4}">
      <text>
        <r>
          <rPr>
            <sz val="10"/>
            <color indexed="81"/>
            <rFont val="Tahoma"/>
            <family val="2"/>
          </rPr>
          <t>Free years of amortizing the loan (max 2 years). We recommend one year.</t>
        </r>
      </text>
    </comment>
    <comment ref="L13" authorId="0" shapeId="0" xr:uid="{D6E5E51A-180C-4B53-BC85-AF7DCDF0ABD0}">
      <text>
        <r>
          <rPr>
            <sz val="10"/>
            <color indexed="81"/>
            <rFont val="Tahoma"/>
            <family val="2"/>
          </rPr>
          <t>Minimum loan period 3 years.</t>
        </r>
      </text>
    </comment>
    <comment ref="K14" authorId="0" shapeId="0" xr:uid="{CBE218C9-C470-43A5-B1DE-48C9C550BA19}">
      <text>
        <r>
          <rPr>
            <sz val="10"/>
            <color indexed="81"/>
            <rFont val="Tahoma"/>
            <family val="2"/>
          </rPr>
          <t>Free years of amortizing the loan (max 2 years). We recommend one year.</t>
        </r>
      </text>
    </comment>
    <comment ref="L14" authorId="0" shapeId="0" xr:uid="{BF6B00D1-B94A-41F7-BE46-2363BFEC3F8F}">
      <text>
        <r>
          <rPr>
            <sz val="10"/>
            <color indexed="81"/>
            <rFont val="Tahoma"/>
            <family val="2"/>
          </rPr>
          <t>Minimum loan period 3 years.</t>
        </r>
      </text>
    </comment>
    <comment ref="C15" authorId="0" shapeId="0" xr:uid="{E162B5DF-4430-433C-BBBF-90FFD7643F7F}">
      <text>
        <r>
          <rPr>
            <sz val="10"/>
            <color indexed="81"/>
            <rFont val="Tahoma"/>
            <family val="2"/>
          </rPr>
          <t>Machinery, equipment, supplies and other long-term depreciable purchases (including patents,
IT systems, manufacturing rights).</t>
        </r>
      </text>
    </comment>
    <comment ref="E15" authorId="0" shapeId="0" xr:uid="{1B8EE229-23F7-4457-B76F-8D018E8A5674}">
      <text>
        <r>
          <rPr>
            <sz val="10"/>
            <color indexed="81"/>
            <rFont val="Tahoma"/>
            <family val="2"/>
          </rPr>
          <t>Investment aid is not normally granted to the transport, trade, contracting and construction sectors. Check with your local business advisor.</t>
        </r>
      </text>
    </comment>
    <comment ref="H15" authorId="0" shapeId="0" xr:uid="{4C7A0052-4EA3-4E78-A447-B3BB5A79EFC6}">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B3D63633-1A5F-4133-96D4-E9C3BDE97969}">
      <text>
        <r>
          <rPr>
            <sz val="10"/>
            <color indexed="81"/>
            <rFont val="Tahoma"/>
            <family val="2"/>
          </rPr>
          <t>Longest credit period for leasing and partial payment is 5 years!</t>
        </r>
      </text>
    </comment>
    <comment ref="M15" authorId="0" shapeId="0" xr:uid="{0196916C-F2E4-4FB6-97B2-5CE935F56BF6}">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97BB0E93-41BF-454C-8A02-41702CD389EB}">
      <text>
        <r>
          <rPr>
            <sz val="10"/>
            <color indexed="81"/>
            <rFont val="Tahoma"/>
            <family val="2"/>
          </rPr>
          <t>Machines and equipment purchased 
for business use.
Installment costs of company vehicles 
to item 35. Company vehicle costs 
(for private use)</t>
        </r>
      </text>
    </comment>
    <comment ref="K16" authorId="0" shapeId="0" xr:uid="{42E91DC7-1F60-4C04-A016-5038504A86FF}">
      <text>
        <r>
          <rPr>
            <sz val="10"/>
            <color indexed="81"/>
            <rFont val="Tahoma"/>
            <family val="2"/>
          </rPr>
          <t>Longest credit period for leasing and partial payment is 5 years!</t>
        </r>
      </text>
    </comment>
    <comment ref="M16" authorId="0" shapeId="0" xr:uid="{8501916D-8C64-4B9D-BFE7-EC443AB0D829}">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4B5F8537-86E9-4380-AC9D-CC086B493BC6}">
      <text>
        <r>
          <rPr>
            <sz val="10"/>
            <color indexed="81"/>
            <rFont val="Tahoma"/>
            <family val="2"/>
          </rPr>
          <t>When purchasing a running business, no VAT included in purchased goods storage.</t>
        </r>
      </text>
    </comment>
    <comment ref="M18" authorId="0" shapeId="0" xr:uid="{D8D2A605-2ED8-4F2A-9846-E180603E63C7}">
      <text>
        <r>
          <rPr>
            <sz val="10"/>
            <color indexed="81"/>
            <rFont val="Tahoma"/>
            <family val="2"/>
          </rPr>
          <t>WHEN USING LEASING, THE FIGURE IS INDICATIVE!</t>
        </r>
      </text>
    </comment>
    <comment ref="F19" authorId="0" shapeId="0" xr:uid="{CD8A1207-9C14-48A3-AFAA-B4EEAF5EF635}">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307AAA3A-3A1B-4ACE-AEC7-A2A0618567FD}">
      <text>
        <r>
          <rPr>
            <sz val="10"/>
            <color indexed="81"/>
            <rFont val="Tahoma"/>
            <family val="2"/>
          </rPr>
          <t>Other allowances might be e.g.
- KELA's (National Pension Institution) allowance
- allowance for marketing or product development 
  from ELY-centre</t>
        </r>
      </text>
    </comment>
    <comment ref="F20" authorId="1" shapeId="0" xr:uid="{12A2D812-49CF-4177-95DB-C3E21A4E86F8}">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65F9165B-3A38-42BB-B3BB-10DD4BF5B144}">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0AA7A658-A87E-4B24-8A7C-BD84B5F0EBB1}">
      <text>
        <r>
          <rPr>
            <sz val="10"/>
            <color indexed="81"/>
            <rFont val="Tahoma"/>
            <family val="2"/>
          </rPr>
          <t xml:space="preserve">Immaterial short-term investments
- marketing investments (website, logo, licenses, etc.)
- renewal of a business premises </t>
        </r>
      </text>
    </comment>
    <comment ref="M23" authorId="0" shapeId="0" xr:uid="{B3BA0448-3E4E-4890-9F65-AE618C1B7C16}">
      <text>
        <r>
          <rPr>
            <sz val="10"/>
            <color indexed="81"/>
            <rFont val="Tahoma"/>
            <family val="2"/>
          </rPr>
          <t>It would be good for the success of the project that the total amount of own funding be at least 20% of the total funding need.</t>
        </r>
      </text>
    </comment>
    <comment ref="F26" authorId="0" shapeId="0" xr:uid="{8CF0B654-620F-4907-A648-077325C9C36B}">
      <text>
        <r>
          <rPr>
            <sz val="10"/>
            <color indexed="81"/>
            <rFont val="Tahoma"/>
            <family val="2"/>
          </rPr>
          <t>Working capital = cash. The need for working capital is affected by the company's operating costs and fluctuations in sales and purchases. If the financing need and the financing plan are not exactly the same, you can make a correction to working capital, i.e. cash.</t>
        </r>
      </text>
    </comment>
    <comment ref="F29" authorId="0" shapeId="0" xr:uid="{710F93F1-8C7C-4B78-A38A-8C1B6239229A}">
      <text>
        <r>
          <rPr>
            <sz val="10"/>
            <color indexed="81"/>
            <rFont val="Tahoma"/>
            <family val="2"/>
          </rPr>
          <t>The totals for the left and right must be equal. If the number is negative, there is money "too much". Add additional funds to item 6. Working capital".</t>
        </r>
      </text>
    </comment>
    <comment ref="M29" authorId="0" shapeId="0" xr:uid="{4064F4DC-72CC-4B02-B274-4BFB44785931}">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F7E72AC1-BB24-4D20-9407-BDBA41917AFE}">
      <text>
        <r>
          <rPr>
            <sz val="10"/>
            <color indexed="81"/>
            <rFont val="Tahoma"/>
            <family val="2"/>
          </rPr>
          <t xml:space="preserve">Yearly costs on loans are based on 2 equal instalments, interval 6 months.  Free years of amortizing noted. </t>
        </r>
      </text>
    </comment>
    <comment ref="B37" authorId="0" shapeId="0" xr:uid="{421BF32C-0E10-4F1F-8E59-E1FCB942D1F0}">
      <text>
        <r>
          <rPr>
            <b/>
            <sz val="10"/>
            <color indexed="81"/>
            <rFont val="Tahoma"/>
            <family val="2"/>
          </rPr>
          <t xml:space="preserve">Instructions for filling in can be found on BusinessPilot's website -&gt; Financial calculations. You can find instructions for filling in the line number. </t>
        </r>
      </text>
    </comment>
    <comment ref="J44" authorId="0" shapeId="0" xr:uid="{768CAE8A-7F46-4E36-96BF-2530FD5EB42F}">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96688D4-9E49-4DF6-9C0F-0C9C8917ADB6}">
      <text>
        <r>
          <rPr>
            <sz val="10"/>
            <color indexed="81"/>
            <rFont val="Tahoma"/>
            <family val="2"/>
          </rPr>
          <t>By beginning business 12 months in 1. year, later 12,5 months (incl. Holiday bonus).</t>
        </r>
      </text>
    </comment>
    <comment ref="F46" authorId="0" shapeId="0" xr:uid="{16F349E8-40F4-4A24-9202-6CE85938A677}">
      <text>
        <r>
          <rPr>
            <sz val="10"/>
            <color indexed="81"/>
            <rFont val="Tahoma"/>
            <family val="2"/>
          </rPr>
          <t>Calculated social cost min. 36 %.  You have better use 40 - 60 %.</t>
        </r>
      </text>
    </comment>
    <comment ref="J49" authorId="0" shapeId="0" xr:uid="{8701C5B2-1D27-474E-97CF-0B6AF6237D8F}">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1406D3D9-CB2D-44D6-A332-E839FCA46C21}">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A96AC906-366D-441C-A571-6A667BD32164}">
      <text>
        <r>
          <rPr>
            <sz val="10"/>
            <color indexed="81"/>
            <rFont val="Tahoma"/>
            <family val="2"/>
          </rPr>
          <t xml:space="preserve">E.G. life insurance, travel insurance paid by the enterprise. </t>
        </r>
      </text>
    </comment>
    <comment ref="J69" authorId="0" shapeId="0" xr:uid="{AF801647-D905-45B9-AD87-9881A169429B}">
      <text>
        <r>
          <rPr>
            <sz val="10"/>
            <color indexed="81"/>
            <rFont val="Tahoma"/>
            <family val="2"/>
          </rPr>
          <t xml:space="preserve">Insurance premium 0.3% of the insured value. Insurable property includes buildings, machinery, warehouse, customer property premises. </t>
        </r>
      </text>
    </comment>
    <comment ref="B71" authorId="0" shapeId="0" xr:uid="{6B24FDEB-929C-4156-BA95-000ADDFADA15}">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7" authorId="0" shapeId="0" xr:uid="{776A2A54-21E5-4E1C-BC9D-7A5E3DEC189C}">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90" authorId="0" shapeId="0" xr:uid="{AA7B3AC3-A10B-48F8-BF23-49F0AAA8BE8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J95" authorId="0" shapeId="0" xr:uid="{68777F3E-7AB0-4E8B-8EDD-F1C25E8C1B06}">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BF62C50D-14A2-4D25-9E2E-93B345110C44}">
      <text>
        <r>
          <rPr>
            <b/>
            <sz val="10"/>
            <color indexed="81"/>
            <rFont val="Tahoma"/>
            <family val="2"/>
          </rPr>
          <t>2026</t>
        </r>
        <r>
          <rPr>
            <sz val="10"/>
            <color indexed="81"/>
            <rFont val="Tahoma"/>
            <family val="2"/>
          </rPr>
          <t xml:space="preserve">
Domestic full-time allowance €54, part-time allowance €25.</t>
        </r>
      </text>
    </comment>
    <comment ref="J112" authorId="0" shapeId="0" xr:uid="{ADEC5AA0-7F15-408A-BF3B-583232C57CEC}">
      <text>
        <r>
          <rPr>
            <sz val="10"/>
            <color indexed="81"/>
            <rFont val="Tahoma"/>
            <family val="2"/>
          </rPr>
          <t xml:space="preserve">All company vehicle expenses are included. </t>
        </r>
      </text>
    </comment>
    <comment ref="J126" authorId="0" shapeId="0" xr:uid="{49E55C65-3C22-400C-BE8A-79E3908A0B16}">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C06DD3A9-706A-445A-B07F-EB395CE72DA2}">
      <text>
        <r>
          <rPr>
            <sz val="10"/>
            <color indexed="81"/>
            <rFont val="Tahoma"/>
            <family val="2"/>
          </rPr>
          <t>Write here the name of the product or product group.</t>
        </r>
      </text>
    </comment>
    <comment ref="J161" authorId="0" shapeId="0" xr:uid="{1740B88B-D19E-43C9-8DB2-68F70D26FEF8}">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5D0ACBC-B614-4473-A5B3-28DB3995ACAB}">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1" authorId="0" shapeId="0" xr:uid="{E9C4184F-687C-4A31-81F0-971D98097D8D}">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9" authorId="0" shapeId="0" xr:uid="{D4D38EEE-837D-46B7-A1B5-EE898CBF06EF}">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7" authorId="0" shapeId="0" xr:uid="{5A32AC7E-C614-4DEF-91BB-9D2250E01BD3}">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5" authorId="0" shapeId="0" xr:uid="{50F97571-316C-4C84-A4B7-BFB902105BA7}">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4100CAB4-DBB2-450E-BB99-393702C7B0AE}">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J207" authorId="0" shapeId="0" xr:uid="{C96B74B0-075E-427D-BC78-CF888D3CD342}">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0155C0FD-F22C-48D1-A7FE-DA0D22AF2343}">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7A85829A-999B-45AD-97D3-D1CAA7487131}">
      <text>
        <r>
          <rPr>
            <sz val="10"/>
            <color indexed="81"/>
            <rFont val="Tahoma"/>
            <family val="2"/>
          </rPr>
          <t xml:space="preserve">Depreciation is a deferred expense item that reduces the amount of taxable income.  </t>
        </r>
      </text>
    </comment>
    <comment ref="J212" authorId="0" shapeId="0" xr:uid="{4D1D07D6-2105-41F4-A5C5-E848AFAFFEEE}">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ECB4C2F8-E6B4-487C-949A-380D63929AF8}">
      <text>
        <r>
          <rPr>
            <sz val="10"/>
            <color indexed="81"/>
            <rFont val="Tahoma"/>
            <family val="2"/>
          </rPr>
          <t xml:space="preserve">Enter here the percentage of cash sales out of total sales. </t>
        </r>
      </text>
    </comment>
    <comment ref="G9" authorId="0" shapeId="0" xr:uid="{032B9A43-101B-42EE-BEEF-AA5A1F8E4C9B}">
      <text>
        <r>
          <rPr>
            <sz val="10"/>
            <color indexed="81"/>
            <rFont val="Tahoma"/>
            <family val="2"/>
          </rPr>
          <t xml:space="preserve">The program calculates the share of cash sales according to the given percentage distribution as monthly installments. </t>
        </r>
      </text>
    </comment>
    <comment ref="G10" authorId="0" shapeId="0" xr:uid="{ECDA5134-C46D-48FB-AA95-75E671665682}">
      <text>
        <r>
          <rPr>
            <sz val="10"/>
            <color indexed="81"/>
            <rFont val="Tahoma"/>
            <family val="2"/>
          </rPr>
          <t xml:space="preserve">The percentage of monthly sales as a percentage of total cash sales for the year. 
A new business usually starts slowly. Take into account holidays and possible downtime and maintenance. </t>
        </r>
      </text>
    </comment>
    <comment ref="G11" authorId="0" shapeId="0" xr:uid="{0BE0ABDA-9D22-41D6-B8F0-15FC2779EE09}">
      <text>
        <r>
          <rPr>
            <sz val="10"/>
            <color indexed="81"/>
            <rFont val="Tahoma"/>
            <family val="2"/>
          </rPr>
          <t xml:space="preserve">The program calculates the share of billing sales according to the given percentage distribution as monthly installments. </t>
        </r>
      </text>
    </comment>
    <comment ref="G12" authorId="0" shapeId="0" xr:uid="{4F167A56-9E96-4E12-9A64-AAD2DC0DF7EB}">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1552CB5C-A4AF-48C2-BC6B-35452056AD22}">
      <text>
        <r>
          <rPr>
            <sz val="10"/>
            <color indexed="81"/>
            <rFont val="Tahoma"/>
            <family val="2"/>
          </rPr>
          <t xml:space="preserve">Average payment time for sales invoices. The longest payment period is 180 days. </t>
        </r>
      </text>
    </comment>
    <comment ref="G13" authorId="0" shapeId="0" xr:uid="{F5F24727-BDAF-4AA1-B885-2C88BFC777F1}">
      <text>
        <r>
          <rPr>
            <sz val="10"/>
            <color indexed="81"/>
            <rFont val="Tahoma"/>
            <family val="2"/>
          </rPr>
          <t xml:space="preserve">The program calculates the monthly income from billing sales based on the payment term (e.g., 14 days). </t>
        </r>
      </text>
    </comment>
    <comment ref="G14" authorId="0" shapeId="0" xr:uid="{C808DB32-5B39-4FEF-A3DD-2B90F97058A4}">
      <text>
        <r>
          <rPr>
            <sz val="10"/>
            <color indexed="81"/>
            <rFont val="Tahoma"/>
            <family val="2"/>
          </rPr>
          <t>The total amount of loans to be drawn in this cell. If necessary, move to the correct month. Add loan interest to item 25. and loan repayments to item 28.</t>
        </r>
      </text>
    </comment>
    <comment ref="N15" authorId="0" shapeId="0" xr:uid="{C0649F39-8F74-4A35-8617-40144E296545}">
      <text>
        <r>
          <rPr>
            <sz val="10"/>
            <color indexed="81"/>
            <rFont val="Tahoma"/>
            <family val="2"/>
          </rPr>
          <t>The business aid is expected to be received in the 8th month from the start. If necessary, move to the correct month.</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02C92C7E-C995-42A7-990D-E8B63DCB4910}">
      <text>
        <r>
          <rPr>
            <sz val="10"/>
            <color indexed="81"/>
            <rFont val="Tahoma"/>
            <family val="2"/>
          </rPr>
          <t xml:space="preserve">Employees and Co-owners (less than 30%) cash wages without tax deductions. </t>
        </r>
      </text>
    </comment>
    <comment ref="F36" authorId="0" shapeId="0" xr:uid="{9FD147F5-6B8F-4C6D-B9D1-E49591B7C3D0}">
      <text>
        <r>
          <rPr>
            <sz val="10"/>
            <color indexed="81"/>
            <rFont val="Tahoma"/>
            <family val="2"/>
          </rPr>
          <t>Average tax withholding percentage, which can be found on the tax card or with the Tax Calculator www.vero.fi.</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C37" authorId="0" shapeId="0" xr:uid="{7354A692-B83E-4BCA-9DE3-8A478E5CFAD3}">
      <text>
        <r>
          <rPr>
            <sz val="10"/>
            <color indexed="81"/>
            <rFont val="Tahoma"/>
            <family val="2"/>
          </rPr>
          <t>The tax is calculated on the total amount of cash salary and fringe benefits</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
2024   1,16 %
2023   1,53 %
</t>
        </r>
      </text>
    </comment>
    <comment ref="F38" authorId="0" shapeId="0" xr:uid="{CDB18723-FCE0-4102-9D5B-2620F124D100}">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H39" authorId="0" shapeId="0" xr:uid="{1AE4F3BE-C5FC-4901-AE66-53F91EE546D4}">
      <text>
        <r>
          <rPr>
            <sz val="10"/>
            <color indexed="81"/>
            <rFont val="Tahoma"/>
            <family val="2"/>
          </rPr>
          <t>Ohjelma laskee valmiiksi. Voit myös muuttaa toteutuvan mukaiseksi.</t>
        </r>
      </text>
    </comment>
    <comment ref="F41" authorId="0" shapeId="0" xr:uid="{97551933-3097-4A11-A8C3-30B1DBEE00C8}">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5" authorId="0" shapeId="0" xr:uid="{F6D81E67-DB60-41A4-AFFF-9C985FCE6E82}">
      <text>
        <r>
          <rPr>
            <sz val="10"/>
            <color indexed="81"/>
            <rFont val="Tahoma"/>
            <family val="2"/>
          </rPr>
          <t xml:space="preserve">Interest on the loans is estimated to be paid twice a year. Payments after 6 months and 12 months, change if necessary. </t>
        </r>
      </text>
    </comment>
    <comment ref="C46" authorId="0" shapeId="0" xr:uid="{A133419B-1499-4083-9BD0-6D50C665AEED}">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C49" authorId="0" shapeId="0" xr:uid="{870F296F-72E6-4E2D-9970-62F4A553E724}">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18D4C8CB-90D7-4C04-933D-0A6866F84D76}">
      <text>
        <r>
          <rPr>
            <sz val="10"/>
            <color indexed="81"/>
            <rFont val="Tahoma"/>
            <family val="2"/>
          </rPr>
          <t xml:space="preserve">The program assumes tax-free investments to come in the first month. Otherwise, break down the investment into the correct months. </t>
        </r>
      </text>
    </comment>
    <comment ref="C52" authorId="0" shapeId="0" xr:uid="{CA21C868-56B3-4CCC-BDEE-BFC299E13FDA}">
      <text>
        <r>
          <rPr>
            <sz val="10"/>
            <color indexed="81"/>
            <rFont val="Tahoma"/>
            <family val="2"/>
          </rPr>
          <t>This means, for example, investments in listed shares.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<sst xmlns="http://schemas.openxmlformats.org/spreadsheetml/2006/main" count="1544" uniqueCount="571">
  <si>
    <t xml:space="preserve"> </t>
  </si>
  <si>
    <t>1. VUOSI</t>
  </si>
  <si>
    <t xml:space="preserve">2. VUOSI </t>
  </si>
  <si>
    <t>ARVONLISÄVERON MÄÄRÄ</t>
  </si>
  <si>
    <t>3. VUOSI</t>
  </si>
  <si>
    <t xml:space="preserve"> - rakennusten kirjanpitoarvo kauden alussa</t>
  </si>
  <si>
    <t xml:space="preserve"> - rakennusten poistoprosentti</t>
  </si>
  <si>
    <t xml:space="preserve"> - koneiden ja kaluston kirjanpitoarvo kauden alussa</t>
  </si>
  <si>
    <t xml:space="preserve"> - koneiden ja kaluston poistoprosentti</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</si>
  <si>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</si>
  <si>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</si>
  <si>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</si>
  <si>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</si>
  <si>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</si>
  <si>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</si>
  <si>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</si>
  <si>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</si>
  <si>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</si>
  <si>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</si>
  <si>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</si>
  <si>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</si>
  <si>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</si>
  <si>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</si>
  <si>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</si>
  <si>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</si>
  <si>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</si>
  <si>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</si>
  <si>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</si>
  <si>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</si>
  <si>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</si>
  <si>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</si>
  <si>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</si>
  <si>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</si>
  <si>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</si>
  <si>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</si>
  <si>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</si>
  <si>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</si>
  <si>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</si>
  <si>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</si>
  <si>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</si>
  <si>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</si>
  <si>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</si>
  <si>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</si>
  <si>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</si>
  <si>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</si>
  <si>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</si>
  <si>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</si>
  <si>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</si>
  <si>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</si>
  <si>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</si>
  <si>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</si>
  <si>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</si>
  <si>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</si>
  <si>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</si>
  <si>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</si>
  <si>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</si>
  <si>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</si>
  <si>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</si>
  <si>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</si>
  <si>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</si>
  <si>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</si>
  <si>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</si>
  <si>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</si>
  <si>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</si>
  <si>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</si>
  <si>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</si>
  <si>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</si>
  <si>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</si>
  <si>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</si>
  <si>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</si>
  <si>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</si>
  <si>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</si>
  <si>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</si>
  <si>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</si>
  <si>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3.15</t>
  </si>
  <si>
    <t>3.17</t>
  </si>
  <si>
    <t>3.23</t>
  </si>
  <si>
    <t xml:space="preserve"> Finnvera</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</si>
  <si>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</si>
  <si>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</si>
  <si>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</si>
  <si>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</si>
  <si>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</si>
  <si>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</si>
  <si>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</si>
  <si>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</si>
  <si>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</si>
  <si>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</si>
  <si>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</si>
  <si>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</si>
  <si>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</si>
  <si>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</si>
  <si>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</si>
  <si>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</si>
  <si>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</si>
  <si>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</si>
  <si>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</si>
  <si>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</si>
  <si>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</si>
  <si>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</si>
  <si>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</si>
  <si>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</si>
  <si>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</si>
  <si>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</si>
  <si>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</si>
  <si>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</si>
  <si>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</si>
  <si>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</si>
  <si>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</si>
  <si>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</si>
  <si>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</si>
  <si>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</si>
  <si>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</si>
  <si>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</si>
  <si>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</si>
  <si>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</si>
  <si>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</si>
  <si>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</si>
  <si>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</si>
  <si>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</si>
  <si>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</si>
  <si>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</si>
  <si>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</si>
  <si>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</si>
  <si>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</si>
  <si>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</si>
  <si>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</si>
  <si>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</si>
  <si>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</si>
  <si>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</si>
  <si>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</si>
  <si>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</si>
  <si>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</si>
  <si>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</si>
  <si>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</si>
  <si>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</si>
  <si>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</si>
  <si>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</si>
  <si>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</si>
  <si>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</si>
  <si>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</si>
  <si>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</si>
  <si>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</si>
  <si>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</si>
  <si>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</si>
  <si>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</si>
  <si>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</si>
  <si>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</si>
  <si>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</si>
  <si>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</si>
  <si>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</si>
  <si>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</si>
  <si>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</si>
  <si>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</si>
  <si>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</si>
  <si>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</si>
  <si>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</si>
  <si>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</si>
  <si>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</si>
  <si>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</si>
  <si>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</si>
  <si>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</si>
  <si>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</si>
  <si>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 xml:space="preserve"> Tuote 2</t>
  </si>
  <si>
    <t xml:space="preserve"> Tuote 5</t>
  </si>
  <si>
    <t xml:space="preserve"> - yrittäjien vuosipalkkatavoite laskelmassa</t>
  </si>
  <si>
    <t>YHT</t>
  </si>
  <si>
    <t>TULOT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</si>
  <si>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</si>
  <si>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</si>
  <si>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</si>
  <si>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</si>
  <si>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</si>
  <si>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</si>
  <si>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</si>
  <si>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</si>
  <si>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</si>
  <si>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</si>
  <si>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</si>
  <si>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</si>
  <si>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</si>
  <si>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</si>
  <si>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</si>
  <si>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</si>
  <si>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</si>
  <si>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</si>
  <si>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</si>
  <si>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</si>
  <si>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</si>
  <si>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</si>
  <si>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</si>
  <si>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</si>
  <si>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</si>
  <si>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</si>
  <si>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</si>
  <si>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</si>
  <si>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</si>
  <si>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</si>
  <si>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</si>
  <si>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</si>
  <si>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</si>
  <si>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</si>
  <si>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</si>
  <si>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</si>
  <si>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</si>
  <si>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</si>
  <si>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</si>
  <si>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</si>
  <si>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</si>
  <si>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</si>
  <si>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</si>
  <si>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</si>
  <si>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</si>
  <si>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</si>
  <si>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</si>
  <si>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Käteismyynti 12 kk</t>
  </si>
  <si>
    <t xml:space="preserve"> Laskutusmyynti 12 kk</t>
  </si>
  <si>
    <t xml:space="preserve"> Kokonaismyynti 12 kk jaksolla.</t>
  </si>
  <si>
    <t>19.1 YEL-rahapalkat brutto</t>
  </si>
  <si>
    <t>19.2 YEL-luontoisedut</t>
  </si>
  <si>
    <t>ar1zona</t>
  </si>
  <si>
    <t>OSTOJEN ALV:N MÄÄRÄ</t>
  </si>
  <si>
    <t>myynti yhteensä</t>
  </si>
  <si>
    <t>Käteismyynti , alv</t>
  </si>
  <si>
    <t>Laskutusmyynti , alv</t>
  </si>
  <si>
    <t>MYYNTI, MAKSETTAVA ALV YHT.</t>
  </si>
  <si>
    <t>Tuote 6 alv:n peruste</t>
  </si>
  <si>
    <t>Tuote 6 alv myyntiimarginaali</t>
  </si>
  <si>
    <t>45.</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</si>
  <si>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</si>
  <si>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</si>
  <si>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</si>
  <si>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</si>
  <si>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</si>
  <si>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</si>
  <si>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</si>
  <si>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</si>
  <si>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</si>
  <si>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3.27</t>
  </si>
  <si>
    <t>3.26</t>
  </si>
  <si>
    <t>HENKILÖYHTIÖ, VEROTETTAVA TULO</t>
  </si>
  <si>
    <t>46.</t>
  </si>
  <si>
    <t>OSAKEYHTIÖ, VEROTETTAVA TULO</t>
  </si>
  <si>
    <t>LAINAKULUT VUODESSA</t>
  </si>
  <si>
    <t>Pankki1</t>
  </si>
  <si>
    <t>Laina 3</t>
  </si>
  <si>
    <t>Veronpidätys YEL</t>
  </si>
  <si>
    <t>Veronpidätys TyEL</t>
  </si>
  <si>
    <t>Nettopalkat</t>
  </si>
  <si>
    <t>Rahapalkat YEL</t>
  </si>
  <si>
    <t>Rahapalkat TyEL</t>
  </si>
  <si>
    <t>Tilitykset verottajalle yht.</t>
  </si>
  <si>
    <t xml:space="preserve"> Työntekijöiden TyEL ja tyött.</t>
  </si>
  <si>
    <t>Määrä</t>
  </si>
  <si>
    <t>Hallintopalvelut / Viranomaismaksut- ja luvat</t>
  </si>
  <si>
    <t xml:space="preserve"> Postikulut  alv 0 %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</si>
  <si>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</si>
  <si>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</si>
  <si>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</si>
  <si>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</si>
  <si>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</si>
  <si>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</si>
  <si>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</si>
  <si>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</si>
  <si>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</si>
  <si>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</si>
  <si>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(siirtyy T 3 ELY:n kohtaan)</t>
  </si>
  <si>
    <t xml:space="preserve">Hinta sis alv </t>
  </si>
  <si>
    <t xml:space="preserve"> - kirjanpitoarvo kauden lopussa</t>
  </si>
  <si>
    <t xml:space="preserve"> 5. Kehittämisinvestoinnit sis. Alv alussa</t>
  </si>
  <si>
    <t xml:space="preserve"> - poistoprosentti</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</si>
  <si>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</si>
  <si>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</si>
  <si>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</si>
  <si>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</si>
  <si>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</si>
  <si>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</si>
  <si>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</si>
  <si>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</si>
  <si>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</si>
  <si>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</si>
  <si>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</si>
  <si>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</si>
  <si>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</si>
  <si>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</si>
  <si>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</si>
  <si>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</si>
  <si>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</si>
  <si>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</si>
  <si>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</si>
  <si>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</si>
  <si>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</si>
  <si>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CASH BUDGET FOR THE FIRST YEAR</t>
  </si>
  <si>
    <t>Guide</t>
  </si>
  <si>
    <t>Name of the Firm</t>
  </si>
  <si>
    <t>Author</t>
  </si>
  <si>
    <t>Date</t>
  </si>
  <si>
    <t>Business branch, project information</t>
  </si>
  <si>
    <t>EUROS</t>
  </si>
  <si>
    <t xml:space="preserve"> SOURCES OF FUNDING</t>
  </si>
  <si>
    <t xml:space="preserve"> FINANCIAL REQUIREMENTS INCL. VAT</t>
  </si>
  <si>
    <t xml:space="preserve"> 1. Premises and connections fees</t>
  </si>
  <si>
    <t xml:space="preserve"> 2. Machinery and equipment</t>
  </si>
  <si>
    <t>Aid-%</t>
  </si>
  <si>
    <t xml:space="preserve">  3. Immaterial investments</t>
  </si>
  <si>
    <t xml:space="preserve"> 5. Developing investments incl. VAT</t>
  </si>
  <si>
    <t xml:space="preserve"> 6. Working capital</t>
  </si>
  <si>
    <t xml:space="preserve"> 7. Long-term loans</t>
  </si>
  <si>
    <t>Loan given by</t>
  </si>
  <si>
    <t>Interest-%</t>
  </si>
  <si>
    <t>Term (year)</t>
  </si>
  <si>
    <t>Capital</t>
  </si>
  <si>
    <t xml:space="preserve"> 8. Leasing</t>
  </si>
  <si>
    <t xml:space="preserve"> 9. Partial payment</t>
  </si>
  <si>
    <t xml:space="preserve"> 10. Business allowances</t>
  </si>
  <si>
    <t xml:space="preserve"> 11. VAT refunds</t>
  </si>
  <si>
    <t xml:space="preserve"> 12. Own funding                               </t>
  </si>
  <si>
    <t>In total</t>
  </si>
  <si>
    <t xml:space="preserve">Financial Requirements - Funding = </t>
  </si>
  <si>
    <t>Allowances and VAT -returns in all</t>
  </si>
  <si>
    <t xml:space="preserve"> Length of the accounting period (months)</t>
  </si>
  <si>
    <t>1. ACCOUNTING PERIOD</t>
  </si>
  <si>
    <t>2. PERIOD</t>
  </si>
  <si>
    <t>3. PERIOD</t>
  </si>
  <si>
    <t>Per month</t>
  </si>
  <si>
    <t>Length of the accounting period (months)</t>
  </si>
  <si>
    <t xml:space="preserve">Repayment and interest on loans taken out by the company </t>
  </si>
  <si>
    <t xml:space="preserve">Annual Costs of Partial Payment </t>
  </si>
  <si>
    <t>Wages and Salaries of YEL-Entrepreneur's</t>
  </si>
  <si>
    <t xml:space="preserve"> - monetary Wages in Month</t>
  </si>
  <si>
    <t xml:space="preserve"> - fringe benefits in total per month</t>
  </si>
  <si>
    <t xml:space="preserve"> - number of months </t>
  </si>
  <si>
    <t>Wages and Salaries of Employees</t>
  </si>
  <si>
    <t xml:space="preserve"> Social Costs etc. % of Wages </t>
  </si>
  <si>
    <t xml:space="preserve"> Entrepreneur`s Pension Insurance (YEL), non-mandatory pension fees</t>
  </si>
  <si>
    <t>Other voluntary personnel expenses during the accounting period</t>
  </si>
  <si>
    <t>Other Staff Costs during the accounting period</t>
  </si>
  <si>
    <t>Costs of Premises during the accounting period</t>
  </si>
  <si>
    <t>Leasing Rents, Final Instalment of the Total Financing</t>
  </si>
  <si>
    <t>Costs of Vehicles (business use)</t>
  </si>
  <si>
    <t xml:space="preserve">Costs of ADP-equipment and -programs </t>
  </si>
  <si>
    <r>
      <t xml:space="preserve">Costs of Other Machinery and Equipment </t>
    </r>
    <r>
      <rPr>
        <sz val="9"/>
        <rFont val="Arial"/>
        <family val="2"/>
      </rPr>
      <t>(business use)</t>
    </r>
  </si>
  <si>
    <r>
      <t xml:space="preserve">Travelling Expenses </t>
    </r>
    <r>
      <rPr>
        <sz val="9"/>
        <rFont val="Arial"/>
        <family val="2"/>
      </rPr>
      <t>(</t>
    </r>
    <r>
      <rPr>
        <sz val="9"/>
        <color theme="1"/>
        <rFont val="Arial"/>
        <family val="2"/>
      </rPr>
      <t>fares,</t>
    </r>
    <r>
      <rPr>
        <sz val="9"/>
        <rFont val="Arial"/>
        <family val="2"/>
      </rPr>
      <t xml:space="preserve"> accommodation, meals, other travelling expenses)</t>
    </r>
  </si>
  <si>
    <t>Compensation for Travelling Expenses</t>
  </si>
  <si>
    <t xml:space="preserve"> Marketing Costs</t>
  </si>
  <si>
    <t>Administrative Services</t>
  </si>
  <si>
    <t>Costs of Communication and Monetary Transactions</t>
  </si>
  <si>
    <r>
      <t xml:space="preserve">Insurance Premiums </t>
    </r>
    <r>
      <rPr>
        <sz val="9"/>
        <rFont val="Arial"/>
        <family val="2"/>
      </rPr>
      <t>(liability-, loss-of-profit-, other insurances)</t>
    </r>
  </si>
  <si>
    <t>Office Supplies</t>
  </si>
  <si>
    <t>Meeting and conference expenses, other deductible exp., research expenses</t>
  </si>
  <si>
    <r>
      <t xml:space="preserve">Company vehicle costs </t>
    </r>
    <r>
      <rPr>
        <sz val="9"/>
        <rFont val="Arial"/>
        <family val="2"/>
      </rPr>
      <t>(for private use)</t>
    </r>
  </si>
  <si>
    <t>Knowledge Acquisition</t>
  </si>
  <si>
    <t>Handling fees of the Trade Register and bank loan delivery fees</t>
  </si>
  <si>
    <t>VAT -%</t>
  </si>
  <si>
    <t>SALES ESTIMATE IN ACCOUNTING PERIOD</t>
  </si>
  <si>
    <t xml:space="preserve">Work Performance (Good or Service Produced) </t>
  </si>
  <si>
    <t>Unit price inclusive VAT</t>
  </si>
  <si>
    <t>Unit price VAT 0 %</t>
  </si>
  <si>
    <t>Quantity (e.g. euros/hour)</t>
  </si>
  <si>
    <t>Turnover</t>
  </si>
  <si>
    <t>VAT-%</t>
  </si>
  <si>
    <t>Sales</t>
  </si>
  <si>
    <t>Purchase</t>
  </si>
  <si>
    <t xml:space="preserve"> Marketing Product </t>
  </si>
  <si>
    <t>Sales price/unit inclusive VAT</t>
  </si>
  <si>
    <t>Sales amount (pieces, quantity))</t>
  </si>
  <si>
    <t>Purchase/cost price per pieces incl. VAT</t>
  </si>
  <si>
    <t>Purchase/cost price per pieces VAT 0%</t>
  </si>
  <si>
    <t>Gross margin %</t>
  </si>
  <si>
    <t>Gross margin €</t>
  </si>
  <si>
    <t xml:space="preserve">Purchase/cost price per pieces </t>
  </si>
  <si>
    <t>Purchases in total VAT 0%</t>
  </si>
  <si>
    <t xml:space="preserve"> Marginal VAT calculation</t>
  </si>
  <si>
    <t>INCOMES ACCORDING TO SALES ESTIMATE</t>
  </si>
  <si>
    <t xml:space="preserve"> - minus BUSINESS COSTS (items 13 - 36)</t>
  </si>
  <si>
    <t xml:space="preserve"> NET INCOME OF THE BUSINESS WHEN ALL COST ARE PAID</t>
  </si>
  <si>
    <t>Imputed minimum amount of working capital</t>
  </si>
  <si>
    <t xml:space="preserve"> - the annual salary target for entrepreneurs in the calculation</t>
  </si>
  <si>
    <t>DEPRECIATIONS (25 % of machinery/equipment, 7 % of premises)</t>
  </si>
  <si>
    <t>NET SALES / TURNOVER</t>
  </si>
  <si>
    <t>VAT (Euros)</t>
  </si>
  <si>
    <t>TOTAL SALES</t>
  </si>
  <si>
    <t xml:space="preserve"> - Included marginal VAT products</t>
  </si>
  <si>
    <t xml:space="preserve"> AVERAGE NUMBER OF EMPLOYEES </t>
  </si>
  <si>
    <t xml:space="preserve"> BUSINESS WEEKS PER YEAR</t>
  </si>
  <si>
    <t xml:space="preserve"> BUSINESS DAYS PER WEEK</t>
  </si>
  <si>
    <t xml:space="preserve"> SALES PER DAY</t>
  </si>
  <si>
    <t>Change-%</t>
  </si>
  <si>
    <t xml:space="preserve"> Notes</t>
  </si>
  <si>
    <t>The user acknowledges that the program may contain errors and the results provided by the program are referential and directional.</t>
  </si>
  <si>
    <t>The user uses the program and interprets results at his own risk.</t>
  </si>
  <si>
    <t>JAN</t>
  </si>
  <si>
    <t>FEB</t>
  </si>
  <si>
    <t>MARS</t>
  </si>
  <si>
    <t>APR</t>
  </si>
  <si>
    <t>MAY</t>
  </si>
  <si>
    <t>JUNE</t>
  </si>
  <si>
    <t>JYLY</t>
  </si>
  <si>
    <t>AUG</t>
  </si>
  <si>
    <t>SEP</t>
  </si>
  <si>
    <t>OCT</t>
  </si>
  <si>
    <t>NOV</t>
  </si>
  <si>
    <t>DEC</t>
  </si>
  <si>
    <t>TOTAL</t>
  </si>
  <si>
    <t>INCOMES</t>
  </si>
  <si>
    <t>EXPENCES</t>
  </si>
  <si>
    <t>Own funding</t>
  </si>
  <si>
    <t xml:space="preserve">Cash sales </t>
  </si>
  <si>
    <t xml:space="preserve"> - monthly sales in percents</t>
  </si>
  <si>
    <t>Billing sales</t>
  </si>
  <si>
    <t xml:space="preserve"> - terms of payment</t>
  </si>
  <si>
    <t>days</t>
  </si>
  <si>
    <t xml:space="preserve">Loan withdrawals </t>
  </si>
  <si>
    <t xml:space="preserve">Business subsidies, other income </t>
  </si>
  <si>
    <t>VAT %</t>
  </si>
  <si>
    <t>Materials and supplies</t>
  </si>
  <si>
    <t>Purchaces for marginal VAT products</t>
  </si>
  <si>
    <t xml:space="preserve"> Rent of business premises</t>
  </si>
  <si>
    <t xml:space="preserve">Rents of leasings, other machinery and equipment </t>
  </si>
  <si>
    <t xml:space="preserve">Electricity, water and heating costs </t>
  </si>
  <si>
    <t>Telecommunication</t>
  </si>
  <si>
    <t xml:space="preserve">Marketing and advertising </t>
  </si>
  <si>
    <t xml:space="preserve">Investments including VAT </t>
  </si>
  <si>
    <t xml:space="preserve">Vehicle / work equipment costs (VAT deductible) </t>
  </si>
  <si>
    <t xml:space="preserve">Cleaning, repair, security, other expenses </t>
  </si>
  <si>
    <t>Machinery and equipment purchases</t>
  </si>
  <si>
    <t xml:space="preserve">Computer hardware and software costs </t>
  </si>
  <si>
    <t xml:space="preserve">Other fixed costs incl. VAT </t>
  </si>
  <si>
    <t xml:space="preserve">VAT payable </t>
  </si>
  <si>
    <t xml:space="preserve">Net salaries </t>
  </si>
  <si>
    <t xml:space="preserve">19.1 YEL-entrepreneurs gross wages and salaries  </t>
  </si>
  <si>
    <t>19.2 YEL-fringe benefits</t>
  </si>
  <si>
    <t xml:space="preserve">19.3 Gross wages and salaries of employees </t>
  </si>
  <si>
    <t>19.4 Fringe benefits of employees</t>
  </si>
  <si>
    <t>19.5 Pension and unemployment insurance of employees</t>
  </si>
  <si>
    <t>Employer taxes and social security costs</t>
  </si>
  <si>
    <t xml:space="preserve">Pension, sickness and accident insurance for YEL entrepreneurs </t>
  </si>
  <si>
    <t>Employer pension insurance (compulsory)</t>
  </si>
  <si>
    <t xml:space="preserve">Unemployment contributions and life insurance (voluntary) </t>
  </si>
  <si>
    <t>Property and similar insurance, usage fees</t>
  </si>
  <si>
    <t xml:space="preserve">Other fixed costs VAT 0 % </t>
  </si>
  <si>
    <t>Interest on loans and quarantee provision</t>
  </si>
  <si>
    <t>Income tax (withholding tax), property tax</t>
  </si>
  <si>
    <t>Travel expenses, travel allowances</t>
  </si>
  <si>
    <t>Company vehicle costs (private use, fringe benefit)</t>
  </si>
  <si>
    <t>Loan repayments</t>
  </si>
  <si>
    <t>Monthly installments of partial payments</t>
  </si>
  <si>
    <t xml:space="preserve">Investments VAT 0 % </t>
  </si>
  <si>
    <t>Investments</t>
  </si>
  <si>
    <t>TOTAL EXPENCES</t>
  </si>
  <si>
    <t>INCOMES - EXPENCES</t>
  </si>
  <si>
    <t xml:space="preserve">CASH AT THE END OF THE MONTH </t>
  </si>
  <si>
    <t xml:space="preserve"> Bank</t>
  </si>
  <si>
    <t xml:space="preserve"> Investments allowances/aids</t>
  </si>
  <si>
    <t xml:space="preserve"> Other allowances / aids</t>
  </si>
  <si>
    <t xml:space="preserve"> 3. Immaterial investments</t>
  </si>
  <si>
    <t xml:space="preserve"> 4. Immaterial and developing investments</t>
  </si>
  <si>
    <t xml:space="preserve"> Loan given by</t>
  </si>
  <si>
    <t>BUSINESS COSTS IN ACCOUNTING PERIOD INCL. VAT</t>
  </si>
  <si>
    <t>Costs of Other Machinery and Equipment (business use)</t>
  </si>
  <si>
    <t>Travelling Expenses (fares, accommodation, meals, other travelling expenses)</t>
  </si>
  <si>
    <t>Insurance Premiums (liability-, loss-of-profit-, other insurances)</t>
  </si>
  <si>
    <t xml:space="preserve">Handling fees of the Trade Register </t>
  </si>
  <si>
    <t xml:space="preserve"> Work Performance (Good or Service Produced) </t>
  </si>
  <si>
    <t>Sales price/unit</t>
  </si>
  <si>
    <t>Purchase/cost price per pieces</t>
  </si>
  <si>
    <t>Marginal VAT calculation</t>
  </si>
  <si>
    <t xml:space="preserve">TAXABLE INCOME </t>
  </si>
  <si>
    <t>TURNOVER</t>
  </si>
  <si>
    <t xml:space="preserve">AVERAGE NUMBER OF EMPLOYEES </t>
  </si>
  <si>
    <t>BUSINESS WEEKS PER YEAR</t>
  </si>
  <si>
    <t>BUSINESS DAYS PER WEEK</t>
  </si>
  <si>
    <t>SALES PER DAY</t>
  </si>
  <si>
    <t>JULY</t>
  </si>
  <si>
    <t>TOTAL INCOMES</t>
  </si>
  <si>
    <t>1.</t>
  </si>
  <si>
    <t>2.</t>
  </si>
  <si>
    <t>3.</t>
  </si>
  <si>
    <t>4.</t>
  </si>
  <si>
    <t>5.</t>
  </si>
  <si>
    <t>6.</t>
  </si>
  <si>
    <t>7.</t>
  </si>
  <si>
    <t>8.</t>
  </si>
  <si>
    <t>9.</t>
  </si>
  <si>
    <t>10.</t>
  </si>
  <si>
    <t>11.</t>
  </si>
  <si>
    <t>12.</t>
  </si>
  <si>
    <t xml:space="preserve">18.1 Gross wages and salaries of employees </t>
  </si>
  <si>
    <t>18.2 Fringe benefits of employees</t>
  </si>
  <si>
    <t>18.3 Pension and unemployment insurance of employees</t>
  </si>
  <si>
    <t>Other fixed costs</t>
  </si>
  <si>
    <t xml:space="preserve"> INCOMES - EXPENCES</t>
  </si>
  <si>
    <t xml:space="preserve"> CASH AT THE END OF THE MONTH </t>
  </si>
  <si>
    <t xml:space="preserve"> 4. Immaterial &amp; developing investments VAT 0 %</t>
  </si>
  <si>
    <t xml:space="preserve">  7. Long-term loans</t>
  </si>
  <si>
    <t xml:space="preserve">PRIVATE TRADER, TAXABLE INCOME </t>
  </si>
  <si>
    <t>NET INCOME OF THE BUSINESS WHEN ALL COST ARE PAID</t>
  </si>
  <si>
    <t xml:space="preserve">GENERAL PARTNERSHIP AND LIMITED PARTNERSHIP, TAXABLE INCOME </t>
  </si>
  <si>
    <t xml:space="preserve">LIMITED LIABILITY COMPANY, TAXABLE INCOME </t>
  </si>
  <si>
    <t xml:space="preserve"> Premises VAT 0 % </t>
  </si>
  <si>
    <t xml:space="preserve"> Premises incl. VAT </t>
  </si>
  <si>
    <t xml:space="preserve"> Goods storage by business purchase</t>
  </si>
  <si>
    <t xml:space="preserve"> Advanced purchased storage, security payments</t>
  </si>
  <si>
    <t xml:space="preserve"> Purchases, non-deductible VAT</t>
  </si>
  <si>
    <t xml:space="preserve"> Capital investments by owner</t>
  </si>
  <si>
    <t xml:space="preserve"> Entrepreneur loan from Finnvera </t>
  </si>
  <si>
    <t xml:space="preserve"> • monetary transactions VAT 0 %</t>
  </si>
  <si>
    <t xml:space="preserve"> • postcosts VAT 0 %</t>
  </si>
  <si>
    <t xml:space="preserve"> • phone, internet, data transfer, webhotel</t>
  </si>
  <si>
    <t xml:space="preserve"> • membership fees </t>
  </si>
  <si>
    <t xml:space="preserve"> • books</t>
  </si>
  <si>
    <t xml:space="preserve"> • newspapers</t>
  </si>
  <si>
    <t xml:space="preserve"> • financial administration services, legal and consulting services, hired staff, auditing, other expenses</t>
  </si>
  <si>
    <t xml:space="preserve"> • official fees/permits </t>
  </si>
  <si>
    <t xml:space="preserve"> • other marketing costs</t>
  </si>
  <si>
    <t xml:space="preserve"> • advertisements, printed matter</t>
  </si>
  <si>
    <t xml:space="preserve"> • daily subsistence allowance</t>
  </si>
  <si>
    <t xml:space="preserve"> • daily subsistence allowance, number of working days</t>
  </si>
  <si>
    <t xml:space="preserve"> • mileage allowance € per km</t>
  </si>
  <si>
    <t xml:space="preserve"> • mileage</t>
  </si>
  <si>
    <t xml:space="preserve"> • other machinery costs </t>
  </si>
  <si>
    <t xml:space="preserve"> • purchase of machinery/equipment, small-scale acquisition</t>
  </si>
  <si>
    <t xml:space="preserve"> • maintenance and repair</t>
  </si>
  <si>
    <t xml:space="preserve"> • machinery and equipment rentals, leasing with fixed monthly fee</t>
  </si>
  <si>
    <t xml:space="preserve"> • purchase of ADP-equipment, ADP small-scale acquisition</t>
  </si>
  <si>
    <t xml:space="preserve"> • programs, update and maintenance </t>
  </si>
  <si>
    <t xml:space="preserve"> • equipment- and program rents, updating and maintenance </t>
  </si>
  <si>
    <t xml:space="preserve"> • other vehicle costs</t>
  </si>
  <si>
    <t xml:space="preserve"> • leasing costs (fixed monthly fee), vehicle rents</t>
  </si>
  <si>
    <t xml:space="preserve"> • insurance</t>
  </si>
  <si>
    <t xml:space="preserve"> • maintenance and repairs, roadworthiness tests, vehicle tax amount</t>
  </si>
  <si>
    <t xml:space="preserve"> • fuel/electricity/gas price / unit</t>
  </si>
  <si>
    <t xml:space="preserve"> • fuel/electricity/gas consumption</t>
  </si>
  <si>
    <t xml:space="preserve"> • driving kilometres or operating hours during the accounting period</t>
  </si>
  <si>
    <t xml:space="preserve"> • property tax</t>
  </si>
  <si>
    <t xml:space="preserve"> • the value of the property to be insured</t>
  </si>
  <si>
    <t xml:space="preserve"> • guarding, locking, other expenses</t>
  </si>
  <si>
    <t xml:space="preserve"> • waste disposal</t>
  </si>
  <si>
    <t xml:space="preserve"> • sanitation, maintenance of outdoor areas, renovation of business premises</t>
  </si>
  <si>
    <t xml:space="preserve"> • water and sewage</t>
  </si>
  <si>
    <t xml:space="preserve"> • heating </t>
  </si>
  <si>
    <t xml:space="preserve"> • electricity and gas</t>
  </si>
  <si>
    <t xml:space="preserve"> • number of months during the accounting period</t>
  </si>
  <si>
    <t xml:space="preserve"> • rents and assessments / month in Euros</t>
  </si>
  <si>
    <t xml:space="preserve"> • rents and assessments </t>
  </si>
  <si>
    <t xml:space="preserve"> • other optional staff cost (meal, recreation, gifts etc.)</t>
  </si>
  <si>
    <t xml:space="preserve"> • work clothes and protection instruments</t>
  </si>
  <si>
    <t xml:space="preserve"> • employee health care</t>
  </si>
  <si>
    <t xml:space="preserve"> • other non-mandatory insurance premiums for employees </t>
  </si>
  <si>
    <t xml:space="preserve"> • membership fees of unemployment Funds for Entrepreneurs</t>
  </si>
  <si>
    <t xml:space="preserve"> • health insurance contribution and YEL-entrepreneur's accident and life insurance</t>
  </si>
  <si>
    <t xml:space="preserve"> • non-mandatory pension insurance premiums</t>
  </si>
  <si>
    <t xml:space="preserve"> • YEL-percent in the calculation</t>
  </si>
  <si>
    <t xml:space="preserve"> • YEL-wages, basis for the pension (yearly wages)</t>
  </si>
  <si>
    <t xml:space="preserve"> • number of months </t>
  </si>
  <si>
    <t xml:space="preserve"> • fringe benefits in total per month</t>
  </si>
  <si>
    <t xml:space="preserve"> • monetary Wages in Month</t>
  </si>
  <si>
    <t xml:space="preserve"> • capital of loans in the end of the year</t>
  </si>
  <si>
    <t xml:space="preserve"> • interest in Euros</t>
  </si>
  <si>
    <t xml:space="preserve"> Premises </t>
  </si>
  <si>
    <t xml:space="preserve"> Advanced purchased storage, security payments </t>
  </si>
  <si>
    <t xml:space="preserve"> • post costs</t>
  </si>
  <si>
    <t xml:space="preserve"> • monetary transactions </t>
  </si>
  <si>
    <t>BP4 Financial Calculation</t>
  </si>
  <si>
    <t>VAT</t>
  </si>
  <si>
    <t>Hinta sis. Alv</t>
  </si>
  <si>
    <r>
      <t>CASH BUDGET FOR THE FIRST YEAR,</t>
    </r>
    <r>
      <rPr>
        <sz val="14"/>
        <color rgb="FF0152A1"/>
        <rFont val="Arial"/>
        <family val="2"/>
      </rPr>
      <t xml:space="preserve"> business operations exempt from VAT </t>
    </r>
  </si>
  <si>
    <t>BUSINESS COSTS VAT 0 %</t>
  </si>
  <si>
    <t xml:space="preserve"> Land area, subscriptions, franchising</t>
  </si>
  <si>
    <t>March 10, 2026</t>
  </si>
  <si>
    <t>Business Kemijärvi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</si>
</sst>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60" x14ac:knownFonts="1">
    <font>
      <sz val="10"/>
      <name val="Arial"/>
    </font>
    <font>
      <sz val="9"/>
      <color theme="1"/>
      <name val="Arial"/>
      <family val="2"/>
    </font>
    <font>
      <sz val="10"/>
      <color theme="1"/>
      <name val="Arial"/>
      <family val="2"/>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sz val="11"/>
      <color indexed="81"/>
      <name val="Tahoma"/>
      <family val="2"/>
    </font>
    <font>
      <sz val="14"/>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74">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thin">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top/>
      <bottom style="dott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3">
    <xf numFmtId="0" fontId="0" fillId="0" borderId="0"/>
    <xf numFmtId="9" fontId="5" fillId="0" borderId="0" applyFont="0" applyFill="0" applyBorder="0" applyAlignment="0" applyProtection="0"/>
    <xf numFmtId="0" fontId="5" fillId="0" borderId="0"/>
  </cellStyleXfs>
  <cellXfs count="1464">
    <xf numFmtId="0" fontId="0" fillId="0" borderId="0" xfId="0"/>
    <xf numFmtId="0" fontId="8" fillId="0" borderId="0" xfId="0" applyFont="1"/>
    <xf numFmtId="0" fontId="14" fillId="0" borderId="0" xfId="0" applyFont="1"/>
    <xf numFmtId="0" fontId="6" fillId="0" borderId="1" xfId="0" applyFont="1" applyBorder="1" applyAlignment="1">
      <alignment horizontal="center"/>
    </xf>
    <xf numFmtId="0" fontId="6" fillId="0" borderId="2" xfId="0" applyFont="1" applyBorder="1" applyAlignment="1">
      <alignment horizontal="center"/>
    </xf>
    <xf numFmtId="0" fontId="6" fillId="0" borderId="0" xfId="0" applyFont="1" applyAlignment="1">
      <alignment horizontal="right"/>
    </xf>
    <xf numFmtId="0" fontId="14" fillId="0" borderId="0" xfId="0" applyFont="1" applyProtection="1">
      <protection hidden="1"/>
    </xf>
    <xf numFmtId="0" fontId="14" fillId="0" borderId="0" xfId="0" applyFont="1" applyAlignment="1">
      <alignment horizontal="center"/>
    </xf>
    <xf numFmtId="0" fontId="6" fillId="0" borderId="10" xfId="0" applyFont="1" applyBorder="1" applyAlignment="1">
      <alignment horizontal="right"/>
    </xf>
    <xf numFmtId="3" fontId="0" fillId="0" borderId="0" xfId="0" applyNumberFormat="1"/>
    <xf numFmtId="1" fontId="0" fillId="0" borderId="0" xfId="0" applyNumberFormat="1"/>
    <xf numFmtId="0" fontId="18"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9" fillId="0" borderId="0" xfId="0" applyFont="1" applyAlignment="1" applyProtection="1">
      <alignment horizontal="center" vertical="center"/>
      <protection hidden="1"/>
    </xf>
    <xf numFmtId="0" fontId="6" fillId="0" borderId="20" xfId="0" applyFont="1" applyBorder="1" applyAlignment="1">
      <alignment horizontal="right"/>
    </xf>
    <xf numFmtId="0" fontId="6" fillId="0" borderId="0" xfId="0" applyFont="1" applyAlignment="1">
      <alignment horizontal="center"/>
    </xf>
    <xf numFmtId="0" fontId="6" fillId="0" borderId="0" xfId="0" quotePrefix="1" applyFont="1" applyAlignment="1">
      <alignment horizontal="right"/>
    </xf>
    <xf numFmtId="16" fontId="6" fillId="0" borderId="0" xfId="0" quotePrefix="1" applyNumberFormat="1" applyFont="1" applyAlignment="1">
      <alignment horizontal="right"/>
    </xf>
    <xf numFmtId="0" fontId="7" fillId="0" borderId="0" xfId="0" quotePrefix="1" applyFont="1" applyAlignment="1">
      <alignment horizontal="right"/>
    </xf>
    <xf numFmtId="1" fontId="0" fillId="0" borderId="9" xfId="0" applyNumberFormat="1" applyBorder="1"/>
    <xf numFmtId="1" fontId="0" fillId="0" borderId="8" xfId="0" applyNumberFormat="1" applyBorder="1"/>
    <xf numFmtId="0" fontId="9" fillId="0" borderId="0" xfId="0" applyFont="1"/>
    <xf numFmtId="49" fontId="14" fillId="0" borderId="0" xfId="0" applyNumberFormat="1" applyFont="1" applyAlignment="1">
      <alignment horizontal="center"/>
    </xf>
    <xf numFmtId="0" fontId="13" fillId="0" borderId="0" xfId="0" applyFont="1" applyAlignment="1">
      <alignment horizontal="left"/>
    </xf>
    <xf numFmtId="49" fontId="14" fillId="0" borderId="0" xfId="0" applyNumberFormat="1" applyFont="1" applyAlignment="1">
      <alignment horizontal="center" vertical="center"/>
    </xf>
    <xf numFmtId="0" fontId="9" fillId="0" borderId="0" xfId="0" applyFont="1" applyAlignment="1">
      <alignment horizontal="left"/>
    </xf>
    <xf numFmtId="3" fontId="9" fillId="0" borderId="0" xfId="0" applyNumberFormat="1" applyFont="1" applyAlignment="1">
      <alignment vertical="center"/>
    </xf>
    <xf numFmtId="3" fontId="9" fillId="0" borderId="0" xfId="0" applyNumberFormat="1" applyFont="1" applyAlignment="1">
      <alignment horizontal="right" vertical="center"/>
    </xf>
    <xf numFmtId="0" fontId="14" fillId="0" borderId="0" xfId="0" applyFont="1" applyAlignment="1">
      <alignment vertical="center"/>
    </xf>
    <xf numFmtId="0" fontId="9" fillId="0" borderId="0" xfId="0" applyFont="1" applyAlignment="1">
      <alignment vertical="center"/>
    </xf>
    <xf numFmtId="3" fontId="14" fillId="0" borderId="0" xfId="0" applyNumberFormat="1" applyFont="1" applyAlignment="1" applyProtection="1">
      <alignment horizontal="right" vertical="center"/>
      <protection hidden="1"/>
    </xf>
    <xf numFmtId="0" fontId="0" fillId="0" borderId="0" xfId="0" applyAlignment="1">
      <alignment vertical="center"/>
    </xf>
    <xf numFmtId="164" fontId="14" fillId="4" borderId="8" xfId="0" applyNumberFormat="1" applyFont="1" applyFill="1" applyBorder="1" applyAlignment="1" applyProtection="1">
      <alignment horizontal="center" vertical="center"/>
      <protection locked="0"/>
    </xf>
    <xf numFmtId="0" fontId="0" fillId="6" borderId="0" xfId="0" applyFill="1"/>
    <xf numFmtId="0" fontId="9" fillId="0" borderId="0" xfId="0" applyFont="1" applyAlignment="1" applyProtection="1">
      <alignment horizontal="center"/>
      <protection hidden="1"/>
    </xf>
    <xf numFmtId="0" fontId="9" fillId="0" borderId="12" xfId="0" applyFont="1" applyBorder="1"/>
    <xf numFmtId="0" fontId="6" fillId="0" borderId="13" xfId="0" applyFont="1" applyBorder="1"/>
    <xf numFmtId="0" fontId="9" fillId="0" borderId="13" xfId="0" applyFont="1" applyBorder="1"/>
    <xf numFmtId="0" fontId="9" fillId="0" borderId="6" xfId="0" applyFont="1" applyBorder="1"/>
    <xf numFmtId="0" fontId="9" fillId="0" borderId="14" xfId="0" applyFont="1" applyBorder="1"/>
    <xf numFmtId="10" fontId="9" fillId="0" borderId="0" xfId="1" applyNumberFormat="1" applyFont="1" applyBorder="1"/>
    <xf numFmtId="0" fontId="9" fillId="0" borderId="15" xfId="0" applyFont="1" applyBorder="1"/>
    <xf numFmtId="3" fontId="9" fillId="0" borderId="0" xfId="0" applyNumberFormat="1" applyFont="1"/>
    <xf numFmtId="8" fontId="9" fillId="0" borderId="0" xfId="0" applyNumberFormat="1" applyFont="1"/>
    <xf numFmtId="0" fontId="9" fillId="0" borderId="14" xfId="0" applyFont="1" applyBorder="1" applyAlignment="1" applyProtection="1">
      <alignment horizontal="center"/>
      <protection hidden="1"/>
    </xf>
    <xf numFmtId="0" fontId="9" fillId="0" borderId="0" xfId="0" applyFont="1" applyProtection="1">
      <protection hidden="1"/>
    </xf>
    <xf numFmtId="0" fontId="9" fillId="0" borderId="30" xfId="0" applyFont="1" applyBorder="1" applyProtection="1">
      <protection hidden="1"/>
    </xf>
    <xf numFmtId="0" fontId="9" fillId="0" borderId="34" xfId="0" applyFont="1" applyBorder="1" applyProtection="1">
      <protection hidden="1"/>
    </xf>
    <xf numFmtId="0" fontId="9" fillId="0" borderId="32" xfId="0" applyFont="1" applyBorder="1" applyProtection="1">
      <protection hidden="1"/>
    </xf>
    <xf numFmtId="0" fontId="9" fillId="0" borderId="33" xfId="0" applyFont="1" applyBorder="1" applyProtection="1">
      <protection hidden="1"/>
    </xf>
    <xf numFmtId="3" fontId="9" fillId="0" borderId="31" xfId="0" applyNumberFormat="1" applyFont="1" applyBorder="1" applyProtection="1">
      <protection hidden="1"/>
    </xf>
    <xf numFmtId="3" fontId="9" fillId="0" borderId="0" xfId="0" applyNumberFormat="1" applyFont="1" applyProtection="1">
      <protection hidden="1"/>
    </xf>
    <xf numFmtId="0" fontId="9" fillId="0" borderId="8" xfId="0" applyFont="1" applyBorder="1" applyProtection="1">
      <protection hidden="1"/>
    </xf>
    <xf numFmtId="0" fontId="9" fillId="0" borderId="8" xfId="0" applyFont="1" applyBorder="1" applyAlignment="1" applyProtection="1">
      <alignment horizontal="center"/>
      <protection hidden="1"/>
    </xf>
    <xf numFmtId="2" fontId="9" fillId="0" borderId="0" xfId="0" applyNumberFormat="1" applyFont="1"/>
    <xf numFmtId="2" fontId="9" fillId="0" borderId="8" xfId="0" applyNumberFormat="1" applyFont="1" applyBorder="1" applyProtection="1">
      <protection hidden="1"/>
    </xf>
    <xf numFmtId="4" fontId="9" fillId="0" borderId="0" xfId="0" applyNumberFormat="1" applyFont="1" applyProtection="1">
      <protection hidden="1"/>
    </xf>
    <xf numFmtId="0" fontId="9" fillId="0" borderId="15" xfId="0" applyFont="1" applyBorder="1" applyAlignment="1" applyProtection="1">
      <alignment horizontal="center" vertical="center"/>
      <protection hidden="1"/>
    </xf>
    <xf numFmtId="0" fontId="9" fillId="0" borderId="0" xfId="0" applyFont="1" applyAlignment="1">
      <alignment horizontal="center" vertical="center"/>
    </xf>
    <xf numFmtId="0" fontId="9" fillId="0" borderId="8" xfId="0" applyFont="1" applyBorder="1"/>
    <xf numFmtId="3" fontId="9" fillId="0" borderId="8" xfId="0" applyNumberFormat="1" applyFont="1" applyBorder="1"/>
    <xf numFmtId="4" fontId="9" fillId="0" borderId="8" xfId="0" applyNumberFormat="1" applyFont="1" applyBorder="1" applyProtection="1">
      <protection hidden="1"/>
    </xf>
    <xf numFmtId="2" fontId="9" fillId="0" borderId="8" xfId="0" applyNumberFormat="1" applyFont="1" applyBorder="1"/>
    <xf numFmtId="3" fontId="9" fillId="0" borderId="8" xfId="0" applyNumberFormat="1" applyFont="1" applyBorder="1" applyProtection="1">
      <protection hidden="1"/>
    </xf>
    <xf numFmtId="0" fontId="21" fillId="0" borderId="8" xfId="0" applyFont="1" applyBorder="1" applyProtection="1">
      <protection hidden="1"/>
    </xf>
    <xf numFmtId="4" fontId="21" fillId="0" borderId="8" xfId="0" applyNumberFormat="1" applyFont="1" applyBorder="1" applyProtection="1">
      <protection hidden="1"/>
    </xf>
    <xf numFmtId="0" fontId="9" fillId="0" borderId="16" xfId="0" applyFont="1" applyBorder="1"/>
    <xf numFmtId="0" fontId="9" fillId="0" borderId="17" xfId="0" applyFont="1" applyBorder="1"/>
    <xf numFmtId="0" fontId="9" fillId="0" borderId="18" xfId="0" applyFont="1" applyBorder="1"/>
    <xf numFmtId="0" fontId="21" fillId="0" borderId="0" xfId="0" applyFont="1" applyProtection="1">
      <protection hidden="1"/>
    </xf>
    <xf numFmtId="3" fontId="21" fillId="0" borderId="0" xfId="0" applyNumberFormat="1" applyFont="1"/>
    <xf numFmtId="0" fontId="6" fillId="0" borderId="14" xfId="0" applyFont="1" applyBorder="1"/>
    <xf numFmtId="0" fontId="6" fillId="0" borderId="0" xfId="0" applyFont="1"/>
    <xf numFmtId="0" fontId="9" fillId="0" borderId="0" xfId="0" applyFont="1" applyAlignment="1">
      <alignment horizontal="center"/>
    </xf>
    <xf numFmtId="0" fontId="9" fillId="0" borderId="14" xfId="0" applyFont="1" applyBorder="1" applyProtection="1">
      <protection hidden="1"/>
    </xf>
    <xf numFmtId="3" fontId="9" fillId="0" borderId="15" xfId="0" applyNumberFormat="1" applyFont="1" applyBorder="1"/>
    <xf numFmtId="0" fontId="9" fillId="0" borderId="7" xfId="0" applyFont="1" applyBorder="1" applyAlignment="1">
      <alignment horizontal="left"/>
    </xf>
    <xf numFmtId="9" fontId="9" fillId="0" borderId="3" xfId="1" applyFont="1" applyBorder="1" applyAlignment="1">
      <alignment horizontal="right"/>
    </xf>
    <xf numFmtId="1" fontId="6" fillId="0" borderId="0" xfId="0" applyNumberFormat="1" applyFont="1"/>
    <xf numFmtId="10" fontId="9" fillId="0" borderId="0" xfId="0" applyNumberFormat="1" applyFont="1"/>
    <xf numFmtId="3" fontId="6" fillId="0" borderId="0" xfId="0" applyNumberFormat="1" applyFont="1"/>
    <xf numFmtId="1" fontId="9" fillId="0" borderId="0" xfId="0" applyNumberFormat="1" applyFont="1"/>
    <xf numFmtId="9" fontId="9" fillId="0" borderId="0" xfId="1" applyFont="1"/>
    <xf numFmtId="1" fontId="21" fillId="0" borderId="10" xfId="0" applyNumberFormat="1" applyFont="1" applyBorder="1"/>
    <xf numFmtId="0" fontId="9" fillId="0" borderId="14" xfId="0" applyFont="1" applyBorder="1" applyAlignment="1">
      <alignment horizontal="right"/>
    </xf>
    <xf numFmtId="1" fontId="21" fillId="0" borderId="19" xfId="0" applyNumberFormat="1" applyFont="1" applyBorder="1"/>
    <xf numFmtId="9" fontId="9" fillId="0" borderId="0" xfId="0" applyNumberFormat="1" applyFont="1"/>
    <xf numFmtId="165" fontId="9" fillId="0" borderId="0" xfId="0" applyNumberFormat="1" applyFont="1"/>
    <xf numFmtId="165" fontId="9" fillId="0" borderId="0" xfId="0" applyNumberFormat="1" applyFont="1" applyAlignment="1">
      <alignment horizontal="center"/>
    </xf>
    <xf numFmtId="49" fontId="9" fillId="0" borderId="0" xfId="0" applyNumberFormat="1" applyFont="1" applyAlignment="1">
      <alignment horizontal="center" vertical="center"/>
    </xf>
    <xf numFmtId="0" fontId="0" fillId="7" borderId="0" xfId="0" applyFill="1" applyProtection="1">
      <protection hidden="1"/>
    </xf>
    <xf numFmtId="3" fontId="22"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3" fillId="7" borderId="0" xfId="0" applyFont="1" applyFill="1"/>
    <xf numFmtId="0" fontId="23" fillId="7" borderId="0" xfId="0" applyFont="1" applyFill="1" applyAlignment="1" applyProtection="1">
      <alignment horizontal="center"/>
      <protection hidden="1"/>
    </xf>
    <xf numFmtId="1" fontId="23" fillId="7" borderId="0" xfId="0" applyNumberFormat="1" applyFont="1" applyFill="1" applyAlignment="1" applyProtection="1">
      <alignment horizontal="center"/>
      <protection hidden="1"/>
    </xf>
    <xf numFmtId="0" fontId="24" fillId="0" borderId="22" xfId="0" applyFont="1" applyBorder="1" applyProtection="1">
      <protection hidden="1"/>
    </xf>
    <xf numFmtId="3" fontId="24" fillId="0" borderId="23" xfId="0" applyNumberFormat="1" applyFont="1" applyBorder="1" applyProtection="1">
      <protection hidden="1"/>
    </xf>
    <xf numFmtId="3" fontId="24" fillId="0" borderId="23" xfId="0" applyNumberFormat="1" applyFont="1" applyBorder="1" applyAlignment="1" applyProtection="1">
      <alignment horizontal="center"/>
      <protection hidden="1"/>
    </xf>
    <xf numFmtId="3" fontId="24" fillId="0" borderId="2" xfId="0" applyNumberFormat="1" applyFont="1" applyBorder="1" applyAlignment="1" applyProtection="1">
      <alignment horizontal="center"/>
      <protection hidden="1"/>
    </xf>
    <xf numFmtId="0" fontId="14" fillId="0" borderId="25" xfId="0" applyFont="1" applyBorder="1" applyProtection="1">
      <protection hidden="1"/>
    </xf>
    <xf numFmtId="166" fontId="14" fillId="0" borderId="0" xfId="0" applyNumberFormat="1" applyFont="1" applyAlignment="1" applyProtection="1">
      <alignment horizontal="center"/>
      <protection hidden="1"/>
    </xf>
    <xf numFmtId="3" fontId="25" fillId="0" borderId="0" xfId="0" applyNumberFormat="1" applyFont="1" applyProtection="1">
      <protection hidden="1"/>
    </xf>
    <xf numFmtId="3" fontId="14" fillId="0" borderId="0" xfId="0" applyNumberFormat="1" applyFont="1" applyProtection="1">
      <protection hidden="1"/>
    </xf>
    <xf numFmtId="0" fontId="26" fillId="0" borderId="25" xfId="0" applyFont="1" applyBorder="1" applyProtection="1">
      <protection hidden="1"/>
    </xf>
    <xf numFmtId="3" fontId="26" fillId="0" borderId="0" xfId="0" applyNumberFormat="1" applyFont="1" applyProtection="1">
      <protection hidden="1"/>
    </xf>
    <xf numFmtId="164" fontId="14" fillId="0" borderId="0" xfId="1" applyNumberFormat="1" applyFont="1" applyFill="1" applyBorder="1" applyProtection="1">
      <protection hidden="1"/>
    </xf>
    <xf numFmtId="164" fontId="14" fillId="0" borderId="0" xfId="1" applyNumberFormat="1" applyFont="1" applyFill="1" applyBorder="1" applyAlignment="1" applyProtection="1">
      <alignment horizontal="center"/>
      <protection hidden="1"/>
    </xf>
    <xf numFmtId="164" fontId="14" fillId="0" borderId="27" xfId="1" applyNumberFormat="1" applyFont="1" applyFill="1" applyBorder="1" applyAlignment="1" applyProtection="1">
      <alignment horizontal="center"/>
      <protection hidden="1"/>
    </xf>
    <xf numFmtId="1" fontId="14" fillId="0" borderId="0" xfId="0" applyNumberFormat="1" applyFont="1" applyProtection="1">
      <protection hidden="1"/>
    </xf>
    <xf numFmtId="1" fontId="14" fillId="0" borderId="27" xfId="0" applyNumberFormat="1" applyFont="1" applyBorder="1" applyProtection="1">
      <protection hidden="1"/>
    </xf>
    <xf numFmtId="0" fontId="14" fillId="8" borderId="25" xfId="0" applyFont="1" applyFill="1" applyBorder="1" applyProtection="1">
      <protection hidden="1"/>
    </xf>
    <xf numFmtId="1" fontId="14" fillId="8" borderId="0" xfId="0" applyNumberFormat="1" applyFont="1" applyFill="1" applyProtection="1">
      <protection hidden="1"/>
    </xf>
    <xf numFmtId="3" fontId="25" fillId="8" borderId="0" xfId="0" applyNumberFormat="1" applyFont="1" applyFill="1" applyProtection="1">
      <protection hidden="1"/>
    </xf>
    <xf numFmtId="0" fontId="14" fillId="0" borderId="27" xfId="0" applyFont="1" applyBorder="1"/>
    <xf numFmtId="0" fontId="14" fillId="9" borderId="25" xfId="0" applyFont="1" applyFill="1" applyBorder="1" applyAlignment="1" applyProtection="1">
      <alignment horizontal="right" vertical="center"/>
      <protection hidden="1"/>
    </xf>
    <xf numFmtId="1" fontId="14" fillId="9" borderId="0" xfId="0" applyNumberFormat="1" applyFont="1" applyFill="1" applyProtection="1">
      <protection hidden="1"/>
    </xf>
    <xf numFmtId="3" fontId="25" fillId="9" borderId="0" xfId="0" applyNumberFormat="1" applyFont="1" applyFill="1" applyProtection="1">
      <protection hidden="1"/>
    </xf>
    <xf numFmtId="0" fontId="14" fillId="10" borderId="25" xfId="0" applyFont="1" applyFill="1" applyBorder="1" applyAlignment="1" applyProtection="1">
      <alignment horizontal="right" vertical="center"/>
      <protection hidden="1"/>
    </xf>
    <xf numFmtId="3" fontId="14" fillId="10" borderId="0" xfId="0" applyNumberFormat="1" applyFont="1" applyFill="1" applyProtection="1">
      <protection hidden="1"/>
    </xf>
    <xf numFmtId="3" fontId="25" fillId="10" borderId="0" xfId="0" applyNumberFormat="1" applyFont="1" applyFill="1" applyProtection="1">
      <protection hidden="1"/>
    </xf>
    <xf numFmtId="0" fontId="14" fillId="12" borderId="25" xfId="0" applyFont="1" applyFill="1" applyBorder="1" applyAlignment="1" applyProtection="1">
      <alignment horizontal="right" vertical="center"/>
      <protection hidden="1"/>
    </xf>
    <xf numFmtId="3" fontId="14" fillId="12" borderId="0" xfId="0" applyNumberFormat="1" applyFont="1" applyFill="1" applyProtection="1">
      <protection hidden="1"/>
    </xf>
    <xf numFmtId="3" fontId="25" fillId="12" borderId="0" xfId="0" applyNumberFormat="1" applyFont="1" applyFill="1" applyProtection="1">
      <protection hidden="1"/>
    </xf>
    <xf numFmtId="0" fontId="14" fillId="22" borderId="25" xfId="0" applyFont="1" applyFill="1" applyBorder="1" applyAlignment="1" applyProtection="1">
      <alignment horizontal="right" vertical="center"/>
      <protection hidden="1"/>
    </xf>
    <xf numFmtId="3" fontId="14" fillId="11" borderId="0" xfId="0" applyNumberFormat="1" applyFont="1" applyFill="1" applyProtection="1">
      <protection hidden="1"/>
    </xf>
    <xf numFmtId="3" fontId="25" fillId="11" borderId="0" xfId="0" applyNumberFormat="1" applyFont="1" applyFill="1" applyProtection="1">
      <protection hidden="1"/>
    </xf>
    <xf numFmtId="0" fontId="14" fillId="21" borderId="25" xfId="0" applyFont="1" applyFill="1" applyBorder="1" applyAlignment="1" applyProtection="1">
      <alignment horizontal="right" vertical="center"/>
      <protection hidden="1"/>
    </xf>
    <xf numFmtId="3" fontId="14" fillId="13" borderId="0" xfId="0" applyNumberFormat="1" applyFont="1" applyFill="1" applyProtection="1">
      <protection hidden="1"/>
    </xf>
    <xf numFmtId="3" fontId="25" fillId="13" borderId="0" xfId="0" applyNumberFormat="1" applyFont="1" applyFill="1" applyProtection="1">
      <protection hidden="1"/>
    </xf>
    <xf numFmtId="0" fontId="14" fillId="14" borderId="25" xfId="0" applyFont="1" applyFill="1" applyBorder="1" applyAlignment="1" applyProtection="1">
      <alignment horizontal="right" vertical="center"/>
      <protection hidden="1"/>
    </xf>
    <xf numFmtId="3" fontId="14" fillId="14" borderId="0" xfId="0" applyNumberFormat="1" applyFont="1" applyFill="1" applyProtection="1">
      <protection hidden="1"/>
    </xf>
    <xf numFmtId="3" fontId="25" fillId="14" borderId="0" xfId="0" applyNumberFormat="1" applyFont="1" applyFill="1" applyProtection="1">
      <protection hidden="1"/>
    </xf>
    <xf numFmtId="0" fontId="14" fillId="15" borderId="25" xfId="0" applyFont="1" applyFill="1" applyBorder="1" applyAlignment="1" applyProtection="1">
      <alignment horizontal="right" vertical="center"/>
      <protection hidden="1"/>
    </xf>
    <xf numFmtId="3" fontId="14" fillId="15" borderId="0" xfId="0" applyNumberFormat="1" applyFont="1" applyFill="1" applyProtection="1">
      <protection hidden="1"/>
    </xf>
    <xf numFmtId="3" fontId="25" fillId="15" borderId="0" xfId="0" applyNumberFormat="1" applyFont="1" applyFill="1" applyProtection="1">
      <protection hidden="1"/>
    </xf>
    <xf numFmtId="0" fontId="14" fillId="16" borderId="25" xfId="0" applyFont="1" applyFill="1" applyBorder="1" applyAlignment="1" applyProtection="1">
      <alignment horizontal="right" vertical="center"/>
      <protection hidden="1"/>
    </xf>
    <xf numFmtId="3" fontId="14" fillId="16" borderId="0" xfId="0" applyNumberFormat="1" applyFont="1" applyFill="1" applyProtection="1">
      <protection hidden="1"/>
    </xf>
    <xf numFmtId="3" fontId="25" fillId="16" borderId="0" xfId="0" applyNumberFormat="1" applyFont="1" applyFill="1" applyProtection="1">
      <protection hidden="1"/>
    </xf>
    <xf numFmtId="0" fontId="14" fillId="17" borderId="25" xfId="0" applyFont="1" applyFill="1" applyBorder="1" applyAlignment="1" applyProtection="1">
      <alignment horizontal="right" vertical="center"/>
      <protection hidden="1"/>
    </xf>
    <xf numFmtId="3" fontId="14" fillId="17" borderId="0" xfId="0" applyNumberFormat="1" applyFont="1" applyFill="1" applyProtection="1">
      <protection hidden="1"/>
    </xf>
    <xf numFmtId="3" fontId="25" fillId="17" borderId="0" xfId="0" applyNumberFormat="1" applyFont="1" applyFill="1" applyProtection="1">
      <protection hidden="1"/>
    </xf>
    <xf numFmtId="0" fontId="14" fillId="18" borderId="25" xfId="0" applyFont="1" applyFill="1" applyBorder="1" applyAlignment="1" applyProtection="1">
      <alignment horizontal="right" vertical="center"/>
      <protection hidden="1"/>
    </xf>
    <xf numFmtId="3" fontId="14" fillId="18" borderId="0" xfId="0" applyNumberFormat="1" applyFont="1" applyFill="1" applyProtection="1">
      <protection hidden="1"/>
    </xf>
    <xf numFmtId="3" fontId="25" fillId="18" borderId="0" xfId="0" applyNumberFormat="1" applyFont="1" applyFill="1" applyProtection="1">
      <protection hidden="1"/>
    </xf>
    <xf numFmtId="0" fontId="14" fillId="19" borderId="25" xfId="0" applyFont="1" applyFill="1" applyBorder="1" applyAlignment="1" applyProtection="1">
      <alignment horizontal="right" vertical="center"/>
      <protection hidden="1"/>
    </xf>
    <xf numFmtId="3" fontId="14" fillId="19" borderId="0" xfId="0" applyNumberFormat="1" applyFont="1" applyFill="1" applyProtection="1">
      <protection hidden="1"/>
    </xf>
    <xf numFmtId="3" fontId="25" fillId="19" borderId="0" xfId="0" applyNumberFormat="1" applyFont="1" applyFill="1" applyProtection="1">
      <protection hidden="1"/>
    </xf>
    <xf numFmtId="0" fontId="14" fillId="20" borderId="24" xfId="0" applyFont="1" applyFill="1" applyBorder="1" applyAlignment="1" applyProtection="1">
      <alignment horizontal="right" vertical="center"/>
      <protection hidden="1"/>
    </xf>
    <xf numFmtId="0" fontId="14" fillId="0" borderId="9" xfId="0" applyFont="1" applyBorder="1" applyProtection="1">
      <protection hidden="1"/>
    </xf>
    <xf numFmtId="166" fontId="14" fillId="0" borderId="9" xfId="0" applyNumberFormat="1" applyFont="1" applyBorder="1" applyAlignment="1" applyProtection="1">
      <alignment horizontal="center"/>
      <protection hidden="1"/>
    </xf>
    <xf numFmtId="3" fontId="14" fillId="0" borderId="9" xfId="0" applyNumberFormat="1" applyFont="1" applyBorder="1" applyProtection="1">
      <protection hidden="1"/>
    </xf>
    <xf numFmtId="3" fontId="14" fillId="20" borderId="9" xfId="0" applyNumberFormat="1" applyFont="1" applyFill="1" applyBorder="1" applyProtection="1">
      <protection hidden="1"/>
    </xf>
    <xf numFmtId="3" fontId="25" fillId="0" borderId="9" xfId="0" applyNumberFormat="1" applyFont="1" applyBorder="1" applyProtection="1">
      <protection hidden="1"/>
    </xf>
    <xf numFmtId="0" fontId="14" fillId="0" borderId="9" xfId="0" applyFont="1" applyBorder="1"/>
    <xf numFmtId="3" fontId="25" fillId="20" borderId="9" xfId="0" applyNumberFormat="1" applyFont="1" applyFill="1" applyBorder="1" applyProtection="1">
      <protection hidden="1"/>
    </xf>
    <xf numFmtId="3" fontId="25" fillId="20" borderId="28" xfId="0" applyNumberFormat="1" applyFont="1" applyFill="1" applyBorder="1" applyProtection="1">
      <protection hidden="1"/>
    </xf>
    <xf numFmtId="0" fontId="27" fillId="0" borderId="0" xfId="0" applyFont="1" applyAlignment="1" applyProtection="1">
      <alignment horizontal="left" vertical="center" wrapText="1"/>
      <protection hidden="1"/>
    </xf>
    <xf numFmtId="3" fontId="27" fillId="0" borderId="0" xfId="0" applyNumberFormat="1" applyFont="1" applyAlignment="1" applyProtection="1">
      <alignment vertical="center"/>
      <protection hidden="1"/>
    </xf>
    <xf numFmtId="0" fontId="26" fillId="0" borderId="0" xfId="0" applyFont="1" applyAlignment="1" applyProtection="1">
      <alignment horizontal="left" vertical="center" wrapText="1"/>
      <protection hidden="1"/>
    </xf>
    <xf numFmtId="3" fontId="26" fillId="0" borderId="0" xfId="0" applyNumberFormat="1" applyFont="1" applyAlignment="1" applyProtection="1">
      <alignment vertical="center"/>
      <protection hidden="1"/>
    </xf>
    <xf numFmtId="0" fontId="26" fillId="8" borderId="25" xfId="0" applyFont="1" applyFill="1" applyBorder="1" applyProtection="1">
      <protection hidden="1"/>
    </xf>
    <xf numFmtId="3" fontId="28" fillId="0" borderId="0" xfId="0" applyNumberFormat="1" applyFont="1" applyAlignment="1" applyProtection="1">
      <alignment vertical="center"/>
      <protection hidden="1"/>
    </xf>
    <xf numFmtId="3" fontId="28" fillId="8" borderId="0" xfId="0" applyNumberFormat="1" applyFont="1" applyFill="1" applyProtection="1">
      <protection hidden="1"/>
    </xf>
    <xf numFmtId="0" fontId="24" fillId="0" borderId="0" xfId="0" applyFont="1" applyProtection="1">
      <protection hidden="1"/>
    </xf>
    <xf numFmtId="3" fontId="24" fillId="0" borderId="0" xfId="0" applyNumberFormat="1" applyFont="1" applyProtection="1">
      <protection hidden="1"/>
    </xf>
    <xf numFmtId="3" fontId="24" fillId="0" borderId="0" xfId="0" applyNumberFormat="1" applyFont="1" applyAlignment="1" applyProtection="1">
      <alignment horizontal="center"/>
      <protection hidden="1"/>
    </xf>
    <xf numFmtId="3" fontId="24" fillId="0" borderId="0" xfId="0" applyNumberFormat="1" applyFont="1"/>
    <xf numFmtId="4" fontId="14" fillId="0" borderId="0" xfId="0" applyNumberFormat="1" applyFont="1" applyAlignment="1" applyProtection="1">
      <alignment horizontal="center"/>
      <protection hidden="1"/>
    </xf>
    <xf numFmtId="4" fontId="25" fillId="0" borderId="0" xfId="0" applyNumberFormat="1" applyFont="1" applyProtection="1">
      <protection hidden="1"/>
    </xf>
    <xf numFmtId="4" fontId="24" fillId="0" borderId="0" xfId="0" applyNumberFormat="1" applyFont="1" applyAlignment="1" applyProtection="1">
      <alignment horizontal="center"/>
      <protection hidden="1"/>
    </xf>
    <xf numFmtId="0" fontId="14" fillId="8" borderId="0" xfId="0" applyFont="1" applyFill="1" applyProtection="1">
      <protection hidden="1"/>
    </xf>
    <xf numFmtId="0" fontId="14" fillId="9" borderId="0" xfId="0" applyFont="1" applyFill="1" applyAlignment="1" applyProtection="1">
      <alignment horizontal="right" vertical="center"/>
      <protection hidden="1"/>
    </xf>
    <xf numFmtId="0" fontId="14" fillId="10" borderId="0" xfId="0" applyFont="1" applyFill="1" applyAlignment="1" applyProtection="1">
      <alignment horizontal="right" vertical="center"/>
      <protection hidden="1"/>
    </xf>
    <xf numFmtId="0" fontId="14" fillId="14" borderId="0" xfId="0" applyFont="1" applyFill="1" applyAlignment="1" applyProtection="1">
      <alignment horizontal="right" vertical="center"/>
      <protection hidden="1"/>
    </xf>
    <xf numFmtId="0" fontId="14" fillId="15" borderId="0" xfId="0" applyFont="1" applyFill="1" applyAlignment="1" applyProtection="1">
      <alignment horizontal="right" vertical="center"/>
      <protection hidden="1"/>
    </xf>
    <xf numFmtId="0" fontId="14" fillId="16" borderId="0" xfId="0" applyFont="1" applyFill="1" applyAlignment="1" applyProtection="1">
      <alignment horizontal="right" vertical="center"/>
      <protection hidden="1"/>
    </xf>
    <xf numFmtId="0" fontId="14" fillId="17" borderId="0" xfId="0" applyFont="1" applyFill="1" applyAlignment="1" applyProtection="1">
      <alignment horizontal="right" vertical="center"/>
      <protection hidden="1"/>
    </xf>
    <xf numFmtId="0" fontId="14" fillId="18" borderId="0" xfId="0" applyFont="1" applyFill="1" applyAlignment="1" applyProtection="1">
      <alignment horizontal="right" vertical="center"/>
      <protection hidden="1"/>
    </xf>
    <xf numFmtId="0" fontId="14" fillId="19" borderId="0" xfId="0" applyFont="1" applyFill="1" applyAlignment="1" applyProtection="1">
      <alignment horizontal="right" vertical="center"/>
      <protection hidden="1"/>
    </xf>
    <xf numFmtId="0" fontId="14" fillId="20" borderId="0" xfId="0" applyFont="1" applyFill="1" applyAlignment="1" applyProtection="1">
      <alignment horizontal="right" vertical="center"/>
      <protection hidden="1"/>
    </xf>
    <xf numFmtId="3" fontId="14" fillId="20" borderId="0" xfId="0" applyNumberFormat="1" applyFont="1" applyFill="1" applyProtection="1">
      <protection hidden="1"/>
    </xf>
    <xf numFmtId="3" fontId="25" fillId="20" borderId="0" xfId="0" applyNumberFormat="1" applyFont="1" applyFill="1" applyProtection="1">
      <protection hidden="1"/>
    </xf>
    <xf numFmtId="0" fontId="29" fillId="0" borderId="9" xfId="0" applyFont="1" applyBorder="1" applyProtection="1">
      <protection hidden="1"/>
    </xf>
    <xf numFmtId="166" fontId="29" fillId="0" borderId="9" xfId="0" applyNumberFormat="1" applyFont="1" applyBorder="1" applyAlignment="1" applyProtection="1">
      <alignment horizontal="center"/>
      <protection hidden="1"/>
    </xf>
    <xf numFmtId="4" fontId="14" fillId="0" borderId="9" xfId="0" applyNumberFormat="1" applyFont="1" applyBorder="1" applyProtection="1">
      <protection hidden="1"/>
    </xf>
    <xf numFmtId="0" fontId="14" fillId="21" borderId="0" xfId="0" applyFont="1" applyFill="1" applyAlignment="1" applyProtection="1">
      <alignment horizontal="right" vertical="center"/>
      <protection hidden="1"/>
    </xf>
    <xf numFmtId="0" fontId="13" fillId="8" borderId="0" xfId="0" applyFont="1" applyFill="1"/>
    <xf numFmtId="0" fontId="29" fillId="8" borderId="0" xfId="0" applyFont="1" applyFill="1" applyProtection="1">
      <protection hidden="1"/>
    </xf>
    <xf numFmtId="166" fontId="29" fillId="8" borderId="0" xfId="0" applyNumberFormat="1" applyFont="1" applyFill="1" applyAlignment="1" applyProtection="1">
      <alignment horizontal="center"/>
      <protection hidden="1"/>
    </xf>
    <xf numFmtId="4" fontId="14" fillId="8" borderId="0" xfId="0" applyNumberFormat="1" applyFont="1" applyFill="1" applyProtection="1">
      <protection hidden="1"/>
    </xf>
    <xf numFmtId="0" fontId="14" fillId="8" borderId="0" xfId="0" applyFont="1" applyFill="1"/>
    <xf numFmtId="0" fontId="8" fillId="8" borderId="11" xfId="0" applyFont="1" applyFill="1" applyBorder="1"/>
    <xf numFmtId="0" fontId="30" fillId="8" borderId="11" xfId="0" applyFont="1" applyFill="1" applyBorder="1" applyProtection="1">
      <protection hidden="1"/>
    </xf>
    <xf numFmtId="166" fontId="30"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8" fillId="8" borderId="0" xfId="0" applyNumberFormat="1" applyFont="1" applyFill="1" applyProtection="1">
      <protection hidden="1"/>
    </xf>
    <xf numFmtId="1" fontId="5" fillId="8" borderId="0" xfId="0" applyNumberFormat="1" applyFont="1" applyFill="1" applyProtection="1">
      <protection hidden="1"/>
    </xf>
    <xf numFmtId="166" fontId="0" fillId="0" borderId="0" xfId="0" applyNumberFormat="1" applyAlignment="1" applyProtection="1">
      <alignment horizontal="center"/>
      <protection hidden="1"/>
    </xf>
    <xf numFmtId="3" fontId="22" fillId="0" borderId="0" xfId="0" applyNumberFormat="1" applyFont="1" applyProtection="1">
      <protection hidden="1"/>
    </xf>
    <xf numFmtId="3" fontId="0" fillId="0" borderId="0" xfId="0" applyNumberFormat="1" applyProtection="1">
      <protection hidden="1"/>
    </xf>
    <xf numFmtId="0" fontId="0" fillId="0" borderId="27" xfId="0" applyBorder="1"/>
    <xf numFmtId="0" fontId="5" fillId="9" borderId="25" xfId="0" applyFont="1" applyFill="1" applyBorder="1" applyAlignment="1" applyProtection="1">
      <alignment horizontal="right" vertical="center"/>
      <protection hidden="1"/>
    </xf>
    <xf numFmtId="0" fontId="5" fillId="0" borderId="0" xfId="0" applyFont="1" applyProtection="1">
      <protection hidden="1"/>
    </xf>
    <xf numFmtId="1" fontId="0" fillId="9" borderId="0" xfId="0" applyNumberFormat="1" applyFill="1" applyProtection="1">
      <protection hidden="1"/>
    </xf>
    <xf numFmtId="3" fontId="22" fillId="9" borderId="0" xfId="0" applyNumberFormat="1" applyFont="1" applyFill="1" applyProtection="1">
      <protection hidden="1"/>
    </xf>
    <xf numFmtId="0" fontId="5" fillId="10" borderId="25" xfId="0" applyFont="1" applyFill="1" applyBorder="1" applyAlignment="1" applyProtection="1">
      <alignment horizontal="right" vertical="center"/>
      <protection hidden="1"/>
    </xf>
    <xf numFmtId="0" fontId="0" fillId="0" borderId="0" xfId="0" applyProtection="1">
      <protection hidden="1"/>
    </xf>
    <xf numFmtId="3" fontId="5" fillId="10" borderId="0" xfId="0" applyNumberFormat="1" applyFont="1" applyFill="1" applyProtection="1">
      <protection hidden="1"/>
    </xf>
    <xf numFmtId="3" fontId="5" fillId="0" borderId="0" xfId="0" applyNumberFormat="1" applyFont="1" applyProtection="1">
      <protection hidden="1"/>
    </xf>
    <xf numFmtId="3" fontId="22" fillId="10" borderId="0" xfId="0" applyNumberFormat="1" applyFont="1" applyFill="1" applyProtection="1">
      <protection hidden="1"/>
    </xf>
    <xf numFmtId="3" fontId="5" fillId="12" borderId="0" xfId="0" applyNumberFormat="1" applyFont="1" applyFill="1" applyProtection="1">
      <protection hidden="1"/>
    </xf>
    <xf numFmtId="3" fontId="22" fillId="12" borderId="0" xfId="0" applyNumberFormat="1" applyFont="1" applyFill="1" applyProtection="1">
      <protection hidden="1"/>
    </xf>
    <xf numFmtId="3" fontId="5" fillId="11" borderId="0" xfId="0" applyNumberFormat="1" applyFont="1" applyFill="1" applyProtection="1">
      <protection hidden="1"/>
    </xf>
    <xf numFmtId="3" fontId="22" fillId="11" borderId="0" xfId="0" applyNumberFormat="1" applyFont="1" applyFill="1" applyProtection="1">
      <protection hidden="1"/>
    </xf>
    <xf numFmtId="3" fontId="5" fillId="13" borderId="0" xfId="0" applyNumberFormat="1" applyFont="1" applyFill="1" applyProtection="1">
      <protection hidden="1"/>
    </xf>
    <xf numFmtId="3" fontId="22" fillId="13" borderId="0" xfId="0" applyNumberFormat="1" applyFont="1" applyFill="1" applyProtection="1">
      <protection hidden="1"/>
    </xf>
    <xf numFmtId="0" fontId="5" fillId="15" borderId="25" xfId="0" applyFont="1" applyFill="1" applyBorder="1" applyAlignment="1" applyProtection="1">
      <alignment horizontal="right" vertical="center"/>
      <protection hidden="1"/>
    </xf>
    <xf numFmtId="3" fontId="5" fillId="15" borderId="0" xfId="0" applyNumberFormat="1" applyFont="1" applyFill="1" applyProtection="1">
      <protection hidden="1"/>
    </xf>
    <xf numFmtId="3" fontId="22" fillId="15" borderId="0" xfId="0" applyNumberFormat="1" applyFont="1" applyFill="1" applyProtection="1">
      <protection hidden="1"/>
    </xf>
    <xf numFmtId="0" fontId="5" fillId="16" borderId="25" xfId="0" applyFont="1" applyFill="1" applyBorder="1" applyAlignment="1" applyProtection="1">
      <alignment horizontal="right" vertical="center"/>
      <protection hidden="1"/>
    </xf>
    <xf numFmtId="3" fontId="5" fillId="16" borderId="0" xfId="0" applyNumberFormat="1" applyFont="1" applyFill="1" applyProtection="1">
      <protection hidden="1"/>
    </xf>
    <xf numFmtId="3" fontId="22" fillId="16" borderId="0" xfId="0" applyNumberFormat="1" applyFont="1" applyFill="1" applyProtection="1">
      <protection hidden="1"/>
    </xf>
    <xf numFmtId="0" fontId="5" fillId="17" borderId="25" xfId="0" applyFont="1" applyFill="1" applyBorder="1" applyAlignment="1" applyProtection="1">
      <alignment horizontal="right" vertical="center"/>
      <protection hidden="1"/>
    </xf>
    <xf numFmtId="3" fontId="5" fillId="17" borderId="0" xfId="0" applyNumberFormat="1" applyFont="1" applyFill="1" applyProtection="1">
      <protection hidden="1"/>
    </xf>
    <xf numFmtId="3" fontId="22" fillId="17" borderId="0" xfId="0" applyNumberFormat="1" applyFont="1" applyFill="1" applyProtection="1">
      <protection hidden="1"/>
    </xf>
    <xf numFmtId="0" fontId="5" fillId="18" borderId="25" xfId="0" applyFont="1" applyFill="1" applyBorder="1" applyAlignment="1" applyProtection="1">
      <alignment horizontal="right" vertical="center"/>
      <protection hidden="1"/>
    </xf>
    <xf numFmtId="3" fontId="5" fillId="18" borderId="0" xfId="0" applyNumberFormat="1" applyFont="1" applyFill="1" applyProtection="1">
      <protection hidden="1"/>
    </xf>
    <xf numFmtId="3" fontId="22" fillId="18" borderId="0" xfId="0" applyNumberFormat="1" applyFont="1" applyFill="1" applyProtection="1">
      <protection hidden="1"/>
    </xf>
    <xf numFmtId="0" fontId="5" fillId="19" borderId="25" xfId="0" applyFont="1" applyFill="1" applyBorder="1" applyAlignment="1" applyProtection="1">
      <alignment horizontal="right" vertical="center"/>
      <protection hidden="1"/>
    </xf>
    <xf numFmtId="3" fontId="5" fillId="19" borderId="0" xfId="0" applyNumberFormat="1" applyFont="1" applyFill="1" applyProtection="1">
      <protection hidden="1"/>
    </xf>
    <xf numFmtId="3" fontId="22" fillId="19" borderId="0" xfId="0" applyNumberFormat="1" applyFont="1" applyFill="1" applyProtection="1">
      <protection hidden="1"/>
    </xf>
    <xf numFmtId="0" fontId="5" fillId="20" borderId="24" xfId="0" applyFont="1" applyFill="1" applyBorder="1" applyAlignment="1" applyProtection="1">
      <alignment horizontal="right" vertical="center"/>
      <protection hidden="1"/>
    </xf>
    <xf numFmtId="0" fontId="5" fillId="0" borderId="9" xfId="0" applyFont="1" applyBorder="1" applyProtection="1">
      <protection hidden="1"/>
    </xf>
    <xf numFmtId="166" fontId="0" fillId="0" borderId="9" xfId="0" applyNumberFormat="1" applyBorder="1" applyAlignment="1" applyProtection="1">
      <alignment horizontal="center"/>
      <protection hidden="1"/>
    </xf>
    <xf numFmtId="3" fontId="5" fillId="0" borderId="9" xfId="0" applyNumberFormat="1" applyFont="1" applyBorder="1" applyProtection="1">
      <protection hidden="1"/>
    </xf>
    <xf numFmtId="3" fontId="5" fillId="20" borderId="9" xfId="0" applyNumberFormat="1" applyFont="1" applyFill="1" applyBorder="1" applyProtection="1">
      <protection hidden="1"/>
    </xf>
    <xf numFmtId="3" fontId="22" fillId="0" borderId="9" xfId="0" applyNumberFormat="1" applyFont="1" applyBorder="1" applyProtection="1">
      <protection hidden="1"/>
    </xf>
    <xf numFmtId="3" fontId="0" fillId="0" borderId="9" xfId="0" applyNumberFormat="1" applyBorder="1" applyProtection="1">
      <protection hidden="1"/>
    </xf>
    <xf numFmtId="3" fontId="22" fillId="20" borderId="9" xfId="0" applyNumberFormat="1" applyFont="1" applyFill="1" applyBorder="1" applyProtection="1">
      <protection hidden="1"/>
    </xf>
    <xf numFmtId="3" fontId="22" fillId="20" borderId="28" xfId="0" applyNumberFormat="1" applyFont="1" applyFill="1" applyBorder="1" applyProtection="1">
      <protection hidden="1"/>
    </xf>
    <xf numFmtId="3" fontId="13" fillId="0" borderId="2" xfId="0" applyNumberFormat="1" applyFont="1" applyBorder="1" applyAlignment="1" applyProtection="1">
      <alignment horizontal="right" vertical="center"/>
      <protection hidden="1"/>
    </xf>
    <xf numFmtId="3" fontId="13" fillId="0" borderId="1" xfId="0" applyNumberFormat="1" applyFont="1" applyBorder="1" applyAlignment="1" applyProtection="1">
      <alignment horizontal="right" vertical="center"/>
      <protection hidden="1"/>
    </xf>
    <xf numFmtId="3" fontId="13" fillId="0" borderId="0" xfId="0" applyNumberFormat="1" applyFont="1" applyAlignment="1" applyProtection="1">
      <alignment horizontal="right" vertical="center"/>
      <protection hidden="1"/>
    </xf>
    <xf numFmtId="0" fontId="13" fillId="6" borderId="0" xfId="0" applyFont="1" applyFill="1" applyAlignment="1" applyProtection="1">
      <alignment horizontal="left"/>
      <protection hidden="1"/>
    </xf>
    <xf numFmtId="0" fontId="20" fillId="0" borderId="0" xfId="0" applyFont="1"/>
    <xf numFmtId="0" fontId="0" fillId="0" borderId="0" xfId="0" applyAlignment="1">
      <alignment horizontal="right"/>
    </xf>
    <xf numFmtId="0" fontId="11" fillId="0" borderId="0" xfId="0" applyFont="1" applyProtection="1">
      <protection hidden="1"/>
    </xf>
    <xf numFmtId="0" fontId="6" fillId="0" borderId="0" xfId="0" applyFont="1" applyProtection="1">
      <protection hidden="1"/>
    </xf>
    <xf numFmtId="0" fontId="7" fillId="0" borderId="0" xfId="0" applyFont="1" applyProtection="1">
      <protection hidden="1"/>
    </xf>
    <xf numFmtId="49" fontId="14" fillId="5" borderId="0" xfId="0" applyNumberFormat="1" applyFont="1" applyFill="1" applyAlignment="1">
      <alignment horizontal="center" vertical="center"/>
    </xf>
    <xf numFmtId="0" fontId="6" fillId="0" borderId="0" xfId="0" applyFont="1" applyAlignment="1">
      <alignment horizontal="center" wrapText="1"/>
    </xf>
    <xf numFmtId="0" fontId="31" fillId="6" borderId="0" xfId="0" applyFont="1" applyFill="1" applyAlignment="1">
      <alignment horizontal="center"/>
    </xf>
    <xf numFmtId="0" fontId="14" fillId="0" borderId="0" xfId="0" applyFont="1" applyAlignment="1">
      <alignment horizontal="center" vertical="center"/>
    </xf>
    <xf numFmtId="0" fontId="0" fillId="0" borderId="0" xfId="0" applyAlignment="1">
      <alignment horizontal="center"/>
    </xf>
    <xf numFmtId="0" fontId="13" fillId="0" borderId="0" xfId="0" applyFont="1" applyAlignment="1">
      <alignment horizontal="right" vertical="center"/>
    </xf>
    <xf numFmtId="0" fontId="13" fillId="0" borderId="0" xfId="0" applyFont="1" applyAlignment="1">
      <alignment vertical="center"/>
    </xf>
    <xf numFmtId="164" fontId="9" fillId="0" borderId="31" xfId="0" applyNumberFormat="1" applyFont="1" applyBorder="1" applyProtection="1">
      <protection hidden="1"/>
    </xf>
    <xf numFmtId="164" fontId="9" fillId="0" borderId="0" xfId="0" applyNumberFormat="1" applyFont="1" applyProtection="1">
      <protection hidden="1"/>
    </xf>
    <xf numFmtId="0" fontId="8" fillId="0" borderId="0" xfId="0" applyFont="1" applyAlignment="1">
      <alignment horizontal="left"/>
    </xf>
    <xf numFmtId="14" fontId="8" fillId="0" borderId="0" xfId="0" applyNumberFormat="1" applyFont="1" applyAlignment="1">
      <alignment horizontal="left"/>
    </xf>
    <xf numFmtId="3" fontId="13" fillId="2" borderId="0" xfId="0" applyNumberFormat="1" applyFont="1" applyFill="1" applyAlignment="1" applyProtection="1">
      <alignment horizontal="right" vertical="center"/>
      <protection hidden="1"/>
    </xf>
    <xf numFmtId="3" fontId="9" fillId="0" borderId="0" xfId="0" applyNumberFormat="1" applyFont="1" applyAlignment="1" applyProtection="1">
      <alignment horizontal="right" vertical="center"/>
      <protection hidden="1"/>
    </xf>
    <xf numFmtId="0" fontId="8" fillId="0" borderId="0" xfId="0" applyFont="1" applyAlignment="1">
      <alignment horizontal="center" vertical="center"/>
    </xf>
    <xf numFmtId="1" fontId="9" fillId="23" borderId="0" xfId="0" applyNumberFormat="1" applyFont="1" applyFill="1"/>
    <xf numFmtId="3" fontId="9" fillId="23" borderId="0" xfId="0" applyNumberFormat="1" applyFont="1" applyFill="1"/>
    <xf numFmtId="0" fontId="9" fillId="23" borderId="0" xfId="0" applyFont="1" applyFill="1"/>
    <xf numFmtId="164" fontId="8" fillId="0" borderId="0" xfId="0" applyNumberFormat="1" applyFont="1" applyProtection="1">
      <protection hidden="1"/>
    </xf>
    <xf numFmtId="3" fontId="8" fillId="0" borderId="0" xfId="0" applyNumberFormat="1" applyFont="1" applyProtection="1">
      <protection hidden="1"/>
    </xf>
    <xf numFmtId="0" fontId="5" fillId="0" borderId="0" xfId="0" applyFont="1"/>
    <xf numFmtId="167" fontId="9" fillId="0" borderId="0" xfId="0" applyNumberFormat="1" applyFont="1" applyAlignment="1" applyProtection="1">
      <alignment horizontal="right" vertical="center"/>
      <protection hidden="1"/>
    </xf>
    <xf numFmtId="3" fontId="13" fillId="0" borderId="0" xfId="0" applyNumberFormat="1" applyFont="1" applyAlignment="1">
      <alignment horizontal="center" vertical="center"/>
    </xf>
    <xf numFmtId="165" fontId="8" fillId="0" borderId="0" xfId="0" applyNumberFormat="1" applyFont="1" applyAlignment="1" applyProtection="1">
      <alignment horizontal="center" vertical="center"/>
      <protection hidden="1"/>
    </xf>
    <xf numFmtId="3" fontId="14" fillId="0" borderId="0" xfId="0" applyNumberFormat="1" applyFont="1" applyAlignment="1" applyProtection="1">
      <alignment horizontal="center" vertical="center"/>
      <protection hidden="1"/>
    </xf>
    <xf numFmtId="0" fontId="6" fillId="6" borderId="0" xfId="0" applyFont="1" applyFill="1" applyAlignment="1" applyProtection="1">
      <alignment horizontal="left" vertical="center"/>
      <protection hidden="1"/>
    </xf>
    <xf numFmtId="49" fontId="14" fillId="6" borderId="0" xfId="0" applyNumberFormat="1" applyFont="1" applyFill="1" applyAlignment="1">
      <alignment horizontal="center" vertical="center"/>
    </xf>
    <xf numFmtId="0" fontId="5" fillId="0" borderId="0" xfId="2"/>
    <xf numFmtId="0" fontId="5" fillId="0" borderId="0" xfId="2" applyProtection="1">
      <protection hidden="1"/>
    </xf>
    <xf numFmtId="0" fontId="8" fillId="0" borderId="0" xfId="2" applyFont="1" applyProtection="1">
      <protection hidden="1"/>
    </xf>
    <xf numFmtId="0" fontId="8" fillId="0" borderId="0" xfId="0" applyFont="1" applyAlignment="1">
      <alignment horizontal="left" vertical="center"/>
    </xf>
    <xf numFmtId="49" fontId="13" fillId="0" borderId="0" xfId="0" applyNumberFormat="1" applyFont="1" applyAlignment="1">
      <alignment horizontal="center"/>
    </xf>
    <xf numFmtId="3" fontId="9" fillId="0" borderId="0" xfId="0" applyNumberFormat="1" applyFont="1" applyAlignment="1" applyProtection="1">
      <alignment horizontal="center" vertical="center"/>
      <protection hidden="1"/>
    </xf>
    <xf numFmtId="3" fontId="9" fillId="2" borderId="0" xfId="0" applyNumberFormat="1" applyFont="1" applyFill="1" applyAlignment="1" applyProtection="1">
      <alignment horizontal="center" vertical="center"/>
      <protection hidden="1"/>
    </xf>
    <xf numFmtId="167" fontId="9" fillId="0" borderId="0" xfId="0" applyNumberFormat="1" applyFont="1"/>
    <xf numFmtId="0" fontId="6" fillId="0" borderId="0" xfId="0" applyFont="1" applyAlignment="1" applyProtection="1">
      <alignment horizontal="center" vertical="center" wrapText="1"/>
      <protection locked="0"/>
    </xf>
    <xf numFmtId="0" fontId="13" fillId="0" borderId="0" xfId="0" applyFont="1" applyAlignment="1">
      <alignment horizontal="right" vertical="center" indent="1"/>
    </xf>
    <xf numFmtId="0" fontId="13" fillId="0" borderId="0" xfId="0" applyFont="1" applyAlignment="1" applyProtection="1">
      <alignment vertical="center"/>
      <protection hidden="1"/>
    </xf>
    <xf numFmtId="0" fontId="14" fillId="0" borderId="0" xfId="0" applyFont="1" applyAlignment="1" applyProtection="1">
      <alignment vertical="center"/>
      <protection hidden="1"/>
    </xf>
    <xf numFmtId="0" fontId="9" fillId="0" borderId="0" xfId="0" applyFont="1" applyAlignment="1">
      <alignment horizontal="left" vertical="center"/>
    </xf>
    <xf numFmtId="0" fontId="10" fillId="0" borderId="0" xfId="0" applyFont="1" applyAlignment="1">
      <alignment horizontal="left" vertical="center"/>
    </xf>
    <xf numFmtId="10" fontId="14" fillId="0" borderId="0" xfId="0" applyNumberFormat="1" applyFont="1"/>
    <xf numFmtId="167" fontId="14" fillId="3" borderId="15" xfId="0" applyNumberFormat="1" applyFont="1" applyFill="1" applyBorder="1" applyAlignment="1" applyProtection="1">
      <alignment horizontal="center" vertical="center"/>
      <protection hidden="1"/>
    </xf>
    <xf numFmtId="3" fontId="14" fillId="3" borderId="8" xfId="0" applyNumberFormat="1" applyFont="1" applyFill="1" applyBorder="1" applyAlignment="1" applyProtection="1">
      <alignment horizontal="center" vertical="center"/>
      <protection hidden="1"/>
    </xf>
    <xf numFmtId="164" fontId="14" fillId="3" borderId="8" xfId="1" applyNumberFormat="1" applyFont="1" applyFill="1" applyBorder="1" applyAlignment="1" applyProtection="1">
      <alignment horizontal="center" vertical="center"/>
      <protection hidden="1"/>
    </xf>
    <xf numFmtId="3" fontId="14" fillId="0" borderId="8" xfId="0" applyNumberFormat="1" applyFont="1" applyBorder="1" applyAlignment="1" applyProtection="1">
      <alignment horizontal="center" vertical="center"/>
      <protection hidden="1"/>
    </xf>
    <xf numFmtId="3" fontId="14" fillId="3" borderId="44" xfId="0" applyNumberFormat="1" applyFont="1" applyFill="1" applyBorder="1" applyAlignment="1" applyProtection="1">
      <alignment horizontal="center" vertical="center"/>
      <protection hidden="1"/>
    </xf>
    <xf numFmtId="0" fontId="5" fillId="2" borderId="0" xfId="0" applyFont="1" applyFill="1"/>
    <xf numFmtId="3" fontId="5" fillId="2" borderId="0" xfId="0" applyNumberFormat="1" applyFont="1" applyFill="1"/>
    <xf numFmtId="0" fontId="5" fillId="2" borderId="0" xfId="0" applyFont="1" applyFill="1" applyAlignment="1">
      <alignment vertical="center"/>
    </xf>
    <xf numFmtId="3" fontId="5" fillId="2" borderId="0" xfId="0" applyNumberFormat="1" applyFont="1" applyFill="1" applyAlignment="1">
      <alignment vertical="center"/>
    </xf>
    <xf numFmtId="3" fontId="5" fillId="2" borderId="0" xfId="0" applyNumberFormat="1" applyFont="1" applyFill="1" applyAlignment="1" applyProtection="1">
      <alignment vertical="center"/>
      <protection hidden="1"/>
    </xf>
    <xf numFmtId="3" fontId="5" fillId="3" borderId="8" xfId="0" applyNumberFormat="1" applyFont="1" applyFill="1" applyBorder="1" applyAlignment="1" applyProtection="1">
      <alignment horizontal="center" vertical="center"/>
      <protection hidden="1"/>
    </xf>
    <xf numFmtId="3" fontId="14" fillId="0" borderId="0" xfId="0" applyNumberFormat="1" applyFont="1" applyAlignment="1">
      <alignment horizontal="center" vertical="center"/>
    </xf>
    <xf numFmtId="3" fontId="5" fillId="0" borderId="0" xfId="0" applyNumberFormat="1" applyFont="1" applyAlignment="1">
      <alignment horizontal="left" vertical="center"/>
    </xf>
    <xf numFmtId="0" fontId="13" fillId="0" borderId="0" xfId="0" applyFont="1"/>
    <xf numFmtId="17" fontId="13" fillId="0" borderId="0" xfId="0" applyNumberFormat="1" applyFont="1"/>
    <xf numFmtId="1" fontId="13" fillId="0" borderId="0" xfId="0" applyNumberFormat="1" applyFont="1"/>
    <xf numFmtId="3" fontId="13" fillId="0" borderId="0" xfId="0" applyNumberFormat="1" applyFont="1"/>
    <xf numFmtId="0" fontId="14" fillId="24" borderId="0" xfId="0" applyFont="1" applyFill="1"/>
    <xf numFmtId="3" fontId="14" fillId="24" borderId="0" xfId="0" applyNumberFormat="1" applyFont="1" applyFill="1"/>
    <xf numFmtId="3" fontId="14" fillId="0" borderId="0" xfId="0" applyNumberFormat="1" applyFont="1"/>
    <xf numFmtId="0" fontId="37" fillId="6" borderId="0" xfId="0" applyFont="1" applyFill="1" applyAlignment="1">
      <alignment horizontal="center" vertical="center"/>
    </xf>
    <xf numFmtId="0" fontId="37" fillId="6" borderId="0" xfId="0" applyFont="1" applyFill="1" applyAlignment="1">
      <alignment horizontal="center"/>
    </xf>
    <xf numFmtId="0" fontId="8" fillId="0" borderId="0" xfId="2" applyFont="1"/>
    <xf numFmtId="0" fontId="5" fillId="0" borderId="25" xfId="2" applyBorder="1" applyProtection="1">
      <protection hidden="1"/>
    </xf>
    <xf numFmtId="3" fontId="22" fillId="0" borderId="39" xfId="2" applyNumberFormat="1" applyFont="1" applyBorder="1" applyProtection="1">
      <protection hidden="1"/>
    </xf>
    <xf numFmtId="3" fontId="5" fillId="0" borderId="27" xfId="2" applyNumberFormat="1" applyBorder="1" applyProtection="1">
      <protection hidden="1"/>
    </xf>
    <xf numFmtId="3" fontId="5" fillId="0" borderId="8" xfId="2" applyNumberFormat="1" applyBorder="1" applyProtection="1">
      <protection hidden="1"/>
    </xf>
    <xf numFmtId="3" fontId="8" fillId="0" borderId="49" xfId="2" applyNumberFormat="1" applyFont="1" applyBorder="1" applyProtection="1">
      <protection hidden="1"/>
    </xf>
    <xf numFmtId="3" fontId="22" fillId="0" borderId="0" xfId="2" applyNumberFormat="1" applyFont="1" applyProtection="1">
      <protection hidden="1"/>
    </xf>
    <xf numFmtId="3" fontId="22" fillId="0" borderId="0" xfId="2" applyNumberFormat="1" applyFont="1" applyAlignment="1" applyProtection="1">
      <alignment horizontal="right"/>
      <protection hidden="1"/>
    </xf>
    <xf numFmtId="0" fontId="5" fillId="15" borderId="22" xfId="2" applyFill="1" applyBorder="1" applyProtection="1">
      <protection hidden="1"/>
    </xf>
    <xf numFmtId="166" fontId="5" fillId="15" borderId="50" xfId="2" applyNumberFormat="1" applyFill="1" applyBorder="1" applyAlignment="1" applyProtection="1">
      <alignment horizontal="center"/>
      <protection hidden="1"/>
    </xf>
    <xf numFmtId="17" fontId="22" fillId="15" borderId="47" xfId="2" applyNumberFormat="1" applyFont="1" applyFill="1" applyBorder="1" applyAlignment="1" applyProtection="1">
      <alignment horizontal="center"/>
      <protection hidden="1"/>
    </xf>
    <xf numFmtId="3" fontId="22" fillId="15" borderId="51" xfId="2" applyNumberFormat="1" applyFont="1" applyFill="1" applyBorder="1" applyAlignment="1" applyProtection="1">
      <alignment horizontal="center"/>
      <protection hidden="1"/>
    </xf>
    <xf numFmtId="0" fontId="5" fillId="0" borderId="52" xfId="2" applyBorder="1" applyProtection="1">
      <protection hidden="1"/>
    </xf>
    <xf numFmtId="164" fontId="0" fillId="0" borderId="13" xfId="1" applyNumberFormat="1" applyFont="1" applyBorder="1" applyAlignment="1" applyProtection="1">
      <alignment horizontal="center"/>
      <protection hidden="1"/>
    </xf>
    <xf numFmtId="3" fontId="22" fillId="0" borderId="20" xfId="2" applyNumberFormat="1" applyFont="1" applyBorder="1" applyProtection="1">
      <protection hidden="1"/>
    </xf>
    <xf numFmtId="3" fontId="5" fillId="0" borderId="38" xfId="2" applyNumberFormat="1" applyBorder="1" applyProtection="1">
      <protection hidden="1"/>
    </xf>
    <xf numFmtId="0" fontId="5" fillId="0" borderId="53" xfId="2" applyBorder="1" applyProtection="1">
      <protection hidden="1"/>
    </xf>
    <xf numFmtId="164" fontId="0" fillId="0" borderId="17" xfId="1" applyNumberFormat="1" applyFont="1" applyBorder="1" applyAlignment="1" applyProtection="1">
      <alignment horizontal="center"/>
      <protection hidden="1"/>
    </xf>
    <xf numFmtId="3" fontId="22" fillId="0" borderId="29" xfId="2" applyNumberFormat="1" applyFont="1" applyBorder="1" applyProtection="1">
      <protection hidden="1"/>
    </xf>
    <xf numFmtId="3" fontId="5"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5" fillId="0" borderId="0" xfId="2" applyNumberFormat="1" applyAlignment="1" applyProtection="1">
      <alignment horizontal="center"/>
      <protection hidden="1"/>
    </xf>
    <xf numFmtId="167" fontId="22" fillId="0" borderId="0" xfId="2" applyNumberFormat="1" applyFont="1" applyProtection="1">
      <protection hidden="1"/>
    </xf>
    <xf numFmtId="167" fontId="5" fillId="0" borderId="0" xfId="2" applyNumberFormat="1" applyProtection="1">
      <protection hidden="1"/>
    </xf>
    <xf numFmtId="3" fontId="5" fillId="0" borderId="0" xfId="2" applyNumberFormat="1" applyProtection="1">
      <protection hidden="1"/>
    </xf>
    <xf numFmtId="17" fontId="5" fillId="15" borderId="23" xfId="2" applyNumberFormat="1" applyFill="1" applyBorder="1" applyAlignment="1" applyProtection="1">
      <alignment horizontal="center"/>
      <protection hidden="1"/>
    </xf>
    <xf numFmtId="0" fontId="5" fillId="15" borderId="2" xfId="2" applyFill="1" applyBorder="1" applyAlignment="1" applyProtection="1">
      <alignment horizontal="center"/>
      <protection hidden="1"/>
    </xf>
    <xf numFmtId="0" fontId="30" fillId="0" borderId="37" xfId="2" applyFont="1" applyBorder="1" applyProtection="1">
      <protection hidden="1"/>
    </xf>
    <xf numFmtId="3" fontId="5" fillId="0" borderId="20" xfId="2" applyNumberFormat="1" applyBorder="1" applyProtection="1">
      <protection hidden="1"/>
    </xf>
    <xf numFmtId="0" fontId="30" fillId="0" borderId="35" xfId="2" applyFont="1" applyBorder="1" applyProtection="1">
      <protection hidden="1"/>
    </xf>
    <xf numFmtId="166" fontId="30" fillId="0" borderId="16" xfId="2" applyNumberFormat="1" applyFont="1" applyBorder="1" applyAlignment="1" applyProtection="1">
      <alignment horizontal="center"/>
      <protection hidden="1"/>
    </xf>
    <xf numFmtId="3" fontId="5" fillId="0" borderId="21" xfId="2" applyNumberFormat="1" applyBorder="1" applyProtection="1">
      <protection hidden="1"/>
    </xf>
    <xf numFmtId="0" fontId="30" fillId="0" borderId="25" xfId="2" applyFont="1" applyBorder="1" applyProtection="1">
      <protection hidden="1"/>
    </xf>
    <xf numFmtId="3" fontId="5" fillId="0" borderId="39" xfId="2" applyNumberFormat="1" applyBorder="1" applyProtection="1">
      <protection hidden="1"/>
    </xf>
    <xf numFmtId="166" fontId="30" fillId="0" borderId="14" xfId="2" applyNumberFormat="1" applyFont="1" applyBorder="1" applyAlignment="1" applyProtection="1">
      <alignment horizontal="center"/>
      <protection hidden="1"/>
    </xf>
    <xf numFmtId="3" fontId="5" fillId="0" borderId="54" xfId="2" applyNumberFormat="1" applyBorder="1" applyProtection="1">
      <protection hidden="1"/>
    </xf>
    <xf numFmtId="3" fontId="5" fillId="0" borderId="0" xfId="2" applyNumberFormat="1"/>
    <xf numFmtId="0" fontId="43" fillId="0" borderId="8" xfId="2" applyFont="1" applyBorder="1" applyAlignment="1">
      <alignment horizontal="left"/>
    </xf>
    <xf numFmtId="166" fontId="44" fillId="0" borderId="8" xfId="2" applyNumberFormat="1" applyFont="1" applyBorder="1" applyAlignment="1" applyProtection="1">
      <alignment horizontal="right"/>
      <protection hidden="1"/>
    </xf>
    <xf numFmtId="0" fontId="43" fillId="0" borderId="8" xfId="2" applyFont="1" applyBorder="1" applyAlignment="1" applyProtection="1">
      <alignment horizontal="left"/>
      <protection hidden="1"/>
    </xf>
    <xf numFmtId="0" fontId="13" fillId="0" borderId="0" xfId="2" applyFont="1" applyAlignment="1" applyProtection="1">
      <alignment horizontal="left"/>
      <protection hidden="1"/>
    </xf>
    <xf numFmtId="3" fontId="38"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4"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3" fillId="0" borderId="8" xfId="0" applyFont="1" applyBorder="1" applyAlignment="1">
      <alignment vertical="center"/>
    </xf>
    <xf numFmtId="0" fontId="5"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4" fillId="0" borderId="5" xfId="0" applyFont="1" applyBorder="1" applyAlignment="1">
      <alignment horizontal="center" vertical="center"/>
    </xf>
    <xf numFmtId="3" fontId="14" fillId="0" borderId="0" xfId="2" applyNumberFormat="1" applyFont="1" applyProtection="1">
      <protection hidden="1"/>
    </xf>
    <xf numFmtId="3" fontId="42" fillId="0" borderId="8" xfId="0" applyNumberFormat="1" applyFont="1" applyBorder="1" applyAlignment="1" applyProtection="1">
      <alignment horizontal="center" vertical="center"/>
      <protection hidden="1"/>
    </xf>
    <xf numFmtId="3" fontId="0" fillId="0" borderId="0" xfId="1" applyNumberFormat="1" applyFont="1" applyBorder="1"/>
    <xf numFmtId="166" fontId="30" fillId="0" borderId="20" xfId="2" applyNumberFormat="1" applyFont="1" applyBorder="1" applyAlignment="1" applyProtection="1">
      <alignment horizontal="center"/>
      <protection hidden="1"/>
    </xf>
    <xf numFmtId="166" fontId="30" fillId="0" borderId="39" xfId="2" applyNumberFormat="1" applyFont="1" applyBorder="1" applyAlignment="1" applyProtection="1">
      <alignment horizontal="center"/>
      <protection hidden="1"/>
    </xf>
    <xf numFmtId="166" fontId="30" fillId="0" borderId="29" xfId="2" applyNumberFormat="1" applyFont="1" applyBorder="1" applyAlignment="1" applyProtection="1">
      <alignment horizontal="center"/>
      <protection hidden="1"/>
    </xf>
    <xf numFmtId="0" fontId="8" fillId="0" borderId="24" xfId="2" applyFont="1" applyBorder="1" applyProtection="1">
      <protection hidden="1"/>
    </xf>
    <xf numFmtId="0" fontId="8" fillId="0" borderId="9" xfId="2" applyFont="1" applyBorder="1" applyProtection="1">
      <protection hidden="1"/>
    </xf>
    <xf numFmtId="3" fontId="8" fillId="0" borderId="55" xfId="2" applyNumberFormat="1" applyFont="1" applyBorder="1" applyProtection="1">
      <protection hidden="1"/>
    </xf>
    <xf numFmtId="3" fontId="8" fillId="0" borderId="4" xfId="2" applyNumberFormat="1" applyFont="1" applyBorder="1" applyProtection="1">
      <protection hidden="1"/>
    </xf>
    <xf numFmtId="166" fontId="8" fillId="0" borderId="9" xfId="2" applyNumberFormat="1" applyFont="1" applyBorder="1" applyAlignment="1" applyProtection="1">
      <alignment horizontal="center"/>
      <protection hidden="1"/>
    </xf>
    <xf numFmtId="3" fontId="46" fillId="0" borderId="9" xfId="2" applyNumberFormat="1" applyFont="1" applyBorder="1" applyProtection="1">
      <protection hidden="1"/>
    </xf>
    <xf numFmtId="0" fontId="47" fillId="0" borderId="0" xfId="2" applyFont="1" applyProtection="1">
      <protection hidden="1"/>
    </xf>
    <xf numFmtId="2" fontId="9" fillId="0" borderId="3" xfId="0" applyNumberFormat="1" applyFont="1" applyBorder="1" applyAlignment="1">
      <alignment horizontal="left" vertical="center"/>
    </xf>
    <xf numFmtId="167" fontId="14" fillId="0" borderId="0" xfId="0" applyNumberFormat="1" applyFont="1" applyAlignment="1" applyProtection="1">
      <alignment horizontal="center" vertical="center"/>
      <protection hidden="1"/>
    </xf>
    <xf numFmtId="0" fontId="0" fillId="0" borderId="0" xfId="0" applyProtection="1">
      <protection locked="0"/>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9" fillId="0" borderId="5" xfId="0" applyFont="1" applyBorder="1" applyAlignment="1">
      <alignment horizontal="left" vertical="center"/>
    </xf>
    <xf numFmtId="0" fontId="5" fillId="0" borderId="5" xfId="0" applyFont="1" applyBorder="1" applyAlignment="1">
      <alignment horizontal="left" vertical="center"/>
    </xf>
    <xf numFmtId="3" fontId="14" fillId="0" borderId="29" xfId="0" applyNumberFormat="1" applyFont="1" applyBorder="1" applyAlignment="1" applyProtection="1">
      <alignment horizontal="center" vertical="center"/>
      <protection hidden="1"/>
    </xf>
    <xf numFmtId="0" fontId="14" fillId="0" borderId="42" xfId="0" applyFont="1" applyBorder="1" applyAlignment="1">
      <alignment horizontal="left" vertical="center"/>
    </xf>
    <xf numFmtId="3" fontId="14" fillId="3" borderId="39" xfId="0" applyNumberFormat="1" applyFont="1" applyFill="1" applyBorder="1" applyAlignment="1" applyProtection="1">
      <alignment horizontal="center" vertical="center"/>
      <protection hidden="1"/>
    </xf>
    <xf numFmtId="0" fontId="43" fillId="0" borderId="5" xfId="0" applyFont="1" applyBorder="1" applyAlignment="1">
      <alignment horizontal="left" vertical="center"/>
    </xf>
    <xf numFmtId="3" fontId="9" fillId="3" borderId="8" xfId="0" applyNumberFormat="1" applyFont="1" applyFill="1" applyBorder="1" applyAlignment="1" applyProtection="1">
      <alignment horizontal="center" vertical="center"/>
      <protection hidden="1"/>
    </xf>
    <xf numFmtId="49" fontId="9" fillId="0" borderId="5" xfId="0" applyNumberFormat="1" applyFont="1" applyBorder="1" applyAlignment="1">
      <alignment horizontal="left" vertical="center"/>
    </xf>
    <xf numFmtId="0" fontId="9" fillId="0" borderId="5" xfId="0" applyFont="1" applyBorder="1" applyAlignment="1">
      <alignment vertical="center"/>
    </xf>
    <xf numFmtId="2" fontId="14" fillId="0" borderId="3" xfId="0" applyNumberFormat="1" applyFont="1" applyBorder="1" applyAlignment="1">
      <alignment horizontal="left" vertical="center"/>
    </xf>
    <xf numFmtId="0" fontId="43" fillId="0" borderId="6" xfId="0" applyFont="1" applyBorder="1" applyAlignment="1">
      <alignment horizontal="left" vertical="center"/>
    </xf>
    <xf numFmtId="0" fontId="43" fillId="0" borderId="3" xfId="0" applyFont="1" applyBorder="1" applyAlignment="1">
      <alignment horizontal="right" vertical="center"/>
    </xf>
    <xf numFmtId="0" fontId="42" fillId="0" borderId="3" xfId="0" applyFont="1" applyBorder="1" applyAlignment="1">
      <alignment horizontal="left" vertical="center"/>
    </xf>
    <xf numFmtId="3" fontId="9" fillId="4" borderId="8" xfId="0" applyNumberFormat="1" applyFont="1" applyFill="1" applyBorder="1" applyAlignment="1" applyProtection="1">
      <alignment horizontal="center" vertical="center"/>
      <protection locked="0"/>
    </xf>
    <xf numFmtId="14" fontId="8" fillId="4" borderId="0" xfId="0" applyNumberFormat="1" applyFont="1" applyFill="1" applyAlignment="1" applyProtection="1">
      <alignment horizontal="left" vertical="center"/>
      <protection locked="0"/>
    </xf>
    <xf numFmtId="3" fontId="14" fillId="4" borderId="8" xfId="0" applyNumberFormat="1" applyFont="1" applyFill="1" applyBorder="1" applyAlignment="1" applyProtection="1">
      <alignment horizontal="center" vertical="center"/>
      <protection locked="0"/>
    </xf>
    <xf numFmtId="3" fontId="5" fillId="26" borderId="45" xfId="0" applyNumberFormat="1" applyFont="1" applyFill="1" applyBorder="1" applyAlignment="1" applyProtection="1">
      <alignment horizontal="center" vertical="center"/>
      <protection hidden="1"/>
    </xf>
    <xf numFmtId="3" fontId="5" fillId="26" borderId="46" xfId="0" applyNumberFormat="1" applyFont="1" applyFill="1" applyBorder="1" applyAlignment="1" applyProtection="1">
      <alignment horizontal="center" vertical="center"/>
      <protection hidden="1"/>
    </xf>
    <xf numFmtId="0" fontId="8" fillId="27" borderId="46" xfId="0" applyFont="1" applyFill="1" applyBorder="1" applyAlignment="1">
      <alignment vertical="center"/>
    </xf>
    <xf numFmtId="3" fontId="5" fillId="27" borderId="45" xfId="0" applyNumberFormat="1" applyFont="1" applyFill="1" applyBorder="1" applyAlignment="1" applyProtection="1">
      <alignment horizontal="center" vertical="center"/>
      <protection hidden="1"/>
    </xf>
    <xf numFmtId="3" fontId="5" fillId="5" borderId="8" xfId="0" applyNumberFormat="1" applyFont="1" applyFill="1" applyBorder="1" applyAlignment="1" applyProtection="1">
      <alignment horizontal="center" vertical="center"/>
      <protection hidden="1"/>
    </xf>
    <xf numFmtId="0" fontId="37" fillId="25" borderId="3" xfId="0" applyFont="1" applyFill="1" applyBorder="1" applyAlignment="1">
      <alignment horizontal="center" vertical="center"/>
    </xf>
    <xf numFmtId="9" fontId="13" fillId="4" borderId="8" xfId="0" applyNumberFormat="1" applyFont="1" applyFill="1" applyBorder="1" applyAlignment="1" applyProtection="1">
      <alignment horizontal="center" vertical="center"/>
      <protection locked="0"/>
    </xf>
    <xf numFmtId="1" fontId="13" fillId="4" borderId="8" xfId="0" applyNumberFormat="1" applyFont="1" applyFill="1" applyBorder="1" applyAlignment="1" applyProtection="1">
      <alignment horizontal="center" vertical="center"/>
      <protection locked="0"/>
    </xf>
    <xf numFmtId="166" fontId="14" fillId="4" borderId="8" xfId="0" applyNumberFormat="1" applyFont="1" applyFill="1" applyBorder="1" applyAlignment="1" applyProtection="1">
      <alignment horizontal="center" vertical="center"/>
      <protection locked="0"/>
    </xf>
    <xf numFmtId="3" fontId="14" fillId="4" borderId="43" xfId="0" applyNumberFormat="1" applyFont="1" applyFill="1" applyBorder="1" applyAlignment="1" applyProtection="1">
      <alignment horizontal="center" vertical="center"/>
      <protection locked="0"/>
    </xf>
    <xf numFmtId="3" fontId="14" fillId="4" borderId="39" xfId="0" applyNumberFormat="1" applyFont="1" applyFill="1" applyBorder="1" applyAlignment="1" applyProtection="1">
      <alignment horizontal="center" vertical="center"/>
      <protection locked="0"/>
    </xf>
    <xf numFmtId="164" fontId="9" fillId="4" borderId="8" xfId="1" applyNumberFormat="1" applyFont="1" applyFill="1" applyBorder="1" applyAlignment="1" applyProtection="1">
      <alignment horizontal="center" vertical="center"/>
      <protection locked="0"/>
    </xf>
    <xf numFmtId="10" fontId="9" fillId="4" borderId="8" xfId="1" applyNumberFormat="1" applyFont="1" applyFill="1" applyBorder="1" applyAlignment="1" applyProtection="1">
      <alignment horizontal="center" vertical="center"/>
      <protection locked="0"/>
    </xf>
    <xf numFmtId="0" fontId="6" fillId="0" borderId="0" xfId="0" applyFont="1" applyAlignment="1">
      <alignment vertical="center"/>
    </xf>
    <xf numFmtId="17" fontId="37" fillId="25" borderId="8" xfId="0" applyNumberFormat="1" applyFont="1" applyFill="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0" fontId="49"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4" fillId="4" borderId="0" xfId="0" applyNumberFormat="1" applyFont="1" applyFill="1" applyAlignment="1" applyProtection="1">
      <alignment horizontal="center" vertical="center"/>
      <protection locked="0"/>
    </xf>
    <xf numFmtId="0" fontId="13" fillId="0" borderId="0" xfId="0" applyFont="1" applyAlignment="1">
      <alignment horizontal="left" vertical="center"/>
    </xf>
    <xf numFmtId="0" fontId="6" fillId="0" borderId="0" xfId="0" applyFont="1" applyAlignment="1">
      <alignment horizontal="left"/>
    </xf>
    <xf numFmtId="3" fontId="9" fillId="0" borderId="8" xfId="0" applyNumberFormat="1" applyFont="1" applyBorder="1" applyAlignment="1" applyProtection="1">
      <alignment horizontal="center" vertical="center"/>
      <protection hidden="1"/>
    </xf>
    <xf numFmtId="3" fontId="14" fillId="0" borderId="8" xfId="0" applyNumberFormat="1" applyFont="1"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right" vertical="center"/>
    </xf>
    <xf numFmtId="10" fontId="5" fillId="23" borderId="8" xfId="1" applyNumberFormat="1" applyFont="1" applyFill="1" applyBorder="1" applyAlignment="1">
      <alignment horizontal="center"/>
    </xf>
    <xf numFmtId="0" fontId="8" fillId="0" borderId="0" xfId="0" applyFont="1" applyAlignment="1">
      <alignment horizontal="right"/>
    </xf>
    <xf numFmtId="3" fontId="5"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30" fillId="0" borderId="12" xfId="1" applyNumberFormat="1" applyFont="1" applyBorder="1" applyAlignment="1" applyProtection="1">
      <alignment horizontal="center"/>
      <protection hidden="1"/>
    </xf>
    <xf numFmtId="0" fontId="5" fillId="0" borderId="0" xfId="0" applyFont="1" applyAlignment="1">
      <alignment horizontal="left"/>
    </xf>
    <xf numFmtId="14" fontId="5" fillId="0" borderId="0" xfId="0" applyNumberFormat="1" applyFont="1" applyAlignment="1">
      <alignment horizontal="left"/>
    </xf>
    <xf numFmtId="0" fontId="0" fillId="0" borderId="0" xfId="0" applyAlignment="1">
      <alignment horizontal="left" vertical="center"/>
    </xf>
    <xf numFmtId="0" fontId="5" fillId="0" borderId="0" xfId="0" applyFont="1" applyAlignment="1">
      <alignment horizontal="left" vertical="center"/>
    </xf>
    <xf numFmtId="167" fontId="9" fillId="0" borderId="69" xfId="0" applyNumberFormat="1" applyFont="1" applyBorder="1" applyAlignment="1" applyProtection="1">
      <alignment horizontal="center" vertical="center"/>
      <protection hidden="1"/>
    </xf>
    <xf numFmtId="3" fontId="13" fillId="0" borderId="69" xfId="0" applyNumberFormat="1" applyFont="1" applyBorder="1" applyAlignment="1" applyProtection="1">
      <alignment horizontal="center" vertical="center"/>
      <protection hidden="1"/>
    </xf>
    <xf numFmtId="167" fontId="9" fillId="0" borderId="69" xfId="0" applyNumberFormat="1" applyFont="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4" fontId="9" fillId="0" borderId="69" xfId="0" applyNumberFormat="1" applyFont="1" applyBorder="1" applyAlignment="1" applyProtection="1">
      <alignment horizontal="center" vertical="center"/>
      <protection hidden="1"/>
    </xf>
    <xf numFmtId="4" fontId="9" fillId="2" borderId="69" xfId="0" applyNumberFormat="1" applyFont="1" applyFill="1" applyBorder="1" applyAlignment="1" applyProtection="1">
      <alignment horizontal="center" vertical="center"/>
      <protection hidden="1"/>
    </xf>
    <xf numFmtId="3" fontId="9" fillId="4" borderId="69" xfId="0" applyNumberFormat="1" applyFont="1" applyFill="1" applyBorder="1" applyAlignment="1" applyProtection="1">
      <alignment horizontal="center" vertical="center"/>
      <protection locked="0"/>
    </xf>
    <xf numFmtId="164" fontId="9" fillId="0" borderId="69" xfId="0" applyNumberFormat="1" applyFont="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0" borderId="69" xfId="0" applyFont="1" applyBorder="1" applyAlignment="1">
      <alignment horizontal="right" vertical="center"/>
    </xf>
    <xf numFmtId="1" fontId="13" fillId="0" borderId="0" xfId="0" applyNumberFormat="1" applyFont="1" applyAlignment="1">
      <alignment horizontal="center" vertical="center"/>
    </xf>
    <xf numFmtId="1" fontId="13" fillId="0" borderId="83" xfId="0" applyNumberFormat="1" applyFont="1" applyBorder="1" applyAlignment="1">
      <alignment horizontal="center" vertical="center"/>
    </xf>
    <xf numFmtId="1" fontId="13" fillId="0" borderId="76" xfId="0" applyNumberFormat="1" applyFont="1" applyBorder="1" applyAlignment="1">
      <alignment horizontal="center" vertical="center"/>
    </xf>
    <xf numFmtId="0" fontId="14" fillId="8" borderId="76" xfId="0" applyFont="1" applyFill="1" applyBorder="1" applyAlignment="1">
      <alignment vertical="center"/>
    </xf>
    <xf numFmtId="0" fontId="14" fillId="8" borderId="83" xfId="0" applyFont="1" applyFill="1" applyBorder="1" applyAlignment="1">
      <alignment vertical="center"/>
    </xf>
    <xf numFmtId="0" fontId="14" fillId="8" borderId="84" xfId="0" applyFont="1" applyFill="1" applyBorder="1" applyAlignment="1">
      <alignment vertical="center"/>
    </xf>
    <xf numFmtId="0" fontId="13" fillId="0" borderId="89" xfId="0" applyFont="1" applyBorder="1" applyAlignment="1">
      <alignment horizontal="center" vertical="center"/>
    </xf>
    <xf numFmtId="1" fontId="13" fillId="0" borderId="90" xfId="0" applyNumberFormat="1" applyFont="1" applyBorder="1" applyAlignment="1">
      <alignment horizontal="center" vertical="center"/>
    </xf>
    <xf numFmtId="0" fontId="13" fillId="0" borderId="75" xfId="0" applyFont="1" applyBorder="1" applyAlignment="1">
      <alignment horizontal="center" vertical="center"/>
    </xf>
    <xf numFmtId="0" fontId="13" fillId="0" borderId="96" xfId="0" applyFont="1" applyBorder="1" applyAlignment="1">
      <alignment vertical="center"/>
    </xf>
    <xf numFmtId="0" fontId="0" fillId="0" borderId="96" xfId="0" applyBorder="1" applyAlignment="1">
      <alignment vertical="center"/>
    </xf>
    <xf numFmtId="3" fontId="14" fillId="0" borderId="77" xfId="0" applyNumberFormat="1" applyFont="1" applyBorder="1" applyAlignment="1" applyProtection="1">
      <alignment horizontal="center" vertical="center"/>
      <protection hidden="1"/>
    </xf>
    <xf numFmtId="0" fontId="13" fillId="3" borderId="75" xfId="0" applyFont="1" applyFill="1" applyBorder="1" applyAlignment="1">
      <alignment horizontal="center" vertical="center"/>
    </xf>
    <xf numFmtId="0" fontId="13" fillId="3" borderId="96" xfId="0" applyFont="1" applyFill="1" applyBorder="1" applyAlignment="1">
      <alignment horizontal="left" vertical="center"/>
    </xf>
    <xf numFmtId="0" fontId="0" fillId="3" borderId="96" xfId="0" applyFill="1" applyBorder="1" applyAlignment="1">
      <alignment horizontal="left" vertical="center"/>
    </xf>
    <xf numFmtId="165" fontId="13" fillId="3" borderId="77" xfId="0" applyNumberFormat="1" applyFont="1" applyFill="1" applyBorder="1" applyAlignment="1" applyProtection="1">
      <alignment horizontal="center" vertical="center"/>
      <protection hidden="1"/>
    </xf>
    <xf numFmtId="3" fontId="14" fillId="0" borderId="69" xfId="0" applyNumberFormat="1" applyFont="1" applyBorder="1" applyAlignment="1" applyProtection="1">
      <alignment horizontal="center" vertical="center"/>
      <protection hidden="1"/>
    </xf>
    <xf numFmtId="165" fontId="13" fillId="3" borderId="69" xfId="0" applyNumberFormat="1" applyFont="1" applyFill="1" applyBorder="1" applyAlignment="1" applyProtection="1">
      <alignment horizontal="center" vertical="center"/>
      <protection hidden="1"/>
    </xf>
    <xf numFmtId="164" fontId="14" fillId="4" borderId="69" xfId="0" applyNumberFormat="1" applyFont="1" applyFill="1" applyBorder="1" applyAlignment="1" applyProtection="1">
      <alignment horizontal="center" vertical="center"/>
      <protection locked="0"/>
    </xf>
    <xf numFmtId="164" fontId="14" fillId="4" borderId="76" xfId="0" applyNumberFormat="1" applyFont="1" applyFill="1" applyBorder="1" applyAlignment="1" applyProtection="1">
      <alignment horizontal="center" vertical="center"/>
      <protection locked="0"/>
    </xf>
    <xf numFmtId="1" fontId="13" fillId="0" borderId="69" xfId="0" applyNumberFormat="1" applyFont="1" applyBorder="1" applyAlignment="1">
      <alignment horizontal="center" vertical="center"/>
    </xf>
    <xf numFmtId="0" fontId="14" fillId="0" borderId="68" xfId="0" applyFont="1" applyBorder="1" applyAlignment="1">
      <alignment vertical="center"/>
    </xf>
    <xf numFmtId="166" fontId="9" fillId="0" borderId="3" xfId="0" applyNumberFormat="1" applyFont="1" applyBorder="1" applyAlignment="1">
      <alignment horizontal="center" vertical="center"/>
    </xf>
    <xf numFmtId="0" fontId="9" fillId="0" borderId="69" xfId="0" applyFont="1" applyBorder="1" applyAlignment="1" applyProtection="1">
      <alignment horizontal="center" vertical="center"/>
      <protection hidden="1"/>
    </xf>
    <xf numFmtId="3" fontId="19" fillId="0" borderId="69" xfId="0" applyNumberFormat="1" applyFont="1" applyBorder="1" applyAlignment="1" applyProtection="1">
      <alignment horizontal="center" vertical="center"/>
      <protection hidden="1"/>
    </xf>
    <xf numFmtId="3" fontId="14" fillId="4" borderId="69" xfId="0" applyNumberFormat="1" applyFont="1" applyFill="1" applyBorder="1" applyAlignment="1" applyProtection="1">
      <alignment horizontal="center" vertical="center"/>
      <protection locked="0"/>
    </xf>
    <xf numFmtId="3" fontId="13" fillId="0" borderId="69" xfId="0" applyNumberFormat="1" applyFont="1" applyBorder="1" applyAlignment="1">
      <alignment horizontal="center" vertical="center"/>
    </xf>
    <xf numFmtId="3" fontId="13" fillId="0" borderId="0" xfId="0" applyNumberFormat="1" applyFont="1" applyAlignment="1" applyProtection="1">
      <alignment horizontal="left" vertical="center"/>
      <protection hidden="1"/>
    </xf>
    <xf numFmtId="3" fontId="13" fillId="0" borderId="77" xfId="0" applyNumberFormat="1" applyFont="1" applyBorder="1" applyAlignment="1" applyProtection="1">
      <alignment horizontal="center" vertical="center"/>
      <protection hidden="1"/>
    </xf>
    <xf numFmtId="3" fontId="9" fillId="0" borderId="77" xfId="0" applyNumberFormat="1" applyFont="1" applyBorder="1" applyAlignment="1">
      <alignment horizontal="center" vertical="center"/>
    </xf>
    <xf numFmtId="1" fontId="13" fillId="4" borderId="84" xfId="0" applyNumberFormat="1" applyFont="1" applyFill="1" applyBorder="1" applyAlignment="1" applyProtection="1">
      <alignment horizontal="center" vertical="center"/>
      <protection locked="0"/>
    </xf>
    <xf numFmtId="3" fontId="13" fillId="0" borderId="75" xfId="0" applyNumberFormat="1" applyFont="1" applyBorder="1" applyAlignment="1">
      <alignment horizontal="center" vertical="center"/>
    </xf>
    <xf numFmtId="3" fontId="9" fillId="0" borderId="75" xfId="0" applyNumberFormat="1" applyFont="1" applyBorder="1" applyAlignment="1">
      <alignment horizontal="center" vertical="center"/>
    </xf>
    <xf numFmtId="3" fontId="6" fillId="0" borderId="75" xfId="0" applyNumberFormat="1" applyFont="1" applyBorder="1" applyAlignment="1">
      <alignment horizontal="center" vertical="center"/>
    </xf>
    <xf numFmtId="3" fontId="13" fillId="2" borderId="75" xfId="0" applyNumberFormat="1" applyFont="1" applyFill="1" applyBorder="1" applyAlignment="1" applyProtection="1">
      <alignment horizontal="center" vertical="center"/>
      <protection hidden="1"/>
    </xf>
    <xf numFmtId="3" fontId="9" fillId="6" borderId="75" xfId="0" applyNumberFormat="1"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9" fillId="4" borderId="75" xfId="0" applyNumberFormat="1" applyFont="1" applyFill="1" applyBorder="1" applyAlignment="1" applyProtection="1">
      <alignment horizontal="center" vertical="center"/>
      <protection locked="0"/>
    </xf>
    <xf numFmtId="167" fontId="9" fillId="4" borderId="75" xfId="0" applyNumberFormat="1" applyFont="1" applyFill="1" applyBorder="1" applyAlignment="1" applyProtection="1">
      <alignment horizontal="center" vertical="center"/>
      <protection locked="0"/>
    </xf>
    <xf numFmtId="3" fontId="21" fillId="4" borderId="75" xfId="0" applyNumberFormat="1" applyFont="1" applyFill="1" applyBorder="1" applyAlignment="1" applyProtection="1">
      <alignment horizontal="center" vertical="center"/>
      <protection locked="0"/>
    </xf>
    <xf numFmtId="10" fontId="9" fillId="4" borderId="75" xfId="0" applyNumberFormat="1" applyFont="1" applyFill="1" applyBorder="1" applyAlignment="1" applyProtection="1">
      <alignment horizontal="center" vertical="center"/>
      <protection locked="0"/>
    </xf>
    <xf numFmtId="3" fontId="9" fillId="0" borderId="75" xfId="0" applyNumberFormat="1" applyFont="1" applyBorder="1" applyAlignment="1" applyProtection="1">
      <alignment horizontal="center" vertical="center"/>
      <protection hidden="1"/>
    </xf>
    <xf numFmtId="3" fontId="13" fillId="6" borderId="75" xfId="0" applyNumberFormat="1" applyFont="1" applyFill="1" applyBorder="1" applyAlignment="1" applyProtection="1">
      <alignment horizontal="center" vertical="center"/>
      <protection hidden="1"/>
    </xf>
    <xf numFmtId="1" fontId="13" fillId="6" borderId="77" xfId="0" applyNumberFormat="1" applyFont="1" applyFill="1" applyBorder="1" applyAlignment="1">
      <alignment horizontal="center" vertical="center"/>
    </xf>
    <xf numFmtId="3" fontId="9" fillId="0" borderId="77" xfId="0" applyNumberFormat="1" applyFont="1" applyBorder="1" applyAlignment="1" applyProtection="1">
      <alignment horizontal="center" vertical="center"/>
      <protection hidden="1"/>
    </xf>
    <xf numFmtId="3" fontId="9" fillId="4" borderId="77" xfId="0" applyNumberFormat="1" applyFont="1" applyFill="1" applyBorder="1" applyAlignment="1" applyProtection="1">
      <alignment horizontal="center" vertical="center"/>
      <protection locked="0"/>
    </xf>
    <xf numFmtId="167" fontId="9" fillId="4" borderId="77" xfId="0" applyNumberFormat="1" applyFont="1" applyFill="1" applyBorder="1" applyAlignment="1" applyProtection="1">
      <alignment horizontal="center" vertical="center"/>
      <protection locked="0"/>
    </xf>
    <xf numFmtId="3" fontId="21" fillId="4" borderId="77"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13" fillId="0" borderId="98" xfId="0" applyFont="1" applyBorder="1" applyAlignment="1">
      <alignment horizontal="center" vertical="center"/>
    </xf>
    <xf numFmtId="0" fontId="14" fillId="0" borderId="100" xfId="0" applyFont="1" applyBorder="1" applyAlignment="1">
      <alignment horizontal="center" vertical="center"/>
    </xf>
    <xf numFmtId="0" fontId="9" fillId="0" borderId="105" xfId="0" applyFont="1" applyBorder="1" applyAlignment="1">
      <alignment vertical="center"/>
    </xf>
    <xf numFmtId="0" fontId="9" fillId="0" borderId="101" xfId="0" applyFont="1" applyBorder="1" applyAlignment="1">
      <alignment vertical="center"/>
    </xf>
    <xf numFmtId="0" fontId="14" fillId="0" borderId="102" xfId="0" applyFont="1" applyBorder="1" applyAlignment="1">
      <alignment horizontal="center" vertical="center"/>
    </xf>
    <xf numFmtId="0" fontId="9" fillId="0" borderId="106" xfId="0" applyFont="1" applyBorder="1" applyAlignment="1">
      <alignment vertical="center"/>
    </xf>
    <xf numFmtId="0" fontId="9" fillId="0" borderId="103" xfId="0" applyFont="1" applyBorder="1" applyAlignment="1">
      <alignment vertical="center"/>
    </xf>
    <xf numFmtId="0" fontId="14" fillId="0" borderId="107" xfId="0" applyFont="1" applyBorder="1" applyAlignment="1">
      <alignment horizontal="center" vertical="center"/>
    </xf>
    <xf numFmtId="0" fontId="9" fillId="0" borderId="108" xfId="0" applyFont="1" applyBorder="1" applyAlignment="1">
      <alignment vertical="center"/>
    </xf>
    <xf numFmtId="0" fontId="9" fillId="0" borderId="111" xfId="0" applyFont="1" applyBorder="1" applyAlignment="1">
      <alignment vertical="center"/>
    </xf>
    <xf numFmtId="0" fontId="14" fillId="0" borderId="96" xfId="0" applyFont="1" applyBorder="1" applyAlignment="1">
      <alignment vertical="center"/>
    </xf>
    <xf numFmtId="0" fontId="13" fillId="0" borderId="112" xfId="0" applyFont="1" applyBorder="1" applyAlignment="1">
      <alignment horizontal="center" vertical="center"/>
    </xf>
    <xf numFmtId="0" fontId="13" fillId="0" borderId="96" xfId="0" applyFont="1" applyBorder="1" applyAlignment="1">
      <alignment horizontal="left" vertical="center"/>
    </xf>
    <xf numFmtId="0" fontId="13" fillId="0" borderId="77" xfId="0" applyFont="1" applyBorder="1" applyAlignment="1">
      <alignment horizontal="left" vertical="center"/>
    </xf>
    <xf numFmtId="0" fontId="14" fillId="0" borderId="69" xfId="0" applyFont="1" applyBorder="1" applyAlignment="1">
      <alignment vertical="center"/>
    </xf>
    <xf numFmtId="0" fontId="13" fillId="0" borderId="102" xfId="0" applyFont="1" applyBorder="1" applyAlignment="1">
      <alignment horizontal="center" vertical="center"/>
    </xf>
    <xf numFmtId="0" fontId="14" fillId="6" borderId="69" xfId="0" applyFont="1" applyFill="1" applyBorder="1" applyAlignment="1">
      <alignment horizontal="center" vertical="center"/>
    </xf>
    <xf numFmtId="3" fontId="9" fillId="0" borderId="69" xfId="0" applyNumberFormat="1" applyFont="1" applyBorder="1" applyAlignment="1">
      <alignment horizontal="center" vertical="center"/>
    </xf>
    <xf numFmtId="3" fontId="13" fillId="2" borderId="69" xfId="0" applyNumberFormat="1" applyFont="1" applyFill="1" applyBorder="1" applyAlignment="1" applyProtection="1">
      <alignment horizontal="center" vertical="center"/>
      <protection hidden="1"/>
    </xf>
    <xf numFmtId="3" fontId="13" fillId="4" borderId="69" xfId="0" applyNumberFormat="1" applyFont="1" applyFill="1" applyBorder="1" applyAlignment="1" applyProtection="1">
      <alignment horizontal="center" vertical="center"/>
      <protection locked="0"/>
    </xf>
    <xf numFmtId="3" fontId="6" fillId="0" borderId="69" xfId="0" applyNumberFormat="1" applyFont="1" applyBorder="1" applyAlignment="1">
      <alignment horizontal="center" vertical="center"/>
    </xf>
    <xf numFmtId="2" fontId="9" fillId="4" borderId="69" xfId="0" applyNumberFormat="1" applyFont="1" applyFill="1" applyBorder="1" applyAlignment="1" applyProtection="1">
      <alignment horizontal="center" vertical="center"/>
      <protection locked="0"/>
    </xf>
    <xf numFmtId="0" fontId="13" fillId="0" borderId="77" xfId="0" applyFont="1" applyBorder="1" applyAlignment="1">
      <alignment vertical="center"/>
    </xf>
    <xf numFmtId="0" fontId="6" fillId="0" borderId="0" xfId="0" applyFont="1" applyAlignment="1">
      <alignment horizontal="left" vertical="center"/>
    </xf>
    <xf numFmtId="0" fontId="9" fillId="0" borderId="89" xfId="0" applyFont="1" applyBorder="1" applyAlignment="1">
      <alignment horizontal="center" vertical="center"/>
    </xf>
    <xf numFmtId="0" fontId="9" fillId="0" borderId="97" xfId="0" applyFont="1" applyBorder="1" applyAlignment="1">
      <alignment vertical="center"/>
    </xf>
    <xf numFmtId="0" fontId="6" fillId="0" borderId="97" xfId="0" applyFont="1" applyBorder="1" applyAlignment="1">
      <alignment vertical="center"/>
    </xf>
    <xf numFmtId="9" fontId="9" fillId="0" borderId="90" xfId="0" applyNumberFormat="1" applyFont="1" applyBorder="1" applyAlignment="1">
      <alignment horizontal="center" vertical="center"/>
    </xf>
    <xf numFmtId="0" fontId="6" fillId="0" borderId="100" xfId="0" applyFont="1" applyBorder="1" applyAlignment="1">
      <alignment horizontal="center" vertical="center"/>
    </xf>
    <xf numFmtId="0" fontId="9" fillId="0" borderId="105" xfId="0" applyFont="1" applyBorder="1" applyAlignment="1">
      <alignment horizontal="left" vertical="center"/>
    </xf>
    <xf numFmtId="0" fontId="6" fillId="0" borderId="105" xfId="0" applyFont="1" applyBorder="1" applyAlignment="1">
      <alignment horizontal="left" vertical="center"/>
    </xf>
    <xf numFmtId="0" fontId="6" fillId="0" borderId="101" xfId="0" applyFont="1" applyBorder="1" applyAlignment="1">
      <alignment horizontal="left" vertical="center"/>
    </xf>
    <xf numFmtId="0" fontId="9" fillId="0" borderId="100" xfId="0" applyFont="1" applyBorder="1" applyAlignment="1">
      <alignment horizontal="center" vertical="center"/>
    </xf>
    <xf numFmtId="0" fontId="6" fillId="0" borderId="105" xfId="0" applyFont="1" applyBorder="1" applyAlignment="1">
      <alignment vertical="center"/>
    </xf>
    <xf numFmtId="9" fontId="9" fillId="0" borderId="101" xfId="0" applyNumberFormat="1" applyFont="1" applyBorder="1" applyAlignment="1">
      <alignment horizontal="center" vertical="center"/>
    </xf>
    <xf numFmtId="0" fontId="10" fillId="0" borderId="96" xfId="0" applyFont="1" applyBorder="1" applyAlignment="1">
      <alignment horizontal="left" vertical="center"/>
    </xf>
    <xf numFmtId="0" fontId="13" fillId="0" borderId="96" xfId="0" applyFont="1" applyBorder="1" applyAlignment="1">
      <alignment horizontal="right" vertical="center" indent="1"/>
    </xf>
    <xf numFmtId="0" fontId="10" fillId="0" borderId="97" xfId="0" applyFont="1" applyBorder="1" applyAlignment="1">
      <alignment horizontal="left" vertical="center"/>
    </xf>
    <xf numFmtId="0" fontId="6" fillId="0" borderId="98" xfId="0" applyFont="1" applyBorder="1" applyAlignment="1">
      <alignment horizontal="center" vertical="center"/>
    </xf>
    <xf numFmtId="1" fontId="13" fillId="0" borderId="84" xfId="0" applyNumberFormat="1" applyFont="1" applyBorder="1" applyAlignment="1">
      <alignment horizontal="center" vertical="center"/>
    </xf>
    <xf numFmtId="0" fontId="39" fillId="25" borderId="83" xfId="0" applyFont="1" applyFill="1" applyBorder="1" applyAlignment="1" applyProtection="1">
      <alignment horizontal="center"/>
      <protection hidden="1"/>
    </xf>
    <xf numFmtId="1" fontId="41" fillId="25" borderId="76" xfId="0" applyNumberFormat="1" applyFont="1" applyFill="1" applyBorder="1" applyAlignment="1">
      <alignment horizontal="center" vertical="center"/>
    </xf>
    <xf numFmtId="0" fontId="34" fillId="25" borderId="94" xfId="0" applyFont="1" applyFill="1" applyBorder="1" applyAlignment="1" applyProtection="1">
      <alignment horizontal="center"/>
      <protection hidden="1"/>
    </xf>
    <xf numFmtId="0" fontId="34" fillId="25" borderId="89" xfId="0" applyFont="1" applyFill="1" applyBorder="1" applyAlignment="1" applyProtection="1">
      <alignment horizontal="center"/>
      <protection hidden="1"/>
    </xf>
    <xf numFmtId="0" fontId="13" fillId="25" borderId="94" xfId="0" applyFont="1" applyFill="1" applyBorder="1" applyAlignment="1" applyProtection="1">
      <alignment horizontal="center"/>
      <protection hidden="1"/>
    </xf>
    <xf numFmtId="0" fontId="13" fillId="25" borderId="89" xfId="0" applyFont="1" applyFill="1" applyBorder="1" applyAlignment="1" applyProtection="1">
      <alignment horizontal="center"/>
      <protection hidden="1"/>
    </xf>
    <xf numFmtId="0" fontId="41" fillId="25" borderId="83" xfId="0" applyFont="1" applyFill="1" applyBorder="1" applyAlignment="1">
      <alignment horizontal="center" vertical="center"/>
    </xf>
    <xf numFmtId="0" fontId="13" fillId="0" borderId="100" xfId="0" applyFont="1" applyBorder="1" applyAlignment="1">
      <alignment horizontal="center" vertical="center"/>
    </xf>
    <xf numFmtId="1" fontId="5" fillId="0" borderId="20" xfId="2" applyNumberFormat="1" applyBorder="1" applyProtection="1">
      <protection hidden="1"/>
    </xf>
    <xf numFmtId="0" fontId="32" fillId="0" borderId="0" xfId="0" applyFont="1" applyProtection="1">
      <protection hidden="1"/>
    </xf>
    <xf numFmtId="167" fontId="32" fillId="0" borderId="0" xfId="0" applyNumberFormat="1" applyFont="1" applyAlignment="1">
      <alignment horizontal="center" vertical="center"/>
    </xf>
    <xf numFmtId="3" fontId="9" fillId="0" borderId="89" xfId="0" applyNumberFormat="1" applyFont="1" applyBorder="1" applyAlignment="1">
      <alignment horizontal="center" vertical="center"/>
    </xf>
    <xf numFmtId="0" fontId="9" fillId="0" borderId="113" xfId="0" applyFont="1" applyBorder="1" applyAlignment="1">
      <alignment vertical="center"/>
    </xf>
    <xf numFmtId="3" fontId="9" fillId="4" borderId="89" xfId="0" applyNumberFormat="1" applyFont="1" applyFill="1" applyBorder="1" applyAlignment="1" applyProtection="1">
      <alignment horizontal="center" vertical="center"/>
      <protection locked="0"/>
    </xf>
    <xf numFmtId="3" fontId="9" fillId="0" borderId="96" xfId="0" applyNumberFormat="1" applyFont="1" applyBorder="1" applyAlignment="1" applyProtection="1">
      <alignment horizontal="center" vertical="center"/>
      <protection hidden="1"/>
    </xf>
    <xf numFmtId="0" fontId="5" fillId="0" borderId="0" xfId="0" applyFont="1" applyAlignment="1">
      <alignment horizontal="center"/>
    </xf>
    <xf numFmtId="0" fontId="14" fillId="6" borderId="75" xfId="0" applyFont="1" applyFill="1" applyBorder="1" applyAlignment="1">
      <alignment horizontal="center" vertical="center"/>
    </xf>
    <xf numFmtId="167" fontId="13" fillId="0" borderId="0" xfId="0" applyNumberFormat="1" applyFont="1" applyAlignment="1" applyProtection="1">
      <alignment horizontal="center" vertical="center"/>
      <protection hidden="1"/>
    </xf>
    <xf numFmtId="167" fontId="9" fillId="0" borderId="0" xfId="0" applyNumberFormat="1" applyFont="1" applyAlignment="1" applyProtection="1">
      <alignment horizontal="center" vertical="center"/>
      <protection hidden="1"/>
    </xf>
    <xf numFmtId="0" fontId="9" fillId="0" borderId="69" xfId="0" applyFont="1" applyBorder="1" applyAlignment="1">
      <alignment horizontal="center" vertical="center"/>
    </xf>
    <xf numFmtId="3" fontId="13" fillId="6" borderId="69" xfId="0" applyNumberFormat="1" applyFont="1" applyFill="1" applyBorder="1" applyAlignment="1" applyProtection="1">
      <alignment horizontal="center" vertical="center"/>
      <protection hidden="1"/>
    </xf>
    <xf numFmtId="166" fontId="30" fillId="0" borderId="37" xfId="2" applyNumberFormat="1" applyFont="1" applyBorder="1" applyAlignment="1" applyProtection="1">
      <alignment horizontal="center" vertical="center"/>
      <protection hidden="1"/>
    </xf>
    <xf numFmtId="0" fontId="14" fillId="0" borderId="75" xfId="0" applyFont="1" applyBorder="1" applyAlignment="1">
      <alignment horizontal="center" vertical="center"/>
    </xf>
    <xf numFmtId="0" fontId="14" fillId="3" borderId="96" xfId="0" applyFont="1" applyFill="1" applyBorder="1" applyAlignment="1">
      <alignment horizontal="left" vertical="center"/>
    </xf>
    <xf numFmtId="0" fontId="5" fillId="3" borderId="96" xfId="0" applyFont="1" applyFill="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165" fontId="14" fillId="3" borderId="77" xfId="0" applyNumberFormat="1" applyFont="1" applyFill="1" applyBorder="1" applyAlignment="1" applyProtection="1">
      <alignment horizontal="center" vertical="center"/>
      <protection hidden="1"/>
    </xf>
    <xf numFmtId="0" fontId="5" fillId="0" borderId="96" xfId="0" applyFont="1" applyBorder="1" applyAlignment="1">
      <alignment vertical="center"/>
    </xf>
    <xf numFmtId="3" fontId="14" fillId="4" borderId="77" xfId="0" applyNumberFormat="1" applyFont="1" applyFill="1" applyBorder="1" applyAlignment="1" applyProtection="1">
      <alignment horizontal="center" vertical="center"/>
      <protection locked="0"/>
    </xf>
    <xf numFmtId="0" fontId="14" fillId="8" borderId="83" xfId="0" applyFont="1" applyFill="1" applyBorder="1" applyAlignment="1">
      <alignment horizontal="center" vertical="center"/>
    </xf>
    <xf numFmtId="0" fontId="14" fillId="8" borderId="76" xfId="0" applyFont="1" applyFill="1" applyBorder="1" applyAlignment="1">
      <alignment horizontal="center" vertical="center"/>
    </xf>
    <xf numFmtId="0" fontId="6" fillId="0" borderId="0" xfId="0" applyFont="1" applyAlignment="1">
      <alignment vertical="top"/>
    </xf>
    <xf numFmtId="0" fontId="37" fillId="25" borderId="8" xfId="0" applyFont="1" applyFill="1" applyBorder="1" applyAlignment="1" applyProtection="1">
      <alignment horizontal="center" vertical="center"/>
      <protection hidden="1"/>
    </xf>
    <xf numFmtId="0" fontId="36" fillId="25" borderId="5" xfId="0" applyFont="1" applyFill="1" applyBorder="1" applyAlignment="1">
      <alignment horizontal="center" vertical="center"/>
    </xf>
    <xf numFmtId="17" fontId="37" fillId="25" borderId="8" xfId="0" applyNumberFormat="1" applyFont="1" applyFill="1" applyBorder="1" applyAlignment="1">
      <alignment horizontal="center" vertical="center"/>
    </xf>
    <xf numFmtId="1" fontId="13" fillId="0" borderId="77" xfId="0" applyNumberFormat="1" applyFont="1" applyBorder="1" applyAlignment="1">
      <alignment horizontal="center" vertical="center"/>
    </xf>
    <xf numFmtId="0" fontId="10" fillId="0" borderId="40" xfId="0" applyFont="1" applyBorder="1" applyAlignment="1">
      <alignment horizontal="left" vertical="center"/>
    </xf>
    <xf numFmtId="0" fontId="13" fillId="0" borderId="133" xfId="0" applyFont="1" applyBorder="1" applyAlignment="1">
      <alignment horizontal="right" vertical="center" indent="1"/>
    </xf>
    <xf numFmtId="1" fontId="13" fillId="0" borderId="135" xfId="0" applyNumberFormat="1" applyFont="1" applyBorder="1" applyAlignment="1">
      <alignment horizontal="center" vertical="center"/>
    </xf>
    <xf numFmtId="1" fontId="13" fillId="0" borderId="134" xfId="0" applyNumberFormat="1" applyFont="1" applyBorder="1" applyAlignment="1">
      <alignment horizontal="center" vertical="center"/>
    </xf>
    <xf numFmtId="3" fontId="14" fillId="4" borderId="8" xfId="0" applyNumberFormat="1" applyFont="1" applyFill="1" applyBorder="1" applyAlignment="1" applyProtection="1">
      <alignment horizontal="center" vertical="center"/>
      <protection locked="0" hidden="1"/>
    </xf>
    <xf numFmtId="0" fontId="14" fillId="0" borderId="0" xfId="0" applyFont="1" applyAlignment="1" applyProtection="1">
      <alignment horizontal="center" vertical="center"/>
      <protection hidden="1"/>
    </xf>
    <xf numFmtId="3" fontId="14" fillId="0" borderId="14" xfId="0" applyNumberFormat="1" applyFont="1" applyBorder="1" applyAlignment="1" applyProtection="1">
      <alignment horizontal="center" vertical="center"/>
      <protection hidden="1"/>
    </xf>
    <xf numFmtId="3" fontId="5" fillId="0" borderId="0" xfId="0" applyNumberFormat="1" applyFont="1" applyAlignment="1" applyProtection="1">
      <alignment horizontal="left" vertical="center"/>
      <protection hidden="1"/>
    </xf>
    <xf numFmtId="0" fontId="14" fillId="0" borderId="5" xfId="0" applyFont="1" applyBorder="1" applyProtection="1">
      <protection hidden="1"/>
    </xf>
    <xf numFmtId="0" fontId="37" fillId="25" borderId="16" xfId="0" applyFont="1" applyFill="1" applyBorder="1" applyAlignment="1" applyProtection="1">
      <alignment horizontal="center"/>
      <protection hidden="1"/>
    </xf>
    <xf numFmtId="0" fontId="37" fillId="25" borderId="18" xfId="0" applyFont="1" applyFill="1" applyBorder="1" applyAlignment="1" applyProtection="1">
      <alignment horizontal="center"/>
      <protection hidden="1"/>
    </xf>
    <xf numFmtId="3" fontId="14" fillId="0" borderId="20" xfId="0" applyNumberFormat="1" applyFont="1" applyBorder="1" applyAlignment="1" applyProtection="1">
      <alignment horizontal="center" vertical="center"/>
      <protection hidden="1"/>
    </xf>
    <xf numFmtId="3" fontId="14" fillId="0" borderId="13" xfId="0" applyNumberFormat="1" applyFont="1" applyBorder="1" applyAlignment="1" applyProtection="1">
      <alignment horizontal="center" vertical="center"/>
      <protection hidden="1"/>
    </xf>
    <xf numFmtId="3" fontId="9" fillId="0" borderId="29" xfId="0" applyNumberFormat="1" applyFont="1" applyBorder="1" applyAlignment="1" applyProtection="1">
      <alignment horizontal="center" vertical="center"/>
      <protection hidden="1"/>
    </xf>
    <xf numFmtId="3" fontId="9" fillId="0" borderId="13" xfId="0" applyNumberFormat="1" applyFont="1" applyBorder="1" applyAlignment="1" applyProtection="1">
      <alignment horizontal="center" vertical="center"/>
      <protection hidden="1"/>
    </xf>
    <xf numFmtId="3" fontId="14" fillId="0" borderId="17" xfId="0" applyNumberFormat="1" applyFont="1" applyBorder="1" applyAlignment="1" applyProtection="1">
      <alignment horizontal="center" vertical="center"/>
      <protection hidden="1"/>
    </xf>
    <xf numFmtId="0" fontId="14" fillId="6" borderId="0" xfId="0" applyFont="1" applyFill="1" applyAlignment="1" applyProtection="1">
      <alignment horizontal="center" vertical="center"/>
      <protection locked="0"/>
    </xf>
    <xf numFmtId="0" fontId="13" fillId="0" borderId="94" xfId="0" applyFont="1" applyBorder="1" applyAlignment="1">
      <alignment horizontal="center" vertical="center"/>
    </xf>
    <xf numFmtId="0" fontId="13" fillId="0" borderId="68" xfId="0" applyFont="1" applyBorder="1" applyAlignment="1">
      <alignment vertical="center"/>
    </xf>
    <xf numFmtId="3" fontId="13" fillId="0" borderId="83" xfId="0" applyNumberFormat="1" applyFont="1" applyBorder="1" applyAlignment="1">
      <alignment horizontal="center" vertical="center"/>
    </xf>
    <xf numFmtId="3" fontId="13" fillId="4" borderId="83" xfId="0" applyNumberFormat="1" applyFont="1" applyFill="1" applyBorder="1" applyAlignment="1" applyProtection="1">
      <alignment horizontal="center" vertical="center"/>
      <protection locked="0"/>
    </xf>
    <xf numFmtId="1" fontId="9" fillId="0" borderId="69" xfId="0" applyNumberFormat="1" applyFont="1" applyBorder="1" applyAlignment="1">
      <alignment horizontal="center"/>
    </xf>
    <xf numFmtId="0" fontId="14" fillId="0" borderId="68" xfId="0" applyFont="1" applyBorder="1" applyAlignment="1" applyProtection="1">
      <alignment horizontal="left" vertical="center"/>
      <protection locked="0"/>
    </xf>
    <xf numFmtId="49" fontId="14" fillId="5" borderId="0" xfId="0" applyNumberFormat="1" applyFont="1" applyFill="1" applyAlignment="1" applyProtection="1">
      <alignment horizontal="center" vertical="center" wrapText="1"/>
      <protection locked="0"/>
    </xf>
    <xf numFmtId="0" fontId="32" fillId="0" borderId="0" xfId="0" applyFont="1" applyAlignment="1" applyProtection="1">
      <alignment horizontal="center"/>
      <protection hidden="1"/>
    </xf>
    <xf numFmtId="0" fontId="32" fillId="0" borderId="0" xfId="0" applyFont="1" applyAlignment="1">
      <alignment horizontal="center"/>
    </xf>
    <xf numFmtId="3" fontId="14" fillId="0" borderId="39" xfId="0" applyNumberFormat="1" applyFont="1" applyBorder="1" applyAlignment="1" applyProtection="1">
      <alignment horizontal="center" vertical="center"/>
      <protection hidden="1"/>
    </xf>
    <xf numFmtId="0" fontId="37" fillId="25" borderId="5" xfId="0" applyFont="1" applyFill="1" applyBorder="1" applyAlignment="1">
      <alignment horizontal="center" vertical="center"/>
    </xf>
    <xf numFmtId="0" fontId="7" fillId="0" borderId="0" xfId="0" applyFont="1" applyAlignment="1">
      <alignment vertical="center"/>
    </xf>
    <xf numFmtId="0" fontId="7" fillId="2" borderId="0" xfId="0" applyFont="1" applyFill="1" applyAlignment="1">
      <alignment vertical="center"/>
    </xf>
    <xf numFmtId="0" fontId="0" fillId="0" borderId="68" xfId="0" applyBorder="1"/>
    <xf numFmtId="0" fontId="0" fillId="0" borderId="95" xfId="0" applyBorder="1"/>
    <xf numFmtId="0" fontId="6" fillId="0" borderId="0" xfId="0" applyFont="1" applyAlignment="1">
      <alignment horizontal="center" vertical="center" wrapText="1"/>
    </xf>
    <xf numFmtId="0" fontId="13" fillId="0" borderId="96" xfId="0" applyFont="1" applyBorder="1" applyAlignment="1">
      <alignment horizontal="right" vertical="center"/>
    </xf>
    <xf numFmtId="0" fontId="13" fillId="0" borderId="89" xfId="0" applyFont="1" applyBorder="1" applyAlignment="1" applyProtection="1">
      <alignment horizontal="center" vertical="center"/>
      <protection hidden="1"/>
    </xf>
    <xf numFmtId="0" fontId="13" fillId="0" borderId="97" xfId="0" applyFont="1" applyBorder="1" applyAlignment="1">
      <alignment horizontal="right" vertical="center"/>
    </xf>
    <xf numFmtId="0" fontId="6" fillId="0" borderId="74" xfId="0" applyFont="1" applyBorder="1" applyAlignment="1">
      <alignment horizontal="right" vertical="center"/>
    </xf>
    <xf numFmtId="0" fontId="13" fillId="0" borderId="66" xfId="0" applyFont="1" applyBorder="1" applyAlignment="1" applyProtection="1">
      <alignment horizontal="center" vertical="center"/>
      <protection hidden="1"/>
    </xf>
    <xf numFmtId="0" fontId="13" fillId="0" borderId="88" xfId="0" applyFont="1" applyBorder="1" applyAlignment="1">
      <alignment horizontal="right" vertical="center"/>
    </xf>
    <xf numFmtId="0" fontId="0" fillId="2" borderId="0" xfId="0" applyFill="1" applyAlignment="1">
      <alignment vertical="center"/>
    </xf>
    <xf numFmtId="166" fontId="7" fillId="2" borderId="0" xfId="0" applyNumberFormat="1" applyFont="1" applyFill="1" applyAlignment="1">
      <alignment horizontal="right" vertical="center"/>
    </xf>
    <xf numFmtId="166" fontId="7" fillId="2" borderId="0" xfId="0" applyNumberFormat="1" applyFont="1" applyFill="1" applyAlignment="1">
      <alignment vertical="center"/>
    </xf>
    <xf numFmtId="4" fontId="0" fillId="0" borderId="0" xfId="0" applyNumberFormat="1" applyAlignment="1">
      <alignment vertical="center"/>
    </xf>
    <xf numFmtId="0" fontId="5" fillId="0" borderId="0" xfId="0" applyFont="1" applyAlignment="1">
      <alignment vertical="center"/>
    </xf>
    <xf numFmtId="165" fontId="9" fillId="0" borderId="0" xfId="0" applyNumberFormat="1" applyFont="1" applyAlignment="1" applyProtection="1">
      <alignment vertical="center"/>
      <protection hidden="1"/>
    </xf>
    <xf numFmtId="165" fontId="8" fillId="0" borderId="0" xfId="0" applyNumberFormat="1" applyFont="1" applyAlignment="1" applyProtection="1">
      <alignment vertical="center"/>
      <protection hidden="1"/>
    </xf>
    <xf numFmtId="0" fontId="39" fillId="25" borderId="83" xfId="0" applyFont="1" applyFill="1" applyBorder="1" applyAlignment="1" applyProtection="1">
      <alignment horizontal="center" vertical="center"/>
      <protection hidden="1"/>
    </xf>
    <xf numFmtId="164" fontId="0" fillId="0" borderId="8" xfId="0" applyNumberFormat="1" applyBorder="1"/>
    <xf numFmtId="3" fontId="14" fillId="11" borderId="8" xfId="0" applyNumberFormat="1" applyFont="1" applyFill="1" applyBorder="1" applyAlignment="1">
      <alignment horizontal="center" vertical="center"/>
    </xf>
    <xf numFmtId="0" fontId="0" fillId="11" borderId="8" xfId="0" applyFill="1" applyBorder="1"/>
    <xf numFmtId="3" fontId="14"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5" fillId="2" borderId="0" xfId="0" applyFont="1" applyFill="1" applyAlignment="1" applyProtection="1">
      <alignment horizontal="center" vertical="center"/>
      <protection hidden="1"/>
    </xf>
    <xf numFmtId="0" fontId="36" fillId="25" borderId="26" xfId="0" applyFont="1" applyFill="1" applyBorder="1" applyAlignment="1">
      <alignment horizontal="center" vertical="center"/>
    </xf>
    <xf numFmtId="0" fontId="14" fillId="0" borderId="16" xfId="0" applyFont="1" applyBorder="1" applyAlignment="1" applyProtection="1">
      <alignment horizontal="center" vertical="center"/>
      <protection hidden="1"/>
    </xf>
    <xf numFmtId="0" fontId="14" fillId="0" borderId="26" xfId="0" applyFont="1" applyBorder="1" applyAlignment="1" applyProtection="1">
      <alignment horizontal="center" vertical="center"/>
      <protection hidden="1"/>
    </xf>
    <xf numFmtId="0" fontId="14" fillId="0" borderId="138" xfId="0" applyFont="1" applyBorder="1" applyAlignment="1" applyProtection="1">
      <alignment horizontal="center" vertical="center"/>
      <protection hidden="1"/>
    </xf>
    <xf numFmtId="0" fontId="8" fillId="26" borderId="139" xfId="0" applyFont="1" applyFill="1" applyBorder="1" applyAlignment="1" applyProtection="1">
      <alignment horizontal="center" vertical="center"/>
      <protection hidden="1"/>
    </xf>
    <xf numFmtId="0" fontId="36" fillId="25" borderId="26" xfId="0" applyFont="1" applyFill="1" applyBorder="1" applyAlignment="1" applyProtection="1">
      <alignment horizontal="center" vertical="center"/>
      <protection hidden="1"/>
    </xf>
    <xf numFmtId="49" fontId="9" fillId="0" borderId="14" xfId="0" applyNumberFormat="1" applyFont="1" applyBorder="1" applyAlignment="1" applyProtection="1">
      <alignment horizontal="center" vertical="center"/>
      <protection hidden="1"/>
    </xf>
    <xf numFmtId="0" fontId="8" fillId="27" borderId="139" xfId="0" applyFont="1" applyFill="1" applyBorder="1" applyAlignment="1" applyProtection="1">
      <alignment horizontal="center" vertical="center"/>
      <protection hidden="1"/>
    </xf>
    <xf numFmtId="0" fontId="37" fillId="25" borderId="26" xfId="0" applyFont="1" applyFill="1" applyBorder="1" applyAlignment="1" applyProtection="1">
      <alignment horizontal="center" vertical="center"/>
      <protection hidden="1"/>
    </xf>
    <xf numFmtId="3" fontId="9" fillId="0" borderId="0" xfId="0" applyNumberFormat="1" applyFont="1" applyAlignment="1">
      <alignment horizontal="center" vertical="center"/>
    </xf>
    <xf numFmtId="167" fontId="9"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4" fillId="0" borderId="0" xfId="0" applyFont="1" applyAlignment="1" applyProtection="1">
      <alignment horizontal="left" vertical="center"/>
      <protection locked="0"/>
    </xf>
    <xf numFmtId="0" fontId="5" fillId="0" borderId="87" xfId="0" applyFont="1" applyBorder="1" applyAlignment="1" applyProtection="1">
      <alignment horizontal="left" vertical="center"/>
      <protection locked="0"/>
    </xf>
    <xf numFmtId="0" fontId="14" fillId="0" borderId="95" xfId="0" applyFont="1" applyBorder="1" applyAlignment="1" applyProtection="1">
      <alignment horizontal="left" vertical="center"/>
      <protection locked="0"/>
    </xf>
    <xf numFmtId="49" fontId="42" fillId="5" borderId="0" xfId="0" applyNumberFormat="1" applyFont="1" applyFill="1" applyAlignment="1">
      <alignment horizontal="center" vertical="center"/>
    </xf>
    <xf numFmtId="0" fontId="14" fillId="3" borderId="87" xfId="0" applyFont="1" applyFill="1" applyBorder="1" applyAlignment="1" applyProtection="1">
      <alignment horizontal="left" vertical="center"/>
      <protection locked="0"/>
    </xf>
    <xf numFmtId="0" fontId="14" fillId="3" borderId="0" xfId="0" applyFont="1" applyFill="1" applyAlignment="1" applyProtection="1">
      <alignment horizontal="left" vertical="center"/>
      <protection locked="0"/>
    </xf>
    <xf numFmtId="0" fontId="14" fillId="3" borderId="87" xfId="0" applyFont="1" applyFill="1" applyBorder="1" applyAlignment="1">
      <alignment horizontal="left" vertical="center"/>
    </xf>
    <xf numFmtId="0" fontId="14" fillId="3" borderId="0" xfId="0" applyFont="1" applyFill="1" applyAlignment="1">
      <alignment horizontal="left" vertical="center"/>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8" fillId="3" borderId="94" xfId="0" applyFont="1" applyFill="1" applyBorder="1" applyAlignment="1">
      <alignment horizontal="left" vertical="center"/>
    </xf>
    <xf numFmtId="0" fontId="14" fillId="3" borderId="68" xfId="0" applyFont="1" applyFill="1" applyBorder="1" applyAlignment="1">
      <alignment vertical="center"/>
    </xf>
    <xf numFmtId="0" fontId="13" fillId="3" borderId="94" xfId="0" applyFont="1" applyFill="1" applyBorder="1" applyAlignment="1">
      <alignment vertical="center"/>
    </xf>
    <xf numFmtId="0" fontId="14" fillId="3" borderId="87" xfId="0" applyFont="1" applyFill="1" applyBorder="1" applyAlignment="1">
      <alignment horizontal="left"/>
    </xf>
    <xf numFmtId="0" fontId="14" fillId="3" borderId="0" xfId="0" applyFont="1" applyFill="1" applyAlignment="1">
      <alignment horizontal="left"/>
    </xf>
    <xf numFmtId="0" fontId="14" fillId="3" borderId="87" xfId="0" applyFont="1" applyFill="1" applyBorder="1" applyAlignment="1">
      <alignment vertical="center"/>
    </xf>
    <xf numFmtId="0" fontId="14" fillId="3" borderId="0" xfId="0" applyFont="1" applyFill="1" applyAlignment="1">
      <alignment vertical="center"/>
    </xf>
    <xf numFmtId="164" fontId="14" fillId="3" borderId="87" xfId="0" applyNumberFormat="1" applyFont="1" applyFill="1" applyBorder="1" applyAlignment="1">
      <alignment horizontal="left" vertical="center"/>
    </xf>
    <xf numFmtId="164" fontId="14" fillId="3" borderId="0" xfId="0" applyNumberFormat="1" applyFont="1" applyFill="1" applyAlignment="1">
      <alignment horizontal="left" vertical="center"/>
    </xf>
    <xf numFmtId="0" fontId="14" fillId="3" borderId="87" xfId="0" applyFont="1" applyFill="1" applyBorder="1"/>
    <xf numFmtId="0" fontId="14" fillId="3" borderId="0" xfId="0" applyFont="1" applyFill="1"/>
    <xf numFmtId="0" fontId="14" fillId="3" borderId="94" xfId="0" applyFont="1" applyFill="1" applyBorder="1" applyAlignment="1">
      <alignment horizontal="left" vertical="center"/>
    </xf>
    <xf numFmtId="0" fontId="14" fillId="3" borderId="68" xfId="0" applyFont="1" applyFill="1" applyBorder="1" applyAlignment="1">
      <alignment horizontal="left" vertical="center"/>
    </xf>
    <xf numFmtId="0" fontId="7" fillId="3" borderId="87" xfId="0" applyFont="1" applyFill="1" applyBorder="1" applyAlignment="1">
      <alignment vertical="center"/>
    </xf>
    <xf numFmtId="0" fontId="7" fillId="3" borderId="0" xfId="0" applyFont="1" applyFill="1" applyAlignment="1">
      <alignment vertical="center"/>
    </xf>
    <xf numFmtId="1" fontId="7" fillId="3" borderId="87" xfId="0" applyNumberFormat="1" applyFont="1" applyFill="1" applyBorder="1" applyAlignment="1" applyProtection="1">
      <alignment horizontal="left" vertical="center"/>
      <protection hidden="1"/>
    </xf>
    <xf numFmtId="3" fontId="14" fillId="3" borderId="87" xfId="0" applyNumberFormat="1" applyFont="1" applyFill="1" applyBorder="1" applyAlignment="1">
      <alignment horizontal="left" vertical="center"/>
    </xf>
    <xf numFmtId="0" fontId="7" fillId="3" borderId="0" xfId="0" applyFont="1" applyFill="1" applyAlignment="1">
      <alignment horizontal="left" vertical="center"/>
    </xf>
    <xf numFmtId="9" fontId="14" fillId="3" borderId="0" xfId="0" applyNumberFormat="1" applyFont="1" applyFill="1" applyAlignment="1">
      <alignment horizontal="left" vertical="center"/>
    </xf>
    <xf numFmtId="0" fontId="7" fillId="3" borderId="87" xfId="0" applyFont="1" applyFill="1" applyBorder="1" applyAlignment="1">
      <alignment horizontal="left" vertical="center"/>
    </xf>
    <xf numFmtId="164" fontId="14" fillId="0" borderId="94" xfId="0" applyNumberFormat="1" applyFont="1" applyBorder="1" applyAlignment="1">
      <alignment horizontal="center" vertical="center"/>
    </xf>
    <xf numFmtId="164" fontId="14"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2" fillId="0" borderId="0" xfId="0" applyFont="1" applyAlignment="1" applyProtection="1">
      <alignment horizontal="left" vertical="center"/>
      <protection locked="0"/>
    </xf>
    <xf numFmtId="0" fontId="42" fillId="0" borderId="88" xfId="0" applyFont="1" applyBorder="1" applyAlignment="1" applyProtection="1">
      <alignment horizontal="left" vertical="center"/>
      <protection locked="0"/>
    </xf>
    <xf numFmtId="0" fontId="42" fillId="0" borderId="87" xfId="0" applyFont="1" applyBorder="1" applyAlignment="1" applyProtection="1">
      <alignment horizontal="left" vertical="center"/>
      <protection locked="0"/>
    </xf>
    <xf numFmtId="0" fontId="42" fillId="0" borderId="97" xfId="0" applyFont="1" applyBorder="1" applyAlignment="1" applyProtection="1">
      <alignment horizontal="left" vertical="center"/>
      <protection locked="0"/>
    </xf>
    <xf numFmtId="0" fontId="42" fillId="0" borderId="90" xfId="0" applyFont="1" applyBorder="1" applyAlignment="1" applyProtection="1">
      <alignment horizontal="left" vertical="center"/>
      <protection locked="0"/>
    </xf>
    <xf numFmtId="0" fontId="42" fillId="0" borderId="0" xfId="0" applyFont="1" applyAlignment="1">
      <alignment horizontal="left" vertical="center"/>
    </xf>
    <xf numFmtId="0" fontId="42" fillId="0" borderId="88" xfId="0" applyFont="1" applyBorder="1" applyAlignment="1">
      <alignment horizontal="left" vertical="center"/>
    </xf>
    <xf numFmtId="0" fontId="42" fillId="0" borderId="68" xfId="0" applyFont="1" applyBorder="1" applyAlignment="1">
      <alignment horizontal="left" vertical="center"/>
    </xf>
    <xf numFmtId="0" fontId="42" fillId="0" borderId="95" xfId="0" applyFont="1" applyBorder="1" applyAlignment="1">
      <alignment horizontal="left" vertical="center"/>
    </xf>
    <xf numFmtId="0" fontId="42" fillId="0" borderId="0" xfId="0" applyFont="1" applyAlignment="1" applyProtection="1">
      <alignment horizontal="left"/>
      <protection locked="0"/>
    </xf>
    <xf numFmtId="9" fontId="42" fillId="0" borderId="0" xfId="0" applyNumberFormat="1" applyFont="1" applyAlignment="1" applyProtection="1">
      <alignment horizontal="left" vertical="center"/>
      <protection locked="0"/>
    </xf>
    <xf numFmtId="0" fontId="42" fillId="0" borderId="0" xfId="0" applyFont="1" applyAlignment="1" applyProtection="1">
      <alignment vertical="center"/>
      <protection locked="0"/>
    </xf>
    <xf numFmtId="0" fontId="42" fillId="0" borderId="88" xfId="0" applyFont="1" applyBorder="1" applyAlignment="1" applyProtection="1">
      <alignment vertical="center"/>
      <protection locked="0"/>
    </xf>
    <xf numFmtId="0" fontId="42" fillId="0" borderId="0" xfId="0" applyFont="1"/>
    <xf numFmtId="0" fontId="42" fillId="0" borderId="88" xfId="0" applyFont="1" applyBorder="1" applyAlignment="1" applyProtection="1">
      <alignment horizontal="left"/>
      <protection locked="0"/>
    </xf>
    <xf numFmtId="0" fontId="42" fillId="0" borderId="87" xfId="0" applyFont="1" applyBorder="1" applyAlignment="1" applyProtection="1">
      <alignment horizontal="left"/>
      <protection locked="0"/>
    </xf>
    <xf numFmtId="3" fontId="42" fillId="0" borderId="0" xfId="0" applyNumberFormat="1" applyFont="1" applyAlignment="1" applyProtection="1">
      <alignment horizontal="left" vertical="center"/>
      <protection locked="0"/>
    </xf>
    <xf numFmtId="0" fontId="42" fillId="0" borderId="89" xfId="0" applyFont="1" applyBorder="1" applyAlignment="1" applyProtection="1">
      <alignment horizontal="left" vertical="center"/>
      <protection locked="0"/>
    </xf>
    <xf numFmtId="0" fontId="53" fillId="0" borderId="94" xfId="0" applyFont="1" applyBorder="1" applyAlignment="1">
      <alignment vertical="center"/>
    </xf>
    <xf numFmtId="0" fontId="53" fillId="0" borderId="68" xfId="0" applyFont="1" applyBorder="1" applyAlignment="1" applyProtection="1">
      <alignment horizontal="left"/>
      <protection locked="0"/>
    </xf>
    <xf numFmtId="0" fontId="41" fillId="25" borderId="76" xfId="0" applyFont="1" applyFill="1" applyBorder="1" applyAlignment="1">
      <alignment horizontal="center" vertical="center"/>
    </xf>
    <xf numFmtId="0" fontId="41" fillId="25" borderId="90" xfId="0" applyFont="1" applyFill="1" applyBorder="1" applyAlignment="1">
      <alignment horizontal="center" vertical="center"/>
    </xf>
    <xf numFmtId="0" fontId="41" fillId="25" borderId="0" xfId="0" applyFont="1" applyFill="1" applyAlignment="1">
      <alignment horizontal="center" vertical="center"/>
    </xf>
    <xf numFmtId="3" fontId="9" fillId="0" borderId="40" xfId="0" applyNumberFormat="1" applyFont="1" applyBorder="1" applyAlignment="1" applyProtection="1">
      <alignment horizontal="center" vertical="center"/>
      <protection hidden="1"/>
    </xf>
    <xf numFmtId="0" fontId="5" fillId="0" borderId="8" xfId="2" applyBorder="1"/>
    <xf numFmtId="0" fontId="47" fillId="0" borderId="37" xfId="0" applyFont="1" applyBorder="1" applyProtection="1">
      <protection hidden="1"/>
    </xf>
    <xf numFmtId="0" fontId="30" fillId="0" borderId="35" xfId="0" applyFont="1" applyBorder="1" applyProtection="1">
      <protection hidden="1"/>
    </xf>
    <xf numFmtId="3" fontId="45" fillId="0" borderId="8" xfId="2" applyNumberFormat="1" applyFont="1" applyBorder="1" applyProtection="1">
      <protection hidden="1"/>
    </xf>
    <xf numFmtId="0" fontId="5" fillId="0" borderId="39" xfId="2" applyBorder="1"/>
    <xf numFmtId="0" fontId="43" fillId="0" borderId="0" xfId="2" applyFont="1" applyAlignment="1" applyProtection="1">
      <alignment horizontal="left"/>
      <protection hidden="1"/>
    </xf>
    <xf numFmtId="166" fontId="44" fillId="0" borderId="0" xfId="2" applyNumberFormat="1" applyFont="1" applyAlignment="1" applyProtection="1">
      <alignment horizontal="right"/>
      <protection hidden="1"/>
    </xf>
    <xf numFmtId="3" fontId="43" fillId="0" borderId="0" xfId="2" applyNumberFormat="1" applyFont="1" applyProtection="1">
      <protection locked="0"/>
    </xf>
    <xf numFmtId="3" fontId="45" fillId="0" borderId="0" xfId="2" applyNumberFormat="1" applyFont="1" applyProtection="1">
      <protection hidden="1"/>
    </xf>
    <xf numFmtId="0" fontId="56" fillId="0" borderId="0" xfId="2" applyFont="1"/>
    <xf numFmtId="0" fontId="54" fillId="0" borderId="8" xfId="2" applyFont="1" applyBorder="1"/>
    <xf numFmtId="0" fontId="43" fillId="9" borderId="8" xfId="2" applyFont="1" applyFill="1" applyBorder="1" applyAlignment="1">
      <alignment horizontal="right"/>
    </xf>
    <xf numFmtId="0" fontId="5" fillId="9" borderId="8" xfId="2" applyFill="1" applyBorder="1"/>
    <xf numFmtId="0" fontId="55" fillId="0" borderId="8" xfId="0" applyFont="1" applyBorder="1" applyAlignment="1">
      <alignment vertical="center"/>
    </xf>
    <xf numFmtId="0" fontId="54" fillId="0" borderId="8" xfId="0" applyFont="1" applyBorder="1" applyAlignment="1">
      <alignment vertical="center"/>
    </xf>
    <xf numFmtId="0" fontId="14" fillId="0" borderId="140" xfId="0" applyFont="1" applyBorder="1" applyAlignment="1">
      <alignment horizontal="center" vertical="center"/>
    </xf>
    <xf numFmtId="0" fontId="9" fillId="0" borderId="141" xfId="0" applyFont="1" applyBorder="1" applyAlignment="1">
      <alignment vertical="center"/>
    </xf>
    <xf numFmtId="0" fontId="9" fillId="0" borderId="142" xfId="0" applyFont="1" applyBorder="1" applyAlignment="1">
      <alignment vertical="center"/>
    </xf>
    <xf numFmtId="0" fontId="13" fillId="0" borderId="87" xfId="0" applyFont="1" applyBorder="1" applyAlignment="1">
      <alignment horizontal="center" vertical="center"/>
    </xf>
    <xf numFmtId="0" fontId="5" fillId="0" borderId="14" xfId="2" applyBorder="1"/>
    <xf numFmtId="3" fontId="5" fillId="0" borderId="13" xfId="2" applyNumberFormat="1" applyBorder="1" applyProtection="1">
      <protection hidden="1"/>
    </xf>
    <xf numFmtId="3" fontId="14" fillId="0" borderId="13" xfId="2" applyNumberFormat="1" applyFont="1" applyBorder="1" applyProtection="1">
      <protection hidden="1"/>
    </xf>
    <xf numFmtId="3" fontId="5" fillId="0" borderId="0" xfId="2" applyNumberFormat="1" applyAlignment="1">
      <alignment horizontal="center" vertical="center"/>
    </xf>
    <xf numFmtId="3" fontId="5" fillId="0" borderId="8" xfId="2" applyNumberFormat="1" applyBorder="1" applyAlignment="1" applyProtection="1">
      <alignment horizontal="center" vertical="center"/>
      <protection hidden="1"/>
    </xf>
    <xf numFmtId="3" fontId="14" fillId="0" borderId="26" xfId="2" applyNumberFormat="1" applyFont="1" applyBorder="1" applyAlignment="1" applyProtection="1">
      <alignment horizontal="center" vertical="center"/>
      <protection hidden="1"/>
    </xf>
    <xf numFmtId="3" fontId="5" fillId="0" borderId="0" xfId="2" applyNumberFormat="1" applyAlignment="1" applyProtection="1">
      <alignment horizontal="center" vertical="center"/>
      <protection hidden="1"/>
    </xf>
    <xf numFmtId="3" fontId="14" fillId="0" borderId="0" xfId="2" applyNumberFormat="1" applyFont="1" applyAlignment="1" applyProtection="1">
      <alignment horizontal="center" vertical="center"/>
      <protection hidden="1"/>
    </xf>
    <xf numFmtId="3" fontId="5" fillId="0" borderId="8" xfId="2" applyNumberFormat="1" applyBorder="1" applyAlignment="1">
      <alignment horizontal="center" vertical="center"/>
    </xf>
    <xf numFmtId="3" fontId="5" fillId="0" borderId="13" xfId="2" applyNumberFormat="1" applyBorder="1" applyAlignment="1" applyProtection="1">
      <alignment horizontal="center" vertical="center"/>
      <protection hidden="1"/>
    </xf>
    <xf numFmtId="3" fontId="14" fillId="0" borderId="13" xfId="2" applyNumberFormat="1" applyFont="1" applyBorder="1" applyAlignment="1" applyProtection="1">
      <alignment horizontal="center" vertical="center"/>
      <protection hidden="1"/>
    </xf>
    <xf numFmtId="1" fontId="5" fillId="0" borderId="8" xfId="2" applyNumberFormat="1" applyBorder="1" applyAlignment="1">
      <alignment vertical="center"/>
    </xf>
    <xf numFmtId="1" fontId="43" fillId="0" borderId="8" xfId="2" applyNumberFormat="1" applyFont="1" applyBorder="1" applyAlignment="1" applyProtection="1">
      <alignment vertical="center"/>
      <protection locked="0"/>
    </xf>
    <xf numFmtId="1" fontId="5" fillId="0" borderId="8" xfId="2" applyNumberFormat="1" applyBorder="1"/>
    <xf numFmtId="0" fontId="43" fillId="0" borderId="29" xfId="2" applyFont="1" applyBorder="1" applyAlignment="1">
      <alignment horizontal="left"/>
    </xf>
    <xf numFmtId="1" fontId="5" fillId="0" borderId="29" xfId="2" applyNumberFormat="1" applyBorder="1" applyAlignment="1">
      <alignment vertical="center"/>
    </xf>
    <xf numFmtId="0" fontId="8" fillId="0" borderId="22" xfId="2" applyFont="1" applyBorder="1"/>
    <xf numFmtId="0" fontId="5" fillId="0" borderId="143" xfId="2" applyBorder="1"/>
    <xf numFmtId="3" fontId="5" fillId="0" borderId="47" xfId="2" applyNumberFormat="1" applyBorder="1" applyAlignment="1">
      <alignment horizontal="center" vertical="center"/>
    </xf>
    <xf numFmtId="3" fontId="5" fillId="0" borderId="51" xfId="2" applyNumberFormat="1" applyBorder="1" applyProtection="1">
      <protection hidden="1"/>
    </xf>
    <xf numFmtId="0" fontId="5" fillId="0" borderId="24" xfId="2" applyBorder="1" applyProtection="1">
      <protection hidden="1"/>
    </xf>
    <xf numFmtId="0" fontId="5" fillId="0" borderId="144" xfId="2" applyBorder="1"/>
    <xf numFmtId="3" fontId="5" fillId="0" borderId="55" xfId="2" applyNumberFormat="1" applyBorder="1" applyProtection="1">
      <protection hidden="1"/>
    </xf>
    <xf numFmtId="3" fontId="5" fillId="0" borderId="145" xfId="2" applyNumberFormat="1" applyBorder="1" applyProtection="1">
      <protection hidden="1"/>
    </xf>
    <xf numFmtId="3" fontId="14" fillId="0" borderId="8" xfId="2" applyNumberFormat="1" applyFont="1" applyBorder="1" applyAlignment="1" applyProtection="1">
      <alignment horizontal="center" vertical="center"/>
      <protection hidden="1"/>
    </xf>
    <xf numFmtId="49" fontId="14" fillId="9" borderId="8" xfId="2" applyNumberFormat="1" applyFont="1" applyFill="1" applyBorder="1" applyAlignment="1">
      <alignment horizontal="center" vertical="center"/>
    </xf>
    <xf numFmtId="0" fontId="5" fillId="9" borderId="8" xfId="2" applyFill="1" applyBorder="1" applyAlignment="1">
      <alignment horizontal="center"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1" fontId="5" fillId="0" borderId="0" xfId="2" applyNumberFormat="1"/>
    <xf numFmtId="3" fontId="5" fillId="8" borderId="0" xfId="2" applyNumberFormat="1" applyFill="1" applyAlignment="1">
      <alignment horizontal="center" vertical="center"/>
    </xf>
    <xf numFmtId="166" fontId="14" fillId="0" borderId="3" xfId="0" applyNumberFormat="1" applyFont="1" applyBorder="1" applyAlignment="1">
      <alignment horizontal="center" vertical="center"/>
    </xf>
    <xf numFmtId="0" fontId="13" fillId="0" borderId="97" xfId="0" applyFont="1" applyBorder="1" applyAlignment="1">
      <alignment horizontal="center" vertical="center"/>
    </xf>
    <xf numFmtId="164" fontId="14" fillId="3" borderId="69" xfId="0" applyNumberFormat="1" applyFont="1" applyFill="1" applyBorder="1" applyAlignment="1">
      <alignment horizontal="center" vertical="center"/>
    </xf>
    <xf numFmtId="4" fontId="48" fillId="0" borderId="69" xfId="0" applyNumberFormat="1" applyFont="1" applyBorder="1" applyAlignment="1" applyProtection="1">
      <alignment horizontal="center" vertical="center"/>
      <protection hidden="1"/>
    </xf>
    <xf numFmtId="4" fontId="48" fillId="2" borderId="69" xfId="0" applyNumberFormat="1" applyFont="1" applyFill="1" applyBorder="1" applyAlignment="1" applyProtection="1">
      <alignment horizontal="center" vertical="center"/>
      <protection hidden="1"/>
    </xf>
    <xf numFmtId="164" fontId="9" fillId="6" borderId="69" xfId="0" applyNumberFormat="1" applyFont="1" applyFill="1" applyBorder="1" applyAlignment="1">
      <alignment horizontal="center" vertical="center"/>
    </xf>
    <xf numFmtId="165" fontId="41" fillId="6" borderId="69" xfId="0" applyNumberFormat="1" applyFont="1" applyFill="1" applyBorder="1" applyAlignment="1" applyProtection="1">
      <alignment horizontal="center" vertical="center"/>
      <protection hidden="1"/>
    </xf>
    <xf numFmtId="165" fontId="41" fillId="6" borderId="77" xfId="0" applyNumberFormat="1" applyFont="1" applyFill="1" applyBorder="1" applyAlignment="1" applyProtection="1">
      <alignment horizontal="center" vertical="center"/>
      <protection hidden="1"/>
    </xf>
    <xf numFmtId="3" fontId="42" fillId="0" borderId="69" xfId="0" applyNumberFormat="1" applyFont="1" applyBorder="1" applyAlignment="1">
      <alignment horizontal="center" vertical="center"/>
    </xf>
    <xf numFmtId="14" fontId="8" fillId="28" borderId="0" xfId="0" applyNumberFormat="1" applyFont="1" applyFill="1" applyAlignment="1" applyProtection="1">
      <alignment horizontal="left" vertical="center"/>
      <protection locked="0"/>
    </xf>
    <xf numFmtId="164" fontId="14" fillId="28" borderId="69" xfId="0" applyNumberFormat="1" applyFont="1" applyFill="1" applyBorder="1" applyAlignment="1" applyProtection="1">
      <alignment horizontal="center" vertical="center"/>
      <protection locked="0"/>
    </xf>
    <xf numFmtId="3" fontId="14" fillId="28" borderId="69" xfId="0" applyNumberFormat="1" applyFont="1" applyFill="1" applyBorder="1" applyAlignment="1" applyProtection="1">
      <alignment horizontal="center" vertical="center"/>
      <protection locked="0"/>
    </xf>
    <xf numFmtId="3" fontId="13" fillId="28" borderId="69" xfId="0" applyNumberFormat="1" applyFont="1" applyFill="1" applyBorder="1" applyAlignment="1" applyProtection="1">
      <alignment horizontal="center" vertical="center"/>
      <protection locked="0"/>
    </xf>
    <xf numFmtId="164" fontId="14" fillId="28" borderId="76" xfId="0" applyNumberFormat="1" applyFont="1" applyFill="1" applyBorder="1" applyAlignment="1" applyProtection="1">
      <alignment horizontal="center" vertical="center"/>
      <protection locked="0"/>
    </xf>
    <xf numFmtId="1" fontId="14" fillId="28" borderId="76" xfId="0" applyNumberFormat="1" applyFont="1" applyFill="1" applyBorder="1" applyAlignment="1" applyProtection="1">
      <alignment horizontal="center" vertical="center"/>
      <protection locked="0"/>
    </xf>
    <xf numFmtId="167" fontId="14" fillId="28" borderId="76" xfId="0" applyNumberFormat="1" applyFont="1" applyFill="1" applyBorder="1" applyAlignment="1" applyProtection="1">
      <alignment horizontal="center" vertical="center"/>
      <protection locked="0"/>
    </xf>
    <xf numFmtId="3" fontId="14" fillId="28" borderId="76" xfId="0" applyNumberFormat="1" applyFont="1" applyFill="1" applyBorder="1" applyAlignment="1" applyProtection="1">
      <alignment horizontal="center" vertical="center"/>
      <protection locked="0"/>
    </xf>
    <xf numFmtId="1" fontId="14" fillId="28" borderId="69" xfId="0" applyNumberFormat="1" applyFont="1" applyFill="1" applyBorder="1" applyAlignment="1" applyProtection="1">
      <alignment horizontal="center" vertical="center"/>
      <protection locked="0"/>
    </xf>
    <xf numFmtId="167" fontId="14" fillId="28" borderId="69" xfId="0" applyNumberFormat="1" applyFont="1" applyFill="1" applyBorder="1" applyAlignment="1" applyProtection="1">
      <alignment horizontal="center" vertical="center"/>
      <protection locked="0"/>
    </xf>
    <xf numFmtId="1" fontId="13" fillId="28" borderId="84"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75" xfId="0" applyNumberFormat="1" applyFont="1" applyFill="1" applyBorder="1" applyAlignment="1" applyProtection="1">
      <alignment horizontal="center" vertical="center"/>
      <protection locked="0"/>
    </xf>
    <xf numFmtId="167" fontId="9" fillId="28" borderId="77" xfId="0" applyNumberFormat="1" applyFont="1" applyFill="1" applyBorder="1" applyAlignment="1" applyProtection="1">
      <alignment horizontal="center" vertical="center"/>
      <protection locked="0"/>
    </xf>
    <xf numFmtId="3" fontId="21" fillId="28" borderId="75" xfId="0" applyNumberFormat="1" applyFont="1" applyFill="1" applyBorder="1" applyAlignment="1" applyProtection="1">
      <alignment horizontal="center" vertical="center"/>
      <protection locked="0"/>
    </xf>
    <xf numFmtId="3" fontId="21" fillId="28" borderId="77"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89" xfId="0" applyNumberFormat="1" applyFont="1" applyFill="1" applyBorder="1" applyAlignment="1" applyProtection="1">
      <alignment horizontal="center" vertical="center"/>
      <protection locked="0"/>
    </xf>
    <xf numFmtId="9" fontId="14" fillId="28" borderId="75"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4" fontId="9" fillId="28" borderId="69" xfId="0" applyNumberFormat="1" applyFont="1" applyFill="1" applyBorder="1" applyAlignment="1" applyProtection="1">
      <alignment horizontal="center" vertical="center"/>
      <protection locked="0"/>
    </xf>
    <xf numFmtId="2" fontId="9" fillId="28" borderId="69" xfId="0" applyNumberFormat="1" applyFont="1" applyFill="1" applyBorder="1" applyAlignment="1" applyProtection="1">
      <alignment horizontal="center" vertical="center"/>
      <protection locked="0"/>
    </xf>
    <xf numFmtId="3" fontId="13" fillId="28" borderId="83"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9" fillId="0" borderId="110" xfId="0" applyNumberFormat="1" applyFont="1" applyBorder="1" applyAlignment="1" applyProtection="1">
      <alignment horizontal="center" vertical="center"/>
      <protection hidden="1"/>
    </xf>
    <xf numFmtId="1" fontId="9" fillId="23" borderId="8" xfId="0" applyNumberFormat="1" applyFont="1" applyFill="1" applyBorder="1"/>
    <xf numFmtId="10" fontId="9" fillId="0" borderId="8" xfId="0" applyNumberFormat="1" applyFont="1" applyBorder="1"/>
    <xf numFmtId="0" fontId="14" fillId="0" borderId="0" xfId="0" applyFont="1" applyAlignment="1" applyProtection="1">
      <alignment horizontal="center"/>
      <protection hidden="1"/>
    </xf>
    <xf numFmtId="0" fontId="57" fillId="0" borderId="0" xfId="0" applyFont="1" applyProtection="1">
      <protection hidden="1"/>
    </xf>
    <xf numFmtId="3" fontId="57" fillId="0" borderId="0" xfId="0" applyNumberFormat="1" applyFont="1"/>
    <xf numFmtId="0" fontId="13" fillId="0" borderId="14" xfId="0" applyFont="1" applyBorder="1"/>
    <xf numFmtId="0" fontId="14" fillId="0" borderId="12" xfId="0" applyFont="1" applyBorder="1"/>
    <xf numFmtId="0" fontId="14" fillId="0" borderId="13" xfId="0" applyFont="1" applyBorder="1"/>
    <xf numFmtId="0" fontId="14" fillId="0" borderId="6" xfId="0" applyFont="1" applyBorder="1"/>
    <xf numFmtId="0" fontId="14" fillId="0" borderId="14" xfId="0" applyFont="1" applyBorder="1" applyProtection="1">
      <protection hidden="1"/>
    </xf>
    <xf numFmtId="3" fontId="14" fillId="0" borderId="15" xfId="0" applyNumberFormat="1" applyFont="1" applyBorder="1"/>
    <xf numFmtId="0" fontId="14" fillId="0" borderId="8" xfId="0" applyFont="1" applyBorder="1" applyAlignment="1">
      <alignment horizontal="left"/>
    </xf>
    <xf numFmtId="9" fontId="14" fillId="0" borderId="8" xfId="1" applyFont="1" applyBorder="1" applyAlignment="1">
      <alignment horizontal="right"/>
    </xf>
    <xf numFmtId="3" fontId="14" fillId="0" borderId="8" xfId="0" applyNumberFormat="1" applyFont="1" applyBorder="1"/>
    <xf numFmtId="0" fontId="14" fillId="0" borderId="8" xfId="0" applyFont="1" applyBorder="1"/>
    <xf numFmtId="1" fontId="14" fillId="23" borderId="8" xfId="0" applyNumberFormat="1" applyFont="1" applyFill="1" applyBorder="1"/>
    <xf numFmtId="3" fontId="14" fillId="23" borderId="8" xfId="0" applyNumberFormat="1" applyFont="1" applyFill="1" applyBorder="1"/>
    <xf numFmtId="0" fontId="14" fillId="0" borderId="15" xfId="0" applyFont="1" applyBorder="1"/>
    <xf numFmtId="0" fontId="14" fillId="0" borderId="14" xfId="0" applyFont="1" applyBorder="1"/>
    <xf numFmtId="0" fontId="13" fillId="0" borderId="0" xfId="0" applyFont="1" applyAlignment="1">
      <alignment horizontal="center"/>
    </xf>
    <xf numFmtId="10" fontId="14" fillId="0" borderId="8" xfId="0" applyNumberFormat="1" applyFont="1" applyBorder="1"/>
    <xf numFmtId="0" fontId="14" fillId="0" borderId="16" xfId="0" applyFont="1" applyBorder="1"/>
    <xf numFmtId="0" fontId="14" fillId="0" borderId="17" xfId="0" applyFont="1" applyBorder="1"/>
    <xf numFmtId="0" fontId="14" fillId="0" borderId="18" xfId="0" applyFont="1" applyBorder="1"/>
    <xf numFmtId="0" fontId="14" fillId="23" borderId="0" xfId="0" applyFont="1" applyFill="1"/>
    <xf numFmtId="9" fontId="14" fillId="0" borderId="8" xfId="1" applyFont="1" applyBorder="1"/>
    <xf numFmtId="1" fontId="14" fillId="0" borderId="8" xfId="0" applyNumberFormat="1" applyFont="1" applyBorder="1"/>
    <xf numFmtId="0" fontId="57" fillId="0" borderId="8" xfId="0" applyFont="1" applyBorder="1"/>
    <xf numFmtId="1" fontId="57" fillId="0" borderId="8" xfId="0" applyNumberFormat="1" applyFont="1" applyBorder="1"/>
    <xf numFmtId="0" fontId="14" fillId="0" borderId="8" xfId="0" applyFont="1" applyBorder="1" applyAlignment="1">
      <alignment horizontal="right"/>
    </xf>
    <xf numFmtId="0" fontId="14" fillId="0" borderId="8" xfId="0" applyFont="1" applyBorder="1" applyAlignment="1">
      <alignment horizontal="center"/>
    </xf>
    <xf numFmtId="167" fontId="14" fillId="0" borderId="8" xfId="0" applyNumberFormat="1" applyFont="1" applyBorder="1"/>
    <xf numFmtId="9" fontId="14" fillId="0" borderId="8" xfId="0" applyNumberFormat="1" applyFont="1" applyBorder="1"/>
    <xf numFmtId="2" fontId="14" fillId="0" borderId="8" xfId="0" applyNumberFormat="1" applyFont="1" applyBorder="1"/>
    <xf numFmtId="165" fontId="14" fillId="0" borderId="8" xfId="0" applyNumberFormat="1" applyFont="1" applyBorder="1"/>
    <xf numFmtId="165" fontId="14" fillId="0" borderId="8" xfId="0" applyNumberFormat="1" applyFont="1" applyBorder="1" applyAlignment="1">
      <alignment horizontal="center"/>
    </xf>
    <xf numFmtId="164" fontId="14" fillId="23" borderId="8" xfId="1" applyNumberFormat="1" applyFont="1" applyFill="1" applyBorder="1"/>
    <xf numFmtId="3" fontId="13" fillId="0" borderId="8" xfId="0" applyNumberFormat="1" applyFont="1" applyBorder="1"/>
    <xf numFmtId="1" fontId="13" fillId="0" borderId="8" xfId="0" applyNumberFormat="1" applyFont="1" applyBorder="1"/>
    <xf numFmtId="0" fontId="9" fillId="0" borderId="8" xfId="0" applyFont="1" applyBorder="1" applyAlignment="1">
      <alignment horizontal="right"/>
    </xf>
    <xf numFmtId="164" fontId="9" fillId="23" borderId="8" xfId="1" applyNumberFormat="1" applyFont="1" applyFill="1" applyBorder="1"/>
    <xf numFmtId="3" fontId="6" fillId="0" borderId="8" xfId="0" applyNumberFormat="1" applyFont="1" applyBorder="1"/>
    <xf numFmtId="1" fontId="6" fillId="0" borderId="8" xfId="0" applyNumberFormat="1" applyFont="1" applyBorder="1"/>
    <xf numFmtId="1" fontId="6" fillId="6" borderId="0" xfId="0" applyNumberFormat="1" applyFont="1" applyFill="1"/>
    <xf numFmtId="1" fontId="6" fillId="23" borderId="0" xfId="0" applyNumberFormat="1" applyFont="1" applyFill="1"/>
    <xf numFmtId="1" fontId="14" fillId="8" borderId="8" xfId="0" applyNumberFormat="1" applyFont="1" applyFill="1" applyBorder="1"/>
    <xf numFmtId="0" fontId="14" fillId="8" borderId="8" xfId="0" applyFont="1" applyFill="1" applyBorder="1"/>
    <xf numFmtId="0" fontId="14" fillId="8" borderId="8" xfId="0" applyFont="1" applyFill="1" applyBorder="1" applyProtection="1">
      <protection hidden="1"/>
    </xf>
    <xf numFmtId="3" fontId="14" fillId="8" borderId="8" xfId="0" applyNumberFormat="1" applyFont="1" applyFill="1" applyBorder="1"/>
    <xf numFmtId="0" fontId="9" fillId="8" borderId="8" xfId="0" applyFont="1" applyFill="1" applyBorder="1"/>
    <xf numFmtId="0" fontId="6" fillId="8" borderId="14" xfId="0" applyFont="1" applyFill="1" applyBorder="1"/>
    <xf numFmtId="0" fontId="9" fillId="8" borderId="14" xfId="0" applyFont="1" applyFill="1" applyBorder="1"/>
    <xf numFmtId="3" fontId="13" fillId="3" borderId="69" xfId="0" applyNumberFormat="1" applyFont="1" applyFill="1" applyBorder="1" applyAlignment="1" applyProtection="1">
      <alignment horizontal="center" vertical="center"/>
      <protection hidden="1"/>
    </xf>
    <xf numFmtId="164" fontId="14" fillId="3" borderId="6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75" xfId="0" applyNumberFormat="1" applyFont="1" applyFill="1" applyBorder="1" applyAlignment="1" applyProtection="1">
      <alignment horizontal="center" vertical="center"/>
      <protection hidden="1"/>
    </xf>
    <xf numFmtId="167" fontId="9" fillId="3" borderId="77" xfId="0" applyNumberFormat="1" applyFont="1" applyFill="1" applyBorder="1" applyAlignment="1" applyProtection="1">
      <alignment horizontal="center" vertical="center"/>
      <protection hidden="1"/>
    </xf>
    <xf numFmtId="0" fontId="14" fillId="0" borderId="0" xfId="0" applyFont="1" applyAlignment="1" applyProtection="1">
      <alignment vertical="center"/>
      <protection locked="0"/>
    </xf>
    <xf numFmtId="1" fontId="14" fillId="0" borderId="87" xfId="0" applyNumberFormat="1" applyFont="1" applyBorder="1" applyAlignment="1" applyProtection="1">
      <alignment vertical="center"/>
      <protection locked="0"/>
    </xf>
    <xf numFmtId="1" fontId="14" fillId="0" borderId="0" xfId="0" applyNumberFormat="1" applyFont="1" applyAlignment="1" applyProtection="1">
      <alignment vertical="center"/>
      <protection locked="0"/>
    </xf>
    <xf numFmtId="164" fontId="14" fillId="0" borderId="87" xfId="0" applyNumberFormat="1" applyFont="1" applyBorder="1" applyAlignment="1" applyProtection="1">
      <alignment vertical="center"/>
      <protection locked="0"/>
    </xf>
    <xf numFmtId="164" fontId="14" fillId="0" borderId="0" xfId="0" applyNumberFormat="1" applyFont="1" applyAlignment="1" applyProtection="1">
      <alignment vertical="center"/>
      <protection locked="0"/>
    </xf>
    <xf numFmtId="0" fontId="14" fillId="0" borderId="87" xfId="0" applyFont="1" applyBorder="1"/>
    <xf numFmtId="0" fontId="14" fillId="0" borderId="89" xfId="0" applyFont="1" applyBorder="1" applyAlignment="1" applyProtection="1">
      <alignment vertical="center"/>
      <protection locked="0"/>
    </xf>
    <xf numFmtId="0" fontId="14" fillId="0" borderId="97" xfId="0" applyFont="1" applyBorder="1" applyAlignment="1" applyProtection="1">
      <alignment vertical="center"/>
      <protection locked="0"/>
    </xf>
    <xf numFmtId="0" fontId="13" fillId="3" borderId="112" xfId="0" applyFont="1" applyFill="1" applyBorder="1" applyAlignment="1">
      <alignment horizontal="center" vertical="center"/>
    </xf>
    <xf numFmtId="0" fontId="9" fillId="3" borderId="105" xfId="0" applyFont="1" applyFill="1" applyBorder="1" applyAlignment="1">
      <alignment vertical="center"/>
    </xf>
    <xf numFmtId="0" fontId="14" fillId="3" borderId="100" xfId="0" applyFont="1" applyFill="1" applyBorder="1" applyAlignment="1">
      <alignment horizontal="center" vertical="center"/>
    </xf>
    <xf numFmtId="0" fontId="9" fillId="3" borderId="101" xfId="0" applyFont="1" applyFill="1" applyBorder="1" applyAlignment="1">
      <alignment vertical="center"/>
    </xf>
    <xf numFmtId="0" fontId="14" fillId="3" borderId="102" xfId="0" applyFont="1" applyFill="1" applyBorder="1" applyAlignment="1">
      <alignment horizontal="center" vertical="center"/>
    </xf>
    <xf numFmtId="0" fontId="9" fillId="3" borderId="106" xfId="0" applyFont="1" applyFill="1" applyBorder="1" applyAlignment="1">
      <alignment vertical="center"/>
    </xf>
    <xf numFmtId="0" fontId="9" fillId="3" borderId="103" xfId="0" applyFont="1" applyFill="1" applyBorder="1" applyAlignment="1">
      <alignment vertical="center"/>
    </xf>
    <xf numFmtId="0" fontId="54" fillId="0" borderId="13" xfId="2" applyFont="1" applyBorder="1"/>
    <xf numFmtId="0" fontId="5" fillId="9" borderId="6" xfId="2" applyFill="1" applyBorder="1"/>
    <xf numFmtId="0" fontId="36" fillId="14" borderId="25" xfId="0" applyFont="1" applyFill="1" applyBorder="1" applyAlignment="1" applyProtection="1">
      <alignment horizontal="right" vertical="center"/>
      <protection hidden="1"/>
    </xf>
    <xf numFmtId="0" fontId="36" fillId="14" borderId="0" xfId="0" applyFont="1" applyFill="1" applyProtection="1">
      <protection hidden="1"/>
    </xf>
    <xf numFmtId="166" fontId="36" fillId="14" borderId="0" xfId="0" applyNumberFormat="1" applyFont="1" applyFill="1" applyAlignment="1" applyProtection="1">
      <alignment horizontal="center"/>
      <protection hidden="1"/>
    </xf>
    <xf numFmtId="3" fontId="36" fillId="14" borderId="0" xfId="0" applyNumberFormat="1" applyFont="1" applyFill="1" applyProtection="1">
      <protection hidden="1"/>
    </xf>
    <xf numFmtId="0" fontId="36" fillId="14" borderId="0" xfId="0" applyFont="1" applyFill="1"/>
    <xf numFmtId="0" fontId="36" fillId="14" borderId="27" xfId="0" applyFont="1" applyFill="1" applyBorder="1"/>
    <xf numFmtId="3" fontId="41" fillId="14" borderId="0" xfId="0" applyNumberFormat="1" applyFont="1" applyFill="1" applyProtection="1">
      <protection hidden="1"/>
    </xf>
    <xf numFmtId="0" fontId="9" fillId="0" borderId="26" xfId="0" applyFont="1" applyBorder="1" applyAlignment="1" applyProtection="1">
      <alignment horizontal="center"/>
      <protection hidden="1"/>
    </xf>
    <xf numFmtId="2" fontId="9" fillId="0" borderId="26" xfId="0" applyNumberFormat="1" applyFont="1" applyBorder="1"/>
    <xf numFmtId="4" fontId="21" fillId="0" borderId="26" xfId="0" applyNumberFormat="1" applyFont="1" applyBorder="1" applyProtection="1">
      <protection hidden="1"/>
    </xf>
    <xf numFmtId="0" fontId="8" fillId="0" borderId="0" xfId="0" applyFont="1" applyAlignment="1">
      <alignment horizontal="center"/>
    </xf>
    <xf numFmtId="0" fontId="0" fillId="0" borderId="147" xfId="0" applyBorder="1"/>
    <xf numFmtId="166" fontId="0" fillId="0" borderId="148" xfId="0" applyNumberFormat="1" applyBorder="1"/>
    <xf numFmtId="1" fontId="0" fillId="0" borderId="148" xfId="0" applyNumberFormat="1" applyBorder="1"/>
    <xf numFmtId="164" fontId="0" fillId="0" borderId="149" xfId="1" applyNumberFormat="1" applyFont="1" applyBorder="1"/>
    <xf numFmtId="0" fontId="8" fillId="6" borderId="25" xfId="0" applyFont="1" applyFill="1" applyBorder="1" applyAlignment="1">
      <alignment horizontal="center" vertical="center"/>
    </xf>
    <xf numFmtId="0" fontId="8" fillId="6" borderId="0" xfId="0" applyFont="1" applyFill="1" applyAlignment="1">
      <alignment horizontal="center" vertical="center"/>
    </xf>
    <xf numFmtId="0" fontId="8" fillId="6" borderId="27" xfId="0" applyFont="1" applyFill="1" applyBorder="1" applyAlignment="1">
      <alignment horizontal="center" vertical="center"/>
    </xf>
    <xf numFmtId="0" fontId="8" fillId="0" borderId="52"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50" xfId="0" applyFont="1" applyBorder="1" applyAlignment="1">
      <alignment horizontal="center" vertical="center"/>
    </xf>
    <xf numFmtId="3" fontId="0" fillId="0" borderId="147" xfId="1" applyNumberFormat="1" applyFont="1" applyBorder="1"/>
    <xf numFmtId="3" fontId="0" fillId="0" borderId="151" xfId="0" applyNumberFormat="1" applyBorder="1"/>
    <xf numFmtId="3" fontId="0" fillId="0" borderId="148" xfId="0" applyNumberFormat="1" applyBorder="1"/>
    <xf numFmtId="3" fontId="0" fillId="0" borderId="152" xfId="0" applyNumberFormat="1" applyBorder="1"/>
    <xf numFmtId="3" fontId="0" fillId="0" borderId="147" xfId="0" applyNumberFormat="1" applyBorder="1"/>
    <xf numFmtId="3" fontId="0" fillId="0" borderId="153" xfId="1" applyNumberFormat="1" applyFont="1" applyBorder="1"/>
    <xf numFmtId="3" fontId="0" fillId="0" borderId="49" xfId="0" applyNumberFormat="1" applyBorder="1"/>
    <xf numFmtId="3" fontId="0" fillId="0" borderId="153" xfId="0" applyNumberFormat="1" applyBorder="1"/>
    <xf numFmtId="0" fontId="8" fillId="29" borderId="35" xfId="0" applyFont="1" applyFill="1" applyBorder="1" applyAlignment="1">
      <alignment horizontal="center" vertical="center"/>
    </xf>
    <xf numFmtId="0" fontId="8" fillId="29" borderId="17" xfId="0" applyFont="1" applyFill="1" applyBorder="1" applyAlignment="1">
      <alignment horizontal="center" vertical="center"/>
    </xf>
    <xf numFmtId="0" fontId="8" fillId="29" borderId="36" xfId="0" applyFont="1" applyFill="1" applyBorder="1" applyAlignment="1">
      <alignment horizontal="center"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3" fontId="5" fillId="0" borderId="154" xfId="0" applyNumberFormat="1" applyFont="1" applyBorder="1"/>
    <xf numFmtId="0" fontId="8" fillId="0" borderId="25" xfId="0" applyFont="1" applyBorder="1" applyAlignment="1">
      <alignment horizontal="center" vertical="center"/>
    </xf>
    <xf numFmtId="3" fontId="8" fillId="0" borderId="0" xfId="0" applyNumberFormat="1" applyFont="1" applyAlignment="1" applyProtection="1">
      <alignment horizontal="center" vertical="center"/>
      <protection hidden="1"/>
    </xf>
    <xf numFmtId="3" fontId="0" fillId="0" borderId="25" xfId="0" applyNumberFormat="1" applyBorder="1"/>
    <xf numFmtId="1" fontId="8" fillId="6" borderId="25" xfId="0" applyNumberFormat="1" applyFont="1" applyFill="1" applyBorder="1" applyAlignment="1">
      <alignment horizontal="center" vertical="center"/>
    </xf>
    <xf numFmtId="3" fontId="5" fillId="0" borderId="155" xfId="0" applyNumberFormat="1" applyFont="1" applyBorder="1"/>
    <xf numFmtId="0" fontId="8" fillId="6" borderId="0" xfId="0" applyFont="1" applyFill="1" applyAlignment="1">
      <alignment horizontal="left" vertical="top"/>
    </xf>
    <xf numFmtId="0" fontId="5" fillId="6" borderId="0" xfId="0" applyFont="1" applyFill="1" applyAlignment="1">
      <alignment horizontal="left" vertical="top"/>
    </xf>
    <xf numFmtId="0" fontId="51" fillId="2" borderId="0" xfId="0" applyFont="1" applyFill="1" applyAlignment="1">
      <alignment vertical="center"/>
    </xf>
    <xf numFmtId="1" fontId="13" fillId="6" borderId="69" xfId="0" applyNumberFormat="1" applyFont="1" applyFill="1" applyBorder="1" applyAlignment="1">
      <alignment horizontal="center" vertical="center"/>
    </xf>
    <xf numFmtId="3" fontId="9" fillId="6" borderId="69" xfId="0" applyNumberFormat="1" applyFont="1" applyFill="1" applyBorder="1" applyAlignment="1" applyProtection="1">
      <alignment horizontal="center" vertical="center"/>
      <protection hidden="1"/>
    </xf>
    <xf numFmtId="3" fontId="14" fillId="0" borderId="6" xfId="0" applyNumberFormat="1" applyFont="1" applyBorder="1" applyAlignment="1" applyProtection="1">
      <alignment horizontal="center" vertical="center"/>
      <protection hidden="1"/>
    </xf>
    <xf numFmtId="9" fontId="13" fillId="28" borderId="8" xfId="0" applyNumberFormat="1" applyFont="1" applyFill="1" applyBorder="1" applyAlignment="1" applyProtection="1">
      <alignment horizontal="center" vertical="center"/>
      <protection locked="0"/>
    </xf>
    <xf numFmtId="164" fontId="14" fillId="28" borderId="8" xfId="0" applyNumberFormat="1" applyFont="1" applyFill="1" applyBorder="1" applyAlignment="1" applyProtection="1">
      <alignment horizontal="center" vertical="center"/>
      <protection locked="0"/>
    </xf>
    <xf numFmtId="1" fontId="13" fillId="28" borderId="8"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xf>
    <xf numFmtId="3" fontId="14" fillId="28" borderId="43"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hidden="1"/>
    </xf>
    <xf numFmtId="3" fontId="14" fillId="28" borderId="39" xfId="0" applyNumberFormat="1" applyFont="1" applyFill="1" applyBorder="1" applyAlignment="1" applyProtection="1">
      <alignment horizontal="center" vertical="center"/>
      <protection locked="0"/>
    </xf>
    <xf numFmtId="3" fontId="14" fillId="28" borderId="0" xfId="0" applyNumberFormat="1" applyFont="1" applyFill="1" applyAlignment="1" applyProtection="1">
      <alignment horizontal="center" vertical="center"/>
      <protection locked="0"/>
    </xf>
    <xf numFmtId="164" fontId="9" fillId="28" borderId="8" xfId="1" applyNumberFormat="1" applyFont="1" applyFill="1" applyBorder="1" applyAlignment="1" applyProtection="1">
      <alignment horizontal="center" vertical="center"/>
      <protection locked="0"/>
    </xf>
    <xf numFmtId="3" fontId="9" fillId="28" borderId="8" xfId="0" applyNumberFormat="1" applyFont="1" applyFill="1" applyBorder="1" applyAlignment="1" applyProtection="1">
      <alignment horizontal="center" vertical="center"/>
      <protection locked="0"/>
    </xf>
    <xf numFmtId="10" fontId="9" fillId="28" borderId="8" xfId="1" applyNumberFormat="1" applyFont="1" applyFill="1" applyBorder="1" applyAlignment="1" applyProtection="1">
      <alignment horizontal="center" vertical="center"/>
      <protection locked="0"/>
    </xf>
    <xf numFmtId="0" fontId="42" fillId="0" borderId="87" xfId="0" applyFont="1" applyBorder="1" applyAlignment="1">
      <alignment horizontal="left" vertical="center"/>
    </xf>
    <xf numFmtId="0" fontId="42" fillId="0" borderId="0" xfId="0" applyFont="1" applyProtection="1">
      <protection locked="0"/>
    </xf>
    <xf numFmtId="0" fontId="53"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4" fillId="0" borderId="87" xfId="0" applyFont="1" applyBorder="1" applyAlignment="1" applyProtection="1">
      <alignment horizontal="left" vertical="center"/>
      <protection locked="0"/>
    </xf>
    <xf numFmtId="0" fontId="13"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2" fillId="0" borderId="0" xfId="0" applyFont="1" applyAlignment="1">
      <alignment vertical="center"/>
    </xf>
    <xf numFmtId="0" fontId="42" fillId="0" borderId="88" xfId="0" applyFont="1" applyBorder="1" applyAlignment="1">
      <alignment vertical="center"/>
    </xf>
    <xf numFmtId="0" fontId="13" fillId="30" borderId="75" xfId="0" applyFont="1" applyFill="1" applyBorder="1" applyAlignment="1">
      <alignment horizontal="center" vertical="center"/>
    </xf>
    <xf numFmtId="0" fontId="13" fillId="30" borderId="96" xfId="0" applyFont="1" applyFill="1" applyBorder="1" applyAlignment="1">
      <alignment horizontal="left" vertical="center"/>
    </xf>
    <xf numFmtId="0" fontId="0" fillId="30" borderId="96" xfId="0" applyFill="1" applyBorder="1" applyAlignment="1">
      <alignment horizontal="left" vertical="center"/>
    </xf>
    <xf numFmtId="165" fontId="13" fillId="30" borderId="69" xfId="0" applyNumberFormat="1" applyFont="1" applyFill="1" applyBorder="1" applyAlignment="1" applyProtection="1">
      <alignment horizontal="center" vertical="center"/>
      <protection hidden="1"/>
    </xf>
    <xf numFmtId="0" fontId="14" fillId="0" borderId="96" xfId="0" applyFont="1" applyBorder="1" applyAlignment="1">
      <alignment horizontal="left" vertical="center"/>
    </xf>
    <xf numFmtId="0" fontId="5" fillId="0" borderId="96" xfId="0" applyFont="1" applyBorder="1" applyAlignment="1">
      <alignment horizontal="left" vertical="center"/>
    </xf>
    <xf numFmtId="165" fontId="14" fillId="0" borderId="69" xfId="0" applyNumberFormat="1" applyFont="1" applyBorder="1" applyAlignment="1" applyProtection="1">
      <alignment horizontal="center" vertical="center"/>
      <protection hidden="1"/>
    </xf>
    <xf numFmtId="165" fontId="14" fillId="0" borderId="77" xfId="0" applyNumberFormat="1" applyFont="1" applyBorder="1" applyAlignment="1" applyProtection="1">
      <alignment horizontal="center" vertical="center"/>
      <protection hidden="1"/>
    </xf>
    <xf numFmtId="0" fontId="40" fillId="0" borderId="96" xfId="0" applyFont="1" applyBorder="1" applyAlignment="1">
      <alignment vertical="center"/>
    </xf>
    <xf numFmtId="3" fontId="34" fillId="28" borderId="69" xfId="0" applyNumberFormat="1" applyFont="1" applyFill="1" applyBorder="1" applyAlignment="1" applyProtection="1">
      <alignment horizontal="center" vertical="center"/>
      <protection locked="0"/>
    </xf>
    <xf numFmtId="0" fontId="14" fillId="8" borderId="87" xfId="0" applyFont="1" applyFill="1" applyBorder="1" applyAlignment="1">
      <alignment horizontal="left" vertical="center"/>
    </xf>
    <xf numFmtId="0" fontId="14" fillId="8" borderId="0" xfId="0" applyFont="1" applyFill="1" applyAlignment="1">
      <alignment horizontal="left" vertical="center"/>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8" fillId="8" borderId="94" xfId="0" applyFont="1" applyFill="1" applyBorder="1" applyAlignment="1">
      <alignment horizontal="left" vertical="center"/>
    </xf>
    <xf numFmtId="0" fontId="14" fillId="8" borderId="68" xfId="0" applyFont="1" applyFill="1" applyBorder="1" applyAlignment="1">
      <alignment vertical="center"/>
    </xf>
    <xf numFmtId="0" fontId="14" fillId="8" borderId="87" xfId="0" applyFont="1" applyFill="1" applyBorder="1" applyAlignment="1">
      <alignment vertical="center"/>
    </xf>
    <xf numFmtId="0" fontId="14" fillId="8" borderId="0" xfId="0" applyFont="1" applyFill="1" applyAlignment="1">
      <alignment vertical="center"/>
    </xf>
    <xf numFmtId="164" fontId="14" fillId="8" borderId="89" xfId="0" applyNumberFormat="1" applyFont="1" applyFill="1" applyBorder="1" applyAlignment="1">
      <alignment horizontal="center" vertical="center"/>
    </xf>
    <xf numFmtId="164" fontId="14" fillId="8" borderId="97" xfId="0" applyNumberFormat="1" applyFont="1" applyFill="1" applyBorder="1" applyAlignment="1">
      <alignment horizontal="center" vertical="center"/>
    </xf>
    <xf numFmtId="0" fontId="13" fillId="8" borderId="94" xfId="0" applyFont="1" applyFill="1" applyBorder="1" applyAlignment="1">
      <alignment vertical="center"/>
    </xf>
    <xf numFmtId="0" fontId="14" fillId="8" borderId="87" xfId="0" applyFont="1" applyFill="1" applyBorder="1" applyAlignment="1">
      <alignment horizontal="left"/>
    </xf>
    <xf numFmtId="0" fontId="14" fillId="8" borderId="0" xfId="0" applyFont="1" applyFill="1" applyAlignment="1">
      <alignment horizontal="left"/>
    </xf>
    <xf numFmtId="164" fontId="14" fillId="8" borderId="87" xfId="0" applyNumberFormat="1" applyFont="1" applyFill="1" applyBorder="1" applyAlignment="1">
      <alignment horizontal="left" vertical="center"/>
    </xf>
    <xf numFmtId="164" fontId="14" fillId="8" borderId="0" xfId="0" applyNumberFormat="1" applyFont="1" applyFill="1" applyAlignment="1">
      <alignment horizontal="left" vertical="center"/>
    </xf>
    <xf numFmtId="0" fontId="14" fillId="8" borderId="94" xfId="0" applyFont="1" applyFill="1" applyBorder="1" applyAlignment="1">
      <alignment horizontal="left" vertical="center"/>
    </xf>
    <xf numFmtId="0" fontId="14"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4" fillId="8" borderId="87" xfId="0" applyFont="1" applyFill="1" applyBorder="1" applyAlignment="1" applyProtection="1">
      <alignment horizontal="left" vertical="center"/>
      <protection locked="0"/>
    </xf>
    <xf numFmtId="0" fontId="14" fillId="8" borderId="0" xfId="0" applyFont="1" applyFill="1" applyAlignment="1" applyProtection="1">
      <alignment horizontal="left" vertical="center"/>
      <protection locked="0"/>
    </xf>
    <xf numFmtId="0" fontId="7" fillId="8" borderId="87" xfId="0" applyFont="1" applyFill="1" applyBorder="1" applyAlignment="1">
      <alignment vertical="center"/>
    </xf>
    <xf numFmtId="0" fontId="7" fillId="8" borderId="0" xfId="0" applyFont="1" applyFill="1" applyAlignment="1">
      <alignment vertical="center"/>
    </xf>
    <xf numFmtId="164" fontId="14" fillId="8" borderId="94" xfId="0" applyNumberFormat="1" applyFont="1" applyFill="1" applyBorder="1" applyAlignment="1">
      <alignment horizontal="center" vertical="center"/>
    </xf>
    <xf numFmtId="164" fontId="14" fillId="8" borderId="68" xfId="0" applyNumberFormat="1" applyFont="1" applyFill="1" applyBorder="1" applyAlignment="1">
      <alignment horizontal="center" vertical="center"/>
    </xf>
    <xf numFmtId="0" fontId="5" fillId="8" borderId="87" xfId="0" applyFont="1" applyFill="1" applyBorder="1" applyAlignment="1" applyProtection="1">
      <alignment horizontal="left" vertical="center"/>
      <protection locked="0"/>
    </xf>
    <xf numFmtId="3" fontId="14" fillId="8" borderId="87" xfId="0" applyNumberFormat="1" applyFont="1" applyFill="1" applyBorder="1" applyAlignment="1">
      <alignment horizontal="left" vertical="center"/>
    </xf>
    <xf numFmtId="1" fontId="7" fillId="8" borderId="87" xfId="0" applyNumberFormat="1" applyFont="1" applyFill="1" applyBorder="1" applyAlignment="1" applyProtection="1">
      <alignment horizontal="left" vertical="center"/>
      <protection hidden="1"/>
    </xf>
    <xf numFmtId="0" fontId="7" fillId="8" borderId="0" xfId="0" applyFont="1" applyFill="1" applyAlignment="1">
      <alignment horizontal="left" vertical="center"/>
    </xf>
    <xf numFmtId="9" fontId="14" fillId="8" borderId="0" xfId="0" applyNumberFormat="1" applyFont="1" applyFill="1" applyAlignment="1">
      <alignment horizontal="left" vertical="center"/>
    </xf>
    <xf numFmtId="0" fontId="7" fillId="8" borderId="87" xfId="0" applyFont="1" applyFill="1" applyBorder="1" applyAlignment="1">
      <alignment horizontal="left" vertical="center"/>
    </xf>
    <xf numFmtId="3" fontId="34" fillId="4" borderId="69" xfId="0" applyNumberFormat="1" applyFont="1" applyFill="1" applyBorder="1" applyAlignment="1" applyProtection="1">
      <alignment horizontal="center" vertical="center"/>
      <protection locked="0"/>
    </xf>
    <xf numFmtId="165" fontId="13" fillId="0" borderId="69" xfId="0" applyNumberFormat="1" applyFont="1" applyBorder="1" applyAlignment="1" applyProtection="1">
      <alignment horizontal="center" vertical="center"/>
      <protection hidden="1"/>
    </xf>
    <xf numFmtId="0" fontId="36" fillId="25" borderId="3" xfId="0" applyFont="1" applyFill="1" applyBorder="1" applyAlignment="1">
      <alignment horizontal="center" vertical="center"/>
    </xf>
    <xf numFmtId="0" fontId="51" fillId="2" borderId="0" xfId="0" applyFont="1" applyFill="1" applyAlignment="1">
      <alignment horizontal="left" vertical="center"/>
    </xf>
    <xf numFmtId="0" fontId="13" fillId="0" borderId="3" xfId="0" applyFont="1" applyBorder="1" applyAlignment="1">
      <alignment horizontal="left" vertical="center"/>
    </xf>
    <xf numFmtId="0" fontId="14" fillId="0" borderId="159" xfId="0" applyFont="1" applyBorder="1" applyAlignment="1">
      <alignment horizontal="left" vertical="center"/>
    </xf>
    <xf numFmtId="0" fontId="13" fillId="0" borderId="5" xfId="0" applyFont="1" applyBorder="1" applyAlignment="1">
      <alignment horizontal="left" vertical="center"/>
    </xf>
    <xf numFmtId="0" fontId="9" fillId="0" borderId="3" xfId="0" applyFont="1" applyBorder="1" applyAlignment="1">
      <alignment horizontal="center" vertical="center"/>
    </xf>
    <xf numFmtId="0" fontId="13" fillId="0" borderId="14" xfId="0" applyFont="1" applyBorder="1" applyAlignment="1" applyProtection="1">
      <alignment horizontal="center"/>
      <protection hidden="1"/>
    </xf>
    <xf numFmtId="0" fontId="13" fillId="0" borderId="26" xfId="0" applyFont="1" applyBorder="1" applyAlignment="1">
      <alignment horizontal="center" vertical="center"/>
    </xf>
    <xf numFmtId="0" fontId="14" fillId="0" borderId="156" xfId="0" applyFont="1" applyBorder="1" applyAlignment="1">
      <alignment horizontal="center" vertical="center"/>
    </xf>
    <xf numFmtId="0" fontId="9" fillId="0" borderId="160" xfId="0" applyFont="1" applyBorder="1" applyAlignment="1">
      <alignment vertical="center"/>
    </xf>
    <xf numFmtId="0" fontId="9" fillId="0" borderId="157" xfId="0" applyFont="1" applyBorder="1" applyAlignment="1">
      <alignment vertical="center"/>
    </xf>
    <xf numFmtId="0" fontId="14" fillId="0" borderId="162" xfId="0" applyFont="1" applyBorder="1" applyAlignment="1">
      <alignment horizontal="center" vertical="center"/>
    </xf>
    <xf numFmtId="0" fontId="9" fillId="0" borderId="163" xfId="0" applyFont="1" applyBorder="1" applyAlignment="1">
      <alignment vertical="center"/>
    </xf>
    <xf numFmtId="0" fontId="13" fillId="0" borderId="14" xfId="0" applyFont="1" applyBorder="1" applyAlignment="1">
      <alignment horizontal="center" vertical="center"/>
    </xf>
    <xf numFmtId="0" fontId="9" fillId="0" borderId="156" xfId="0" applyFont="1" applyBorder="1" applyAlignment="1">
      <alignment horizontal="center" vertical="center"/>
    </xf>
    <xf numFmtId="0" fontId="9" fillId="0" borderId="158" xfId="0" applyFont="1" applyBorder="1" applyAlignment="1">
      <alignment horizontal="center" vertical="center"/>
    </xf>
    <xf numFmtId="0" fontId="9" fillId="0" borderId="161" xfId="0" applyFont="1" applyBorder="1" applyAlignment="1">
      <alignment vertical="center"/>
    </xf>
    <xf numFmtId="0" fontId="9" fillId="0" borderId="159" xfId="0" applyFont="1" applyBorder="1" applyAlignment="1">
      <alignment vertical="center"/>
    </xf>
    <xf numFmtId="0" fontId="9" fillId="0" borderId="16" xfId="0" applyFont="1" applyBorder="1" applyAlignment="1">
      <alignment horizontal="center" vertical="center"/>
    </xf>
    <xf numFmtId="0" fontId="9" fillId="0" borderId="17" xfId="0" applyFont="1" applyBorder="1" applyAlignment="1">
      <alignment vertical="center"/>
    </xf>
    <xf numFmtId="0" fontId="9" fillId="0" borderId="18" xfId="0" applyFont="1" applyBorder="1" applyAlignment="1">
      <alignment vertical="center"/>
    </xf>
    <xf numFmtId="0" fontId="13" fillId="0" borderId="16" xfId="0" applyFont="1" applyBorder="1" applyAlignment="1">
      <alignment horizontal="center" vertical="center"/>
    </xf>
    <xf numFmtId="0" fontId="13" fillId="0" borderId="17" xfId="0" applyFont="1" applyBorder="1" applyAlignment="1">
      <alignment horizontal="left" vertical="center"/>
    </xf>
    <xf numFmtId="0" fontId="9" fillId="0" borderId="164" xfId="0" applyFont="1" applyBorder="1" applyAlignment="1">
      <alignment horizontal="center" vertical="center"/>
    </xf>
    <xf numFmtId="0" fontId="9" fillId="0" borderId="165" xfId="0" applyFont="1" applyBorder="1" applyAlignment="1">
      <alignment vertical="center"/>
    </xf>
    <xf numFmtId="0" fontId="14" fillId="0" borderId="5" xfId="0" applyFont="1" applyBorder="1" applyAlignment="1">
      <alignment vertical="center"/>
    </xf>
    <xf numFmtId="0" fontId="13" fillId="0" borderId="17" xfId="0" applyFont="1" applyBorder="1" applyAlignment="1">
      <alignment vertical="center"/>
    </xf>
    <xf numFmtId="0" fontId="14" fillId="0" borderId="17" xfId="0" applyFont="1" applyBorder="1" applyAlignment="1">
      <alignment vertical="center"/>
    </xf>
    <xf numFmtId="0" fontId="14" fillId="0" borderId="158" xfId="0" applyFont="1" applyBorder="1" applyAlignment="1">
      <alignment horizontal="center" vertical="center"/>
    </xf>
    <xf numFmtId="0" fontId="14" fillId="0" borderId="166" xfId="0" applyFont="1" applyBorder="1" applyAlignment="1">
      <alignment horizontal="center" vertical="center"/>
    </xf>
    <xf numFmtId="0" fontId="9" fillId="0" borderId="167" xfId="0" applyFont="1" applyBorder="1" applyAlignment="1">
      <alignment horizontal="center" vertical="center"/>
    </xf>
    <xf numFmtId="9" fontId="9" fillId="0" borderId="163" xfId="0" applyNumberFormat="1" applyFont="1" applyBorder="1" applyAlignment="1">
      <alignment vertical="center"/>
    </xf>
    <xf numFmtId="0" fontId="9" fillId="0" borderId="168" xfId="0" applyFont="1" applyBorder="1" applyAlignment="1">
      <alignment vertical="center"/>
    </xf>
    <xf numFmtId="0" fontId="13" fillId="0" borderId="5" xfId="0" applyFont="1" applyBorder="1" applyAlignment="1">
      <alignment vertical="center"/>
    </xf>
    <xf numFmtId="9" fontId="14" fillId="0" borderId="5" xfId="0" applyNumberFormat="1" applyFont="1" applyBorder="1" applyAlignment="1">
      <alignment vertical="center"/>
    </xf>
    <xf numFmtId="9" fontId="9" fillId="0" borderId="160" xfId="0" applyNumberFormat="1" applyFont="1" applyBorder="1" applyAlignment="1">
      <alignmen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2" xfId="0" applyFont="1" applyBorder="1" applyAlignment="1">
      <alignment horizontal="center" vertical="center"/>
    </xf>
    <xf numFmtId="0" fontId="9" fillId="0" borderId="163" xfId="0" applyFont="1" applyBorder="1" applyAlignment="1">
      <alignment horizontal="left" vertical="center"/>
    </xf>
    <xf numFmtId="0" fontId="9" fillId="0" borderId="13" xfId="0" applyFont="1" applyBorder="1" applyAlignment="1">
      <alignment vertical="center"/>
    </xf>
    <xf numFmtId="0" fontId="9" fillId="0" borderId="160" xfId="0" applyFont="1" applyBorder="1" applyAlignment="1">
      <alignment horizontal="left" vertical="center"/>
    </xf>
    <xf numFmtId="0" fontId="14" fillId="0" borderId="161" xfId="0" applyFont="1" applyBorder="1" applyAlignment="1">
      <alignment horizontal="left" vertical="center"/>
    </xf>
    <xf numFmtId="0" fontId="9" fillId="0" borderId="158" xfId="0" applyFont="1" applyBorder="1" applyAlignment="1">
      <alignment vertical="center"/>
    </xf>
    <xf numFmtId="0" fontId="14" fillId="0" borderId="16" xfId="0" applyFont="1" applyBorder="1" applyAlignment="1">
      <alignment horizontal="center" vertical="center"/>
    </xf>
    <xf numFmtId="0" fontId="14" fillId="0" borderId="18" xfId="0" applyFont="1" applyBorder="1" applyAlignment="1">
      <alignment horizontal="left" vertical="center"/>
    </xf>
    <xf numFmtId="9" fontId="14" fillId="4" borderId="5" xfId="0" applyNumberFormat="1" applyFont="1" applyFill="1" applyBorder="1" applyAlignment="1" applyProtection="1">
      <alignment horizontal="center" vertical="center"/>
      <protection locked="0"/>
    </xf>
    <xf numFmtId="0" fontId="6" fillId="0" borderId="160" xfId="0" applyFont="1" applyBorder="1" applyAlignment="1">
      <alignment horizontal="left" vertical="center"/>
    </xf>
    <xf numFmtId="0" fontId="6" fillId="0" borderId="161" xfId="0" applyFont="1" applyBorder="1" applyAlignment="1">
      <alignment horizontal="left" vertical="center"/>
    </xf>
    <xf numFmtId="0" fontId="6" fillId="0" borderId="161" xfId="0" applyFont="1" applyBorder="1" applyAlignment="1">
      <alignment vertical="center"/>
    </xf>
    <xf numFmtId="9" fontId="9" fillId="0" borderId="161" xfId="0" applyNumberFormat="1" applyFont="1" applyBorder="1" applyAlignment="1">
      <alignment horizontal="center" vertical="center"/>
    </xf>
    <xf numFmtId="0" fontId="6" fillId="0" borderId="163" xfId="0" applyFont="1" applyBorder="1" applyAlignment="1">
      <alignment vertical="center"/>
    </xf>
    <xf numFmtId="9" fontId="9" fillId="0" borderId="163" xfId="0" applyNumberFormat="1" applyFont="1" applyBorder="1" applyAlignment="1">
      <alignment horizontal="center" vertical="center"/>
    </xf>
    <xf numFmtId="0" fontId="6" fillId="0" borderId="160" xfId="0" applyFont="1" applyBorder="1" applyAlignment="1">
      <alignment vertical="center"/>
    </xf>
    <xf numFmtId="9" fontId="9" fillId="0" borderId="157" xfId="0" applyNumberFormat="1" applyFont="1" applyBorder="1" applyAlignment="1">
      <alignment horizontal="center" vertical="center"/>
    </xf>
    <xf numFmtId="9" fontId="9" fillId="0" borderId="168" xfId="0" applyNumberFormat="1" applyFont="1" applyBorder="1" applyAlignment="1">
      <alignment horizontal="center" vertical="center"/>
    </xf>
    <xf numFmtId="0" fontId="13" fillId="0" borderId="160" xfId="0" applyFont="1" applyBorder="1" applyAlignment="1">
      <alignment horizontal="left" vertical="center"/>
    </xf>
    <xf numFmtId="9" fontId="9" fillId="0" borderId="159" xfId="0" applyNumberFormat="1" applyFont="1" applyBorder="1" applyAlignment="1">
      <alignment horizontal="center" vertical="center"/>
    </xf>
    <xf numFmtId="9" fontId="9" fillId="0" borderId="18" xfId="0" applyNumberFormat="1" applyFont="1" applyBorder="1" applyAlignment="1">
      <alignment horizontal="center" vertical="center"/>
    </xf>
    <xf numFmtId="0" fontId="13" fillId="0" borderId="161" xfId="0" applyFont="1" applyBorder="1" applyAlignment="1">
      <alignment horizontal="left" vertical="center"/>
    </xf>
    <xf numFmtId="0" fontId="13" fillId="0" borderId="163" xfId="0" applyFont="1" applyBorder="1" applyAlignment="1">
      <alignment horizontal="left" vertical="center"/>
    </xf>
    <xf numFmtId="0" fontId="13" fillId="0" borderId="13" xfId="0" applyFont="1" applyBorder="1" applyAlignment="1">
      <alignment vertical="center"/>
    </xf>
    <xf numFmtId="0" fontId="14" fillId="0" borderId="13" xfId="0" applyFont="1" applyBorder="1" applyAlignment="1">
      <alignment vertical="center"/>
    </xf>
    <xf numFmtId="0" fontId="52" fillId="0" borderId="160" xfId="0" applyFont="1" applyBorder="1" applyAlignment="1">
      <alignment vertical="center"/>
    </xf>
    <xf numFmtId="0" fontId="9" fillId="0" borderId="156" xfId="0" applyFont="1" applyBorder="1" applyAlignment="1">
      <alignment horizontal="left" vertical="center" indent="1"/>
    </xf>
    <xf numFmtId="0" fontId="9" fillId="0" borderId="160" xfId="0" applyFont="1" applyBorder="1" applyAlignment="1">
      <alignment horizontal="left" vertical="center" indent="1"/>
    </xf>
    <xf numFmtId="0" fontId="9" fillId="0" borderId="157" xfId="0" applyFont="1" applyBorder="1" applyAlignment="1">
      <alignment horizontal="left" vertical="center" indent="1"/>
    </xf>
    <xf numFmtId="0" fontId="9" fillId="0" borderId="158" xfId="0" applyFont="1" applyBorder="1" applyAlignment="1">
      <alignment horizontal="left" vertical="center" indent="1"/>
    </xf>
    <xf numFmtId="0" fontId="9" fillId="0" borderId="161" xfId="0" applyFont="1" applyBorder="1" applyAlignment="1">
      <alignment horizontal="left" vertical="center" indent="1"/>
    </xf>
    <xf numFmtId="0" fontId="9" fillId="0" borderId="159" xfId="0" applyFont="1" applyBorder="1" applyAlignment="1">
      <alignment horizontal="left" vertical="center" indent="1"/>
    </xf>
    <xf numFmtId="0" fontId="13" fillId="0" borderId="66" xfId="0" applyFont="1" applyBorder="1" applyAlignment="1" applyProtection="1">
      <alignment horizontal="center"/>
      <protection hidden="1"/>
    </xf>
    <xf numFmtId="0" fontId="6" fillId="0" borderId="90" xfId="0" applyFont="1" applyBorder="1" applyAlignment="1">
      <alignment horizontal="center" vertical="center"/>
    </xf>
    <xf numFmtId="164" fontId="9" fillId="4" borderId="20" xfId="0" applyNumberFormat="1" applyFont="1" applyFill="1" applyBorder="1" applyAlignment="1" applyProtection="1">
      <alignment horizontal="center" vertical="center"/>
      <protection locked="0"/>
    </xf>
    <xf numFmtId="0" fontId="6" fillId="0" borderId="8" xfId="0" applyFont="1" applyBorder="1" applyAlignment="1">
      <alignment horizontal="right" vertical="center"/>
    </xf>
    <xf numFmtId="49" fontId="3" fillId="4" borderId="8" xfId="0" applyNumberFormat="1" applyFont="1" applyFill="1" applyBorder="1" applyAlignment="1" applyProtection="1">
      <alignment horizontal="center" vertical="center"/>
      <protection locked="0"/>
    </xf>
    <xf numFmtId="0" fontId="39" fillId="25" borderId="6" xfId="0" applyFont="1" applyFill="1" applyBorder="1" applyAlignment="1" applyProtection="1">
      <alignment horizontal="center" vertical="center"/>
      <protection hidden="1"/>
    </xf>
    <xf numFmtId="9" fontId="9" fillId="0" borderId="105" xfId="0" applyNumberFormat="1" applyFont="1" applyBorder="1" applyAlignment="1">
      <alignment vertical="center"/>
    </xf>
    <xf numFmtId="9" fontId="9" fillId="0" borderId="113" xfId="0" applyNumberFormat="1" applyFont="1" applyBorder="1" applyAlignment="1">
      <alignment vertical="center"/>
    </xf>
    <xf numFmtId="9" fontId="9" fillId="0" borderId="108" xfId="0" applyNumberFormat="1" applyFont="1" applyBorder="1" applyAlignment="1">
      <alignment vertical="center"/>
    </xf>
    <xf numFmtId="49" fontId="4" fillId="28" borderId="8" xfId="0" applyNumberFormat="1" applyFont="1" applyFill="1" applyBorder="1" applyAlignment="1" applyProtection="1">
      <alignment horizontal="center" vertical="center"/>
      <protection locked="0"/>
    </xf>
    <xf numFmtId="49" fontId="2" fillId="28" borderId="8" xfId="0" applyNumberFormat="1" applyFont="1" applyFill="1" applyBorder="1" applyAlignment="1" applyProtection="1">
      <alignment horizontal="center" vertical="center"/>
      <protection locked="0"/>
    </xf>
    <xf numFmtId="0" fontId="52" fillId="0" borderId="161" xfId="0" applyFont="1" applyBorder="1" applyAlignment="1">
      <alignment vertical="center"/>
    </xf>
    <xf numFmtId="3" fontId="19" fillId="0" borderId="76" xfId="0" applyNumberFormat="1" applyFont="1" applyBorder="1" applyAlignment="1" applyProtection="1">
      <alignment horizontal="center" vertical="center"/>
      <protection hidden="1"/>
    </xf>
    <xf numFmtId="0" fontId="9" fillId="0" borderId="172" xfId="0" applyFont="1" applyBorder="1" applyAlignment="1" applyProtection="1">
      <alignment horizontal="center" vertical="center"/>
      <protection hidden="1"/>
    </xf>
    <xf numFmtId="3" fontId="13" fillId="0" borderId="172" xfId="0" applyNumberFormat="1" applyFont="1" applyBorder="1" applyAlignment="1" applyProtection="1">
      <alignment horizontal="center" vertical="center"/>
      <protection hidden="1"/>
    </xf>
    <xf numFmtId="3" fontId="14" fillId="0" borderId="172" xfId="0" applyNumberFormat="1" applyFont="1" applyBorder="1" applyAlignment="1">
      <alignment horizontal="center" vertical="center"/>
    </xf>
    <xf numFmtId="164" fontId="14" fillId="4" borderId="172" xfId="0" applyNumberFormat="1" applyFont="1" applyFill="1" applyBorder="1" applyAlignment="1" applyProtection="1">
      <alignment horizontal="center" vertical="center"/>
      <protection locked="0"/>
    </xf>
    <xf numFmtId="3" fontId="14" fillId="4" borderId="172" xfId="0" applyNumberFormat="1" applyFont="1" applyFill="1" applyBorder="1" applyAlignment="1" applyProtection="1">
      <alignment horizontal="center" vertical="center"/>
      <protection locked="0"/>
    </xf>
    <xf numFmtId="0" fontId="9" fillId="0" borderId="172" xfId="0" applyFont="1" applyBorder="1" applyAlignment="1">
      <alignment horizontal="center" vertical="center"/>
    </xf>
    <xf numFmtId="3" fontId="9" fillId="0" borderId="172" xfId="0" applyNumberFormat="1" applyFont="1" applyBorder="1" applyAlignment="1">
      <alignment horizontal="center" vertical="center"/>
    </xf>
    <xf numFmtId="1" fontId="14" fillId="4" borderId="172" xfId="0" applyNumberFormat="1" applyFont="1" applyFill="1" applyBorder="1" applyAlignment="1" applyProtection="1">
      <alignment horizontal="center" vertical="center"/>
      <protection locked="0"/>
    </xf>
    <xf numFmtId="167" fontId="14" fillId="4" borderId="172" xfId="0" applyNumberFormat="1" applyFont="1" applyFill="1" applyBorder="1" applyAlignment="1" applyProtection="1">
      <alignment horizontal="center" vertical="center"/>
      <protection locked="0"/>
    </xf>
    <xf numFmtId="3" fontId="13" fillId="0" borderId="172" xfId="0" applyNumberFormat="1" applyFont="1" applyBorder="1" applyAlignment="1">
      <alignment horizontal="center" vertical="center"/>
    </xf>
    <xf numFmtId="0" fontId="14" fillId="0" borderId="172" xfId="0" applyFont="1" applyBorder="1" applyAlignment="1">
      <alignment vertical="center"/>
    </xf>
    <xf numFmtId="164" fontId="14" fillId="0" borderId="172" xfId="0" applyNumberFormat="1" applyFont="1" applyBorder="1" applyAlignment="1">
      <alignment horizontal="center" vertical="center"/>
    </xf>
    <xf numFmtId="3" fontId="13" fillId="0" borderId="172" xfId="0" applyNumberFormat="1" applyFont="1" applyBorder="1" applyAlignment="1" applyProtection="1">
      <alignment horizontal="left" vertical="center"/>
      <protection hidden="1"/>
    </xf>
    <xf numFmtId="3" fontId="13" fillId="0" borderId="132" xfId="0" applyNumberFormat="1" applyFont="1" applyBorder="1" applyAlignment="1" applyProtection="1">
      <alignment horizontal="left" vertical="center"/>
      <protection hidden="1"/>
    </xf>
    <xf numFmtId="0" fontId="13" fillId="0" borderId="132" xfId="0" applyFont="1" applyBorder="1" applyAlignment="1" applyProtection="1">
      <alignment vertical="center"/>
      <protection hidden="1"/>
    </xf>
    <xf numFmtId="0" fontId="13" fillId="0" borderId="40" xfId="0" applyFont="1" applyBorder="1" applyAlignment="1" applyProtection="1">
      <alignment vertical="center"/>
      <protection hidden="1"/>
    </xf>
    <xf numFmtId="0" fontId="37" fillId="0" borderId="0" xfId="0" applyFont="1"/>
    <xf numFmtId="14" fontId="34" fillId="0" borderId="0" xfId="0" applyNumberFormat="1" applyFont="1" applyAlignment="1">
      <alignment horizontal="right"/>
    </xf>
    <xf numFmtId="0" fontId="36" fillId="0" borderId="0" xfId="0" applyFont="1" applyAlignment="1">
      <alignment horizontal="right"/>
    </xf>
    <xf numFmtId="0" fontId="14" fillId="0" borderId="172" xfId="0" applyFont="1" applyBorder="1" applyAlignment="1">
      <alignment horizontal="left" vertical="center"/>
    </xf>
    <xf numFmtId="3" fontId="0" fillId="0" borderId="0" xfId="0" applyNumberFormat="1" applyAlignment="1">
      <alignment horizontal="center" vertical="center"/>
    </xf>
    <xf numFmtId="0" fontId="13" fillId="0" borderId="75" xfId="0" applyFont="1" applyBorder="1" applyAlignment="1" applyProtection="1">
      <alignment horizontal="left" vertical="center"/>
      <protection hidden="1"/>
    </xf>
    <xf numFmtId="0" fontId="13" fillId="0" borderId="96" xfId="0" applyFont="1" applyBorder="1" applyAlignment="1" applyProtection="1">
      <alignment horizontal="left" vertical="center"/>
      <protection hidden="1"/>
    </xf>
    <xf numFmtId="3" fontId="14" fillId="4" borderId="172" xfId="0" applyNumberFormat="1" applyFont="1" applyFill="1" applyBorder="1" applyAlignment="1" applyProtection="1">
      <alignment horizontal="center" vertical="center"/>
      <protection locked="0"/>
    </xf>
    <xf numFmtId="0" fontId="0" fillId="0" borderId="0" xfId="0" applyAlignment="1">
      <alignment horizontal="center"/>
    </xf>
    <xf numFmtId="3" fontId="9" fillId="4" borderId="110" xfId="0" applyNumberFormat="1" applyFont="1" applyFill="1" applyBorder="1" applyAlignment="1" applyProtection="1">
      <alignment horizontal="center" vertical="center"/>
      <protection locked="0"/>
    </xf>
    <xf numFmtId="3" fontId="9" fillId="4" borderId="109" xfId="0" applyNumberFormat="1" applyFont="1" applyFill="1" applyBorder="1" applyAlignment="1" applyProtection="1">
      <alignment horizontal="center" vertical="center"/>
      <protection locked="0"/>
    </xf>
    <xf numFmtId="0" fontId="6" fillId="4" borderId="70" xfId="0" applyFont="1" applyFill="1" applyBorder="1" applyAlignment="1" applyProtection="1">
      <alignment horizontal="left" vertical="center" indent="1"/>
      <protection locked="0"/>
    </xf>
    <xf numFmtId="0" fontId="6" fillId="4" borderId="71" xfId="0" applyFont="1" applyFill="1" applyBorder="1" applyAlignment="1" applyProtection="1">
      <alignment horizontal="left" vertical="center" indent="1"/>
      <protection locked="0"/>
    </xf>
    <xf numFmtId="3" fontId="13" fillId="0" borderId="110" xfId="0" applyNumberFormat="1" applyFont="1" applyBorder="1" applyAlignment="1" applyProtection="1">
      <alignment horizontal="center" vertical="center"/>
      <protection hidden="1"/>
    </xf>
    <xf numFmtId="3" fontId="13" fillId="0" borderId="109" xfId="0" applyNumberFormat="1" applyFont="1" applyBorder="1" applyAlignment="1" applyProtection="1">
      <alignment horizontal="center" vertical="center"/>
      <protection hidden="1"/>
    </xf>
    <xf numFmtId="167" fontId="9" fillId="4" borderId="110" xfId="0" applyNumberFormat="1" applyFont="1" applyFill="1" applyBorder="1" applyAlignment="1" applyProtection="1">
      <alignment horizontal="center" vertical="center"/>
      <protection locked="0"/>
    </xf>
    <xf numFmtId="167" fontId="9" fillId="4" borderId="109" xfId="0" applyNumberFormat="1" applyFont="1" applyFill="1" applyBorder="1" applyAlignment="1" applyProtection="1">
      <alignment horizontal="center" vertical="center"/>
      <protection locked="0"/>
    </xf>
    <xf numFmtId="0" fontId="9" fillId="0" borderId="8" xfId="0" applyFont="1" applyBorder="1" applyAlignment="1">
      <alignment horizontal="left" vertical="center" indent="1"/>
    </xf>
    <xf numFmtId="0" fontId="9" fillId="0" borderId="104" xfId="0" applyFont="1" applyBorder="1" applyAlignment="1">
      <alignment horizontal="left" vertical="center"/>
    </xf>
    <xf numFmtId="0" fontId="9" fillId="0" borderId="99" xfId="0" applyFont="1" applyBorder="1" applyAlignment="1">
      <alignment horizontal="left" vertical="center"/>
    </xf>
    <xf numFmtId="3" fontId="9" fillId="4" borderId="69" xfId="0" applyNumberFormat="1" applyFont="1" applyFill="1" applyBorder="1" applyAlignment="1" applyProtection="1">
      <alignment horizontal="center" vertical="center"/>
      <protection locked="0"/>
    </xf>
    <xf numFmtId="0" fontId="13" fillId="0" borderId="5" xfId="0" applyFont="1" applyBorder="1" applyAlignment="1">
      <alignment horizontal="left" vertical="center"/>
    </xf>
    <xf numFmtId="3" fontId="13" fillId="0" borderId="69" xfId="0" applyNumberFormat="1" applyFont="1" applyBorder="1" applyAlignment="1" applyProtection="1">
      <alignment horizontal="center" vertical="center"/>
      <protection hidden="1"/>
    </xf>
    <xf numFmtId="0" fontId="14" fillId="4" borderId="172" xfId="0" applyFont="1" applyFill="1" applyBorder="1" applyAlignment="1" applyProtection="1">
      <alignment horizontal="left" vertical="center"/>
      <protection locked="0"/>
    </xf>
    <xf numFmtId="0" fontId="13" fillId="0" borderId="17" xfId="0" applyFont="1" applyBorder="1" applyAlignment="1">
      <alignment horizontal="left" vertical="center"/>
    </xf>
    <xf numFmtId="3" fontId="13" fillId="4" borderId="172" xfId="0" applyNumberFormat="1" applyFont="1" applyFill="1" applyBorder="1" applyAlignment="1" applyProtection="1">
      <alignment horizontal="center" vertical="center"/>
      <protection locked="0"/>
    </xf>
    <xf numFmtId="3" fontId="13" fillId="3" borderId="89" xfId="0" applyNumberFormat="1" applyFont="1" applyFill="1" applyBorder="1" applyAlignment="1">
      <alignment horizontal="center" vertical="center"/>
    </xf>
    <xf numFmtId="3" fontId="13" fillId="3" borderId="90" xfId="0" applyNumberFormat="1" applyFont="1" applyFill="1" applyBorder="1" applyAlignment="1">
      <alignment horizontal="center" vertical="center"/>
    </xf>
    <xf numFmtId="3" fontId="9" fillId="0" borderId="110" xfId="0" applyNumberFormat="1" applyFont="1" applyBorder="1" applyAlignment="1" applyProtection="1">
      <alignment horizontal="center" vertical="center"/>
      <protection hidden="1"/>
    </xf>
    <xf numFmtId="3" fontId="9" fillId="0" borderId="109" xfId="0" applyNumberFormat="1" applyFont="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1" fontId="13" fillId="4" borderId="89" xfId="0" applyNumberFormat="1" applyFont="1" applyFill="1" applyBorder="1" applyAlignment="1" applyProtection="1">
      <alignment horizontal="center" vertical="center"/>
      <protection locked="0"/>
    </xf>
    <xf numFmtId="1" fontId="13" fillId="4" borderId="90" xfId="0" applyNumberFormat="1" applyFont="1" applyFill="1" applyBorder="1" applyAlignment="1" applyProtection="1">
      <alignment horizontal="center" vertical="center"/>
      <protection locked="0"/>
    </xf>
    <xf numFmtId="49" fontId="14" fillId="0" borderId="172" xfId="0" applyNumberFormat="1" applyFont="1" applyBorder="1" applyAlignment="1">
      <alignment horizontal="left" vertical="center"/>
    </xf>
    <xf numFmtId="49" fontId="14" fillId="4" borderId="172" xfId="0" applyNumberFormat="1" applyFont="1" applyFill="1" applyBorder="1" applyAlignment="1" applyProtection="1">
      <alignment horizontal="left" vertical="center"/>
      <protection locked="0"/>
    </xf>
    <xf numFmtId="3" fontId="13" fillId="0" borderId="172" xfId="0" applyNumberFormat="1" applyFont="1" applyBorder="1" applyAlignment="1" applyProtection="1">
      <alignment horizontal="center" vertical="center"/>
      <protection hidden="1"/>
    </xf>
    <xf numFmtId="167" fontId="14" fillId="4" borderId="172" xfId="0" applyNumberFormat="1" applyFont="1" applyFill="1" applyBorder="1" applyAlignment="1" applyProtection="1">
      <alignment horizontal="center" vertical="center"/>
      <protection locked="0"/>
    </xf>
    <xf numFmtId="0" fontId="13" fillId="0" borderId="172" xfId="0" applyFont="1" applyBorder="1" applyAlignment="1">
      <alignment horizontal="left" vertical="center"/>
    </xf>
    <xf numFmtId="0" fontId="36" fillId="25" borderId="83" xfId="0" applyFont="1" applyFill="1" applyBorder="1" applyAlignment="1">
      <alignment horizontal="left" vertical="center" wrapText="1" indent="2"/>
    </xf>
    <xf numFmtId="0" fontId="36" fillId="25" borderId="84" xfId="0" applyFont="1" applyFill="1" applyBorder="1" applyAlignment="1">
      <alignment horizontal="left" vertical="center" wrapText="1" indent="2"/>
    </xf>
    <xf numFmtId="0" fontId="39" fillId="25" borderId="83" xfId="0" applyFont="1" applyFill="1" applyBorder="1" applyAlignment="1" applyProtection="1">
      <alignment horizontal="center"/>
      <protection hidden="1"/>
    </xf>
    <xf numFmtId="1" fontId="41" fillId="25" borderId="84" xfId="0" applyNumberFormat="1" applyFont="1" applyFill="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3" fontId="9" fillId="4" borderId="75" xfId="0" applyNumberFormat="1" applyFont="1" applyFill="1" applyBorder="1" applyAlignment="1" applyProtection="1">
      <alignment horizontal="center" vertical="center"/>
      <protection locked="0"/>
    </xf>
    <xf numFmtId="3" fontId="9" fillId="4" borderId="77" xfId="0" applyNumberFormat="1" applyFont="1" applyFill="1" applyBorder="1" applyAlignment="1" applyProtection="1">
      <alignment horizontal="center" vertical="center"/>
      <protection locked="0"/>
    </xf>
    <xf numFmtId="0" fontId="9" fillId="0" borderId="106" xfId="0" applyFont="1" applyBorder="1" applyAlignment="1">
      <alignment horizontal="left" vertical="center"/>
    </xf>
    <xf numFmtId="0" fontId="9" fillId="0" borderId="103" xfId="0" applyFont="1" applyBorder="1" applyAlignment="1">
      <alignment horizontal="left" vertical="center"/>
    </xf>
    <xf numFmtId="0" fontId="35" fillId="0" borderId="0" xfId="0" applyFont="1" applyAlignment="1">
      <alignment horizontal="center"/>
    </xf>
    <xf numFmtId="0" fontId="48" fillId="6" borderId="0" xfId="0" applyFont="1" applyFill="1" applyAlignment="1">
      <alignment horizontal="right" vertical="top" wrapText="1"/>
    </xf>
    <xf numFmtId="0" fontId="39" fillId="6" borderId="0" xfId="0" applyFont="1" applyFill="1" applyAlignment="1">
      <alignment horizontal="right" vertical="top" wrapText="1"/>
    </xf>
    <xf numFmtId="3" fontId="13" fillId="4" borderId="69"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wrapText="1" indent="2"/>
    </xf>
    <xf numFmtId="0" fontId="36" fillId="25" borderId="68" xfId="0" applyFont="1" applyFill="1" applyBorder="1" applyAlignment="1">
      <alignment horizontal="left" vertical="center" wrapText="1" indent="2"/>
    </xf>
    <xf numFmtId="0" fontId="36" fillId="25" borderId="89" xfId="0" applyFont="1" applyFill="1" applyBorder="1" applyAlignment="1">
      <alignment horizontal="left" vertical="center" wrapText="1" indent="2"/>
    </xf>
    <xf numFmtId="0" fontId="36" fillId="25" borderId="97" xfId="0" applyFont="1" applyFill="1" applyBorder="1" applyAlignment="1">
      <alignment horizontal="left" vertical="center" wrapText="1" indent="2"/>
    </xf>
    <xf numFmtId="10" fontId="9" fillId="4" borderId="75"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xf>
    <xf numFmtId="0" fontId="36" fillId="25" borderId="68" xfId="0" applyFont="1" applyFill="1" applyBorder="1" applyAlignment="1">
      <alignment horizontal="left" vertical="center"/>
    </xf>
    <xf numFmtId="0" fontId="36" fillId="25" borderId="95" xfId="0" applyFont="1" applyFill="1" applyBorder="1" applyAlignment="1">
      <alignment horizontal="left" vertical="center"/>
    </xf>
    <xf numFmtId="0" fontId="8" fillId="4" borderId="0" xfId="0" applyFont="1" applyFill="1" applyAlignment="1" applyProtection="1">
      <alignment horizontal="left" vertical="center"/>
      <protection locked="0"/>
    </xf>
    <xf numFmtId="0" fontId="13" fillId="4" borderId="0" xfId="0" applyFont="1" applyFill="1" applyAlignment="1" applyProtection="1">
      <alignment horizontal="left"/>
      <protection locked="0"/>
    </xf>
    <xf numFmtId="3" fontId="13" fillId="4" borderId="172" xfId="0" applyNumberFormat="1" applyFont="1" applyFill="1" applyBorder="1" applyAlignment="1" applyProtection="1">
      <alignment horizontal="center"/>
      <protection locked="0"/>
    </xf>
    <xf numFmtId="0" fontId="13" fillId="0" borderId="89" xfId="0" applyFont="1" applyBorder="1" applyAlignment="1">
      <alignment horizontal="center" vertical="center"/>
    </xf>
    <xf numFmtId="0" fontId="13" fillId="0" borderId="97" xfId="0" applyFont="1" applyBorder="1" applyAlignment="1">
      <alignment horizontal="center" vertical="center"/>
    </xf>
    <xf numFmtId="1" fontId="13" fillId="0" borderId="136" xfId="0" applyNumberFormat="1" applyFont="1" applyBorder="1" applyAlignment="1">
      <alignment horizontal="center" vertical="center"/>
    </xf>
    <xf numFmtId="1" fontId="13" fillId="0" borderId="137" xfId="0" applyNumberFormat="1" applyFont="1" applyBorder="1" applyAlignment="1">
      <alignment horizontal="center" vertical="center"/>
    </xf>
    <xf numFmtId="0" fontId="13" fillId="0" borderId="87"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39" fillId="25" borderId="118" xfId="0" applyFont="1" applyFill="1" applyBorder="1" applyAlignment="1" applyProtection="1">
      <alignment horizontal="center"/>
      <protection hidden="1"/>
    </xf>
    <xf numFmtId="0" fontId="39" fillId="25" borderId="119" xfId="0" applyFont="1" applyFill="1" applyBorder="1" applyAlignment="1" applyProtection="1">
      <alignment horizontal="center"/>
      <protection hidden="1"/>
    </xf>
    <xf numFmtId="1" fontId="13" fillId="0" borderId="69" xfId="0" applyNumberFormat="1" applyFont="1" applyBorder="1" applyAlignment="1">
      <alignment horizontal="center" vertical="center"/>
    </xf>
    <xf numFmtId="1" fontId="13" fillId="0" borderId="76" xfId="0" applyNumberFormat="1" applyFont="1" applyBorder="1" applyAlignment="1">
      <alignment horizontal="center" vertical="center"/>
    </xf>
    <xf numFmtId="4" fontId="9" fillId="0" borderId="69" xfId="0" applyNumberFormat="1" applyFont="1" applyBorder="1" applyAlignment="1" applyProtection="1">
      <alignment horizontal="center" vertical="center"/>
      <protection hidden="1"/>
    </xf>
    <xf numFmtId="3" fontId="14" fillId="6" borderId="0" xfId="0" applyNumberFormat="1" applyFont="1" applyFill="1" applyAlignment="1" applyProtection="1">
      <alignment horizontal="center" vertical="center"/>
      <protection locked="0"/>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13" fillId="0" borderId="87" xfId="0" applyFont="1" applyBorder="1" applyAlignment="1">
      <alignment horizontal="center" vertical="center"/>
    </xf>
    <xf numFmtId="0" fontId="13" fillId="0" borderId="0" xfId="0" applyFont="1" applyAlignment="1">
      <alignment horizontal="center" vertical="center"/>
    </xf>
    <xf numFmtId="0" fontId="32" fillId="0" borderId="0" xfId="0" applyFont="1" applyAlignment="1">
      <alignment horizontal="center" vertical="center"/>
    </xf>
    <xf numFmtId="3" fontId="13" fillId="2" borderId="69" xfId="0" applyNumberFormat="1" applyFont="1" applyFill="1" applyBorder="1" applyAlignment="1" applyProtection="1">
      <alignment horizontal="center" vertical="center"/>
      <protection hidden="1"/>
    </xf>
    <xf numFmtId="0" fontId="36" fillId="25" borderId="114" xfId="0" applyFont="1" applyFill="1" applyBorder="1" applyAlignment="1">
      <alignment horizontal="left" vertical="center" wrapText="1"/>
    </xf>
    <xf numFmtId="0" fontId="36" fillId="25" borderId="115" xfId="0" applyFont="1" applyFill="1" applyBorder="1" applyAlignment="1">
      <alignment horizontal="left" vertical="center" wrapText="1"/>
    </xf>
    <xf numFmtId="0" fontId="36" fillId="25" borderId="116" xfId="0" applyFont="1" applyFill="1" applyBorder="1" applyAlignment="1">
      <alignment horizontal="left" vertical="center" wrapText="1"/>
    </xf>
    <xf numFmtId="0" fontId="36" fillId="25" borderId="117" xfId="0" applyFont="1" applyFill="1" applyBorder="1" applyAlignment="1">
      <alignment horizontal="left" vertical="center" wrapText="1"/>
    </xf>
    <xf numFmtId="0" fontId="39" fillId="25" borderId="95" xfId="0" applyFont="1" applyFill="1" applyBorder="1" applyAlignment="1" applyProtection="1">
      <alignment horizontal="center"/>
      <protection hidden="1"/>
    </xf>
    <xf numFmtId="1" fontId="41" fillId="25" borderId="120" xfId="0" applyNumberFormat="1" applyFont="1" applyFill="1" applyBorder="1" applyAlignment="1">
      <alignment horizontal="center" vertical="center"/>
    </xf>
    <xf numFmtId="1" fontId="41" fillId="25" borderId="121" xfId="0" applyNumberFormat="1" applyFont="1" applyFill="1" applyBorder="1" applyAlignment="1">
      <alignment horizontal="center" vertical="center"/>
    </xf>
    <xf numFmtId="9" fontId="14" fillId="4" borderId="26" xfId="0" applyNumberFormat="1" applyFont="1" applyFill="1" applyBorder="1" applyAlignment="1" applyProtection="1">
      <alignment horizontal="center" vertical="center"/>
      <protection locked="0"/>
    </xf>
    <xf numFmtId="9" fontId="14" fillId="4" borderId="3" xfId="0" applyNumberFormat="1" applyFont="1" applyFill="1" applyBorder="1" applyAlignment="1" applyProtection="1">
      <alignment horizontal="center" vertical="center"/>
      <protection locked="0"/>
    </xf>
    <xf numFmtId="0" fontId="6" fillId="0" borderId="0" xfId="0" applyFont="1" applyAlignment="1">
      <alignment horizontal="left"/>
    </xf>
    <xf numFmtId="0" fontId="9" fillId="0" borderId="172" xfId="0" applyFont="1" applyBorder="1" applyAlignment="1">
      <alignment horizontal="center" vertical="center"/>
    </xf>
    <xf numFmtId="0" fontId="41" fillId="25" borderId="94" xfId="0" applyFont="1" applyFill="1" applyBorder="1" applyAlignment="1">
      <alignment horizontal="center" vertical="center"/>
    </xf>
    <xf numFmtId="0" fontId="41" fillId="25" borderId="95" xfId="0" applyFont="1" applyFill="1" applyBorder="1" applyAlignment="1">
      <alignment horizontal="center" vertical="center"/>
    </xf>
    <xf numFmtId="3" fontId="14" fillId="0" borderId="172" xfId="0" applyNumberFormat="1" applyFont="1" applyBorder="1" applyAlignment="1">
      <alignment horizontal="center" vertical="center"/>
    </xf>
    <xf numFmtId="3" fontId="9" fillId="0" borderId="172" xfId="0" applyNumberFormat="1" applyFont="1" applyBorder="1" applyAlignment="1">
      <alignment horizontal="center" vertical="center"/>
    </xf>
    <xf numFmtId="0" fontId="13" fillId="0" borderId="0" xfId="0" applyFont="1" applyAlignment="1">
      <alignment horizontal="center" wrapText="1"/>
    </xf>
    <xf numFmtId="164" fontId="9" fillId="4" borderId="72" xfId="0" applyNumberFormat="1" applyFont="1" applyFill="1" applyBorder="1" applyAlignment="1" applyProtection="1">
      <alignment horizontal="center" vertical="center"/>
      <protection locked="0"/>
    </xf>
    <xf numFmtId="164" fontId="9" fillId="4" borderId="73" xfId="0" applyNumberFormat="1" applyFont="1" applyFill="1" applyBorder="1" applyAlignment="1" applyProtection="1">
      <alignment horizontal="center" vertical="center"/>
      <protection locked="0"/>
    </xf>
    <xf numFmtId="0" fontId="13" fillId="0" borderId="0" xfId="0" applyFont="1" applyAlignment="1">
      <alignment horizontal="right" vertical="center" indent="1"/>
    </xf>
    <xf numFmtId="1" fontId="13" fillId="6" borderId="75" xfId="0" applyNumberFormat="1" applyFont="1" applyFill="1" applyBorder="1" applyAlignment="1">
      <alignment horizontal="center" vertical="center"/>
    </xf>
    <xf numFmtId="1" fontId="13" fillId="6" borderId="77" xfId="0" applyNumberFormat="1" applyFont="1" applyFill="1" applyBorder="1" applyAlignment="1">
      <alignment horizontal="center" vertical="center"/>
    </xf>
    <xf numFmtId="3" fontId="6" fillId="6" borderId="110" xfId="0" applyNumberFormat="1" applyFont="1" applyFill="1" applyBorder="1" applyAlignment="1" applyProtection="1">
      <alignment horizontal="center" vertical="center"/>
      <protection hidden="1"/>
    </xf>
    <xf numFmtId="3" fontId="6" fillId="6" borderId="109" xfId="0" applyNumberFormat="1" applyFont="1" applyFill="1" applyBorder="1" applyAlignment="1" applyProtection="1">
      <alignment horizontal="center" vertical="center"/>
      <protection hidden="1"/>
    </xf>
    <xf numFmtId="0" fontId="13" fillId="0" borderId="0" xfId="0" applyFont="1" applyAlignment="1">
      <alignment horizontal="right" vertical="center"/>
    </xf>
    <xf numFmtId="0" fontId="36" fillId="25" borderId="68" xfId="0" applyFont="1" applyFill="1" applyBorder="1" applyAlignment="1">
      <alignment horizontal="left" vertical="center" wrapText="1"/>
    </xf>
    <xf numFmtId="0" fontId="36" fillId="25" borderId="95" xfId="0" applyFont="1" applyFill="1" applyBorder="1" applyAlignment="1">
      <alignment horizontal="left" vertical="center" wrapText="1"/>
    </xf>
    <xf numFmtId="0" fontId="36" fillId="25" borderId="97" xfId="0" applyFont="1" applyFill="1" applyBorder="1" applyAlignment="1">
      <alignment horizontal="left" vertical="center" wrapText="1"/>
    </xf>
    <xf numFmtId="0" fontId="36" fillId="25" borderId="90" xfId="0" applyFont="1" applyFill="1" applyBorder="1" applyAlignment="1">
      <alignment horizontal="left" vertical="center" wrapText="1"/>
    </xf>
    <xf numFmtId="0" fontId="13" fillId="0" borderId="160" xfId="0" applyFont="1" applyBorder="1" applyAlignment="1">
      <alignment horizontal="left" vertical="center"/>
    </xf>
    <xf numFmtId="0" fontId="13" fillId="0" borderId="157" xfId="0" applyFont="1" applyBorder="1" applyAlignment="1">
      <alignment horizontal="left" vertical="center"/>
    </xf>
    <xf numFmtId="0" fontId="39" fillId="25" borderId="85" xfId="0" applyFont="1" applyFill="1" applyBorder="1" applyAlignment="1" applyProtection="1">
      <alignment horizontal="center" vertical="center"/>
      <protection hidden="1"/>
    </xf>
    <xf numFmtId="0" fontId="39" fillId="25" borderId="86" xfId="0" applyFont="1" applyFill="1" applyBorder="1" applyAlignment="1" applyProtection="1">
      <alignment horizontal="center" vertical="center"/>
      <protection hidden="1"/>
    </xf>
    <xf numFmtId="2" fontId="9" fillId="4" borderId="69" xfId="0" applyNumberFormat="1" applyFont="1" applyFill="1" applyBorder="1" applyAlignment="1" applyProtection="1">
      <alignment horizontal="center" vertical="center"/>
      <protection locked="0"/>
    </xf>
    <xf numFmtId="0" fontId="9" fillId="4" borderId="162" xfId="0" applyFont="1" applyFill="1" applyBorder="1" applyAlignment="1" applyProtection="1">
      <alignment horizontal="left" vertical="center" indent="1"/>
      <protection locked="0"/>
    </xf>
    <xf numFmtId="0" fontId="9" fillId="4" borderId="163" xfId="0" applyFont="1" applyFill="1" applyBorder="1" applyAlignment="1" applyProtection="1">
      <alignment horizontal="left" vertical="center" indent="1"/>
      <protection locked="0"/>
    </xf>
    <xf numFmtId="0" fontId="9" fillId="4" borderId="168" xfId="0" applyFont="1" applyFill="1" applyBorder="1" applyAlignment="1" applyProtection="1">
      <alignment horizontal="left" vertical="center" indent="1"/>
      <protection locked="0"/>
    </xf>
    <xf numFmtId="0" fontId="13" fillId="0" borderId="96" xfId="0" applyFont="1" applyBorder="1" applyAlignment="1">
      <alignment horizontal="left" vertical="center"/>
    </xf>
    <xf numFmtId="0" fontId="13" fillId="0" borderId="77" xfId="0" applyFont="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0" fontId="13" fillId="0" borderId="75" xfId="0" applyFont="1" applyBorder="1" applyAlignment="1">
      <alignment horizontal="center" vertical="center"/>
    </xf>
    <xf numFmtId="0" fontId="13" fillId="0" borderId="77" xfId="0" applyFont="1" applyBorder="1" applyAlignment="1">
      <alignment horizontal="center" vertical="center"/>
    </xf>
    <xf numFmtId="3" fontId="13" fillId="2" borderId="110" xfId="0" applyNumberFormat="1" applyFont="1" applyFill="1" applyBorder="1" applyAlignment="1" applyProtection="1">
      <alignment horizontal="center" vertical="center"/>
      <protection hidden="1"/>
    </xf>
    <xf numFmtId="3" fontId="13" fillId="2" borderId="109" xfId="0" applyNumberFormat="1" applyFont="1" applyFill="1" applyBorder="1" applyAlignment="1" applyProtection="1">
      <alignment horizontal="center" vertical="center"/>
      <protection hidden="1"/>
    </xf>
    <xf numFmtId="0" fontId="13" fillId="0" borderId="3" xfId="0" applyFont="1" applyBorder="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3" xfId="0" applyFont="1" applyBorder="1" applyAlignment="1">
      <alignment horizontal="left" vertical="center"/>
    </xf>
    <xf numFmtId="0" fontId="9" fillId="0" borderId="168" xfId="0" applyFont="1" applyBorder="1" applyAlignment="1">
      <alignment horizontal="left" vertical="center"/>
    </xf>
    <xf numFmtId="3" fontId="14" fillId="4" borderId="69" xfId="0" applyNumberFormat="1" applyFont="1" applyFill="1" applyBorder="1" applyAlignment="1" applyProtection="1">
      <alignment horizontal="center" vertical="center"/>
      <protection locked="0"/>
    </xf>
    <xf numFmtId="0" fontId="9" fillId="0" borderId="169" xfId="0" applyFont="1" applyBorder="1" applyAlignment="1">
      <alignment horizontal="left" vertical="center" indent="1"/>
    </xf>
    <xf numFmtId="165" fontId="13" fillId="3" borderId="69" xfId="0" applyNumberFormat="1" applyFont="1" applyFill="1" applyBorder="1" applyAlignment="1" applyProtection="1">
      <alignment horizontal="center" vertical="center"/>
      <protection hidden="1"/>
    </xf>
    <xf numFmtId="0" fontId="5" fillId="0" borderId="8" xfId="0" applyFont="1" applyBorder="1" applyAlignment="1">
      <alignment horizontal="left" vertical="center" indent="1"/>
    </xf>
    <xf numFmtId="0" fontId="14" fillId="0" borderId="0" xfId="0" applyFont="1" applyAlignment="1">
      <alignment horizontal="left"/>
    </xf>
    <xf numFmtId="3" fontId="14" fillId="0" borderId="69" xfId="0" applyNumberFormat="1" applyFont="1" applyBorder="1" applyAlignment="1" applyProtection="1">
      <alignment horizontal="center" vertical="center"/>
      <protection hidden="1"/>
    </xf>
    <xf numFmtId="164" fontId="9" fillId="0" borderId="69" xfId="0" applyNumberFormat="1" applyFont="1" applyBorder="1" applyAlignment="1" applyProtection="1">
      <alignment horizontal="center" vertical="center"/>
      <protection hidden="1"/>
    </xf>
    <xf numFmtId="165" fontId="13" fillId="3" borderId="75" xfId="0" applyNumberFormat="1" applyFont="1" applyFill="1" applyBorder="1" applyAlignment="1" applyProtection="1">
      <alignment horizontal="center" vertical="center"/>
      <protection hidden="1"/>
    </xf>
    <xf numFmtId="165" fontId="13" fillId="3" borderId="77" xfId="0" applyNumberFormat="1" applyFont="1" applyFill="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4" borderId="69" xfId="0" applyFont="1" applyFill="1" applyBorder="1" applyAlignment="1" applyProtection="1">
      <alignment horizontal="left" vertical="center" indent="1"/>
      <protection locked="0"/>
    </xf>
    <xf numFmtId="164" fontId="9" fillId="4" borderId="75" xfId="0" applyNumberFormat="1" applyFont="1" applyFill="1" applyBorder="1" applyAlignment="1" applyProtection="1">
      <alignment horizontal="center" vertical="center"/>
      <protection locked="0"/>
    </xf>
    <xf numFmtId="164" fontId="9" fillId="4" borderId="77" xfId="0" applyNumberFormat="1" applyFont="1" applyFill="1" applyBorder="1" applyAlignment="1" applyProtection="1">
      <alignment horizontal="center" vertical="center"/>
      <protection locked="0"/>
    </xf>
    <xf numFmtId="0" fontId="9" fillId="0" borderId="170" xfId="0" applyFont="1" applyBorder="1" applyAlignment="1">
      <alignment horizontal="left" vertical="center" indent="1"/>
    </xf>
    <xf numFmtId="0" fontId="9" fillId="0" borderId="171" xfId="0" applyFont="1" applyBorder="1" applyAlignment="1">
      <alignment horizontal="left" vertical="center" indent="1"/>
    </xf>
    <xf numFmtId="0" fontId="13" fillId="0" borderId="88" xfId="0" applyFont="1" applyBorder="1" applyAlignment="1">
      <alignment horizontal="center" vertical="center"/>
    </xf>
    <xf numFmtId="1" fontId="13" fillId="0" borderId="87" xfId="0" applyNumberFormat="1" applyFont="1" applyBorder="1" applyAlignment="1">
      <alignment horizontal="center" vertical="center"/>
    </xf>
    <xf numFmtId="1" fontId="13" fillId="0" borderId="88" xfId="0" applyNumberFormat="1" applyFont="1" applyBorder="1" applyAlignment="1">
      <alignment horizontal="center" vertical="center"/>
    </xf>
    <xf numFmtId="0" fontId="6" fillId="4" borderId="26" xfId="0" applyFont="1" applyFill="1" applyBorder="1" applyAlignment="1" applyProtection="1">
      <alignment horizontal="left" vertical="center" indent="1"/>
      <protection locked="0"/>
    </xf>
    <xf numFmtId="0" fontId="6" fillId="4" borderId="5" xfId="0" applyFont="1" applyFill="1" applyBorder="1" applyAlignment="1" applyProtection="1">
      <alignment horizontal="left" vertical="center" indent="1"/>
      <protection locked="0"/>
    </xf>
    <xf numFmtId="0" fontId="6" fillId="4" borderId="3" xfId="0" applyFont="1" applyFill="1" applyBorder="1" applyAlignment="1" applyProtection="1">
      <alignment horizontal="left" vertical="center" indent="1"/>
      <protection locked="0"/>
    </xf>
    <xf numFmtId="0" fontId="8" fillId="5" borderId="0" xfId="0" applyFont="1" applyFill="1" applyAlignment="1" applyProtection="1">
      <alignment horizontal="center" vertical="center"/>
      <protection locked="0"/>
    </xf>
    <xf numFmtId="0" fontId="39" fillId="25" borderId="95" xfId="0" applyFont="1" applyFill="1" applyBorder="1" applyAlignment="1" applyProtection="1">
      <alignment horizontal="center" vertical="center"/>
      <protection hidden="1"/>
    </xf>
    <xf numFmtId="0" fontId="39" fillId="25" borderId="83" xfId="0"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13" fillId="0" borderId="77" xfId="0" applyNumberFormat="1" applyFont="1" applyBorder="1" applyAlignment="1" applyProtection="1">
      <alignment horizontal="center" vertical="center"/>
      <protection hidden="1"/>
    </xf>
    <xf numFmtId="3" fontId="9" fillId="0" borderId="75" xfId="0" applyNumberFormat="1" applyFont="1" applyBorder="1" applyAlignment="1" applyProtection="1">
      <alignment horizontal="center" vertical="center"/>
      <protection hidden="1"/>
    </xf>
    <xf numFmtId="3" fontId="9" fillId="0" borderId="77" xfId="0" applyNumberFormat="1" applyFont="1" applyBorder="1" applyAlignment="1" applyProtection="1">
      <alignment horizontal="center" vertical="center"/>
      <protection hidden="1"/>
    </xf>
    <xf numFmtId="3" fontId="9" fillId="4" borderId="130" xfId="0" applyNumberFormat="1" applyFont="1" applyFill="1" applyBorder="1" applyAlignment="1" applyProtection="1">
      <alignment horizontal="center" vertical="center"/>
      <protection locked="0"/>
    </xf>
    <xf numFmtId="3" fontId="9" fillId="4" borderId="131" xfId="0" applyNumberFormat="1" applyFont="1" applyFill="1" applyBorder="1" applyAlignment="1" applyProtection="1">
      <alignment horizontal="center" vertical="center"/>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2" fillId="0" borderId="0" xfId="0" applyFont="1" applyAlignment="1">
      <alignment horizontal="center" vertical="center" wrapText="1"/>
    </xf>
    <xf numFmtId="0" fontId="6" fillId="5" borderId="0" xfId="0" applyFont="1" applyFill="1" applyAlignment="1">
      <alignment horizontal="center" vertical="center" wrapText="1"/>
    </xf>
    <xf numFmtId="3" fontId="21" fillId="4" borderId="110" xfId="0" applyNumberFormat="1" applyFont="1" applyFill="1" applyBorder="1" applyAlignment="1" applyProtection="1">
      <alignment horizontal="center" vertical="center"/>
      <protection locked="0"/>
    </xf>
    <xf numFmtId="3" fontId="21"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3" fontId="19" fillId="0" borderId="75" xfId="0" applyNumberFormat="1" applyFont="1" applyBorder="1" applyAlignment="1" applyProtection="1">
      <alignment horizontal="center" vertical="center"/>
      <protection hidden="1"/>
    </xf>
    <xf numFmtId="3" fontId="19" fillId="0" borderId="77" xfId="0" applyNumberFormat="1" applyFont="1" applyBorder="1" applyAlignment="1" applyProtection="1">
      <alignment horizontal="center" vertical="center"/>
      <protection hidden="1"/>
    </xf>
    <xf numFmtId="3" fontId="13" fillId="0" borderId="40" xfId="0" applyNumberFormat="1" applyFont="1" applyBorder="1" applyAlignment="1" applyProtection="1">
      <alignment horizontal="right" vertical="center" indent="1"/>
      <protection hidden="1"/>
    </xf>
    <xf numFmtId="3" fontId="13" fillId="0" borderId="173" xfId="0" applyNumberFormat="1" applyFont="1" applyBorder="1" applyAlignment="1" applyProtection="1">
      <alignment horizontal="right" vertical="center" indent="1"/>
      <protection hidden="1"/>
    </xf>
    <xf numFmtId="3" fontId="13" fillId="0" borderId="172" xfId="0" applyNumberFormat="1" applyFont="1" applyBorder="1" applyAlignment="1" applyProtection="1">
      <alignment horizontal="left" vertical="center"/>
      <protection hidden="1"/>
    </xf>
    <xf numFmtId="4" fontId="9" fillId="0" borderId="75" xfId="0" applyNumberFormat="1" applyFont="1" applyBorder="1" applyAlignment="1" applyProtection="1">
      <alignment horizontal="center" vertical="center"/>
      <protection hidden="1"/>
    </xf>
    <xf numFmtId="4" fontId="9" fillId="0" borderId="77" xfId="0" applyNumberFormat="1" applyFont="1" applyBorder="1" applyAlignment="1" applyProtection="1">
      <alignment horizontal="center" vertical="center"/>
      <protection hidden="1"/>
    </xf>
    <xf numFmtId="1" fontId="13" fillId="0" borderId="89" xfId="0" applyNumberFormat="1" applyFont="1" applyBorder="1" applyAlignment="1">
      <alignment horizontal="center" vertical="center"/>
    </xf>
    <xf numFmtId="1" fontId="13" fillId="0" borderId="90" xfId="0" applyNumberFormat="1" applyFont="1" applyBorder="1" applyAlignment="1">
      <alignment horizontal="center" vertical="center"/>
    </xf>
    <xf numFmtId="0" fontId="14" fillId="0" borderId="12" xfId="0" applyFont="1" applyBorder="1" applyAlignment="1" applyProtection="1">
      <alignment horizontal="center" vertical="center"/>
      <protection hidden="1"/>
    </xf>
    <xf numFmtId="0" fontId="14" fillId="0" borderId="16" xfId="0" applyFont="1" applyBorder="1" applyAlignment="1" applyProtection="1">
      <alignment horizontal="center" vertical="center"/>
      <protection hidden="1"/>
    </xf>
    <xf numFmtId="0" fontId="36" fillId="25" borderId="3" xfId="0" applyFont="1" applyFill="1" applyBorder="1" applyAlignment="1" applyProtection="1">
      <alignment vertical="center"/>
      <protection hidden="1"/>
    </xf>
    <xf numFmtId="0" fontId="36" fillId="25" borderId="8" xfId="0" applyFont="1" applyFill="1" applyBorder="1" applyAlignment="1" applyProtection="1">
      <alignment vertical="center"/>
      <protection hidden="1"/>
    </xf>
    <xf numFmtId="3" fontId="5" fillId="3" borderId="20" xfId="0" applyNumberFormat="1" applyFont="1" applyFill="1" applyBorder="1" applyAlignment="1" applyProtection="1">
      <alignment horizontal="center" vertical="center"/>
      <protection hidden="1"/>
    </xf>
    <xf numFmtId="3" fontId="5" fillId="3" borderId="29" xfId="0" applyNumberFormat="1" applyFont="1" applyFill="1" applyBorder="1" applyAlignment="1" applyProtection="1">
      <alignment horizontal="center" vertical="center"/>
      <protection hidden="1"/>
    </xf>
    <xf numFmtId="0" fontId="8" fillId="6" borderId="0" xfId="0" applyFont="1" applyFill="1" applyAlignment="1">
      <alignment horizontal="left" vertical="top"/>
    </xf>
    <xf numFmtId="0" fontId="5" fillId="6" borderId="0" xfId="0" applyFont="1" applyFill="1" applyAlignment="1">
      <alignment horizontal="left" vertical="top"/>
    </xf>
    <xf numFmtId="0" fontId="14" fillId="0" borderId="5" xfId="0" applyFont="1" applyBorder="1" applyAlignment="1">
      <alignment horizontal="left" vertical="center"/>
    </xf>
    <xf numFmtId="0" fontId="5" fillId="0" borderId="5" xfId="0" applyFont="1" applyBorder="1" applyAlignment="1">
      <alignment horizontal="left" vertical="center"/>
    </xf>
    <xf numFmtId="0" fontId="14" fillId="0" borderId="3" xfId="0" applyFont="1" applyBorder="1" applyAlignment="1">
      <alignment horizontal="left" vertical="center"/>
    </xf>
    <xf numFmtId="0" fontId="8" fillId="27" borderId="48" xfId="0" applyFont="1" applyFill="1" applyBorder="1" applyAlignment="1">
      <alignment horizontal="left" vertical="center"/>
    </xf>
    <xf numFmtId="0" fontId="14" fillId="0" borderId="41" xfId="0" applyFont="1" applyBorder="1" applyAlignment="1">
      <alignment horizontal="left" vertical="center"/>
    </xf>
    <xf numFmtId="0" fontId="0" fillId="0" borderId="42" xfId="0" applyBorder="1" applyAlignment="1">
      <alignment horizontal="left" vertical="center"/>
    </xf>
    <xf numFmtId="0" fontId="8" fillId="26" borderId="48" xfId="0" applyFont="1" applyFill="1" applyBorder="1" applyAlignment="1">
      <alignment horizontal="left" vertical="center"/>
    </xf>
    <xf numFmtId="0" fontId="8" fillId="26" borderId="46" xfId="0" applyFont="1" applyFill="1" applyBorder="1" applyAlignment="1">
      <alignment horizontal="left" vertical="center"/>
    </xf>
    <xf numFmtId="0" fontId="40" fillId="25" borderId="0" xfId="0" applyFont="1" applyFill="1" applyAlignment="1" applyProtection="1">
      <alignment horizontal="center" vertical="center" wrapText="1"/>
      <protection hidden="1"/>
    </xf>
    <xf numFmtId="0" fontId="40" fillId="25" borderId="17" xfId="0" applyFont="1" applyFill="1" applyBorder="1" applyAlignment="1" applyProtection="1">
      <alignment horizontal="center" vertical="center" wrapText="1"/>
      <protection hidden="1"/>
    </xf>
    <xf numFmtId="0" fontId="40" fillId="25" borderId="0" xfId="0" applyFont="1" applyFill="1" applyAlignment="1" applyProtection="1">
      <alignment horizontal="center" vertical="center"/>
      <protection hidden="1"/>
    </xf>
    <xf numFmtId="0" fontId="51" fillId="2" borderId="0" xfId="0" applyFont="1" applyFill="1" applyAlignment="1">
      <alignment horizontal="center"/>
    </xf>
    <xf numFmtId="0" fontId="50" fillId="2" borderId="0" xfId="0" applyFont="1" applyFill="1" applyAlignment="1">
      <alignment horizontal="center"/>
    </xf>
    <xf numFmtId="49" fontId="9" fillId="0" borderId="5" xfId="0" applyNumberFormat="1" applyFont="1" applyBorder="1" applyAlignment="1">
      <alignment horizontal="left" vertical="center"/>
    </xf>
    <xf numFmtId="49" fontId="9" fillId="0" borderId="3" xfId="0" applyNumberFormat="1" applyFont="1" applyBorder="1" applyAlignment="1">
      <alignment horizontal="left" vertical="center"/>
    </xf>
    <xf numFmtId="0" fontId="8" fillId="0" borderId="0" xfId="0" applyFont="1" applyAlignment="1" applyProtection="1">
      <alignment horizontal="center" vertical="center"/>
      <protection locked="0"/>
    </xf>
    <xf numFmtId="0" fontId="36" fillId="25" borderId="5" xfId="0" applyFont="1" applyFill="1" applyBorder="1" applyAlignment="1">
      <alignment horizontal="left" vertical="center"/>
    </xf>
    <xf numFmtId="0" fontId="14" fillId="0" borderId="17" xfId="0" applyFont="1" applyBorder="1" applyAlignment="1" applyProtection="1">
      <alignment horizontal="left" vertical="center"/>
      <protection hidden="1"/>
    </xf>
    <xf numFmtId="0" fontId="14" fillId="0" borderId="18" xfId="0" applyFont="1" applyBorder="1" applyAlignment="1" applyProtection="1">
      <alignment horizontal="left" vertical="center"/>
      <protection hidden="1"/>
    </xf>
    <xf numFmtId="0" fontId="5" fillId="0" borderId="41" xfId="0" applyFont="1" applyBorder="1" applyAlignment="1">
      <alignment horizontal="left" vertical="center"/>
    </xf>
    <xf numFmtId="0" fontId="36" fillId="25" borderId="3" xfId="0" applyFont="1" applyFill="1" applyBorder="1" applyAlignment="1">
      <alignment horizontal="left" vertical="center"/>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8" fillId="28" borderId="0" xfId="0" applyFont="1" applyFill="1" applyAlignment="1" applyProtection="1">
      <alignment horizontal="left" vertical="center"/>
      <protection locked="0"/>
    </xf>
    <xf numFmtId="0" fontId="6" fillId="0" borderId="0" xfId="0" applyFont="1" applyAlignment="1">
      <alignment horizontal="center" wrapText="1"/>
    </xf>
    <xf numFmtId="0" fontId="13" fillId="0" borderId="75" xfId="0" applyFont="1" applyBorder="1" applyAlignment="1">
      <alignment horizontal="left" vertical="center"/>
    </xf>
    <xf numFmtId="3" fontId="14" fillId="0" borderId="96" xfId="0" applyNumberFormat="1" applyFont="1" applyBorder="1" applyAlignment="1">
      <alignment horizontal="center" vertical="center"/>
    </xf>
    <xf numFmtId="3" fontId="14" fillId="0" borderId="77" xfId="0" applyNumberFormat="1" applyFont="1" applyBorder="1" applyAlignment="1">
      <alignment horizontal="center" vertical="center"/>
    </xf>
    <xf numFmtId="0" fontId="14" fillId="0" borderId="98" xfId="0" applyFont="1" applyBorder="1" applyAlignment="1">
      <alignment horizontal="left" vertical="center"/>
    </xf>
    <xf numFmtId="0" fontId="14" fillId="0" borderId="104" xfId="0" applyFont="1" applyBorder="1" applyAlignment="1">
      <alignment horizontal="left" vertical="center"/>
    </xf>
    <xf numFmtId="3" fontId="14" fillId="28" borderId="69" xfId="0" applyNumberFormat="1" applyFont="1" applyFill="1" applyBorder="1" applyAlignment="1" applyProtection="1">
      <alignment horizontal="center" vertical="center"/>
      <protection locked="0"/>
    </xf>
    <xf numFmtId="0" fontId="9" fillId="0" borderId="75" xfId="0" applyFont="1" applyBorder="1" applyAlignment="1">
      <alignment horizontal="center" vertical="center"/>
    </xf>
    <xf numFmtId="0" fontId="9" fillId="0" borderId="96" xfId="0" applyFont="1" applyBorder="1" applyAlignment="1">
      <alignment horizontal="center" vertical="center"/>
    </xf>
    <xf numFmtId="3" fontId="9" fillId="0" borderId="75" xfId="0" applyNumberFormat="1" applyFont="1" applyBorder="1" applyAlignment="1">
      <alignment horizontal="center" vertical="center"/>
    </xf>
    <xf numFmtId="3" fontId="9" fillId="0" borderId="77" xfId="0" applyNumberFormat="1" applyFont="1" applyBorder="1" applyAlignment="1">
      <alignment horizontal="center" vertical="center"/>
    </xf>
    <xf numFmtId="0" fontId="13" fillId="28" borderId="0" xfId="0" applyFont="1" applyFill="1" applyAlignment="1" applyProtection="1">
      <alignment horizontal="left"/>
      <protection locked="0"/>
    </xf>
    <xf numFmtId="0" fontId="41" fillId="25" borderId="75" xfId="0" applyFont="1" applyFill="1" applyBorder="1" applyAlignment="1">
      <alignment horizontal="center" vertical="center"/>
    </xf>
    <xf numFmtId="0" fontId="41" fillId="25" borderId="77" xfId="0" applyFont="1" applyFill="1" applyBorder="1" applyAlignment="1">
      <alignment horizontal="center" vertical="center"/>
    </xf>
    <xf numFmtId="0" fontId="36" fillId="25" borderId="75" xfId="0" applyFont="1" applyFill="1" applyBorder="1" applyAlignment="1">
      <alignment horizontal="left" vertical="center"/>
    </xf>
    <xf numFmtId="0" fontId="36" fillId="25" borderId="96" xfId="0" applyFont="1" applyFill="1" applyBorder="1" applyAlignment="1">
      <alignment horizontal="left" vertical="center"/>
    </xf>
    <xf numFmtId="0" fontId="36" fillId="25" borderId="77" xfId="0" applyFont="1" applyFill="1" applyBorder="1" applyAlignment="1">
      <alignment horizontal="left" vertical="center"/>
    </xf>
    <xf numFmtId="0" fontId="13" fillId="0" borderId="87" xfId="0" applyFont="1" applyBorder="1" applyAlignment="1">
      <alignment horizontal="left" vertical="center"/>
    </xf>
    <xf numFmtId="0" fontId="13" fillId="0" borderId="0" xfId="0" applyFont="1" applyAlignment="1">
      <alignment horizontal="left" vertical="center"/>
    </xf>
    <xf numFmtId="0" fontId="14" fillId="28" borderId="0" xfId="0" applyFont="1" applyFill="1" applyAlignment="1" applyProtection="1">
      <alignment horizontal="left" vertical="center"/>
      <protection locked="0"/>
    </xf>
    <xf numFmtId="0" fontId="14" fillId="28" borderId="98" xfId="0" applyFont="1" applyFill="1" applyBorder="1" applyAlignment="1" applyProtection="1">
      <alignment horizontal="left" vertical="center"/>
      <protection locked="0"/>
    </xf>
    <xf numFmtId="0" fontId="14" fillId="28" borderId="104" xfId="0" applyFont="1" applyFill="1" applyBorder="1" applyAlignment="1" applyProtection="1">
      <alignment horizontal="left" vertical="center"/>
      <protection locked="0"/>
    </xf>
    <xf numFmtId="0" fontId="14" fillId="0" borderId="100" xfId="0" applyFont="1" applyBorder="1" applyAlignment="1">
      <alignment horizontal="left" vertical="center"/>
    </xf>
    <xf numFmtId="0" fontId="14" fillId="0" borderId="105" xfId="0" applyFont="1" applyBorder="1" applyAlignment="1">
      <alignment horizontal="left" vertical="center"/>
    </xf>
    <xf numFmtId="0" fontId="14" fillId="3" borderId="102" xfId="0" applyFont="1" applyFill="1" applyBorder="1" applyAlignment="1">
      <alignment horizontal="left" vertical="center"/>
    </xf>
    <xf numFmtId="0" fontId="14" fillId="3" borderId="106" xfId="0" applyFont="1" applyFill="1" applyBorder="1" applyAlignment="1">
      <alignment horizontal="left" vertical="center"/>
    </xf>
    <xf numFmtId="3" fontId="14" fillId="3" borderId="69" xfId="0" applyNumberFormat="1" applyFont="1" applyFill="1" applyBorder="1" applyAlignment="1">
      <alignment horizontal="center" vertical="center"/>
    </xf>
    <xf numFmtId="0" fontId="14" fillId="28" borderId="100" xfId="0" applyFont="1" applyFill="1" applyBorder="1" applyAlignment="1" applyProtection="1">
      <alignment horizontal="left" vertical="center"/>
      <protection locked="0"/>
    </xf>
    <xf numFmtId="0" fontId="14" fillId="28" borderId="101" xfId="0" applyFont="1" applyFill="1" applyBorder="1" applyAlignment="1" applyProtection="1">
      <alignment horizontal="left" vertical="center"/>
      <protection locked="0"/>
    </xf>
    <xf numFmtId="0" fontId="14" fillId="6" borderId="0" xfId="0" applyFont="1" applyFill="1" applyAlignment="1" applyProtection="1">
      <alignment horizontal="left" vertical="center"/>
      <protection locked="0"/>
    </xf>
    <xf numFmtId="0" fontId="14" fillId="3" borderId="100" xfId="0" applyFont="1" applyFill="1" applyBorder="1" applyAlignment="1" applyProtection="1">
      <alignment horizontal="left" vertical="center"/>
      <protection hidden="1"/>
    </xf>
    <xf numFmtId="0" fontId="14" fillId="3" borderId="105" xfId="0" applyFont="1" applyFill="1" applyBorder="1" applyAlignment="1" applyProtection="1">
      <alignment horizontal="left" vertical="center"/>
      <protection hidden="1"/>
    </xf>
    <xf numFmtId="3" fontId="14" fillId="3" borderId="69" xfId="0" applyNumberFormat="1" applyFont="1" applyFill="1" applyBorder="1" applyAlignment="1" applyProtection="1">
      <alignment horizontal="center" vertical="center"/>
      <protection hidden="1"/>
    </xf>
    <xf numFmtId="49" fontId="14" fillId="28" borderId="100" xfId="0" applyNumberFormat="1" applyFont="1" applyFill="1" applyBorder="1" applyAlignment="1" applyProtection="1">
      <alignment horizontal="left" vertical="center"/>
      <protection locked="0"/>
    </xf>
    <xf numFmtId="49" fontId="14" fillId="28" borderId="105" xfId="0" applyNumberFormat="1" applyFont="1" applyFill="1" applyBorder="1" applyAlignment="1" applyProtection="1">
      <alignment horizontal="left" vertical="center"/>
      <protection locked="0"/>
    </xf>
    <xf numFmtId="49" fontId="14" fillId="28" borderId="101" xfId="0" applyNumberFormat="1" applyFont="1" applyFill="1" applyBorder="1" applyAlignment="1" applyProtection="1">
      <alignment horizontal="left" vertical="center"/>
      <protection locked="0"/>
    </xf>
    <xf numFmtId="167" fontId="14" fillId="28" borderId="69" xfId="0" applyNumberFormat="1" applyFont="1" applyFill="1" applyBorder="1" applyAlignment="1" applyProtection="1">
      <alignment horizontal="center" vertical="center"/>
      <protection locked="0"/>
    </xf>
    <xf numFmtId="0" fontId="14" fillId="28" borderId="105" xfId="0" applyFont="1" applyFill="1" applyBorder="1" applyAlignment="1" applyProtection="1">
      <alignment horizontal="left" vertical="center"/>
      <protection locked="0"/>
    </xf>
    <xf numFmtId="0" fontId="14" fillId="28" borderId="102" xfId="0" applyFont="1" applyFill="1" applyBorder="1" applyAlignment="1" applyProtection="1">
      <alignment horizontal="left" vertical="center"/>
      <protection locked="0"/>
    </xf>
    <xf numFmtId="0" fontId="14" fillId="28" borderId="106" xfId="0" applyFont="1" applyFill="1" applyBorder="1" applyAlignment="1" applyProtection="1">
      <alignment horizontal="left" vertical="center"/>
      <protection locked="0"/>
    </xf>
    <xf numFmtId="0" fontId="13" fillId="0" borderId="69" xfId="0" applyFont="1" applyBorder="1" applyAlignment="1">
      <alignment horizontal="left"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0" fontId="14" fillId="0" borderId="95" xfId="0" applyFont="1" applyBorder="1" applyAlignment="1">
      <alignment horizontal="left" vertical="center"/>
    </xf>
    <xf numFmtId="0" fontId="14" fillId="28" borderId="99" xfId="0" applyFont="1" applyFill="1" applyBorder="1" applyAlignment="1" applyProtection="1">
      <alignment horizontal="left" vertical="center"/>
      <protection locked="0"/>
    </xf>
    <xf numFmtId="3" fontId="14" fillId="28" borderId="75"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13" fillId="0" borderId="0" xfId="0" applyNumberFormat="1" applyFont="1" applyAlignment="1" applyProtection="1">
      <alignment horizontal="right" vertical="center" indent="1"/>
      <protection hidden="1"/>
    </xf>
    <xf numFmtId="0" fontId="14" fillId="28" borderId="103" xfId="0" applyFont="1" applyFill="1" applyBorder="1" applyAlignment="1" applyProtection="1">
      <alignment horizontal="left" vertical="center"/>
      <protection locked="0"/>
    </xf>
    <xf numFmtId="49" fontId="14" fillId="0" borderId="104" xfId="0" applyNumberFormat="1" applyFont="1" applyBorder="1" applyAlignment="1">
      <alignment horizontal="left" vertical="center"/>
    </xf>
    <xf numFmtId="49" fontId="14" fillId="0" borderId="99" xfId="0" applyNumberFormat="1" applyFont="1" applyBorder="1" applyAlignment="1">
      <alignment horizontal="left" vertical="center"/>
    </xf>
    <xf numFmtId="0" fontId="14" fillId="0" borderId="107" xfId="0" applyFont="1" applyBorder="1" applyAlignment="1">
      <alignment horizontal="left" vertical="center"/>
    </xf>
    <xf numFmtId="0" fontId="14" fillId="0" borderId="108" xfId="0" applyFont="1" applyBorder="1" applyAlignment="1">
      <alignment horizontal="left" vertical="center"/>
    </xf>
    <xf numFmtId="3" fontId="14" fillId="28" borderId="83" xfId="0" applyNumberFormat="1" applyFont="1" applyFill="1" applyBorder="1" applyAlignment="1" applyProtection="1">
      <alignment horizontal="center" vertical="center"/>
      <protection locked="0"/>
    </xf>
    <xf numFmtId="49" fontId="14" fillId="28" borderId="0" xfId="0" applyNumberFormat="1" applyFont="1" applyFill="1" applyAlignment="1" applyProtection="1">
      <alignment horizontal="left" vertical="center"/>
      <protection locked="0"/>
    </xf>
    <xf numFmtId="3" fontId="13" fillId="3" borderId="69" xfId="0" applyNumberFormat="1" applyFont="1" applyFill="1" applyBorder="1" applyAlignment="1" applyProtection="1">
      <alignment horizontal="left" vertical="center"/>
      <protection hidden="1"/>
    </xf>
    <xf numFmtId="3" fontId="13" fillId="3" borderId="75" xfId="0" applyNumberFormat="1" applyFont="1" applyFill="1" applyBorder="1" applyAlignment="1" applyProtection="1">
      <alignment horizontal="left" vertical="center"/>
      <protection hidden="1"/>
    </xf>
    <xf numFmtId="0" fontId="13" fillId="3" borderId="69" xfId="0" applyFont="1" applyFill="1" applyBorder="1" applyAlignment="1" applyProtection="1">
      <alignment horizontal="left" vertical="center"/>
      <protection hidden="1"/>
    </xf>
    <xf numFmtId="3" fontId="13" fillId="3" borderId="69" xfId="0" applyNumberFormat="1" applyFont="1" applyFill="1" applyBorder="1" applyAlignment="1" applyProtection="1">
      <alignment horizontal="center"/>
      <protection hidden="1"/>
    </xf>
    <xf numFmtId="3" fontId="13" fillId="28" borderId="69" xfId="0" applyNumberFormat="1" applyFont="1" applyFill="1" applyBorder="1" applyAlignment="1" applyProtection="1">
      <alignment horizontal="center" vertical="center"/>
      <protection locked="0"/>
    </xf>
    <xf numFmtId="49" fontId="14" fillId="28" borderId="89" xfId="0" applyNumberFormat="1" applyFont="1" applyFill="1" applyBorder="1" applyAlignment="1" applyProtection="1">
      <alignment horizontal="left" vertical="center"/>
      <protection locked="0"/>
    </xf>
    <xf numFmtId="49" fontId="14" fillId="28" borderId="97" xfId="0" applyNumberFormat="1" applyFont="1" applyFill="1" applyBorder="1" applyAlignment="1" applyProtection="1">
      <alignment horizontal="left" vertical="center"/>
      <protection locked="0"/>
    </xf>
    <xf numFmtId="49" fontId="14" fillId="28" borderId="90" xfId="0" applyNumberFormat="1" applyFont="1" applyFill="1" applyBorder="1" applyAlignment="1" applyProtection="1">
      <alignment horizontal="left" vertical="center"/>
      <protection locked="0"/>
    </xf>
    <xf numFmtId="0" fontId="34" fillId="0" borderId="87"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9" fillId="25" borderId="12" xfId="0" applyFont="1" applyFill="1" applyBorder="1" applyAlignment="1" applyProtection="1">
      <alignment horizontal="center" vertical="center"/>
      <protection hidden="1"/>
    </xf>
    <xf numFmtId="0" fontId="39" fillId="25" borderId="6" xfId="0" applyFont="1" applyFill="1" applyBorder="1" applyAlignment="1" applyProtection="1">
      <alignment horizontal="center" vertical="center"/>
      <protection hidden="1"/>
    </xf>
    <xf numFmtId="1" fontId="13" fillId="28" borderId="89" xfId="0" applyNumberFormat="1" applyFont="1" applyFill="1" applyBorder="1" applyAlignment="1" applyProtection="1">
      <alignment horizontal="center" vertical="center"/>
      <protection locked="0"/>
    </xf>
    <xf numFmtId="1" fontId="13" fillId="28" borderId="90" xfId="0" applyNumberFormat="1" applyFont="1" applyFill="1" applyBorder="1" applyAlignment="1" applyProtection="1">
      <alignment horizontal="center" vertical="center"/>
      <protection locked="0"/>
    </xf>
    <xf numFmtId="3" fontId="13" fillId="3" borderId="75" xfId="0" applyNumberFormat="1" applyFont="1" applyFill="1" applyBorder="1" applyAlignment="1">
      <alignment horizontal="center" vertical="center"/>
    </xf>
    <xf numFmtId="3" fontId="13" fillId="3" borderId="77" xfId="0" applyNumberFormat="1" applyFont="1" applyFill="1" applyBorder="1" applyAlignment="1">
      <alignment horizontal="center" vertical="center"/>
    </xf>
    <xf numFmtId="3" fontId="9" fillId="3" borderId="110" xfId="0" applyNumberFormat="1" applyFont="1" applyFill="1" applyBorder="1" applyAlignment="1" applyProtection="1">
      <alignment horizontal="center" vertical="center"/>
      <protection hidden="1"/>
    </xf>
    <xf numFmtId="3" fontId="9" fillId="3" borderId="10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110" xfId="0" applyNumberFormat="1" applyFont="1" applyFill="1" applyBorder="1" applyAlignment="1" applyProtection="1">
      <alignment horizontal="center" vertical="center"/>
      <protection hidden="1"/>
    </xf>
    <xf numFmtId="167" fontId="9" fillId="3" borderId="109" xfId="0" applyNumberFormat="1" applyFont="1" applyFill="1" applyBorder="1" applyAlignment="1" applyProtection="1">
      <alignment horizontal="center" vertical="center"/>
      <protection hidden="1"/>
    </xf>
    <xf numFmtId="0" fontId="13" fillId="0" borderId="104" xfId="0" applyFont="1" applyBorder="1" applyAlignment="1">
      <alignment horizontal="left" vertical="center"/>
    </xf>
    <xf numFmtId="0" fontId="13" fillId="0" borderId="99" xfId="0" applyFont="1" applyBorder="1" applyAlignment="1">
      <alignment horizontal="left" vertical="center"/>
    </xf>
    <xf numFmtId="3" fontId="13" fillId="2" borderId="75" xfId="0" applyNumberFormat="1" applyFont="1" applyFill="1" applyBorder="1" applyAlignment="1" applyProtection="1">
      <alignment horizontal="center" vertical="center"/>
      <protection hidden="1"/>
    </xf>
    <xf numFmtId="3" fontId="13" fillId="2" borderId="77" xfId="0" applyNumberFormat="1" applyFont="1" applyFill="1" applyBorder="1" applyAlignment="1" applyProtection="1">
      <alignment horizontal="center" vertical="center"/>
      <protection hidden="1"/>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13" fillId="0" borderId="97" xfId="0" applyFont="1" applyBorder="1" applyAlignment="1">
      <alignment horizontal="left" vertical="center"/>
    </xf>
    <xf numFmtId="0" fontId="13" fillId="0" borderId="90" xfId="0" applyFont="1" applyBorder="1" applyAlignment="1">
      <alignment horizontal="left" vertical="center"/>
    </xf>
    <xf numFmtId="3" fontId="21" fillId="28" borderId="110" xfId="0" applyNumberFormat="1" applyFont="1" applyFill="1" applyBorder="1" applyAlignment="1" applyProtection="1">
      <alignment horizontal="center" vertical="center"/>
      <protection locked="0"/>
    </xf>
    <xf numFmtId="3" fontId="21" fillId="28" borderId="109"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110" xfId="0" applyNumberFormat="1" applyFont="1" applyFill="1" applyBorder="1" applyAlignment="1" applyProtection="1">
      <alignment horizontal="center" vertical="center"/>
      <protection locked="0"/>
    </xf>
    <xf numFmtId="3" fontId="9" fillId="28" borderId="109"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110" xfId="0" applyNumberFormat="1" applyFont="1" applyFill="1" applyBorder="1" applyAlignment="1" applyProtection="1">
      <alignment horizontal="center" vertical="center"/>
      <protection locked="0"/>
    </xf>
    <xf numFmtId="167" fontId="9" fillId="28" borderId="109" xfId="0" applyNumberFormat="1" applyFont="1" applyFill="1" applyBorder="1" applyAlignment="1" applyProtection="1">
      <alignment horizontal="center" vertical="center"/>
      <protection locked="0"/>
    </xf>
    <xf numFmtId="9" fontId="14" fillId="28" borderId="69" xfId="0" applyNumberFormat="1" applyFont="1" applyFill="1" applyBorder="1" applyAlignment="1" applyProtection="1">
      <alignment horizontal="center" vertical="center"/>
      <protection locked="0"/>
    </xf>
    <xf numFmtId="9" fontId="13" fillId="0" borderId="96" xfId="0" applyNumberFormat="1" applyFont="1" applyBorder="1" applyAlignment="1">
      <alignment horizontal="left" vertical="center"/>
    </xf>
    <xf numFmtId="3" fontId="9" fillId="28" borderId="130" xfId="0" applyNumberFormat="1" applyFont="1" applyFill="1" applyBorder="1" applyAlignment="1" applyProtection="1">
      <alignment horizontal="center" vertical="center"/>
      <protection locked="0"/>
    </xf>
    <xf numFmtId="3" fontId="9" fillId="28" borderId="131"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9" fontId="9" fillId="0" borderId="104" xfId="0" applyNumberFormat="1" applyFont="1" applyBorder="1" applyAlignment="1">
      <alignment horizontal="left" vertical="center"/>
    </xf>
    <xf numFmtId="4" fontId="9" fillId="28" borderId="69" xfId="0" applyNumberFormat="1" applyFont="1" applyFill="1" applyBorder="1" applyAlignment="1" applyProtection="1">
      <alignment horizontal="center" vertical="center"/>
      <protection locked="0"/>
    </xf>
    <xf numFmtId="9" fontId="9" fillId="0" borderId="103" xfId="0" applyNumberFormat="1" applyFont="1" applyBorder="1" applyAlignment="1">
      <alignment horizontal="left" vertical="center"/>
    </xf>
    <xf numFmtId="0" fontId="9" fillId="0" borderId="113" xfId="0" applyFont="1" applyBorder="1" applyAlignment="1">
      <alignment horizontal="left" vertical="center"/>
    </xf>
    <xf numFmtId="9" fontId="9" fillId="0" borderId="113" xfId="0" applyNumberFormat="1" applyFont="1" applyBorder="1" applyAlignment="1">
      <alignment horizontal="left" vertical="center"/>
    </xf>
    <xf numFmtId="0" fontId="52" fillId="0" borderId="113" xfId="0" applyFont="1" applyBorder="1" applyAlignment="1">
      <alignment horizontal="left" vertical="center"/>
    </xf>
    <xf numFmtId="2" fontId="9" fillId="28" borderId="69" xfId="0" applyNumberFormat="1" applyFont="1" applyFill="1" applyBorder="1" applyAlignment="1" applyProtection="1">
      <alignment horizontal="center" vertical="center"/>
      <protection locked="0"/>
    </xf>
    <xf numFmtId="0" fontId="13" fillId="8" borderId="89" xfId="0" applyFont="1" applyFill="1" applyBorder="1" applyAlignment="1">
      <alignment horizontal="center" vertical="center"/>
    </xf>
    <xf numFmtId="0" fontId="13" fillId="8" borderId="97" xfId="0" applyFont="1" applyFill="1" applyBorder="1" applyAlignment="1">
      <alignment horizontal="center" vertical="center"/>
    </xf>
    <xf numFmtId="0" fontId="6" fillId="28" borderId="70" xfId="0" applyFont="1" applyFill="1" applyBorder="1" applyAlignment="1" applyProtection="1">
      <alignment horizontal="left" vertical="center" indent="1"/>
      <protection locked="0"/>
    </xf>
    <xf numFmtId="0" fontId="6" fillId="28" borderId="71" xfId="0" applyFont="1" applyFill="1" applyBorder="1" applyAlignment="1" applyProtection="1">
      <alignment horizontal="left" vertical="center" indent="1"/>
      <protection locked="0"/>
    </xf>
    <xf numFmtId="164" fontId="9" fillId="3" borderId="72" xfId="0" applyNumberFormat="1" applyFont="1" applyFill="1" applyBorder="1" applyAlignment="1">
      <alignment horizontal="center" vertical="center"/>
    </xf>
    <xf numFmtId="164" fontId="9" fillId="3" borderId="73" xfId="0" applyNumberFormat="1" applyFont="1" applyFill="1" applyBorder="1" applyAlignment="1">
      <alignment horizontal="center" vertical="center"/>
    </xf>
    <xf numFmtId="0" fontId="9" fillId="0" borderId="125" xfId="0" applyFont="1" applyBorder="1" applyAlignment="1">
      <alignment horizontal="left" vertical="center" indent="1"/>
    </xf>
    <xf numFmtId="0" fontId="9" fillId="0" borderId="65" xfId="0" applyFont="1" applyBorder="1" applyAlignment="1">
      <alignment horizontal="left" vertical="center" indent="1"/>
    </xf>
    <xf numFmtId="0" fontId="9" fillId="0" borderId="66" xfId="0" applyFont="1" applyBorder="1" applyAlignment="1">
      <alignment horizontal="left" vertical="center" indent="1"/>
    </xf>
    <xf numFmtId="0" fontId="9" fillId="0" borderId="78" xfId="0" applyFont="1" applyBorder="1" applyAlignment="1">
      <alignment horizontal="left" vertical="center" indent="1"/>
    </xf>
    <xf numFmtId="0" fontId="9" fillId="0" borderId="126" xfId="0" applyFont="1" applyBorder="1" applyAlignment="1">
      <alignment horizontal="left" vertical="center" indent="1"/>
    </xf>
    <xf numFmtId="0" fontId="9" fillId="0" borderId="127" xfId="0" applyFont="1" applyBorder="1" applyAlignment="1">
      <alignment horizontal="left" vertical="center" indent="1"/>
    </xf>
    <xf numFmtId="0" fontId="9" fillId="0" borderId="128" xfId="0" applyFont="1" applyBorder="1" applyAlignment="1">
      <alignment horizontal="left" vertical="center" indent="1"/>
    </xf>
    <xf numFmtId="0" fontId="9" fillId="0" borderId="129" xfId="0" applyFont="1" applyBorder="1" applyAlignment="1">
      <alignment horizontal="left" vertical="center" indent="1"/>
    </xf>
    <xf numFmtId="4" fontId="48" fillId="0" borderId="69" xfId="0" applyNumberFormat="1" applyFont="1" applyBorder="1" applyAlignment="1" applyProtection="1">
      <alignment horizontal="center" vertical="center"/>
      <protection hidden="1"/>
    </xf>
    <xf numFmtId="0" fontId="9" fillId="28" borderId="123" xfId="0" applyFont="1" applyFill="1" applyBorder="1" applyAlignment="1" applyProtection="1">
      <alignment horizontal="left" vertical="center" indent="1"/>
      <protection locked="0"/>
    </xf>
    <xf numFmtId="0" fontId="9" fillId="28" borderId="80" xfId="0" applyFont="1" applyFill="1" applyBorder="1" applyAlignment="1" applyProtection="1">
      <alignment horizontal="left" vertical="center" indent="1"/>
      <protection locked="0"/>
    </xf>
    <xf numFmtId="0" fontId="9" fillId="28" borderId="81" xfId="0" applyFont="1" applyFill="1" applyBorder="1" applyAlignment="1" applyProtection="1">
      <alignment horizontal="left" vertical="center" indent="1"/>
      <protection locked="0"/>
    </xf>
    <xf numFmtId="0" fontId="9" fillId="28" borderId="82" xfId="0" applyFont="1" applyFill="1" applyBorder="1" applyAlignment="1" applyProtection="1">
      <alignment horizontal="left" vertical="center" indent="1"/>
      <protection locked="0"/>
    </xf>
    <xf numFmtId="0" fontId="6" fillId="28" borderId="75" xfId="0" applyFont="1" applyFill="1" applyBorder="1" applyAlignment="1" applyProtection="1">
      <alignment horizontal="left" vertical="center" indent="1"/>
      <protection locked="0"/>
    </xf>
    <xf numFmtId="0" fontId="6" fillId="28" borderId="96" xfId="0" applyFont="1" applyFill="1" applyBorder="1" applyAlignment="1" applyProtection="1">
      <alignment horizontal="left" vertical="center" indent="1"/>
      <protection locked="0"/>
    </xf>
    <xf numFmtId="0" fontId="6" fillId="28" borderId="77" xfId="0" applyFont="1" applyFill="1" applyBorder="1" applyAlignment="1" applyProtection="1">
      <alignment horizontal="left" vertical="center" indent="1"/>
      <protection locked="0"/>
    </xf>
    <xf numFmtId="164" fontId="9" fillId="3" borderId="96" xfId="0" applyNumberFormat="1" applyFont="1" applyFill="1" applyBorder="1" applyAlignment="1">
      <alignment horizontal="center" vertical="center"/>
    </xf>
    <xf numFmtId="0" fontId="13" fillId="0" borderId="132" xfId="0" applyFont="1" applyBorder="1" applyAlignment="1" applyProtection="1">
      <alignment horizontal="left" vertical="center"/>
      <protection hidden="1"/>
    </xf>
    <xf numFmtId="0" fontId="13" fillId="0" borderId="40" xfId="0" applyFont="1" applyBorder="1" applyAlignment="1" applyProtection="1">
      <alignment horizontal="left" vertical="center"/>
      <protection hidden="1"/>
    </xf>
    <xf numFmtId="0" fontId="9" fillId="0" borderId="56" xfId="0" applyFont="1" applyBorder="1" applyAlignment="1">
      <alignment horizontal="left" vertical="center" indent="1"/>
    </xf>
    <xf numFmtId="0" fontId="9" fillId="0" borderId="67" xfId="0" applyFont="1" applyBorder="1" applyAlignment="1">
      <alignment horizontal="left" vertical="center" indent="1"/>
    </xf>
    <xf numFmtId="0" fontId="9" fillId="0" borderId="79" xfId="0" applyFont="1" applyBorder="1" applyAlignment="1">
      <alignment horizontal="left" vertical="center" indent="1"/>
    </xf>
    <xf numFmtId="0" fontId="13" fillId="0" borderId="146" xfId="0" applyFont="1" applyBorder="1" applyAlignment="1">
      <alignment horizontal="center" vertical="center"/>
    </xf>
    <xf numFmtId="0" fontId="6" fillId="28" borderId="74" xfId="0" applyFont="1" applyFill="1" applyBorder="1" applyAlignment="1" applyProtection="1">
      <alignment horizontal="left" vertical="center" indent="1"/>
      <protection locked="0"/>
    </xf>
    <xf numFmtId="0" fontId="6" fillId="28" borderId="69" xfId="0" applyFont="1" applyFill="1" applyBorder="1" applyAlignment="1" applyProtection="1">
      <alignment horizontal="left" vertical="center" indent="1"/>
      <protection locked="0"/>
    </xf>
    <xf numFmtId="0" fontId="9" fillId="0" borderId="80" xfId="0" applyFont="1" applyBorder="1" applyAlignment="1">
      <alignment horizontal="left" vertical="center" indent="1"/>
    </xf>
    <xf numFmtId="0" fontId="7" fillId="0" borderId="80" xfId="0" applyFont="1" applyBorder="1" applyAlignment="1">
      <alignment horizontal="left" vertical="center" indent="1"/>
    </xf>
    <xf numFmtId="0" fontId="7" fillId="0" borderId="81" xfId="0" applyFont="1" applyBorder="1" applyAlignment="1">
      <alignment horizontal="left" vertical="center" indent="1"/>
    </xf>
    <xf numFmtId="0" fontId="7" fillId="0" borderId="82" xfId="0" applyFont="1" applyBorder="1" applyAlignment="1">
      <alignment horizontal="left" vertical="center" indent="1"/>
    </xf>
    <xf numFmtId="0" fontId="9" fillId="0" borderId="122" xfId="0" applyFont="1" applyBorder="1" applyAlignment="1">
      <alignment horizontal="left" vertical="center" indent="1"/>
    </xf>
    <xf numFmtId="164" fontId="9" fillId="6" borderId="75" xfId="0" applyNumberFormat="1" applyFont="1" applyFill="1" applyBorder="1" applyAlignment="1">
      <alignment horizontal="center" vertical="center"/>
    </xf>
    <xf numFmtId="164" fontId="9" fillId="6" borderId="77" xfId="0" applyNumberFormat="1" applyFont="1" applyFill="1" applyBorder="1" applyAlignment="1">
      <alignment horizontal="center" vertical="center"/>
    </xf>
    <xf numFmtId="165" fontId="13" fillId="0" borderId="75" xfId="0" applyNumberFormat="1" applyFont="1" applyBorder="1" applyAlignment="1" applyProtection="1">
      <alignment horizontal="center" vertical="center"/>
      <protection hidden="1"/>
    </xf>
    <xf numFmtId="165" fontId="13" fillId="0" borderId="77" xfId="0" applyNumberFormat="1" applyFont="1" applyBorder="1" applyAlignment="1" applyProtection="1">
      <alignment horizontal="center" vertical="center"/>
      <protection hidden="1"/>
    </xf>
    <xf numFmtId="165" fontId="41" fillId="6" borderId="69" xfId="0" applyNumberFormat="1" applyFont="1" applyFill="1" applyBorder="1" applyAlignment="1" applyProtection="1">
      <alignment horizontal="center" vertical="center"/>
      <protection hidden="1"/>
    </xf>
    <xf numFmtId="0" fontId="9" fillId="0" borderId="124" xfId="0" applyFont="1" applyBorder="1" applyAlignment="1">
      <alignment horizontal="left" vertical="center" indent="1"/>
    </xf>
    <xf numFmtId="0" fontId="9" fillId="0" borderId="91" xfId="0" applyFont="1" applyBorder="1" applyAlignment="1">
      <alignment horizontal="left" vertical="center" indent="1"/>
    </xf>
    <xf numFmtId="0" fontId="9" fillId="0" borderId="92" xfId="0" applyFont="1" applyBorder="1" applyAlignment="1">
      <alignment horizontal="left" vertical="center" indent="1"/>
    </xf>
    <xf numFmtId="0" fontId="9" fillId="0" borderId="93" xfId="0" applyFont="1" applyBorder="1" applyAlignment="1">
      <alignment horizontal="left" vertical="center" indent="1"/>
    </xf>
    <xf numFmtId="165" fontId="13" fillId="30" borderId="75" xfId="0" applyNumberFormat="1" applyFont="1" applyFill="1" applyBorder="1" applyAlignment="1" applyProtection="1">
      <alignment horizontal="center" vertical="center"/>
      <protection hidden="1"/>
    </xf>
    <xf numFmtId="165" fontId="13" fillId="30" borderId="77" xfId="0" applyNumberFormat="1" applyFont="1" applyFill="1" applyBorder="1" applyAlignment="1" applyProtection="1">
      <alignment horizontal="center" vertical="center"/>
      <protection hidden="1"/>
    </xf>
    <xf numFmtId="165" fontId="14" fillId="0" borderId="69" xfId="0" applyNumberFormat="1" applyFont="1" applyBorder="1" applyAlignment="1" applyProtection="1">
      <alignment horizontal="center" vertical="center"/>
      <protection hidden="1"/>
    </xf>
    <xf numFmtId="0" fontId="5" fillId="0" borderId="0" xfId="0" applyFont="1" applyAlignment="1">
      <alignment horizontal="left"/>
    </xf>
    <xf numFmtId="0" fontId="0" fillId="0" borderId="0" xfId="0" applyAlignment="1">
      <alignment horizontal="left"/>
    </xf>
    <xf numFmtId="0" fontId="14" fillId="0" borderId="42" xfId="0" applyFont="1" applyBorder="1" applyAlignment="1">
      <alignment horizontal="left" vertical="center"/>
    </xf>
    <xf numFmtId="0" fontId="41" fillId="25" borderId="3" xfId="0" applyFont="1" applyFill="1" applyBorder="1" applyAlignment="1" applyProtection="1">
      <alignment vertical="center"/>
      <protection hidden="1"/>
    </xf>
    <xf numFmtId="0" fontId="41" fillId="25" borderId="8" xfId="0" applyFont="1" applyFill="1" applyBorder="1" applyAlignment="1" applyProtection="1">
      <alignment vertical="center"/>
      <protection hidden="1"/>
    </xf>
    <xf numFmtId="0" fontId="14" fillId="0" borderId="13" xfId="0" applyFont="1" applyBorder="1" applyAlignment="1">
      <alignment horizontal="left" vertical="center"/>
    </xf>
    <xf numFmtId="0" fontId="14" fillId="0" borderId="6" xfId="0" applyFont="1" applyBorder="1" applyAlignment="1">
      <alignment horizontal="left" vertical="center"/>
    </xf>
    <xf numFmtId="0" fontId="9" fillId="0" borderId="0" xfId="0" applyFont="1" applyAlignment="1" applyProtection="1">
      <alignment horizontal="center"/>
      <protection hidden="1"/>
    </xf>
    <xf numFmtId="0" fontId="9" fillId="0" borderId="0" xfId="0" applyFont="1" applyAlignment="1">
      <alignment horizontal="center"/>
    </xf>
    <xf numFmtId="0" fontId="21" fillId="0" borderId="0" xfId="0" applyFont="1" applyAlignment="1">
      <alignment horizontal="center"/>
    </xf>
    <xf numFmtId="0" fontId="21" fillId="0" borderId="27" xfId="0" applyFont="1" applyBorder="1" applyAlignment="1">
      <alignment horizontal="center"/>
    </xf>
    <xf numFmtId="1" fontId="8" fillId="29" borderId="22" xfId="0" applyNumberFormat="1" applyFont="1" applyFill="1" applyBorder="1" applyAlignment="1">
      <alignment horizontal="center" vertical="center"/>
    </xf>
    <xf numFmtId="1" fontId="8" fillId="29" borderId="23" xfId="0" applyNumberFormat="1" applyFont="1" applyFill="1" applyBorder="1" applyAlignment="1">
      <alignment horizontal="center" vertical="center"/>
    </xf>
    <xf numFmtId="1" fontId="8" fillId="29" borderId="2" xfId="0" applyNumberFormat="1" applyFont="1" applyFill="1" applyBorder="1" applyAlignment="1">
      <alignment horizontal="center" vertical="center"/>
    </xf>
    <xf numFmtId="0" fontId="2" fillId="0" borderId="0" xfId="0" applyFont="1"/>
    <xf numFmtId="0" fontId="36" fillId="0" borderId="0" xfId="0" applyFont="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0154BE"/>
      <color rgb="FFFFFFCC"/>
      <color rgb="FFCCFF99"/>
      <color rgb="FF66FF33"/>
      <color rgb="FFFFC000"/>
      <color rgb="FFC1E3DC"/>
      <color rgb="FF0152A1"/>
      <color rgb="FFFFFF99"/>
      <color rgb="FFFFFF66"/>
      <color rgb="FFE6E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 Calculation'!A1"/><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image" Target="../media/image3.png"/><Relationship Id="rId4" Type="http://schemas.openxmlformats.org/officeDocument/2006/relationships/hyperlink" Target="#'3. Calculation no VAT'!A1"/></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2. Cash budget'!A1"/></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 Calculation'!A1"/></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5.png"/><Relationship Id="rId1" Type="http://schemas.openxmlformats.org/officeDocument/2006/relationships/hyperlink" Target="#'Cash budget no VA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3. Calculation no VAT'!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565756</xdr:colOff>
      <xdr:row>32</xdr:row>
      <xdr:rowOff>131884</xdr:rowOff>
    </xdr:to>
    <xdr:pic>
      <xdr:nvPicPr>
        <xdr:cNvPr id="53" name="Kuva 52">
          <a:extLst>
            <a:ext uri="{FF2B5EF4-FFF2-40B4-BE49-F238E27FC236}">
              <a16:creationId xmlns:a16="http://schemas.microsoft.com/office/drawing/2014/main" id="{CC75B7A4-FAEE-564A-196D-E488F8F72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60391" cy="5290038"/>
        </a:xfrm>
        <a:prstGeom prst="rect">
          <a:avLst/>
        </a:prstGeom>
      </xdr:spPr>
    </xdr:pic>
    <xdr:clientData/>
  </xdr:twoCellAnchor>
  <xdr:twoCellAnchor>
    <xdr:from>
      <xdr:col>0</xdr:col>
      <xdr:colOff>478700</xdr:colOff>
      <xdr:row>6</xdr:row>
      <xdr:rowOff>131884</xdr:rowOff>
    </xdr:from>
    <xdr:to>
      <xdr:col>3</xdr:col>
      <xdr:colOff>1047536</xdr:colOff>
      <xdr:row>32</xdr:row>
      <xdr:rowOff>21772</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78700" y="1099038"/>
          <a:ext cx="3272471" cy="4080888"/>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92529</xdr:colOff>
      <xdr:row>6</xdr:row>
      <xdr:rowOff>124558</xdr:rowOff>
    </xdr:from>
    <xdr:to>
      <xdr:col>7</xdr:col>
      <xdr:colOff>217500</xdr:colOff>
      <xdr:row>31</xdr:row>
      <xdr:rowOff>152400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843914" y="1091712"/>
          <a:ext cx="3268221" cy="4057650"/>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105302</xdr:colOff>
      <xdr:row>8</xdr:row>
      <xdr:rowOff>11932</xdr:rowOff>
    </xdr:from>
    <xdr:to>
      <xdr:col>7</xdr:col>
      <xdr:colOff>214159</xdr:colOff>
      <xdr:row>11</xdr:row>
      <xdr:rowOff>73268</xdr:rowOff>
    </xdr:to>
    <xdr:sp macro="" textlink="">
      <xdr:nvSpPr>
        <xdr:cNvPr id="9" name="Tekstiruutu 8">
          <a:extLst>
            <a:ext uri="{FF2B5EF4-FFF2-40B4-BE49-F238E27FC236}">
              <a16:creationId xmlns:a16="http://schemas.microsoft.com/office/drawing/2014/main" id="{7635CD57-7AC1-4BFE-81DB-7F73A70B3426}"/>
            </a:ext>
          </a:extLst>
        </xdr:cNvPr>
        <xdr:cNvSpPr txBox="1"/>
      </xdr:nvSpPr>
      <xdr:spPr>
        <a:xfrm>
          <a:off x="3856687" y="1301470"/>
          <a:ext cx="3252107" cy="544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BUSINESS</a:t>
          </a:r>
          <a:r>
            <a:rPr lang="fi-FI" sz="1600" b="1"/>
            <a:t> </a:t>
          </a:r>
          <a:r>
            <a:rPr lang="fi-FI" sz="1400" b="0"/>
            <a:t>operations</a:t>
          </a:r>
          <a:r>
            <a:rPr lang="fi-FI" sz="1400" b="1"/>
            <a:t> </a:t>
          </a:r>
          <a:r>
            <a:rPr lang="fi-FI" sz="1400"/>
            <a:t>exempt from </a:t>
          </a:r>
          <a:r>
            <a:rPr lang="fi-FI" sz="1400" b="1"/>
            <a:t>VAT</a:t>
          </a:r>
          <a:endParaRPr lang="fi-FI" sz="1800" b="1"/>
        </a:p>
        <a:p>
          <a:pPr algn="ctr"/>
          <a:endParaRPr lang="fi-FI" sz="1400" b="1"/>
        </a:p>
      </xdr:txBody>
    </xdr:sp>
    <xdr:clientData/>
  </xdr:twoCellAnchor>
  <xdr:twoCellAnchor>
    <xdr:from>
      <xdr:col>0</xdr:col>
      <xdr:colOff>465364</xdr:colOff>
      <xdr:row>9</xdr:row>
      <xdr:rowOff>107184</xdr:rowOff>
    </xdr:from>
    <xdr:to>
      <xdr:col>3</xdr:col>
      <xdr:colOff>1025978</xdr:colOff>
      <xdr:row>12</xdr:row>
      <xdr:rowOff>79970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465364" y="1557915"/>
          <a:ext cx="3264249" cy="456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600" b="1"/>
            <a:t>BUSINESS </a:t>
          </a:r>
        </a:p>
      </xdr:txBody>
    </xdr:sp>
    <xdr:clientData/>
  </xdr:twoCellAnchor>
  <xdr:twoCellAnchor editAs="oneCell">
    <xdr:from>
      <xdr:col>1</xdr:col>
      <xdr:colOff>827313</xdr:colOff>
      <xdr:row>23</xdr:row>
      <xdr:rowOff>16326</xdr:rowOff>
    </xdr:from>
    <xdr:to>
      <xdr:col>2</xdr:col>
      <xdr:colOff>893897</xdr:colOff>
      <xdr:row>30</xdr:row>
      <xdr:rowOff>57056</xdr:rowOff>
    </xdr:to>
    <xdr:pic>
      <xdr:nvPicPr>
        <xdr:cNvPr id="16" name="Kuva 39" descr="C:\Users\Henri\AppData\Local\Microsoft\Windows\Temporary Internet Files\Content.IE5\9ZN2D3X7\MC900432666[1].png">
          <a:hlinkClick xmlns:r="http://schemas.openxmlformats.org/officeDocument/2006/relationships" r:id="rId2"/>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85204</xdr:colOff>
      <xdr:row>24</xdr:row>
      <xdr:rowOff>10886</xdr:rowOff>
    </xdr:from>
    <xdr:to>
      <xdr:col>6</xdr:col>
      <xdr:colOff>163218</xdr:colOff>
      <xdr:row>31</xdr:row>
      <xdr:rowOff>59870</xdr:rowOff>
    </xdr:to>
    <xdr:pic>
      <xdr:nvPicPr>
        <xdr:cNvPr id="17" name="Kuva 39" descr="C:\Users\Henri\AppData\Local\Microsoft\Windows\Temporary Internet Files\Content.IE5\9ZN2D3X7\MC900432666[1].png">
          <a:hlinkClick xmlns:r="http://schemas.openxmlformats.org/officeDocument/2006/relationships" r:id="rId4"/>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84339" y="3879501"/>
          <a:ext cx="1125764" cy="11773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146538</xdr:colOff>
      <xdr:row>12</xdr:row>
      <xdr:rowOff>112834</xdr:rowOff>
    </xdr:from>
    <xdr:to>
      <xdr:col>3</xdr:col>
      <xdr:colOff>906026</xdr:colOff>
      <xdr:row>24</xdr:row>
      <xdr:rowOff>65943</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754673" y="2047142"/>
          <a:ext cx="2854988" cy="1887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lnSpc>
              <a:spcPts val="1800"/>
            </a:lnSpc>
            <a:buFont typeface="Arial" panose="020B0604020202020204" pitchFamily="34" charset="0"/>
            <a:buNone/>
          </a:pPr>
          <a:r>
            <a:rPr lang="fi-FI" sz="1200" b="1" baseline="0"/>
            <a:t>THE PROGRAM IS APPLICABLE</a:t>
          </a:r>
        </a:p>
        <a:p>
          <a:pPr marL="171450" indent="-171450" algn="l">
            <a:lnSpc>
              <a:spcPts val="1800"/>
            </a:lnSpc>
            <a:buFont typeface="Arial" panose="020B0604020202020204" pitchFamily="34" charset="0"/>
            <a:buChar char="•"/>
          </a:pPr>
          <a:r>
            <a:rPr lang="fi-FI" sz="1200" b="1" baseline="0"/>
            <a:t>For a small business with few employees</a:t>
          </a:r>
        </a:p>
        <a:p>
          <a:pPr marL="171450" indent="-171450" algn="l">
            <a:lnSpc>
              <a:spcPts val="1800"/>
            </a:lnSpc>
            <a:buFont typeface="Arial" panose="020B0604020202020204" pitchFamily="34" charset="0"/>
            <a:buChar char="•"/>
          </a:pPr>
          <a:r>
            <a:rPr lang="fi-FI" sz="1200" b="1" baseline="0"/>
            <a:t>For all company forms and industries</a:t>
          </a:r>
        </a:p>
        <a:p>
          <a:pPr marL="171450" indent="-171450" algn="l">
            <a:lnSpc>
              <a:spcPts val="1800"/>
            </a:lnSpc>
            <a:buFont typeface="Arial" panose="020B0604020202020204" pitchFamily="34" charset="0"/>
            <a:buChar char="•"/>
          </a:pPr>
          <a:r>
            <a:rPr lang="fi-FI" sz="1200" b="1" baseline="0"/>
            <a:t>For a multi-sector entrepreneur, for example, to calculate the profitability of new additional work.</a:t>
          </a:r>
          <a:endParaRPr lang="fi-FI" sz="1100" b="1" baseline="0"/>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254350</xdr:colOff>
      <xdr:row>10</xdr:row>
      <xdr:rowOff>122045</xdr:rowOff>
    </xdr:from>
    <xdr:to>
      <xdr:col>7</xdr:col>
      <xdr:colOff>69293</xdr:colOff>
      <xdr:row>26</xdr:row>
      <xdr:rowOff>58615</xdr:rowOff>
    </xdr:to>
    <xdr:sp macro="" textlink="">
      <xdr:nvSpPr>
        <xdr:cNvPr id="11" name="Tekstiruutu 10">
          <a:extLst>
            <a:ext uri="{FF2B5EF4-FFF2-40B4-BE49-F238E27FC236}">
              <a16:creationId xmlns:a16="http://schemas.microsoft.com/office/drawing/2014/main" id="{3C7CA33B-2A07-982C-6BD3-F0A7E72F447A}"/>
            </a:ext>
          </a:extLst>
        </xdr:cNvPr>
        <xdr:cNvSpPr txBox="1"/>
      </xdr:nvSpPr>
      <xdr:spPr>
        <a:xfrm>
          <a:off x="4005735" y="1733968"/>
          <a:ext cx="2958193" cy="251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400"/>
            </a:lnSpc>
            <a:buFont typeface="Arial" panose="020B0604020202020204" pitchFamily="34" charset="0"/>
            <a:buChar char="•"/>
          </a:pPr>
          <a:r>
            <a:rPr lang="fi-FI" sz="1100" b="1"/>
            <a:t>Small-scale business: </a:t>
          </a:r>
          <a:r>
            <a:rPr lang="fi-FI"/>
            <a:t>company's turnover is €20,000 or less per calendar year</a:t>
          </a:r>
        </a:p>
        <a:p>
          <a:pPr marL="171450" indent="-171450" algn="l">
            <a:lnSpc>
              <a:spcPts val="1400"/>
            </a:lnSpc>
            <a:buFont typeface="Arial" panose="020B0604020202020204" pitchFamily="34" charset="0"/>
            <a:buChar char="•"/>
          </a:pPr>
          <a:r>
            <a:rPr lang="fi-FI" sz="1100" b="1"/>
            <a:t>Health and medical services, social services</a:t>
          </a:r>
        </a:p>
        <a:p>
          <a:pPr marL="171450" indent="-171450" algn="l">
            <a:lnSpc>
              <a:spcPts val="1400"/>
            </a:lnSpc>
            <a:buFont typeface="Arial" panose="020B0604020202020204" pitchFamily="34" charset="0"/>
            <a:buChar char="•"/>
          </a:pPr>
          <a:r>
            <a:rPr lang="fi-FI" sz="1100" b="1"/>
            <a:t>General education, vocational training, university-level and basic artistic teaching</a:t>
          </a:r>
        </a:p>
        <a:p>
          <a:pPr marL="171450" indent="-171450" algn="l">
            <a:lnSpc>
              <a:spcPts val="1400"/>
            </a:lnSpc>
            <a:buFont typeface="Arial" panose="020B0604020202020204" pitchFamily="34" charset="0"/>
            <a:buChar char="•"/>
          </a:pPr>
          <a:r>
            <a:rPr lang="fi-FI" sz="1100" b="1"/>
            <a:t>Financial services and insurance services</a:t>
          </a:r>
        </a:p>
        <a:p>
          <a:pPr marL="171450" indent="-171450" algn="l">
            <a:lnSpc>
              <a:spcPts val="1400"/>
            </a:lnSpc>
            <a:buFont typeface="Arial" panose="020B0604020202020204" pitchFamily="34" charset="0"/>
            <a:buChar char="•"/>
          </a:pPr>
          <a:r>
            <a:rPr lang="fi-FI" sz="1100" b="1"/>
            <a:t>Certain performing artists’ fees</a:t>
          </a:r>
        </a:p>
        <a:p>
          <a:pPr marL="171450" indent="-171450" algn="l">
            <a:lnSpc>
              <a:spcPts val="1400"/>
            </a:lnSpc>
            <a:buFont typeface="Arial" panose="020B0604020202020204" pitchFamily="34" charset="0"/>
            <a:buChar char="•"/>
          </a:pPr>
          <a:r>
            <a:rPr lang="fi-FI" sz="1100" b="1"/>
            <a:t>Copyrights</a:t>
          </a:r>
        </a:p>
        <a:p>
          <a:pPr marL="171450" indent="-171450" algn="l">
            <a:lnSpc>
              <a:spcPts val="1400"/>
            </a:lnSpc>
            <a:buFont typeface="Arial" panose="020B0604020202020204" pitchFamily="34" charset="0"/>
            <a:buChar char="•"/>
          </a:pPr>
          <a:r>
            <a:rPr lang="fi-FI" sz="1100" b="1"/>
            <a:t>Sales and rental of real estate and apartments</a:t>
          </a:r>
        </a:p>
        <a:p>
          <a:pPr marL="171450" indent="-171450" algn="l">
            <a:lnSpc>
              <a:spcPts val="1400"/>
            </a:lnSpc>
            <a:buFont typeface="Arial" panose="020B0604020202020204" pitchFamily="34" charset="0"/>
            <a:buChar char="•"/>
          </a:pPr>
          <a:r>
            <a:rPr lang="fi-FI" sz="1100" b="1"/>
            <a:t>General postal services</a:t>
          </a:r>
        </a:p>
        <a:p>
          <a:pPr marL="171450" indent="-171450" algn="l">
            <a:lnSpc>
              <a:spcPts val="1400"/>
            </a:lnSpc>
            <a:buFont typeface="Arial" panose="020B0604020202020204" pitchFamily="34" charset="0"/>
            <a:buChar char="•"/>
          </a:pPr>
          <a:r>
            <a:rPr lang="fi-FI" sz="1100" b="1"/>
            <a:t>Organisation of lotteries.</a:t>
          </a:r>
        </a:p>
        <a:p>
          <a:pPr marL="171450" indent="-171450" algn="l">
            <a:lnSpc>
              <a:spcPts val="1700"/>
            </a:lnSpc>
            <a:buFont typeface="Arial" panose="020B0604020202020204" pitchFamily="34" charset="0"/>
            <a:buChar char="•"/>
          </a:pPr>
          <a:endParaRPr lang="fi-FI" sz="1100" b="1"/>
        </a:p>
      </xdr:txBody>
    </xdr:sp>
    <xdr:clientData/>
  </xdr:twoCellAnchor>
  <xdr:twoCellAnchor editAs="oneCell">
    <xdr:from>
      <xdr:col>0</xdr:col>
      <xdr:colOff>567568</xdr:colOff>
      <xdr:row>4</xdr:row>
      <xdr:rowOff>57262</xdr:rowOff>
    </xdr:from>
    <xdr:to>
      <xdr:col>2</xdr:col>
      <xdr:colOff>1025769</xdr:colOff>
      <xdr:row>5</xdr:row>
      <xdr:rowOff>137262</xdr:rowOff>
    </xdr:to>
    <xdr:pic>
      <xdr:nvPicPr>
        <xdr:cNvPr id="18" name="Kuva 17">
          <a:extLst>
            <a:ext uri="{FF2B5EF4-FFF2-40B4-BE49-F238E27FC236}">
              <a16:creationId xmlns:a16="http://schemas.microsoft.com/office/drawing/2014/main" id="{023C1744-6E98-FD60-DC66-CBBA892D847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67568" y="702031"/>
          <a:ext cx="2114086" cy="241193"/>
        </a:xfrm>
        <a:prstGeom prst="rect">
          <a:avLst/>
        </a:prstGeom>
      </xdr:spPr>
    </xdr:pic>
    <xdr:clientData/>
  </xdr:twoCellAnchor>
  <xdr:twoCellAnchor>
    <xdr:from>
      <xdr:col>2</xdr:col>
      <xdr:colOff>249115</xdr:colOff>
      <xdr:row>1</xdr:row>
      <xdr:rowOff>81225</xdr:rowOff>
    </xdr:from>
    <xdr:to>
      <xdr:col>5</xdr:col>
      <xdr:colOff>977120</xdr:colOff>
      <xdr:row>3</xdr:row>
      <xdr:rowOff>78774</xdr:rowOff>
    </xdr:to>
    <xdr:sp macro="" textlink="">
      <xdr:nvSpPr>
        <xdr:cNvPr id="19" name="Tekstiruutu 18">
          <a:extLst>
            <a:ext uri="{FF2B5EF4-FFF2-40B4-BE49-F238E27FC236}">
              <a16:creationId xmlns:a16="http://schemas.microsoft.com/office/drawing/2014/main" id="{DD7E774B-205B-DDA7-7B6B-D8C25F635A00}"/>
            </a:ext>
          </a:extLst>
        </xdr:cNvPr>
        <xdr:cNvSpPr txBox="1"/>
      </xdr:nvSpPr>
      <xdr:spPr>
        <a:xfrm>
          <a:off x="1905000" y="242417"/>
          <a:ext cx="3871255" cy="319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800" b="1" i="1">
              <a:solidFill>
                <a:srgbClr val="0154BE"/>
              </a:solidFill>
            </a:rPr>
            <a:t>BP4 FINANCIAL CALCULATION</a:t>
          </a:r>
        </a:p>
      </xdr:txBody>
    </xdr:sp>
    <xdr:clientData/>
  </xdr:twoCellAnchor>
  <xdr:twoCellAnchor editAs="oneCell">
    <xdr:from>
      <xdr:col>1</xdr:col>
      <xdr:colOff>117230</xdr:colOff>
      <xdr:row>34</xdr:row>
      <xdr:rowOff>7326</xdr:rowOff>
    </xdr:from>
    <xdr:to>
      <xdr:col>3</xdr:col>
      <xdr:colOff>659423</xdr:colOff>
      <xdr:row>38</xdr:row>
      <xdr:rowOff>62676</xdr:rowOff>
    </xdr:to>
    <xdr:pic>
      <xdr:nvPicPr>
        <xdr:cNvPr id="51" name="Kuva 50">
          <a:extLst>
            <a:ext uri="{FF2B5EF4-FFF2-40B4-BE49-F238E27FC236}">
              <a16:creationId xmlns:a16="http://schemas.microsoft.com/office/drawing/2014/main" id="{C29D4AE1-07C9-82AF-30C0-B0E6396C99A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25365" y="5487864"/>
          <a:ext cx="2637693" cy="7001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589189</xdr:colOff>
      <xdr:row>1</xdr:row>
      <xdr:rowOff>199124</xdr:rowOff>
    </xdr:from>
    <xdr:to>
      <xdr:col>11</xdr:col>
      <xdr:colOff>150841</xdr:colOff>
      <xdr:row>2</xdr:row>
      <xdr:rowOff>54222</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3418114" y="370574"/>
          <a:ext cx="3809802" cy="1694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a:solidFill>
                <a:srgbClr val="0152A1"/>
              </a:solidFill>
              <a:latin typeface="Arial" panose="020B0604020202020204" pitchFamily="34" charset="0"/>
              <a:cs typeface="Arial" panose="020B0604020202020204" pitchFamily="34" charset="0"/>
            </a:rPr>
            <a:t>BP4</a:t>
          </a:r>
          <a:r>
            <a:rPr lang="fi-FI" sz="1200" b="1" i="0" baseline="0">
              <a:solidFill>
                <a:srgbClr val="0152A1"/>
              </a:solidFill>
              <a:latin typeface="Arial" panose="020B0604020202020204" pitchFamily="34" charset="0"/>
              <a:cs typeface="Arial" panose="020B0604020202020204" pitchFamily="34" charset="0"/>
            </a:rPr>
            <a:t> </a:t>
          </a:r>
          <a:r>
            <a:rPr lang="fi-FI" sz="1200" b="1" i="0">
              <a:solidFill>
                <a:srgbClr val="0152A1"/>
              </a:solidFill>
              <a:latin typeface="Arial" panose="020B0604020202020204" pitchFamily="34" charset="0"/>
              <a:cs typeface="Arial" panose="020B0604020202020204" pitchFamily="34" charset="0"/>
            </a:rPr>
            <a:t>FINANCIAL CALCULATION</a:t>
          </a: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217442</xdr:colOff>
      <xdr:row>1</xdr:row>
      <xdr:rowOff>284388</xdr:rowOff>
    </xdr:from>
    <xdr:to>
      <xdr:col>16</xdr:col>
      <xdr:colOff>445770</xdr:colOff>
      <xdr:row>3</xdr:row>
      <xdr:rowOff>133350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5B61ECAC-BF04-41B7-A049-0969E6BC18F1}"/>
            </a:ext>
          </a:extLst>
        </xdr:cNvPr>
        <xdr:cNvSpPr/>
      </xdr:nvSpPr>
      <xdr:spPr>
        <a:xfrm>
          <a:off x="8589917" y="551088"/>
          <a:ext cx="1276078" cy="32521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a:t>
          </a:r>
          <a:r>
            <a:rPr lang="fi-FI" sz="1000" b="1" baseline="0"/>
            <a:t> BUDGET</a:t>
          </a:r>
          <a:endParaRPr lang="fi-FI" sz="1000" b="1"/>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1"/>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a:t>
          </a:r>
          <a:r>
            <a:rPr lang="fi-FI" sz="1100" b="1" baseline="0"/>
            <a:t> BUDGET</a:t>
          </a:r>
          <a:endParaRPr lang="fi-FI" sz="1100" b="1"/>
        </a:p>
      </xdr:txBody>
    </xdr:sp>
    <xdr:clientData fPrintsWithSheet="0"/>
  </xdr:twoCellAnchor>
  <xdr:twoCellAnchor editAs="oneCell">
    <xdr:from>
      <xdr:col>2</xdr:col>
      <xdr:colOff>30208</xdr:colOff>
      <xdr:row>1</xdr:row>
      <xdr:rowOff>154033</xdr:rowOff>
    </xdr:from>
    <xdr:to>
      <xdr:col>4</xdr:col>
      <xdr:colOff>220087</xdr:colOff>
      <xdr:row>2</xdr:row>
      <xdr:rowOff>78921</xdr:rowOff>
    </xdr:to>
    <xdr:pic>
      <xdr:nvPicPr>
        <xdr:cNvPr id="2" name="Kuva 1">
          <a:extLst>
            <a:ext uri="{FF2B5EF4-FFF2-40B4-BE49-F238E27FC236}">
              <a16:creationId xmlns:a16="http://schemas.microsoft.com/office/drawing/2014/main" id="{4009ED1D-E08E-4606-9887-BE5698AD77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0783" y="325483"/>
          <a:ext cx="2287284" cy="237308"/>
        </a:xfrm>
        <a:prstGeom prst="rect">
          <a:avLst/>
        </a:prstGeom>
      </xdr:spPr>
    </xdr:pic>
    <xdr:clientData/>
  </xdr:twoCellAnchor>
  <xdr:twoCellAnchor editAs="oneCell">
    <xdr:from>
      <xdr:col>9</xdr:col>
      <xdr:colOff>538984</xdr:colOff>
      <xdr:row>223</xdr:row>
      <xdr:rowOff>137256</xdr:rowOff>
    </xdr:from>
    <xdr:to>
      <xdr:col>12</xdr:col>
      <xdr:colOff>729815</xdr:colOff>
      <xdr:row>225</xdr:row>
      <xdr:rowOff>1656</xdr:rowOff>
    </xdr:to>
    <xdr:pic>
      <xdr:nvPicPr>
        <xdr:cNvPr id="5" name="Kuva 4">
          <a:extLst>
            <a:ext uri="{FF2B5EF4-FFF2-40B4-BE49-F238E27FC236}">
              <a16:creationId xmlns:a16="http://schemas.microsoft.com/office/drawing/2014/main" id="{5C6F96A4-7611-0861-E798-2FFE458F14E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620785" y="34943144"/>
          <a:ext cx="1686433" cy="175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429985</xdr:colOff>
      <xdr:row>0</xdr:row>
      <xdr:rowOff>76199</xdr:rowOff>
    </xdr:from>
    <xdr:to>
      <xdr:col>18</xdr:col>
      <xdr:colOff>773283</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3008428" y="76199"/>
          <a:ext cx="1099855"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658585</xdr:colOff>
      <xdr:row>4</xdr:row>
      <xdr:rowOff>10885</xdr:rowOff>
    </xdr:from>
    <xdr:to>
      <xdr:col>19</xdr:col>
      <xdr:colOff>5359</xdr:colOff>
      <xdr:row>5</xdr:row>
      <xdr:rowOff>38099</xdr:rowOff>
    </xdr:to>
    <xdr:pic>
      <xdr:nvPicPr>
        <xdr:cNvPr id="3" name="Kuva 2">
          <a:extLst>
            <a:ext uri="{FF2B5EF4-FFF2-40B4-BE49-F238E27FC236}">
              <a16:creationId xmlns:a16="http://schemas.microsoft.com/office/drawing/2014/main" id="{F970B7C4-27C6-4ADD-9FA5-8C58C6C977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23914" y="631371"/>
          <a:ext cx="2358738" cy="2449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501559</xdr:colOff>
      <xdr:row>0</xdr:row>
      <xdr:rowOff>314325</xdr:rowOff>
    </xdr:from>
    <xdr:to>
      <xdr:col>12</xdr:col>
      <xdr:colOff>266699</xdr:colOff>
      <xdr:row>3</xdr:row>
      <xdr:rowOff>66675</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3292384" y="314325"/>
          <a:ext cx="4251415"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ts val="1500"/>
            </a:lnSpc>
            <a:spcBef>
              <a:spcPts val="0"/>
            </a:spcBef>
            <a:spcAft>
              <a:spcPts val="0"/>
            </a:spcAft>
            <a:buClrTx/>
            <a:buSzTx/>
            <a:buFontTx/>
            <a:buNone/>
            <a:tabLst/>
            <a:defRPr/>
          </a:pPr>
          <a:r>
            <a:rPr lang="fi-FI" sz="1200" b="1" i="0" baseline="0">
              <a:solidFill>
                <a:srgbClr val="0152A1"/>
              </a:solidFill>
              <a:latin typeface="Arial" panose="020B0604020202020204" pitchFamily="34" charset="0"/>
              <a:cs typeface="Arial" panose="020B0604020202020204" pitchFamily="34" charset="0"/>
            </a:rPr>
            <a:t>BP4 FINANCIAL CALCULATION</a:t>
          </a:r>
          <a:br>
            <a:rPr lang="fi-FI" sz="1200" b="1" i="0" baseline="0">
              <a:solidFill>
                <a:srgbClr val="0152A1"/>
              </a:solidFill>
              <a:latin typeface="Arial" panose="020B0604020202020204" pitchFamily="34" charset="0"/>
              <a:cs typeface="Arial" panose="020B0604020202020204" pitchFamily="34" charset="0"/>
            </a:rPr>
          </a:br>
          <a:r>
            <a:rPr lang="fi-FI" sz="1050" b="0" i="0" baseline="0">
              <a:solidFill>
                <a:srgbClr val="0152A1"/>
              </a:solidFill>
              <a:latin typeface="Arial" panose="020B0604020202020204" pitchFamily="34" charset="0"/>
              <a:cs typeface="Arial" panose="020B0604020202020204" pitchFamily="34" charset="0"/>
            </a:rPr>
            <a:t>Business operations exempt from VAT</a:t>
          </a:r>
          <a:r>
            <a:rPr lang="fi-FI" sz="1000" b="0">
              <a:solidFill>
                <a:schemeClr val="lt1"/>
              </a:solidFill>
              <a:effectLst/>
              <a:latin typeface="+mn-lt"/>
              <a:ea typeface="+mn-ea"/>
              <a:cs typeface="+mn-cs"/>
            </a:rPr>
            <a:t> </a:t>
          </a:r>
          <a:endParaRPr lang="fi-FI" sz="1200" b="0"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219347</xdr:colOff>
      <xdr:row>1</xdr:row>
      <xdr:rowOff>263433</xdr:rowOff>
    </xdr:from>
    <xdr:to>
      <xdr:col>16</xdr:col>
      <xdr:colOff>304800</xdr:colOff>
      <xdr:row>3</xdr:row>
      <xdr:rowOff>125730</xdr:rowOff>
    </xdr:to>
    <xdr:sp macro="" textlink="">
      <xdr:nvSpPr>
        <xdr:cNvPr id="9" name="Rectangle: Rounded Corners 2">
          <a:hlinkClick xmlns:r="http://schemas.openxmlformats.org/officeDocument/2006/relationships" r:id="rId1"/>
          <a:extLst>
            <a:ext uri="{FF2B5EF4-FFF2-40B4-BE49-F238E27FC236}">
              <a16:creationId xmlns:a16="http://schemas.microsoft.com/office/drawing/2014/main" id="{69CA878C-9D77-465B-9E88-8B00562FE791}"/>
            </a:ext>
          </a:extLst>
        </xdr:cNvPr>
        <xdr:cNvSpPr/>
      </xdr:nvSpPr>
      <xdr:spPr>
        <a:xfrm>
          <a:off x="8591822" y="606333"/>
          <a:ext cx="1133203" cy="29092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 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1"/>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 BUDGET</a:t>
          </a:r>
        </a:p>
      </xdr:txBody>
    </xdr:sp>
    <xdr:clientData fPrintsWithSheet="0"/>
  </xdr:twoCellAnchor>
  <xdr:twoCellAnchor editAs="oneCell">
    <xdr:from>
      <xdr:col>2</xdr:col>
      <xdr:colOff>9525</xdr:colOff>
      <xdr:row>1</xdr:row>
      <xdr:rowOff>93073</xdr:rowOff>
    </xdr:from>
    <xdr:to>
      <xdr:col>4</xdr:col>
      <xdr:colOff>200918</xdr:colOff>
      <xdr:row>2</xdr:row>
      <xdr:rowOff>73206</xdr:rowOff>
    </xdr:to>
    <xdr:pic>
      <xdr:nvPicPr>
        <xdr:cNvPr id="5" name="Kuva 4">
          <a:extLst>
            <a:ext uri="{FF2B5EF4-FFF2-40B4-BE49-F238E27FC236}">
              <a16:creationId xmlns:a16="http://schemas.microsoft.com/office/drawing/2014/main" id="{D0E07A7D-DB9A-4F59-BA29-AAB0D2F6F7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0100" y="435973"/>
          <a:ext cx="2277368" cy="246833"/>
        </a:xfrm>
        <a:prstGeom prst="rect">
          <a:avLst/>
        </a:prstGeom>
      </xdr:spPr>
    </xdr:pic>
    <xdr:clientData/>
  </xdr:twoCellAnchor>
  <xdr:twoCellAnchor editAs="oneCell">
    <xdr:from>
      <xdr:col>9</xdr:col>
      <xdr:colOff>500742</xdr:colOff>
      <xdr:row>223</xdr:row>
      <xdr:rowOff>130628</xdr:rowOff>
    </xdr:from>
    <xdr:to>
      <xdr:col>13</xdr:col>
      <xdr:colOff>2987</xdr:colOff>
      <xdr:row>224</xdr:row>
      <xdr:rowOff>154979</xdr:rowOff>
    </xdr:to>
    <xdr:pic>
      <xdr:nvPicPr>
        <xdr:cNvPr id="12" name="Kuva 11">
          <a:extLst>
            <a:ext uri="{FF2B5EF4-FFF2-40B4-BE49-F238E27FC236}">
              <a16:creationId xmlns:a16="http://schemas.microsoft.com/office/drawing/2014/main" id="{C47D147E-2C4B-4A12-B7D7-88806EE4F4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727371" y="34132157"/>
          <a:ext cx="1754582" cy="1821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17</xdr:col>
      <xdr:colOff>333375</xdr:colOff>
      <xdr:row>0</xdr:row>
      <xdr:rowOff>130628</xdr:rowOff>
    </xdr:from>
    <xdr:to>
      <xdr:col>18</xdr:col>
      <xdr:colOff>740626</xdr:colOff>
      <xdr:row>2</xdr:row>
      <xdr:rowOff>138942</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201525" y="130628"/>
          <a:ext cx="1121626" cy="332164"/>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640276</xdr:colOff>
      <xdr:row>4</xdr:row>
      <xdr:rowOff>21773</xdr:rowOff>
    </xdr:from>
    <xdr:to>
      <xdr:col>18</xdr:col>
      <xdr:colOff>729343</xdr:colOff>
      <xdr:row>5</xdr:row>
      <xdr:rowOff>48987</xdr:rowOff>
    </xdr:to>
    <xdr:pic>
      <xdr:nvPicPr>
        <xdr:cNvPr id="6" name="Kuva 5">
          <a:extLst>
            <a:ext uri="{FF2B5EF4-FFF2-40B4-BE49-F238E27FC236}">
              <a16:creationId xmlns:a16="http://schemas.microsoft.com/office/drawing/2014/main" id="{86A4A4E4-4E55-0383-C8AB-9315CB4E99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05605" y="642259"/>
          <a:ext cx="2358738" cy="244928"/>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A35:K46"/>
  <sheetViews>
    <sheetView showGridLines="0" showZeros="0" tabSelected="1" zoomScale="130" zoomScaleNormal="130" zoomScaleSheetLayoutView="130" workbookViewId="0">
      <selection activeCell="F39" sqref="F39"/>
    </sheetView>
  </sheetViews>
  <sheetFormatPr defaultRowHeight="12.75" x14ac:dyDescent="0.2"/>
  <cols>
    <col min="2" max="12" width="15.7109375" customWidth="1"/>
  </cols>
  <sheetData>
    <row r="35" spans="1:11" x14ac:dyDescent="0.2">
      <c r="A35" s="1083"/>
      <c r="B35" s="1083"/>
      <c r="C35" s="1083"/>
      <c r="D35" s="1083"/>
      <c r="E35" s="1462"/>
      <c r="F35" s="1462"/>
      <c r="G35" s="1462"/>
      <c r="H35" s="1462"/>
      <c r="I35" s="1083"/>
      <c r="J35" s="1083"/>
      <c r="K35" s="1083"/>
    </row>
    <row r="36" spans="1:11" x14ac:dyDescent="0.2">
      <c r="A36" s="1083"/>
      <c r="B36" s="1083"/>
      <c r="C36" s="1083"/>
      <c r="D36" s="1083"/>
      <c r="E36" s="1462"/>
      <c r="F36" s="1462"/>
      <c r="G36" s="1084" t="s">
        <v>569</v>
      </c>
      <c r="H36" s="1462"/>
      <c r="I36" s="1083"/>
      <c r="J36" s="1083"/>
      <c r="K36" s="1083"/>
    </row>
    <row r="37" spans="1:11" x14ac:dyDescent="0.2">
      <c r="A37" s="1083"/>
      <c r="B37" s="1083"/>
      <c r="C37" s="1083"/>
      <c r="D37" s="1083"/>
      <c r="E37" s="1083"/>
      <c r="F37" s="1083"/>
      <c r="G37" s="1083"/>
      <c r="H37" s="1083"/>
      <c r="I37" s="1083"/>
      <c r="J37" s="1083"/>
      <c r="K37" s="1083"/>
    </row>
    <row r="38" spans="1:11" x14ac:dyDescent="0.2">
      <c r="A38" s="1083"/>
      <c r="B38" s="1083" t="s">
        <v>563</v>
      </c>
      <c r="C38" s="1083"/>
      <c r="D38" s="1083"/>
      <c r="E38" s="1083"/>
      <c r="F38" s="1083"/>
      <c r="G38" s="1083"/>
      <c r="H38" s="1083"/>
      <c r="I38" s="1083"/>
      <c r="J38" s="1083"/>
      <c r="K38" s="1083"/>
    </row>
    <row r="39" spans="1:11" x14ac:dyDescent="0.2">
      <c r="A39" s="1083"/>
      <c r="B39" s="1463"/>
      <c r="C39" s="1083"/>
      <c r="D39" s="1083"/>
      <c r="E39" s="1083"/>
      <c r="F39" s="1083"/>
      <c r="G39" s="1083"/>
      <c r="H39" s="1083"/>
      <c r="I39" s="1083"/>
      <c r="J39" s="1083"/>
      <c r="K39" s="1083"/>
    </row>
    <row r="40" spans="1:11" x14ac:dyDescent="0.2">
      <c r="A40" s="1083"/>
      <c r="B40" s="1463"/>
      <c r="C40" s="1083"/>
      <c r="D40" s="1083"/>
      <c r="E40" s="1085" t="s">
        <v>570</v>
      </c>
      <c r="F40" s="1085"/>
      <c r="G40" s="1085"/>
      <c r="H40" s="1085"/>
      <c r="I40" s="1083"/>
      <c r="J40" s="1083"/>
      <c r="K40" s="1083"/>
    </row>
    <row r="41" spans="1:11" x14ac:dyDescent="0.2">
      <c r="A41" s="1083"/>
      <c r="B41" s="1083"/>
      <c r="C41" s="1083"/>
      <c r="D41" s="1083"/>
      <c r="E41" s="1083"/>
      <c r="F41" s="1083"/>
      <c r="G41" s="1083"/>
      <c r="H41" s="1083"/>
      <c r="I41" s="1083"/>
      <c r="J41" s="1083"/>
      <c r="K41" s="1083"/>
    </row>
    <row r="42" spans="1:11" x14ac:dyDescent="0.2">
      <c r="A42" s="1083"/>
      <c r="B42" s="1083"/>
      <c r="C42" s="1083"/>
      <c r="D42" s="1083"/>
      <c r="E42" s="1083"/>
      <c r="F42" s="1083"/>
      <c r="G42" s="1083"/>
      <c r="H42" s="1083"/>
      <c r="I42" s="1083"/>
      <c r="J42" s="1083"/>
      <c r="K42" s="1083"/>
    </row>
    <row r="43" spans="1:11" x14ac:dyDescent="0.2">
      <c r="A43" s="1083"/>
      <c r="B43" s="1083"/>
      <c r="C43" s="1083"/>
      <c r="D43" s="1083"/>
      <c r="E43" s="1083"/>
      <c r="F43" s="1083"/>
      <c r="G43" s="1083"/>
      <c r="H43" s="1083"/>
      <c r="I43" s="1083"/>
      <c r="J43" s="1083"/>
      <c r="K43" s="1083"/>
    </row>
    <row r="44" spans="1:11" x14ac:dyDescent="0.2">
      <c r="A44" s="1083"/>
      <c r="B44" s="1083"/>
      <c r="C44" s="1083"/>
      <c r="D44" s="1083"/>
      <c r="E44" s="1083"/>
      <c r="F44" s="1083"/>
      <c r="G44" s="1083"/>
      <c r="H44" s="1083"/>
      <c r="I44" s="1083"/>
      <c r="J44" s="1083"/>
      <c r="K44" s="1083"/>
    </row>
    <row r="45" spans="1:11" x14ac:dyDescent="0.2">
      <c r="A45" s="1083"/>
      <c r="B45" s="1083"/>
      <c r="C45" s="1083"/>
      <c r="D45" s="1083"/>
      <c r="E45" s="1083"/>
      <c r="F45" s="1083"/>
      <c r="G45" s="1083"/>
      <c r="H45" s="1083"/>
      <c r="I45" s="1083"/>
      <c r="J45" s="1083"/>
      <c r="K45" s="1083"/>
    </row>
    <row r="46" spans="1:11" x14ac:dyDescent="0.2">
      <c r="A46" s="1083"/>
      <c r="B46" s="1083"/>
      <c r="C46" s="1083"/>
      <c r="D46" s="1083"/>
      <c r="E46" s="1083"/>
      <c r="F46" s="1083"/>
      <c r="G46" s="1083"/>
      <c r="H46" s="1083"/>
      <c r="I46" s="1083"/>
      <c r="J46" s="1083"/>
      <c r="K46" s="1083"/>
    </row>
  </sheetData>
  <sheetProtection algorithmName="SHA-512" hashValue="wD9oz0ZbADFw6S7mdcRYEu0HODxB543BLp2YrZUK8XiqDvAirokIIoMJTkD39Df7HtrBmf8Fsb1r3KcqcmFIyQ==" saltValue="lnHdbJFQv9gnxh7akONVug==" spinCount="100000" sheet="1" objects="1" scenarios="1" selectLockedCells="1" selectUnlockedCells="1"/>
  <mergeCells count="2">
    <mergeCell ref="B39:B40"/>
    <mergeCell ref="E40:H40"/>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election activeCell="S44" sqref="S44"/>
    </sheetView>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43</v>
      </c>
      <c r="L1" s="38"/>
      <c r="M1" s="38"/>
      <c r="N1" s="38"/>
      <c r="O1" s="38"/>
      <c r="P1" s="39"/>
    </row>
    <row r="2" spans="1:38" s="22" customFormat="1" ht="11.25" x14ac:dyDescent="0.2">
      <c r="A2" s="46"/>
      <c r="B2" s="46"/>
      <c r="C2" s="46"/>
      <c r="D2" s="46"/>
      <c r="E2" s="46"/>
      <c r="F2" s="46"/>
      <c r="G2" s="46"/>
      <c r="H2" s="46"/>
      <c r="I2" s="46"/>
      <c r="J2" s="40"/>
      <c r="K2" s="35" t="s">
        <v>44</v>
      </c>
      <c r="L2" s="41">
        <f>'1. Calculation'!J16/12</f>
        <v>0</v>
      </c>
      <c r="P2" s="42"/>
    </row>
    <row r="3" spans="1:38" s="22" customFormat="1" ht="11.25" x14ac:dyDescent="0.2">
      <c r="A3" s="46"/>
      <c r="B3" s="47"/>
      <c r="C3" s="48" t="s">
        <v>5</v>
      </c>
      <c r="D3" s="49"/>
      <c r="E3" s="50"/>
      <c r="F3" s="51">
        <f>G40+G41</f>
        <v>0</v>
      </c>
      <c r="G3" s="51">
        <f>F3-F5</f>
        <v>0</v>
      </c>
      <c r="H3" s="51">
        <f>G3-G5</f>
        <v>0</v>
      </c>
      <c r="I3" s="52"/>
      <c r="J3" s="40"/>
      <c r="K3" s="22" t="s">
        <v>45</v>
      </c>
      <c r="L3" s="22">
        <f>'1. Calculation'!K16*12</f>
        <v>0</v>
      </c>
      <c r="P3" s="42"/>
    </row>
    <row r="4" spans="1:38" s="22" customFormat="1" ht="11.25" x14ac:dyDescent="0.2">
      <c r="A4" s="46"/>
      <c r="B4" s="47"/>
      <c r="C4" s="48" t="s">
        <v>6</v>
      </c>
      <c r="D4" s="49"/>
      <c r="E4" s="50"/>
      <c r="F4" s="260">
        <v>7.0000000000000007E-2</v>
      </c>
      <c r="G4" s="260">
        <v>7.0000000000000007E-2</v>
      </c>
      <c r="H4" s="260">
        <v>7.0000000000000007E-2</v>
      </c>
      <c r="I4" s="261"/>
      <c r="J4" s="40"/>
      <c r="K4" s="22" t="s">
        <v>17</v>
      </c>
      <c r="L4" s="43">
        <f>'1. Calculation'!M16</f>
        <v>0</v>
      </c>
      <c r="P4" s="42"/>
    </row>
    <row r="5" spans="1:38" s="22" customFormat="1" ht="11.25" x14ac:dyDescent="0.2">
      <c r="A5" s="46"/>
      <c r="B5" s="47"/>
      <c r="C5" s="48" t="s">
        <v>12</v>
      </c>
      <c r="D5" s="49"/>
      <c r="E5" s="50"/>
      <c r="F5" s="51">
        <f>F3*F4</f>
        <v>0</v>
      </c>
      <c r="G5" s="51">
        <f>G3*G4</f>
        <v>0</v>
      </c>
      <c r="H5" s="51">
        <f>H3*H4</f>
        <v>0</v>
      </c>
      <c r="I5" s="52"/>
      <c r="J5" s="40"/>
      <c r="K5" s="22" t="s">
        <v>46</v>
      </c>
      <c r="L5" s="44">
        <f>IF(L2=0,0,-PMT(L2,L3,L4)*12)</f>
        <v>0</v>
      </c>
      <c r="P5" s="42"/>
    </row>
    <row r="6" spans="1:38" s="22" customFormat="1" ht="11.25" x14ac:dyDescent="0.2">
      <c r="A6" s="46"/>
      <c r="B6" s="47"/>
      <c r="C6" s="48" t="s">
        <v>10</v>
      </c>
      <c r="D6" s="49"/>
      <c r="E6" s="50"/>
      <c r="F6" s="51">
        <f>F3-F5</f>
        <v>0</v>
      </c>
      <c r="G6" s="51">
        <f>G3-G5</f>
        <v>0</v>
      </c>
      <c r="H6" s="51">
        <f>H3-H5</f>
        <v>0</v>
      </c>
      <c r="I6" s="52"/>
      <c r="K6" s="22" t="s">
        <v>94</v>
      </c>
      <c r="L6" s="44">
        <f>L5/4</f>
        <v>0</v>
      </c>
    </row>
    <row r="7" spans="1:38" s="22" customFormat="1" ht="11.25" x14ac:dyDescent="0.2">
      <c r="A7" s="46"/>
      <c r="B7" s="47"/>
      <c r="C7" s="48" t="s">
        <v>7</v>
      </c>
      <c r="D7" s="49"/>
      <c r="E7" s="50"/>
      <c r="F7" s="51">
        <f>IF(G51&lt;0,0,G51)</f>
        <v>0</v>
      </c>
      <c r="G7" s="51">
        <f>F7-F9</f>
        <v>0</v>
      </c>
      <c r="H7" s="51">
        <f>G7-G9</f>
        <v>0</v>
      </c>
      <c r="I7" s="52"/>
      <c r="J7" s="40"/>
      <c r="K7" s="14" t="s">
        <v>78</v>
      </c>
      <c r="L7" s="14" t="s">
        <v>79</v>
      </c>
      <c r="M7" s="14" t="s">
        <v>80</v>
      </c>
      <c r="N7" s="14" t="s">
        <v>81</v>
      </c>
      <c r="O7" s="14" t="s">
        <v>82</v>
      </c>
      <c r="P7" s="58" t="s">
        <v>83</v>
      </c>
      <c r="Q7" s="14" t="s">
        <v>84</v>
      </c>
      <c r="R7" s="14" t="s">
        <v>85</v>
      </c>
      <c r="S7" s="14" t="s">
        <v>86</v>
      </c>
      <c r="T7" s="14" t="s">
        <v>87</v>
      </c>
      <c r="U7" s="14" t="s">
        <v>88</v>
      </c>
      <c r="V7" s="14" t="s">
        <v>89</v>
      </c>
      <c r="W7" s="14" t="s">
        <v>90</v>
      </c>
    </row>
    <row r="8" spans="1:38" s="22" customFormat="1" ht="11.25" x14ac:dyDescent="0.2">
      <c r="A8" s="46"/>
      <c r="B8" s="47"/>
      <c r="C8" s="48" t="s">
        <v>8</v>
      </c>
      <c r="D8" s="49"/>
      <c r="E8" s="50"/>
      <c r="F8" s="260">
        <v>0.25</v>
      </c>
      <c r="G8" s="260">
        <v>0.25</v>
      </c>
      <c r="H8" s="260">
        <v>0.25</v>
      </c>
      <c r="I8" s="261"/>
      <c r="J8" s="40" t="s">
        <v>47</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13</v>
      </c>
      <c r="D9" s="49"/>
      <c r="E9" s="50"/>
      <c r="F9" s="51">
        <f>F7*F8</f>
        <v>0</v>
      </c>
      <c r="G9" s="51">
        <f>G7*G8</f>
        <v>0</v>
      </c>
      <c r="H9" s="51">
        <f>H7*H8</f>
        <v>0</v>
      </c>
      <c r="I9" s="52"/>
      <c r="J9" s="40" t="s">
        <v>91</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11</v>
      </c>
      <c r="D10" s="49"/>
      <c r="E10" s="50"/>
      <c r="F10" s="51">
        <f>F7-F9</f>
        <v>0</v>
      </c>
      <c r="G10" s="51">
        <f>G7-G9</f>
        <v>0</v>
      </c>
      <c r="H10" s="51">
        <f>H7-H9</f>
        <v>0</v>
      </c>
      <c r="I10" s="52"/>
      <c r="J10" s="40" t="s">
        <v>92</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93</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455" t="s">
        <v>20</v>
      </c>
      <c r="H13" s="1455"/>
      <c r="I13" s="1455"/>
      <c r="O13" s="1459">
        <f>'3. Calculation no VAT'!J32</f>
        <v>2027</v>
      </c>
      <c r="P13" s="1460"/>
      <c r="Q13" s="1460"/>
      <c r="R13" s="1460"/>
      <c r="S13" s="1460"/>
      <c r="T13" s="1461"/>
      <c r="U13" s="1459">
        <f>'3. Calculation no VAT'!K32</f>
        <v>2028</v>
      </c>
      <c r="V13" s="1460"/>
      <c r="W13" s="1460"/>
      <c r="X13" s="1460"/>
      <c r="Y13" s="1460"/>
      <c r="Z13" s="1461"/>
      <c r="AA13" s="1459">
        <f>'3. Calculation no VAT'!M32</f>
        <v>2029</v>
      </c>
      <c r="AB13" s="1460"/>
      <c r="AC13" s="1460"/>
      <c r="AD13" s="1460"/>
      <c r="AE13" s="1460"/>
      <c r="AF13" s="1461"/>
      <c r="AG13" s="910"/>
      <c r="AH13" s="887"/>
      <c r="AI13" s="887"/>
      <c r="AJ13" s="887"/>
      <c r="AK13" s="887"/>
      <c r="AL13" s="887"/>
    </row>
    <row r="14" spans="1:38" s="22" customFormat="1" x14ac:dyDescent="0.2">
      <c r="C14" s="35"/>
      <c r="D14" s="35"/>
      <c r="E14" s="35"/>
      <c r="F14" s="53" t="s">
        <v>19</v>
      </c>
      <c r="G14" s="54" t="s">
        <v>1</v>
      </c>
      <c r="H14" s="54" t="s">
        <v>21</v>
      </c>
      <c r="I14" s="54" t="s">
        <v>4</v>
      </c>
      <c r="O14" s="901"/>
      <c r="P14" s="902"/>
      <c r="Q14" s="902"/>
      <c r="R14" s="902"/>
      <c r="S14" s="902"/>
      <c r="T14" s="903"/>
      <c r="U14" s="901"/>
      <c r="V14" s="902"/>
      <c r="W14" s="902"/>
      <c r="X14" s="902"/>
      <c r="Y14" s="902"/>
      <c r="Z14" s="903"/>
      <c r="AA14" s="901"/>
      <c r="AB14" s="902"/>
      <c r="AC14" s="902"/>
      <c r="AD14" s="902"/>
      <c r="AE14" s="902"/>
      <c r="AF14" s="903"/>
      <c r="AG14" s="886"/>
      <c r="AH14" s="887"/>
      <c r="AI14" s="887"/>
      <c r="AJ14" s="887"/>
      <c r="AK14" s="887"/>
      <c r="AL14" s="887"/>
    </row>
    <row r="15" spans="1:38" s="22" customFormat="1" x14ac:dyDescent="0.2">
      <c r="C15" s="55"/>
      <c r="D15" s="55"/>
      <c r="E15" s="55"/>
      <c r="F15" s="53" t="str">
        <f>A23</f>
        <v>Pankki1</v>
      </c>
      <c r="G15" s="56">
        <f>T18</f>
        <v>0</v>
      </c>
      <c r="H15" s="56">
        <f>Z18</f>
        <v>0</v>
      </c>
      <c r="I15" s="56">
        <f>AF18</f>
        <v>0</v>
      </c>
      <c r="J15" s="272" t="s">
        <v>278</v>
      </c>
      <c r="K15" s="1"/>
      <c r="L15" s="904" t="s">
        <v>284</v>
      </c>
      <c r="M15" s="881" t="s">
        <v>274</v>
      </c>
      <c r="N15" s="1"/>
      <c r="O15" s="886"/>
      <c r="P15" s="887" t="s">
        <v>274</v>
      </c>
      <c r="Q15" s="887"/>
      <c r="R15" s="887"/>
      <c r="S15" s="887"/>
      <c r="T15" s="888"/>
      <c r="U15" s="886"/>
      <c r="V15" s="887" t="s">
        <v>274</v>
      </c>
      <c r="W15" s="887"/>
      <c r="X15" s="887"/>
      <c r="Y15" s="887"/>
      <c r="Z15" s="888"/>
      <c r="AA15" s="886"/>
      <c r="AB15" s="887" t="s">
        <v>274</v>
      </c>
      <c r="AC15" s="887"/>
      <c r="AD15" s="887"/>
      <c r="AE15" s="887"/>
      <c r="AF15" s="888"/>
      <c r="AG15" s="886"/>
      <c r="AH15" s="887"/>
      <c r="AI15" s="887"/>
      <c r="AJ15" s="887"/>
      <c r="AK15" s="887"/>
      <c r="AL15" s="887"/>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81" t="s">
        <v>253</v>
      </c>
      <c r="L16" s="904" t="s">
        <v>285</v>
      </c>
      <c r="M16" s="881" t="s">
        <v>275</v>
      </c>
      <c r="N16" s="881" t="s">
        <v>276</v>
      </c>
      <c r="O16" s="889" t="s">
        <v>279</v>
      </c>
      <c r="P16" s="890" t="s">
        <v>280</v>
      </c>
      <c r="Q16" s="891" t="s">
        <v>281</v>
      </c>
      <c r="R16" s="891" t="s">
        <v>282</v>
      </c>
      <c r="S16" s="891" t="s">
        <v>283</v>
      </c>
      <c r="T16" s="892" t="s">
        <v>276</v>
      </c>
      <c r="U16" s="889" t="s">
        <v>288</v>
      </c>
      <c r="V16" s="890" t="s">
        <v>280</v>
      </c>
      <c r="W16" s="891" t="s">
        <v>281</v>
      </c>
      <c r="X16" s="891" t="s">
        <v>282</v>
      </c>
      <c r="Y16" s="891" t="s">
        <v>283</v>
      </c>
      <c r="Z16" s="892" t="s">
        <v>276</v>
      </c>
      <c r="AA16" s="889" t="s">
        <v>288</v>
      </c>
      <c r="AB16" s="890" t="s">
        <v>280</v>
      </c>
      <c r="AC16" s="891" t="s">
        <v>281</v>
      </c>
      <c r="AD16" s="891" t="s">
        <v>282</v>
      </c>
      <c r="AE16" s="891" t="s">
        <v>283</v>
      </c>
      <c r="AF16" s="892" t="s">
        <v>276</v>
      </c>
      <c r="AG16" s="907"/>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277</v>
      </c>
      <c r="K17" s="560"/>
      <c r="L17" s="904" t="s">
        <v>286</v>
      </c>
      <c r="M17" s="560"/>
      <c r="N17" s="560"/>
      <c r="O17" s="889"/>
      <c r="P17" s="890"/>
      <c r="Q17" s="891"/>
      <c r="R17" s="891"/>
      <c r="S17" s="891"/>
      <c r="T17" s="892"/>
      <c r="U17" s="889"/>
      <c r="V17" s="890"/>
      <c r="W17" s="891"/>
      <c r="X17" s="891"/>
      <c r="Y17" s="891"/>
      <c r="Z17" s="892"/>
      <c r="AA17" s="889"/>
      <c r="AB17" s="890"/>
      <c r="AC17" s="891"/>
      <c r="AD17" s="891"/>
      <c r="AE17" s="891"/>
      <c r="AF17" s="892"/>
      <c r="AG17" s="907"/>
      <c r="AH17" s="266"/>
      <c r="AI17" s="908"/>
      <c r="AJ17" s="266"/>
      <c r="AK17" s="266"/>
      <c r="AL17" s="266"/>
    </row>
    <row r="18" spans="1:38" s="22" customFormat="1" ht="13.5" thickBot="1" x14ac:dyDescent="0.25">
      <c r="C18" s="57"/>
      <c r="D18" s="57"/>
      <c r="E18" s="57"/>
      <c r="F18" s="53" t="s">
        <v>0</v>
      </c>
      <c r="G18" s="56">
        <v>0</v>
      </c>
      <c r="H18" s="56">
        <v>0</v>
      </c>
      <c r="I18" s="56">
        <v>0</v>
      </c>
      <c r="J18" s="882" t="str">
        <f>'3. Calculation no VAT'!H12</f>
        <v xml:space="preserve"> Bank</v>
      </c>
      <c r="K18" s="883">
        <f>'3. Calculation no VAT'!M12</f>
        <v>0</v>
      </c>
      <c r="L18" s="905">
        <f>'3. Calculation no VAT'!K12</f>
        <v>0</v>
      </c>
      <c r="M18" s="884">
        <f>'3. Calculation no VAT'!L12</f>
        <v>0</v>
      </c>
      <c r="N18" s="885">
        <f>'3. Calculation no VAT'!J12</f>
        <v>0</v>
      </c>
      <c r="O18" s="893">
        <f>K18</f>
        <v>0</v>
      </c>
      <c r="P18" s="894"/>
      <c r="Q18" s="895">
        <f>IF($L18=2,0,IF($L18=1,0,IF($M18=0,0,$K18/$M18)))</f>
        <v>0</v>
      </c>
      <c r="R18" s="895">
        <f>(O18+S18)/2</f>
        <v>0</v>
      </c>
      <c r="S18" s="895">
        <f>K18-Q18</f>
        <v>0</v>
      </c>
      <c r="T18" s="896">
        <f>R18*$N18</f>
        <v>0</v>
      </c>
      <c r="U18" s="897">
        <f>S18</f>
        <v>0</v>
      </c>
      <c r="V18" s="894"/>
      <c r="W18" s="895">
        <f>IF($M18=0,0,IF($L18=2,0,IF($L18=1,$K18/($M18-1),$K18/$M18)))</f>
        <v>0</v>
      </c>
      <c r="X18" s="895">
        <f>(U18+Y18)/2</f>
        <v>0</v>
      </c>
      <c r="Y18" s="895">
        <f>U18-W18</f>
        <v>0</v>
      </c>
      <c r="Z18" s="896">
        <f>X18*$N18</f>
        <v>0</v>
      </c>
      <c r="AA18" s="897">
        <f>Y18</f>
        <v>0</v>
      </c>
      <c r="AB18" s="894"/>
      <c r="AC18" s="895">
        <f>IF($M18=0,0,IF($L18=2,0,IF($L18=1,$K18/($M18-1),$K18/$M18)))</f>
        <v>0</v>
      </c>
      <c r="AD18" s="895">
        <f>(AA18+AE18)/2</f>
        <v>0</v>
      </c>
      <c r="AE18" s="895">
        <f>AA18-AC18</f>
        <v>0</v>
      </c>
      <c r="AF18" s="896">
        <f>AD18*$N18</f>
        <v>0</v>
      </c>
      <c r="AG18" s="909"/>
      <c r="AH18" s="9"/>
      <c r="AI18" s="908"/>
      <c r="AJ18" s="9"/>
      <c r="AK18" s="9"/>
      <c r="AL18" s="9"/>
    </row>
    <row r="19" spans="1:38" s="22" customFormat="1" ht="13.5" thickBot="1" x14ac:dyDescent="0.25">
      <c r="C19" s="57"/>
      <c r="D19" s="57"/>
      <c r="E19" s="57"/>
      <c r="F19" s="53" t="s">
        <v>9</v>
      </c>
      <c r="G19" s="56">
        <f>SUM(G15:G18)</f>
        <v>0</v>
      </c>
      <c r="H19" s="56">
        <f>SUM(H15:H18)</f>
        <v>0</v>
      </c>
      <c r="I19" s="56">
        <f>SUM(I15:I18)</f>
        <v>0</v>
      </c>
      <c r="J19" s="882">
        <f>'3. Calculation no VAT'!H13</f>
        <v>0</v>
      </c>
      <c r="K19" s="883">
        <f>'3. Calculation no VAT'!M13</f>
        <v>0</v>
      </c>
      <c r="L19" s="905">
        <f>'3. Calculation no VAT'!K13</f>
        <v>0</v>
      </c>
      <c r="M19" s="884">
        <f>'3. Calculation no VAT'!L13</f>
        <v>0</v>
      </c>
      <c r="N19" s="885">
        <f>'3. Calculation no VAT'!J13</f>
        <v>0</v>
      </c>
      <c r="O19" s="893">
        <f t="shared" ref="O19:O20" si="7">K19</f>
        <v>0</v>
      </c>
      <c r="P19" s="894"/>
      <c r="Q19" s="895">
        <f t="shared" ref="Q19:Q20" si="8">IF($L19=2,0,IF($L19=1,0,IF($M19=0,0,$K19/$M19)))</f>
        <v>0</v>
      </c>
      <c r="R19" s="895">
        <f t="shared" ref="R19:R20" si="9">(O19+S19)/2</f>
        <v>0</v>
      </c>
      <c r="S19" s="361">
        <f>O19-Q19</f>
        <v>0</v>
      </c>
      <c r="T19" s="896">
        <f t="shared" ref="T19:T20" si="10">R19*$N19</f>
        <v>0</v>
      </c>
      <c r="U19" s="897">
        <f t="shared" ref="U19:U20" si="11">S19</f>
        <v>0</v>
      </c>
      <c r="V19" s="894"/>
      <c r="W19" s="895">
        <f t="shared" ref="W19:W20" si="12">IF($M19=0,0,IF($L19=2,0,IF($L19=1,$K19/($M19-1),$K19/$M19)))</f>
        <v>0</v>
      </c>
      <c r="X19" s="895">
        <f>(U19+Y19)/2</f>
        <v>0</v>
      </c>
      <c r="Y19" s="895">
        <f t="shared" ref="Y19:Y20" si="13">U19-W19</f>
        <v>0</v>
      </c>
      <c r="Z19" s="896">
        <f t="shared" ref="Z19:Z20" si="14">X19*$N19</f>
        <v>0</v>
      </c>
      <c r="AA19" s="897">
        <f t="shared" ref="AA19:AA20" si="15">Y19</f>
        <v>0</v>
      </c>
      <c r="AB19" s="894"/>
      <c r="AC19" s="895">
        <f t="shared" ref="AC19:AC20" si="16">IF($M19=0,0,IF($L19=2,0,IF($L19=1,$K19/($M19-1),$K19/$M19)))</f>
        <v>0</v>
      </c>
      <c r="AD19" s="895">
        <f>(AA19+AE19)/2</f>
        <v>0</v>
      </c>
      <c r="AE19" s="895">
        <f t="shared" ref="AE19:AE20" si="17">AA19-AC19</f>
        <v>0</v>
      </c>
      <c r="AF19" s="896">
        <f t="shared" ref="AF19:AF20" si="18">AD19*$N19</f>
        <v>0</v>
      </c>
      <c r="AG19" s="909"/>
      <c r="AH19" s="9"/>
      <c r="AI19" s="908"/>
      <c r="AJ19" s="9"/>
      <c r="AK19" s="9"/>
      <c r="AL19" s="9"/>
    </row>
    <row r="20" spans="1:38" s="22" customFormat="1" x14ac:dyDescent="0.2">
      <c r="A20" s="46"/>
      <c r="B20" s="46"/>
      <c r="C20" s="46"/>
      <c r="D20" s="46"/>
      <c r="E20" s="46"/>
      <c r="F20" s="46"/>
      <c r="G20" s="46"/>
      <c r="H20" s="46"/>
      <c r="I20" s="46"/>
      <c r="J20" s="882">
        <f>'3. Calculation no VAT'!H14</f>
        <v>0</v>
      </c>
      <c r="K20" s="883">
        <f>'3. Calculation no VAT'!M14</f>
        <v>0</v>
      </c>
      <c r="L20" s="905">
        <f>'3. Calculation no VAT'!K14</f>
        <v>0</v>
      </c>
      <c r="M20" s="884">
        <f>'3. Calculation no VAT'!L14</f>
        <v>0</v>
      </c>
      <c r="N20" s="885">
        <f>'3. Calculation no VAT'!J14</f>
        <v>0</v>
      </c>
      <c r="O20" s="893">
        <f t="shared" si="7"/>
        <v>0</v>
      </c>
      <c r="P20" s="894"/>
      <c r="Q20" s="895">
        <f t="shared" si="8"/>
        <v>0</v>
      </c>
      <c r="R20" s="895">
        <f t="shared" si="9"/>
        <v>0</v>
      </c>
      <c r="S20" s="361">
        <f>O20-Q20</f>
        <v>0</v>
      </c>
      <c r="T20" s="896">
        <f t="shared" si="10"/>
        <v>0</v>
      </c>
      <c r="U20" s="897">
        <f t="shared" si="11"/>
        <v>0</v>
      </c>
      <c r="V20" s="894"/>
      <c r="W20" s="895">
        <f t="shared" si="12"/>
        <v>0</v>
      </c>
      <c r="X20" s="895">
        <f>(U20+Y20)/2</f>
        <v>0</v>
      </c>
      <c r="Y20" s="895">
        <f t="shared" si="13"/>
        <v>0</v>
      </c>
      <c r="Z20" s="896">
        <f t="shared" si="14"/>
        <v>0</v>
      </c>
      <c r="AA20" s="897">
        <f t="shared" si="15"/>
        <v>0</v>
      </c>
      <c r="AB20" s="894">
        <v>0</v>
      </c>
      <c r="AC20" s="895">
        <f t="shared" si="16"/>
        <v>0</v>
      </c>
      <c r="AD20" s="895">
        <f>(AA20+AE20)/2</f>
        <v>0</v>
      </c>
      <c r="AE20" s="895">
        <f t="shared" si="17"/>
        <v>0</v>
      </c>
      <c r="AF20" s="896">
        <f t="shared" si="18"/>
        <v>0</v>
      </c>
      <c r="AG20" s="909"/>
      <c r="AH20" s="9"/>
      <c r="AI20" s="908"/>
      <c r="AJ20" s="9"/>
      <c r="AK20" s="9"/>
      <c r="AL20" s="9"/>
    </row>
    <row r="21" spans="1:38" s="22" customFormat="1" ht="13.5" thickBot="1" x14ac:dyDescent="0.25">
      <c r="C21" s="1456" t="s">
        <v>25</v>
      </c>
      <c r="D21" s="1456"/>
      <c r="E21" s="1456"/>
      <c r="G21" s="1456" t="s">
        <v>243</v>
      </c>
      <c r="H21" s="1456"/>
      <c r="I21" s="1456"/>
      <c r="O21" s="898"/>
      <c r="P21" s="906" t="s">
        <v>0</v>
      </c>
      <c r="Q21" s="899">
        <f>SUM(Q18:Q20)</f>
        <v>0</v>
      </c>
      <c r="R21" s="911" t="s">
        <v>0</v>
      </c>
      <c r="S21" s="899">
        <f>SUM(S18:S20)</f>
        <v>0</v>
      </c>
      <c r="T21" s="899">
        <f>SUM(T18:T20)</f>
        <v>0</v>
      </c>
      <c r="U21" s="900"/>
      <c r="V21" s="906" t="s">
        <v>0</v>
      </c>
      <c r="W21" s="899">
        <f>SUM(W18:W20)</f>
        <v>0</v>
      </c>
      <c r="X21" s="911" t="s">
        <v>0</v>
      </c>
      <c r="Y21" s="899">
        <f>SUM(Y18:Y20)</f>
        <v>0</v>
      </c>
      <c r="Z21" s="899">
        <f>SUM(Z18:Z20)</f>
        <v>0</v>
      </c>
      <c r="AA21" s="900"/>
      <c r="AB21" s="906" t="s">
        <v>0</v>
      </c>
      <c r="AC21" s="899">
        <f>SUM(AC18:AC20)</f>
        <v>0</v>
      </c>
      <c r="AD21" s="911" t="s">
        <v>0</v>
      </c>
      <c r="AE21" s="899">
        <f>SUM(AE18:AE20)</f>
        <v>0</v>
      </c>
      <c r="AF21" s="899">
        <f>SUM(AF18:AF20)</f>
        <v>0</v>
      </c>
      <c r="AG21" s="909"/>
      <c r="AH21" s="9"/>
      <c r="AI21" s="908"/>
      <c r="AJ21" s="9"/>
      <c r="AK21" s="9"/>
      <c r="AL21" s="9"/>
    </row>
    <row r="22" spans="1:38" s="22" customFormat="1" ht="11.25" x14ac:dyDescent="0.2">
      <c r="A22" s="53" t="s">
        <v>19</v>
      </c>
      <c r="B22" s="60" t="s">
        <v>17</v>
      </c>
      <c r="C22" s="54" t="s">
        <v>22</v>
      </c>
      <c r="D22" s="54" t="s">
        <v>23</v>
      </c>
      <c r="E22" s="54" t="s">
        <v>24</v>
      </c>
      <c r="F22" s="53" t="s">
        <v>19</v>
      </c>
      <c r="G22" s="54" t="s">
        <v>1</v>
      </c>
      <c r="H22" s="54" t="s">
        <v>21</v>
      </c>
      <c r="I22" s="878" t="s">
        <v>4</v>
      </c>
    </row>
    <row r="23" spans="1:38" s="22" customFormat="1" ht="11.25" x14ac:dyDescent="0.2">
      <c r="A23" s="53" t="s">
        <v>244</v>
      </c>
      <c r="B23" s="61">
        <f>'3. Calculation no VAT'!M12</f>
        <v>0</v>
      </c>
      <c r="C23" s="62">
        <f>IF('3. Calculation no VAT'!$L12=0,0,$B23/('3. Calculation no VAT'!$L12-1))</f>
        <v>0</v>
      </c>
      <c r="D23" s="62">
        <f>IF('3. Calculation no VAT'!$L12=0,0,$B23/('3. Calculation no VAT'!$L12-2))</f>
        <v>0</v>
      </c>
      <c r="E23" s="62">
        <f>IF('3. Calculation no VAT'!$L12=0,0,$B23/('3. Calculation no VAT'!$L12))</f>
        <v>0</v>
      </c>
      <c r="F23" s="53" t="str">
        <f>A23</f>
        <v>Pankki1</v>
      </c>
      <c r="G23" s="63">
        <f>Q18+G15</f>
        <v>0</v>
      </c>
      <c r="H23" s="63">
        <f>H15+W18</f>
        <v>0</v>
      </c>
      <c r="I23" s="879">
        <f>I15+AC18</f>
        <v>0</v>
      </c>
    </row>
    <row r="24" spans="1:38" s="22" customFormat="1" ht="11.25" x14ac:dyDescent="0.2">
      <c r="A24" s="53" t="s">
        <v>18</v>
      </c>
      <c r="B24" s="61">
        <f>'3. Calculation no VAT'!M13</f>
        <v>0</v>
      </c>
      <c r="C24" s="62">
        <f>IF('3. Calculation no VAT'!$L13=0,0,$B24/('3. Calculation no VAT'!$L13-1))</f>
        <v>0</v>
      </c>
      <c r="D24" s="62">
        <f>IF('3. Calculation no VAT'!$L13=0,0,$B24/('3. Calculation no VAT'!$L13-2))</f>
        <v>0</v>
      </c>
      <c r="E24" s="62">
        <f>IF('3. Calculation no VAT'!$L13=0,0,$B24/('3. Calculation no VAT'!$L13))</f>
        <v>0</v>
      </c>
      <c r="F24" s="53" t="str">
        <f t="shared" ref="F24:F25" si="19">A24</f>
        <v>Finnvera</v>
      </c>
      <c r="G24" s="63">
        <f t="shared" ref="G24" si="20">Q19+G16</f>
        <v>0</v>
      </c>
      <c r="H24" s="63">
        <f t="shared" ref="H24:H25" si="21">H16+W19</f>
        <v>0</v>
      </c>
      <c r="I24" s="879">
        <f t="shared" ref="I24:I25" si="22">I16+AC19</f>
        <v>0</v>
      </c>
    </row>
    <row r="25" spans="1:38" s="22" customFormat="1" ht="11.25" x14ac:dyDescent="0.2">
      <c r="A25" s="53" t="s">
        <v>245</v>
      </c>
      <c r="B25" s="61">
        <f>'3. Calculation no VAT'!M14</f>
        <v>0</v>
      </c>
      <c r="C25" s="62">
        <f>IF('3. Calculation no VAT'!$L14=0,0,$B25/('3. Calculation no VAT'!$L14-1))</f>
        <v>0</v>
      </c>
      <c r="D25" s="62">
        <f>IF('3. Calculation no VAT'!$L14=0,0,$B25/('3. Calculation no VAT'!$L14-2))</f>
        <v>0</v>
      </c>
      <c r="E25" s="62">
        <f>IF('3. Calculation no VAT'!$L14=0,0,$B25/('3. Calculation no VAT'!$L14))</f>
        <v>0</v>
      </c>
      <c r="F25" s="53" t="str">
        <f t="shared" si="19"/>
        <v>Laina 3</v>
      </c>
      <c r="G25" s="63">
        <f>Q20+G17</f>
        <v>0</v>
      </c>
      <c r="H25" s="63">
        <f t="shared" si="21"/>
        <v>0</v>
      </c>
      <c r="I25" s="879">
        <f t="shared" si="22"/>
        <v>0</v>
      </c>
    </row>
    <row r="26" spans="1:38" s="22" customFormat="1" ht="11.25" x14ac:dyDescent="0.2">
      <c r="A26" s="53"/>
      <c r="B26" s="61">
        <v>0</v>
      </c>
      <c r="C26" s="62">
        <v>0</v>
      </c>
      <c r="D26" s="62">
        <v>0</v>
      </c>
      <c r="E26" s="62">
        <v>0</v>
      </c>
      <c r="F26" s="53">
        <v>0</v>
      </c>
      <c r="G26" s="63">
        <v>0</v>
      </c>
      <c r="H26" s="63">
        <v>0</v>
      </c>
      <c r="I26" s="879">
        <v>0</v>
      </c>
    </row>
    <row r="27" spans="1:38" s="22" customFormat="1" ht="11.25" x14ac:dyDescent="0.2">
      <c r="A27" s="53" t="s">
        <v>9</v>
      </c>
      <c r="B27" s="64">
        <f>SUM(B23:B26)</f>
        <v>0</v>
      </c>
      <c r="C27" s="62">
        <f>SUM(C23:C26)</f>
        <v>0</v>
      </c>
      <c r="D27" s="62">
        <f>SUM(D23:D26)</f>
        <v>0</v>
      </c>
      <c r="E27" s="62">
        <f>SUM(E23:E26)</f>
        <v>0</v>
      </c>
      <c r="F27" s="65" t="s">
        <v>9</v>
      </c>
      <c r="G27" s="66">
        <f>SUM(G23:G26)</f>
        <v>0</v>
      </c>
      <c r="H27" s="66">
        <f>SUM(H23:H26)</f>
        <v>0</v>
      </c>
      <c r="I27" s="880">
        <f>SUM(I23:I26)</f>
        <v>0</v>
      </c>
    </row>
    <row r="28" spans="1:38" s="22" customFormat="1" ht="11.25" x14ac:dyDescent="0.2"/>
    <row r="29" spans="1:38" s="22" customFormat="1" ht="11.25" x14ac:dyDescent="0.2"/>
    <row r="30" spans="1:38" s="22" customFormat="1" ht="11.25" x14ac:dyDescent="0.2">
      <c r="G30" s="1455" t="s">
        <v>26</v>
      </c>
      <c r="H30" s="1455"/>
      <c r="I30" s="1455"/>
    </row>
    <row r="31" spans="1:38" s="22" customFormat="1" ht="11.25" x14ac:dyDescent="0.2">
      <c r="F31" s="46" t="s">
        <v>19</v>
      </c>
      <c r="G31" s="35" t="s">
        <v>1</v>
      </c>
      <c r="H31" s="22" t="s">
        <v>287</v>
      </c>
      <c r="I31" s="35" t="s">
        <v>21</v>
      </c>
      <c r="J31" s="22" t="s">
        <v>287</v>
      </c>
      <c r="K31" s="35" t="s">
        <v>4</v>
      </c>
    </row>
    <row r="32" spans="1:38" s="22" customFormat="1" ht="11.25" x14ac:dyDescent="0.2">
      <c r="F32" s="53" t="str">
        <f>A23</f>
        <v>Pankki1</v>
      </c>
      <c r="G32" s="61">
        <f>IF('1. Calculation'!$K12=2,'5 AT Lainat, avustukset ei alv '!$B23,IF('1. Calculation'!$K12=1,'5 AT Lainat, avustukset ei alv '!$B23,'5 AT Lainat, avustukset ei alv '!$B23-'5 AT Lainat, avustukset ei alv '!$E23))</f>
        <v>0</v>
      </c>
      <c r="H32" s="43">
        <f>G32</f>
        <v>0</v>
      </c>
      <c r="I32" s="61">
        <f>IF('3. Calculation no VAT'!$K12=2,'5 AT Lainat, avustukset ei alv '!$B23,IF('3. Calculation no VAT'!$K12=1,'5 AT Lainat, avustukset ei alv '!$B23-$C23,'5 AT Lainat, avustukset ei alv '!$B23-2*'5 AT Lainat, avustukset ei alv '!$E23))</f>
        <v>0</v>
      </c>
      <c r="K32" s="61">
        <f>IF('1. Calculation'!$K12=2,'5 AT Lainat, avustukset ei alv '!$B23-D23,IF('1. Calculation'!$K12=1,'5 AT Lainat, avustukset ei alv '!$B23-2*$C23,'5 AT Lainat, avustukset ei alv '!$B23-3*'5 AT Lainat, avustukset ei alv '!$E23))</f>
        <v>0</v>
      </c>
    </row>
    <row r="33" spans="2:11" s="22" customFormat="1" ht="11.25" x14ac:dyDescent="0.2">
      <c r="F33" s="53" t="str">
        <f t="shared" ref="F33:F34" si="23">A24</f>
        <v>Finnvera</v>
      </c>
      <c r="G33" s="61">
        <f>IF('1. Calculation'!$K13=2,'5 AT Lainat, avustukset ei alv '!$B24,IF('1. Calculation'!$K13=1,'5 AT Lainat, avustukset ei alv '!$B24,'5 AT Lainat, avustukset ei alv '!$B24-'5 AT Lainat, avustukset ei alv '!$E24))</f>
        <v>0</v>
      </c>
      <c r="I33" s="61">
        <f>IF('1. Calculation'!$K13=2,'5 AT Lainat, avustukset ei alv '!$B24,IF('1. Calculation'!$K13=1,'5 AT Lainat, avustukset ei alv '!$B24-$C24,'5 AT Lainat, avustukset ei alv '!$B24-2*'5 AT Lainat, avustukset ei alv '!$E24))</f>
        <v>0</v>
      </c>
      <c r="K33" s="61">
        <f>IF('1. Calculation'!$K13=2,'5 AT Lainat, avustukset ei alv '!$B24-D24,IF('1. Calculation'!$K13=1,'5 AT Lainat, avustukset ei alv '!$B24-2*$C24,'5 AT Lainat, avustukset ei alv '!$B24-3*'5 AT Lainat, avustukset ei alv '!$E24))</f>
        <v>0</v>
      </c>
    </row>
    <row r="34" spans="2:11" s="22" customFormat="1" ht="11.25" x14ac:dyDescent="0.2">
      <c r="F34" s="53" t="str">
        <f t="shared" si="23"/>
        <v>Laina 3</v>
      </c>
      <c r="G34" s="61">
        <f>IF('1. Calculation'!$K14=2,'5 AT Lainat, avustukset ei alv '!$B25,IF('1. Calculation'!$K14=1,'5 AT Lainat, avustukset ei alv '!$B25,'5 AT Lainat, avustukset ei alv '!$B25-'5 AT Lainat, avustukset ei alv '!$E25))</f>
        <v>0</v>
      </c>
      <c r="I34" s="61">
        <f>IF('1. Calculation'!$K14=2,'5 AT Lainat, avustukset ei alv '!$B25,IF('1. Calculation'!$K14=1,'5 AT Lainat, avustukset ei alv '!$B25-$C25,'5 AT Lainat, avustukset ei alv '!$B25-2*'5 AT Lainat, avustukset ei alv '!$E25))</f>
        <v>0</v>
      </c>
      <c r="K34" s="61">
        <f>IF('1. Calculation'!$K14=2,'5 AT Lainat, avustukset ei alv '!$B25-D25,IF('1. Calculation'!$K14=1,'5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9</v>
      </c>
      <c r="G36" s="71">
        <f>SUM(G32:G35)</f>
        <v>0</v>
      </c>
      <c r="H36" s="71">
        <f>SUM(I32:I35)</f>
        <v>0</v>
      </c>
      <c r="I36" s="71">
        <f>SUM(K32:K35)</f>
        <v>0</v>
      </c>
    </row>
    <row r="37" spans="2:11" s="22" customFormat="1" ht="11.25" x14ac:dyDescent="0.2">
      <c r="B37" s="72" t="s">
        <v>48</v>
      </c>
      <c r="F37" s="36"/>
      <c r="G37" s="38" t="s">
        <v>49</v>
      </c>
      <c r="H37" s="38"/>
      <c r="I37" s="39">
        <f>IF($K35=6,B127,IF($K35=7,F144,IF($F29=8,G145,IF($F29=9,H146,IF($F29=10,I147,IF($F29=11,J148,IF($F29=12,K149,IF($F29=13,L150,IF($F29=14,M151,IF($F29=15,N152,IF($F29=16,O153,IF($F29=17,P154,Q155))))))))))))</f>
        <v>0</v>
      </c>
    </row>
    <row r="38" spans="2:11" s="22" customFormat="1" ht="11.25" x14ac:dyDescent="0.2">
      <c r="B38" s="73" t="s">
        <v>42</v>
      </c>
      <c r="C38" s="74" t="s">
        <v>27</v>
      </c>
      <c r="D38" s="74" t="s">
        <v>17</v>
      </c>
      <c r="E38" s="22" t="s">
        <v>29</v>
      </c>
      <c r="F38" s="75"/>
      <c r="G38" s="43" t="s">
        <v>49</v>
      </c>
      <c r="H38" s="43"/>
      <c r="I38" s="76"/>
    </row>
    <row r="39" spans="2:11" s="22" customFormat="1" ht="11.25" x14ac:dyDescent="0.2">
      <c r="B39" s="77" t="s">
        <v>14</v>
      </c>
      <c r="C39" s="78">
        <f>'3. Calculation no VAT'!E11</f>
        <v>0</v>
      </c>
      <c r="D39" s="43">
        <f>'3. Calculation no VAT'!F11</f>
        <v>0</v>
      </c>
      <c r="E39" s="22">
        <f>C39*D39</f>
        <v>0</v>
      </c>
      <c r="F39" s="75"/>
      <c r="G39" s="43">
        <f>D39-E39</f>
        <v>0</v>
      </c>
      <c r="H39" s="43"/>
      <c r="I39" s="76"/>
    </row>
    <row r="40" spans="2:11" s="22" customFormat="1" ht="11.25" x14ac:dyDescent="0.2">
      <c r="B40" s="77" t="s">
        <v>15</v>
      </c>
      <c r="C40" s="78">
        <f>'3. Calculation no VAT'!E12</f>
        <v>0</v>
      </c>
      <c r="D40" s="43">
        <f>'3. Calculation no VAT'!F12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9</v>
      </c>
      <c r="E42" s="79">
        <f>SUM(E39:E41)</f>
        <v>0</v>
      </c>
      <c r="F42" s="40"/>
      <c r="I42" s="42"/>
    </row>
    <row r="43" spans="2:11" s="22" customFormat="1" ht="11.25" x14ac:dyDescent="0.2">
      <c r="I43" s="42"/>
    </row>
    <row r="44" spans="2:11" s="22" customFormat="1" ht="11.25" x14ac:dyDescent="0.2">
      <c r="B44" s="73" t="s">
        <v>28</v>
      </c>
      <c r="C44" s="16" t="s">
        <v>27</v>
      </c>
      <c r="D44" s="16" t="s">
        <v>565</v>
      </c>
      <c r="E44" s="16" t="s">
        <v>29</v>
      </c>
      <c r="F44" s="40"/>
      <c r="G44" s="16" t="s">
        <v>50</v>
      </c>
      <c r="I44" s="42"/>
    </row>
    <row r="45" spans="2:11" s="22" customFormat="1" ht="11.25" x14ac:dyDescent="0.2">
      <c r="B45" s="60">
        <f>'3. Calculation no VAT'!C15</f>
        <v>0</v>
      </c>
      <c r="C45" s="797">
        <f>'3. Calculation no VAT'!E15</f>
        <v>0</v>
      </c>
      <c r="D45" s="61">
        <f>'3. Calculation no VAT'!F15</f>
        <v>0</v>
      </c>
      <c r="E45" s="796">
        <f>C45*D45</f>
        <v>0</v>
      </c>
      <c r="F45" s="845"/>
      <c r="G45" s="796">
        <f>D45</f>
        <v>0</v>
      </c>
      <c r="I45" s="42"/>
    </row>
    <row r="46" spans="2:11" s="22" customFormat="1" ht="11.25" x14ac:dyDescent="0.2">
      <c r="B46" s="60">
        <f>'3. Calculation no VAT'!C16</f>
        <v>0</v>
      </c>
      <c r="C46" s="797">
        <f>'3. Calculation no VAT'!E16</f>
        <v>0</v>
      </c>
      <c r="D46" s="61">
        <f>'3. Calculation no VAT'!F16</f>
        <v>0</v>
      </c>
      <c r="E46" s="796">
        <f t="shared" ref="E46:E47" si="24">C46*D46</f>
        <v>0</v>
      </c>
      <c r="F46" s="845"/>
      <c r="G46" s="796">
        <f t="shared" ref="G46:G47" si="25">D46</f>
        <v>0</v>
      </c>
      <c r="I46" s="42"/>
    </row>
    <row r="47" spans="2:11" s="22" customFormat="1" ht="11.25" x14ac:dyDescent="0.2">
      <c r="B47" s="60">
        <f>'3. Calculation no VAT'!C17</f>
        <v>0</v>
      </c>
      <c r="C47" s="797">
        <f>'3. Calculation no VAT'!E17</f>
        <v>0</v>
      </c>
      <c r="D47" s="61">
        <f>'3. Calculation no VAT'!F17</f>
        <v>0</v>
      </c>
      <c r="E47" s="796">
        <f t="shared" si="24"/>
        <v>0</v>
      </c>
      <c r="F47" s="845"/>
      <c r="G47" s="796">
        <f t="shared" si="25"/>
        <v>0</v>
      </c>
      <c r="I47" s="42"/>
    </row>
    <row r="48" spans="2:11" s="22" customFormat="1" ht="11.25" x14ac:dyDescent="0.2">
      <c r="B48" s="835" t="s">
        <v>40</v>
      </c>
      <c r="C48" s="836">
        <f>IF(D48=0,0,(E48/D48))</f>
        <v>0</v>
      </c>
      <c r="D48" s="837">
        <f>SUM(D44:D47)</f>
        <v>0</v>
      </c>
      <c r="E48" s="838">
        <f>SUM(E44:E47)</f>
        <v>0</v>
      </c>
      <c r="F48" s="845"/>
      <c r="G48" s="838">
        <v>0</v>
      </c>
      <c r="I48" s="42"/>
    </row>
    <row r="49" spans="2:11" s="22" customFormat="1" ht="11.25" x14ac:dyDescent="0.2">
      <c r="B49" s="73" t="s">
        <v>31</v>
      </c>
      <c r="C49" s="73"/>
      <c r="D49" s="81">
        <f>B55</f>
        <v>0</v>
      </c>
      <c r="E49" s="839">
        <v>0</v>
      </c>
      <c r="F49" s="846"/>
      <c r="G49" s="840">
        <f>-(D49)</f>
        <v>0</v>
      </c>
      <c r="I49" s="42"/>
    </row>
    <row r="50" spans="2:11" s="22" customFormat="1" ht="22.5" customHeight="1" thickBot="1" x14ac:dyDescent="0.25">
      <c r="B50" s="22" t="s">
        <v>53</v>
      </c>
      <c r="C50" s="83">
        <f>'3. Calculation no VAT'!E20</f>
        <v>0</v>
      </c>
      <c r="D50" s="43">
        <f>'3. Calculation no VAT'!F20</f>
        <v>0</v>
      </c>
      <c r="E50" s="22">
        <f>C50*D50</f>
        <v>0</v>
      </c>
      <c r="F50" s="847"/>
      <c r="G50" s="82">
        <f>D50-E50</f>
        <v>0</v>
      </c>
      <c r="I50" s="42"/>
    </row>
    <row r="51" spans="2:11" s="22" customFormat="1" ht="12" thickBot="1" x14ac:dyDescent="0.25">
      <c r="B51" s="22" t="s">
        <v>32</v>
      </c>
      <c r="C51" s="1457" t="s">
        <v>266</v>
      </c>
      <c r="D51" s="1458"/>
      <c r="E51" s="84">
        <f>E42+E48+E49+E50</f>
        <v>0</v>
      </c>
      <c r="F51" s="85" t="s">
        <v>9</v>
      </c>
      <c r="G51" s="86">
        <f>SUM(G44:G50)</f>
        <v>0</v>
      </c>
      <c r="I51" s="42"/>
    </row>
    <row r="52" spans="2:11" s="22" customFormat="1" ht="11.25" x14ac:dyDescent="0.2">
      <c r="F52" s="67"/>
      <c r="G52" s="68"/>
      <c r="H52" s="68"/>
      <c r="I52" s="69"/>
    </row>
    <row r="53" spans="2:11" s="22" customFormat="1" ht="11.25" x14ac:dyDescent="0.2">
      <c r="B53" s="73" t="s">
        <v>34</v>
      </c>
    </row>
    <row r="54" spans="2:11" s="22" customFormat="1" ht="11.25" x14ac:dyDescent="0.2">
      <c r="B54" s="74" t="s">
        <v>17</v>
      </c>
      <c r="C54" s="74" t="s">
        <v>16</v>
      </c>
      <c r="D54" s="74" t="s">
        <v>33</v>
      </c>
      <c r="E54" s="74" t="s">
        <v>36</v>
      </c>
      <c r="F54" s="22" t="s">
        <v>35</v>
      </c>
      <c r="G54" s="74" t="s">
        <v>38</v>
      </c>
      <c r="K54" s="22" t="s">
        <v>64</v>
      </c>
    </row>
    <row r="55" spans="2:11" s="22" customFormat="1" ht="11.25" x14ac:dyDescent="0.2">
      <c r="B55" s="43">
        <f>'3. Calculation no VAT'!M15</f>
        <v>0</v>
      </c>
      <c r="C55" s="80">
        <f>'3. Calculation no VAT'!J15</f>
        <v>0</v>
      </c>
      <c r="D55" s="43">
        <f>'3. Calculation no VAT'!K15</f>
        <v>0</v>
      </c>
      <c r="E55" s="80">
        <f>'3. Calculation no VAT'!H74</f>
        <v>0.3</v>
      </c>
      <c r="F55" s="43">
        <f>B55*E55</f>
        <v>0</v>
      </c>
      <c r="G55" s="55">
        <f>IF(B55=0,0,-PMT(C55,D55,B55-F55)+12*K55)</f>
        <v>0</v>
      </c>
      <c r="H55" s="22" t="s">
        <v>65</v>
      </c>
      <c r="K55" s="269">
        <v>15</v>
      </c>
    </row>
    <row r="56" spans="2:11" s="22" customFormat="1" ht="11.25" x14ac:dyDescent="0.2">
      <c r="B56" s="43">
        <f>B55</f>
        <v>0</v>
      </c>
      <c r="C56" s="83">
        <f>C55</f>
        <v>0</v>
      </c>
      <c r="D56" s="286">
        <f>D55</f>
        <v>0</v>
      </c>
      <c r="E56" s="83">
        <f>E55</f>
        <v>0.3</v>
      </c>
      <c r="F56" s="43">
        <f>F55</f>
        <v>0</v>
      </c>
      <c r="G56" s="88">
        <f>IF(D56=0,0,(C56*F56))</f>
        <v>0</v>
      </c>
      <c r="H56" s="22" t="s">
        <v>66</v>
      </c>
    </row>
    <row r="57" spans="2:11" s="22" customFormat="1" ht="11.25" x14ac:dyDescent="0.2">
      <c r="C57" s="43"/>
      <c r="D57" s="83"/>
      <c r="F57" s="89" t="s">
        <v>37</v>
      </c>
      <c r="G57" s="43"/>
    </row>
    <row r="58" spans="2:11" s="22" customFormat="1" ht="11.25" x14ac:dyDescent="0.2">
      <c r="F58" s="74" t="s">
        <v>39</v>
      </c>
      <c r="G58" s="43">
        <f>G55+G56</f>
        <v>0</v>
      </c>
      <c r="H58" s="22" t="s">
        <v>67</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'3. Calculation no VAT'!M13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97</v>
      </c>
      <c r="B71" s="6">
        <f>IF(B70=0,0,IF('3. Calculation no VAT'!$K13=2,0,IF('3. Calculation no VAT'!$K13=1,0,'3. Calculation no VAT'!$M13/(2*'3. Calculation no VAT'!$L13))))</f>
        <v>0</v>
      </c>
      <c r="C71" s="103"/>
      <c r="D71" s="104"/>
      <c r="E71" s="104"/>
      <c r="F71" s="104"/>
      <c r="G71" s="104"/>
      <c r="H71" s="6">
        <f>IF(H70=0,0,IF('3. Calculation no VAT'!$K13=2,0,IF('3. Calculation no VAT'!$K13=1,0,'3. Calculation no VAT'!$M13/(2*'3. Calculation no VAT'!$L13))))</f>
        <v>0</v>
      </c>
      <c r="I71" s="104"/>
      <c r="J71" s="104"/>
      <c r="K71" s="104"/>
      <c r="L71" s="104"/>
      <c r="M71" s="104"/>
      <c r="N71" s="6">
        <f>IF(N70=0,0,IF('3. Calculation no VAT'!$K13=2,0,IF('3. Calculation no VAT'!$K13=1,0,'3. Calculation no VAT'!$M13/(2*'3. Calculation no VAT'!$L13))))</f>
        <v>0</v>
      </c>
      <c r="O71" s="104"/>
      <c r="P71" s="105"/>
      <c r="Q71" s="2"/>
      <c r="R71" s="2"/>
      <c r="S71" s="2"/>
      <c r="T71" s="6">
        <f>IF(T70=0,0,IF('3. Calculation no VAT'!$K13=2,0,IF('3. Calculation no VAT'!$K13=1,0,'3. Calculation no VAT'!$M13/(2*'3. Calculation no VAT'!$L13))))</f>
        <v>0</v>
      </c>
      <c r="U71" s="2"/>
      <c r="V71" s="2"/>
      <c r="W71" s="2"/>
      <c r="X71" s="2"/>
      <c r="Y71" s="2"/>
      <c r="Z71" s="6">
        <f>IF(Z70=0,0,IF('3. Calculation no VAT'!$K13=2,0,IF('3. Calculation no VAT'!$K13=1,0,'3. Calculation no VAT'!$M13/(2*'3. Calculation no VAT'!$L13))))</f>
        <v>0</v>
      </c>
      <c r="AA71" s="2"/>
      <c r="AB71" s="2"/>
      <c r="AC71" s="2"/>
      <c r="AD71" s="2"/>
      <c r="AE71" s="2"/>
      <c r="AF71" s="6">
        <f>IF(AF70=0,0,IF('3. Calculation no VAT'!$K13=2,0,IF('3. Calculation no VAT'!$K13=1,0,'3. Calculation no VAT'!$M13/(2*'3. Calculation no VAT'!$L13))))</f>
        <v>0</v>
      </c>
      <c r="AG71" s="2"/>
      <c r="AH71" s="2"/>
      <c r="AI71" s="2"/>
      <c r="AJ71" s="2"/>
      <c r="AK71" s="2"/>
      <c r="AL71" s="6">
        <f>IF(AL70=0,0,IF('3. Calculation no VAT'!$K13=2,0,IF('3. Calculation no VAT'!$K13=1,0,'3. Calculation no VAT'!$M13/(2*'3. Calculation no VAT'!$L13))))</f>
        <v>0</v>
      </c>
    </row>
    <row r="72" spans="1:38" s="22" customFormat="1" ht="12" x14ac:dyDescent="0.2">
      <c r="A72" s="106" t="s">
        <v>116</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16</v>
      </c>
      <c r="B73" s="108">
        <f>'1. Calculation'!J12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98</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'3. Calculation no VAT'!M12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97</v>
      </c>
      <c r="B89" s="6">
        <f>IF(B88=0,0,IF('3. Calculation no VAT'!$K12=2,0,IF('3. Calculation no VAT'!$K12=1,0,'3. Calculation no VAT'!$M12/(2*'3. Calculation no VAT'!$L12))))</f>
        <v>0</v>
      </c>
      <c r="C89" s="103"/>
      <c r="D89" s="104"/>
      <c r="E89" s="104"/>
      <c r="F89" s="104"/>
      <c r="G89" s="104"/>
      <c r="H89" s="6">
        <f>IF(H88=0,0,IF('3. Calculation no VAT'!$K12=2,0,IF('3. Calculation no VAT'!$K12=1,0,'3. Calculation no VAT'!$M12/(2*'3. Calculation no VAT'!$L12))))</f>
        <v>0</v>
      </c>
      <c r="I89" s="104"/>
      <c r="J89" s="104"/>
      <c r="K89" s="104"/>
      <c r="L89" s="104"/>
      <c r="M89" s="104"/>
      <c r="N89" s="6">
        <f>IF(N88=0,0,IF('3. Calculation no VAT'!$K12=2,0,IF('3. Calculation no VAT'!$K12=1,0,'3. Calculation no VAT'!$M12/(2*'3. Calculation no VAT'!$L12))))</f>
        <v>0</v>
      </c>
      <c r="O89" s="104"/>
      <c r="P89" s="105"/>
      <c r="T89" s="6">
        <f>IF(T88=0,0,IF('3. Calculation no VAT'!$K12=2,0,IF('3. Calculation no VAT'!$K12=1,0,'3. Calculation no VAT'!$M12/(2*'3. Calculation no VAT'!$L12))))</f>
        <v>0</v>
      </c>
      <c r="Z89" s="6">
        <f>IF(Z88=0,0,IF('3. Calculation no VAT'!$K12=2,0,IF('3. Calculation no VAT'!$K12=1,0,'3. Calculation no VAT'!$M12/(2*'3. Calculation no VAT'!$L12))))</f>
        <v>0</v>
      </c>
      <c r="AF89" s="6">
        <f>IF(AF88=0,0,IF('3. Calculation no VAT'!$K12=2,0,IF('3. Calculation no VAT'!$K12=1,0,'3. Calculation no VAT'!$M12/(2*'3. Calculation no VAT'!$L12))))</f>
        <v>0</v>
      </c>
      <c r="AL89" s="6">
        <f>IF(AL88=0,0,IF('3. Calculation no VAT'!$K12=2,0,IF('3. Calculation no VAT'!$K12=1,0,'3. Calculation no VAT'!$M12/(2*'3. Calculation no VAT'!$L12))))</f>
        <v>0</v>
      </c>
    </row>
    <row r="90" spans="1:38" s="2" customFormat="1" ht="12" x14ac:dyDescent="0.2">
      <c r="A90" s="106" t="s">
        <v>116</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16</v>
      </c>
      <c r="B91" s="108">
        <f>'1. Calculation'!J13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98</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105</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'3. Calculation no VAT'!M14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97</v>
      </c>
      <c r="B107" s="6">
        <f>IF(B106=0,0,IF('3. Calculation no VAT'!$K14=2,0,IF('3. Calculation no VAT'!$K14=1,0,'3. Calculation no VAT'!$M14/(2*'3. Calculation no VAT'!$L14))))</f>
        <v>0</v>
      </c>
      <c r="C107" s="103"/>
      <c r="D107" s="104"/>
      <c r="E107" s="104"/>
      <c r="F107" s="104"/>
      <c r="G107" s="104"/>
      <c r="H107" s="6">
        <f>IF(H106=0,0,IF('3. Calculation no VAT'!$K14=2,0,IF('3. Calculation no VAT'!$K14=1,0,'3. Calculation no VAT'!$M14/(2*'3. Calculation no VAT'!$L14))))</f>
        <v>0</v>
      </c>
      <c r="I107" s="104"/>
      <c r="J107" s="6">
        <v>0</v>
      </c>
      <c r="K107" s="104"/>
      <c r="L107" s="104"/>
      <c r="M107" s="104"/>
      <c r="N107" s="6">
        <f>IF(N106=0,0,IF('3. Calculation no VAT'!$K14=2,0,IF('3. Calculation no VAT'!$K14=1,0,'3. Calculation no VAT'!$M14/(2*'3. Calculation no VAT'!$L14))))</f>
        <v>0</v>
      </c>
      <c r="O107" s="104"/>
      <c r="P107" s="105"/>
      <c r="T107" s="6">
        <f>IF(T106=0,0,IF('3. Calculation no VAT'!$K14=2,0,IF('3. Calculation no VAT'!$K14=1,0,'3. Calculation no VAT'!$M14/(2*'3. Calculation no VAT'!$L14))))</f>
        <v>0</v>
      </c>
      <c r="Z107" s="6">
        <f>IF(Z106=0,0,IF('3. Calculation no VAT'!$K14=2,0,IF('3. Calculation no VAT'!$K14=1,0,'3. Calculation no VAT'!$M14/(2*'3. Calculation no VAT'!$L14))))</f>
        <v>0</v>
      </c>
      <c r="AF107" s="6">
        <f>IF(AF106=0,0,IF('3. Calculation no VAT'!$K14=2,0,IF('3. Calculation no VAT'!$K14=1,0,'3. Calculation no VAT'!$M14/(2*'3. Calculation no VAT'!$L14))))</f>
        <v>0</v>
      </c>
      <c r="AL107" s="6">
        <f>IF(AL106=0,0,IF('3. Calculation no VAT'!$K14=2,0,IF('3. Calculation no VAT'!$K14=1,0,'3. Calculation no VAT'!$M14/(2*'3. Calculation no VAT'!$L14))))</f>
        <v>0</v>
      </c>
    </row>
    <row r="108" spans="1:38" s="2" customFormat="1" ht="12" x14ac:dyDescent="0.2">
      <c r="A108" s="106" t="s">
        <v>116</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16</v>
      </c>
      <c r="B109" s="108">
        <f>'1. Calculation'!J14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98</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105</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119</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120</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121</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122</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97</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98</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99</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113</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gGUcXHn4oipWYGgRtOIyxqlPIKWeNGk0S8O708ODSIX9jVIwkaSeHxSflvMu89f6Ja6pG44H9+Ry4GQQF2N5Jw==" saltValue="8pwhqG9eGa/TodGX/PfL2A=="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3">F5</f>
        <v>FEB</v>
      </c>
      <c r="G15" s="341" t="str">
        <f t="shared" si="3"/>
        <v>MARS</v>
      </c>
      <c r="H15" s="341" t="str">
        <f t="shared" si="3"/>
        <v>APR</v>
      </c>
      <c r="I15" s="341" t="str">
        <f t="shared" si="3"/>
        <v>MAY</v>
      </c>
      <c r="J15" s="341" t="str">
        <f t="shared" si="3"/>
        <v>JUNE</v>
      </c>
      <c r="K15" s="341" t="str">
        <f t="shared" si="3"/>
        <v>JYLY</v>
      </c>
      <c r="L15" s="341" t="str">
        <f t="shared" si="3"/>
        <v>AUG</v>
      </c>
      <c r="M15" s="341" t="str">
        <f t="shared" si="3"/>
        <v>SEP</v>
      </c>
      <c r="N15" s="341" t="str">
        <f t="shared" si="3"/>
        <v>OCT</v>
      </c>
      <c r="O15" s="341" t="str">
        <f t="shared" si="3"/>
        <v>NOV</v>
      </c>
      <c r="P15" s="341" t="str">
        <f t="shared" si="3"/>
        <v>DEC</v>
      </c>
      <c r="Q15" s="342" t="s">
        <v>166</v>
      </c>
    </row>
    <row r="16" spans="2:17" x14ac:dyDescent="0.2">
      <c r="B16" s="279">
        <v>6</v>
      </c>
      <c r="C16" s="343" t="s">
        <v>234</v>
      </c>
      <c r="D16" s="441">
        <v>0</v>
      </c>
      <c r="E16" s="553">
        <f>IF('Cash budget no VAT'!$U12=0,0,(('Cash budget no VAT'!G9+'Cash budget no VAT'!G11)/'Cash budget no VAT'!$U12)*'3. Calculation no VAT'!$J237)</f>
        <v>0</v>
      </c>
      <c r="F16" s="553">
        <f>IF('Cash budget no VAT'!$U12=0,0,(('Cash budget no VAT'!H9+'Cash budget no VAT'!H11)/'Cash budget no VAT'!$U12)*'3. Calculation no VAT'!$J237)</f>
        <v>0</v>
      </c>
      <c r="G16" s="553">
        <f>IF('Cash budget no VAT'!$U12=0,0,(('Cash budget no VAT'!I9+'Cash budget no VAT'!I11)/'Cash budget no VAT'!$U12)*'3. Calculation no VAT'!$J237)</f>
        <v>0</v>
      </c>
      <c r="H16" s="553">
        <f>IF('Cash budget no VAT'!$U12=0,0,(('Cash budget no VAT'!J9+'Cash budget no VAT'!J11)/'Cash budget no VAT'!$U12)*'3. Calculation no VAT'!$J237)</f>
        <v>0</v>
      </c>
      <c r="I16" s="553">
        <f>IF('Cash budget no VAT'!$U12=0,0,(('Cash budget no VAT'!K9+'Cash budget no VAT'!K11)/'Cash budget no VAT'!$U12)*'3. Calculation no VAT'!$J237)</f>
        <v>0</v>
      </c>
      <c r="J16" s="553">
        <f>IF('Cash budget no VAT'!$U12=0,0,(('Cash budget no VAT'!L9+'Cash budget no VAT'!L11)/'Cash budget no VAT'!$U12)*'3. Calculation no VAT'!$J237)</f>
        <v>0</v>
      </c>
      <c r="K16" s="553">
        <f>IF('Cash budget no VAT'!$U12=0,0,(('Cash budget no VAT'!M9+'Cash budget no VAT'!M11)/'Cash budget no VAT'!$U12)*'3. Calculation no VAT'!$J237)</f>
        <v>0</v>
      </c>
      <c r="L16" s="553">
        <f>IF('Cash budget no VAT'!$U12=0,0,(('Cash budget no VAT'!N9+'Cash budget no VAT'!N11)/'Cash budget no VAT'!$U12)*'3. Calculation no VAT'!$J237)</f>
        <v>0</v>
      </c>
      <c r="M16" s="553">
        <f>IF('Cash budget no VAT'!$U12=0,0,(('Cash budget no VAT'!O9+'Cash budget no VAT'!O11)/'Cash budget no VAT'!$U12)*'3. Calculation no VAT'!$J237)</f>
        <v>0</v>
      </c>
      <c r="N16" s="553">
        <f>IF('Cash budget no VAT'!$U12=0,0,(('Cash budget no VAT'!P9+'Cash budget no VAT'!P11)/'Cash budget no VAT'!$U12)*'3. Calculation no VAT'!$J237)</f>
        <v>0</v>
      </c>
      <c r="O16" s="553">
        <f>IF('Cash budget no VAT'!$U12=0,0,(('Cash budget no VAT'!Q9+'Cash budget no VAT'!Q11)/'Cash budget no VAT'!$U12)*'3. Calculation no VAT'!$J237)</f>
        <v>0</v>
      </c>
      <c r="P16" s="553">
        <f>IF('Cash budget no VAT'!$U12=0,0,(('Cash budget no VAT'!R9+'Cash budget no VAT'!R11)/'Cash budget no VAT'!$U12)*'3. Calculation no VAT'!$J237)</f>
        <v>0</v>
      </c>
      <c r="Q16" s="331">
        <f>SUM(E16:P16)</f>
        <v>0</v>
      </c>
    </row>
    <row r="17" spans="2:21" x14ac:dyDescent="0.2">
      <c r="C17" s="348" t="s">
        <v>197</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Cash budget'!B21</f>
        <v>7</v>
      </c>
      <c r="C18" s="348" t="str">
        <f>'2. Cash budget'!C21</f>
        <v xml:space="preserve"> Rent of business premises</v>
      </c>
      <c r="D18" s="371">
        <v>0</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Cash budget'!B22</f>
        <v>8</v>
      </c>
      <c r="C20" s="343" t="str">
        <f>'2. Cash budget'!C22</f>
        <v xml:space="preserve">Rents of leasings, other machinery and equipment </v>
      </c>
      <c r="D20" s="371">
        <v>0</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Cash budget'!B23</f>
        <v>9</v>
      </c>
      <c r="C22" s="348" t="str">
        <f>'2. Cash budget'!C23</f>
        <v xml:space="preserve">Electricity, water and heating costs </v>
      </c>
      <c r="D22" s="372">
        <v>0</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Cash budget'!B24</f>
        <v>10</v>
      </c>
      <c r="C24" s="343" t="str">
        <f>'2. Cash budget'!C24</f>
        <v>Telecommunication</v>
      </c>
      <c r="D24" s="371">
        <v>0</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Cash budget'!B25</f>
        <v>11</v>
      </c>
      <c r="C26" s="348" t="str">
        <f>'2. Cash budget'!C25</f>
        <v xml:space="preserve">Marketing and advertising </v>
      </c>
      <c r="D26" s="372">
        <v>0</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Cash budget'!B26</f>
        <v>12</v>
      </c>
      <c r="C28" s="348" t="str">
        <f>'2. Cash budget'!C26</f>
        <v xml:space="preserve">Investments including VAT </v>
      </c>
      <c r="D28" s="371">
        <v>0</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Cash budget'!B27</f>
        <v>13</v>
      </c>
      <c r="C30" s="348" t="str">
        <f>'2. Cash budget'!C27</f>
        <v xml:space="preserve">Vehicle / work equipment costs (VAT deductible) </v>
      </c>
      <c r="D30" s="371">
        <v>0</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Cash budget'!B28</f>
        <v>14</v>
      </c>
      <c r="C32" s="348" t="str">
        <f>'2. Cash budget'!C28</f>
        <v xml:space="preserve">Cleaning, repair, security, other expenses </v>
      </c>
      <c r="D32" s="372">
        <v>0</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Cash budget'!B29</f>
        <v>15</v>
      </c>
      <c r="C34" s="348" t="str">
        <f>'2. Cash budget'!C29</f>
        <v>Machinery and equipment purchases</v>
      </c>
      <c r="D34" s="371">
        <v>0</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Cash budget'!B30</f>
        <v>16</v>
      </c>
      <c r="C36" s="348" t="str">
        <f>'2. Cash budget'!C30</f>
        <v xml:space="preserve">Computer hardware and software costs </v>
      </c>
      <c r="D36" s="350">
        <v>0</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Cash budget'!B31</f>
        <v>17</v>
      </c>
      <c r="C38" s="343" t="s">
        <v>291</v>
      </c>
      <c r="D38" s="566"/>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197</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198</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5" t="s">
        <v>289</v>
      </c>
      <c r="D45" s="746">
        <v>0</v>
      </c>
      <c r="E45" s="747">
        <f t="shared" ref="E45:P45" si="16">SUM(E47:E50)</f>
        <v>0</v>
      </c>
      <c r="F45" s="747">
        <f t="shared" si="16"/>
        <v>0</v>
      </c>
      <c r="G45" s="747">
        <f t="shared" si="16"/>
        <v>0</v>
      </c>
      <c r="H45" s="747">
        <f t="shared" si="16"/>
        <v>0</v>
      </c>
      <c r="I45" s="747">
        <f t="shared" si="16"/>
        <v>0</v>
      </c>
      <c r="J45" s="747">
        <f t="shared" si="16"/>
        <v>0</v>
      </c>
      <c r="K45" s="747">
        <f t="shared" si="16"/>
        <v>0</v>
      </c>
      <c r="L45" s="747">
        <f t="shared" si="16"/>
        <v>0</v>
      </c>
      <c r="M45" s="747">
        <f t="shared" si="16"/>
        <v>0</v>
      </c>
      <c r="N45" s="747">
        <f t="shared" si="16"/>
        <v>0</v>
      </c>
      <c r="O45" s="747">
        <f t="shared" si="16"/>
        <v>0</v>
      </c>
      <c r="P45" s="747">
        <f t="shared" si="16"/>
        <v>0</v>
      </c>
      <c r="Q45" s="748">
        <f t="shared" ref="Q45:Q50" si="17">SUM(E45:P45)</f>
        <v>0</v>
      </c>
      <c r="S45" s="732" t="s">
        <v>207</v>
      </c>
      <c r="T45" s="732" t="s">
        <v>170</v>
      </c>
      <c r="U45" s="352"/>
    </row>
    <row r="46" spans="2:22" ht="13.5" thickBot="1" x14ac:dyDescent="0.25">
      <c r="C46" s="749" t="s">
        <v>197</v>
      </c>
      <c r="D46" s="750"/>
      <c r="E46" s="751">
        <f>E45-E45/(1+$D45/100)</f>
        <v>0</v>
      </c>
      <c r="F46" s="751">
        <f t="shared" ref="F46:P46" si="18">F45-F45/(1+$D45/100)</f>
        <v>0</v>
      </c>
      <c r="G46" s="751">
        <f t="shared" si="18"/>
        <v>0</v>
      </c>
      <c r="H46" s="751">
        <f t="shared" si="18"/>
        <v>0</v>
      </c>
      <c r="I46" s="751">
        <f t="shared" si="18"/>
        <v>0</v>
      </c>
      <c r="J46" s="751">
        <f t="shared" si="18"/>
        <v>0</v>
      </c>
      <c r="K46" s="751">
        <f t="shared" si="18"/>
        <v>0</v>
      </c>
      <c r="L46" s="751">
        <f t="shared" si="18"/>
        <v>0</v>
      </c>
      <c r="M46" s="751">
        <f t="shared" si="18"/>
        <v>0</v>
      </c>
      <c r="N46" s="751">
        <f t="shared" si="18"/>
        <v>0</v>
      </c>
      <c r="O46" s="751">
        <f t="shared" si="18"/>
        <v>0</v>
      </c>
      <c r="P46" s="751">
        <f t="shared" si="18"/>
        <v>0</v>
      </c>
      <c r="Q46" s="752">
        <f t="shared" si="17"/>
        <v>0</v>
      </c>
      <c r="S46" s="732">
        <f>SUM(S47:S50)</f>
        <v>0</v>
      </c>
      <c r="T46" s="732">
        <f>SUM(T47:T50)</f>
        <v>0</v>
      </c>
      <c r="U46" s="352"/>
    </row>
    <row r="47" spans="2:22" x14ac:dyDescent="0.2">
      <c r="C47" s="743" t="s">
        <v>200</v>
      </c>
      <c r="D47" s="746">
        <v>0</v>
      </c>
      <c r="E47" s="744">
        <f>$T47/12*(1+$D47/100)</f>
        <v>0</v>
      </c>
      <c r="F47" s="744">
        <f t="shared" ref="F47:P50" si="19">$T47/12*(1+$D47/100)</f>
        <v>0</v>
      </c>
      <c r="G47" s="744">
        <f t="shared" si="19"/>
        <v>0</v>
      </c>
      <c r="H47" s="744">
        <f t="shared" si="19"/>
        <v>0</v>
      </c>
      <c r="I47" s="744">
        <f t="shared" si="19"/>
        <v>0</v>
      </c>
      <c r="J47" s="744">
        <f t="shared" si="19"/>
        <v>0</v>
      </c>
      <c r="K47" s="744">
        <f t="shared" si="19"/>
        <v>0</v>
      </c>
      <c r="L47" s="744">
        <f t="shared" si="19"/>
        <v>0</v>
      </c>
      <c r="M47" s="744">
        <f t="shared" si="19"/>
        <v>0</v>
      </c>
      <c r="N47" s="744">
        <f t="shared" si="19"/>
        <v>0</v>
      </c>
      <c r="O47" s="744">
        <f t="shared" si="19"/>
        <v>0</v>
      </c>
      <c r="P47" s="744">
        <f t="shared" si="19"/>
        <v>0</v>
      </c>
      <c r="Q47" s="319">
        <f t="shared" si="17"/>
        <v>0</v>
      </c>
      <c r="R47" s="714"/>
      <c r="S47" s="733">
        <f>T47*(1+' 6 AT Palkat, alv '!D47/100)</f>
        <v>0</v>
      </c>
      <c r="T47" s="753">
        <f>'3. Calculation no VAT'!J57</f>
        <v>0</v>
      </c>
      <c r="V47" s="280"/>
    </row>
    <row r="48" spans="2:22" x14ac:dyDescent="0.2">
      <c r="C48" s="355" t="s">
        <v>259</v>
      </c>
      <c r="D48" s="354">
        <v>0</v>
      </c>
      <c r="E48" s="740">
        <f>$T48/12*(1+$D48/100)</f>
        <v>0</v>
      </c>
      <c r="F48" s="740">
        <f t="shared" si="19"/>
        <v>0</v>
      </c>
      <c r="G48" s="741">
        <f t="shared" si="19"/>
        <v>0</v>
      </c>
      <c r="H48" s="741">
        <f t="shared" si="19"/>
        <v>0</v>
      </c>
      <c r="I48" s="741">
        <f t="shared" si="19"/>
        <v>0</v>
      </c>
      <c r="J48" s="741">
        <f t="shared" si="19"/>
        <v>0</v>
      </c>
      <c r="K48" s="741">
        <f t="shared" si="19"/>
        <v>0</v>
      </c>
      <c r="L48" s="741">
        <f t="shared" si="19"/>
        <v>0</v>
      </c>
      <c r="M48" s="741">
        <f t="shared" si="19"/>
        <v>0</v>
      </c>
      <c r="N48" s="741">
        <f t="shared" si="19"/>
        <v>0</v>
      </c>
      <c r="O48" s="741">
        <f t="shared" si="19"/>
        <v>0</v>
      </c>
      <c r="P48" s="741">
        <f t="shared" si="19"/>
        <v>0</v>
      </c>
      <c r="Q48" s="713">
        <f t="shared" si="17"/>
        <v>0</v>
      </c>
      <c r="R48" s="714"/>
      <c r="S48" s="733">
        <f>T48*(1+' 6 AT Palkat, alv '!D48/100)</f>
        <v>0</v>
      </c>
      <c r="T48" s="753">
        <f>'3. Calculation no VAT'!J113</f>
        <v>0</v>
      </c>
      <c r="V48" s="280"/>
    </row>
    <row r="49" spans="3:24" x14ac:dyDescent="0.2">
      <c r="C49" s="363" t="s">
        <v>206</v>
      </c>
      <c r="D49" s="354">
        <v>0</v>
      </c>
      <c r="E49" s="740">
        <f>$T49/12*(1+$D49/100)</f>
        <v>0</v>
      </c>
      <c r="F49" s="740">
        <f t="shared" si="19"/>
        <v>0</v>
      </c>
      <c r="G49" s="740">
        <f t="shared" si="19"/>
        <v>0</v>
      </c>
      <c r="H49" s="740">
        <f t="shared" si="19"/>
        <v>0</v>
      </c>
      <c r="I49" s="740">
        <f t="shared" si="19"/>
        <v>0</v>
      </c>
      <c r="J49" s="740">
        <f t="shared" si="19"/>
        <v>0</v>
      </c>
      <c r="K49" s="740">
        <f t="shared" si="19"/>
        <v>0</v>
      </c>
      <c r="L49" s="740">
        <f t="shared" si="19"/>
        <v>0</v>
      </c>
      <c r="M49" s="740">
        <f t="shared" si="19"/>
        <v>0</v>
      </c>
      <c r="N49" s="740">
        <f t="shared" si="19"/>
        <v>0</v>
      </c>
      <c r="O49" s="740">
        <f t="shared" si="19"/>
        <v>0</v>
      </c>
      <c r="P49" s="740">
        <f t="shared" si="19"/>
        <v>0</v>
      </c>
      <c r="Q49" s="331">
        <f t="shared" si="17"/>
        <v>0</v>
      </c>
      <c r="R49" s="714"/>
      <c r="S49" s="733">
        <f>T49*(1+' 6 AT Palkat, alv '!D49/100)</f>
        <v>0</v>
      </c>
      <c r="T49" s="753">
        <f>'3. Calculation no VAT'!J114</f>
        <v>0</v>
      </c>
      <c r="V49" s="280"/>
    </row>
    <row r="50" spans="3:24" x14ac:dyDescent="0.2">
      <c r="C50" s="355" t="s">
        <v>201</v>
      </c>
      <c r="D50" s="354">
        <f>D49</f>
        <v>0</v>
      </c>
      <c r="E50" s="740">
        <f>$T50/12*(1+$D50/100)</f>
        <v>0</v>
      </c>
      <c r="F50" s="740">
        <f t="shared" si="19"/>
        <v>0</v>
      </c>
      <c r="G50" s="740">
        <f t="shared" si="19"/>
        <v>0</v>
      </c>
      <c r="H50" s="740">
        <f t="shared" si="19"/>
        <v>0</v>
      </c>
      <c r="I50" s="740">
        <f t="shared" si="19"/>
        <v>0</v>
      </c>
      <c r="J50" s="740">
        <f t="shared" si="19"/>
        <v>0</v>
      </c>
      <c r="K50" s="740">
        <f t="shared" si="19"/>
        <v>0</v>
      </c>
      <c r="L50" s="740">
        <f t="shared" si="19"/>
        <v>0</v>
      </c>
      <c r="M50" s="740">
        <f t="shared" si="19"/>
        <v>0</v>
      </c>
      <c r="N50" s="740">
        <f t="shared" si="19"/>
        <v>0</v>
      </c>
      <c r="O50" s="740">
        <f t="shared" si="19"/>
        <v>0</v>
      </c>
      <c r="P50" s="740">
        <f t="shared" si="19"/>
        <v>0</v>
      </c>
      <c r="Q50" s="331">
        <f t="shared" si="17"/>
        <v>0</v>
      </c>
      <c r="R50" s="714"/>
      <c r="S50" s="733">
        <f>T50*(1+' 6 AT Palkat, alv '!D50/100)</f>
        <v>0</v>
      </c>
      <c r="T50" s="753">
        <f>'3. Calculation no VAT'!J102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0</v>
      </c>
      <c r="E53" s="742">
        <f t="shared" ref="E53:P53" si="20">$T53/12*(1+$D53/100)</f>
        <v>0</v>
      </c>
      <c r="F53" s="742">
        <f t="shared" si="20"/>
        <v>0</v>
      </c>
      <c r="G53" s="742">
        <f t="shared" si="20"/>
        <v>0</v>
      </c>
      <c r="H53" s="742">
        <f t="shared" si="20"/>
        <v>0</v>
      </c>
      <c r="I53" s="742">
        <f t="shared" si="20"/>
        <v>0</v>
      </c>
      <c r="J53" s="742">
        <f t="shared" si="20"/>
        <v>0</v>
      </c>
      <c r="K53" s="742">
        <f t="shared" si="20"/>
        <v>0</v>
      </c>
      <c r="L53" s="742">
        <f t="shared" si="20"/>
        <v>0</v>
      </c>
      <c r="M53" s="742">
        <f t="shared" si="20"/>
        <v>0</v>
      </c>
      <c r="N53" s="742">
        <f t="shared" si="20"/>
        <v>0</v>
      </c>
      <c r="O53" s="742">
        <f t="shared" si="20"/>
        <v>0</v>
      </c>
      <c r="P53" s="742">
        <f t="shared" si="20"/>
        <v>0</v>
      </c>
      <c r="Q53" s="331">
        <f>SUM(E53:P53)</f>
        <v>0</v>
      </c>
      <c r="R53" s="714"/>
      <c r="S53" s="733">
        <f>T53*(1+' 6 AT Palkat, alv '!D53/100)</f>
        <v>0</v>
      </c>
      <c r="T53" s="753">
        <f>'3. Calculation no VAT'!J105</f>
        <v>0</v>
      </c>
    </row>
    <row r="54" spans="3:24" x14ac:dyDescent="0.2">
      <c r="C54" s="712" t="s">
        <v>197</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9"/>
      <c r="S54" s="738"/>
      <c r="T54" s="739"/>
    </row>
    <row r="55" spans="3:24" x14ac:dyDescent="0.2">
      <c r="S55" s="732" t="s">
        <v>207</v>
      </c>
      <c r="T55" s="732" t="s">
        <v>170</v>
      </c>
    </row>
    <row r="56" spans="3:24" x14ac:dyDescent="0.2">
      <c r="C56" s="711" t="s">
        <v>257</v>
      </c>
      <c r="D56" s="354">
        <v>0</v>
      </c>
      <c r="E56" s="710">
        <f t="shared" ref="E56:P56" si="22">$T56/12*(1+$D56/100)</f>
        <v>0</v>
      </c>
      <c r="F56" s="710">
        <f t="shared" si="22"/>
        <v>0</v>
      </c>
      <c r="G56" s="710">
        <f t="shared" si="22"/>
        <v>0</v>
      </c>
      <c r="H56" s="710">
        <f t="shared" si="22"/>
        <v>0</v>
      </c>
      <c r="I56" s="710">
        <f t="shared" si="22"/>
        <v>0</v>
      </c>
      <c r="J56" s="710">
        <f t="shared" si="22"/>
        <v>0</v>
      </c>
      <c r="K56" s="710">
        <f t="shared" si="22"/>
        <v>0</v>
      </c>
      <c r="L56" s="710">
        <f t="shared" si="22"/>
        <v>0</v>
      </c>
      <c r="M56" s="710">
        <f t="shared" si="22"/>
        <v>0</v>
      </c>
      <c r="N56" s="710">
        <f t="shared" si="22"/>
        <v>0</v>
      </c>
      <c r="O56" s="710">
        <f t="shared" si="22"/>
        <v>0</v>
      </c>
      <c r="P56" s="710">
        <f t="shared" si="22"/>
        <v>0</v>
      </c>
      <c r="Q56" s="331">
        <f>SUM(E56:P56)</f>
        <v>0</v>
      </c>
      <c r="R56" s="714"/>
      <c r="S56" s="733">
        <f>T56*(1+' 6 AT Palkat, alv '!D56/100)</f>
        <v>0</v>
      </c>
      <c r="T56" s="734">
        <f>'3. Calculation no VAT'!J106</f>
        <v>0</v>
      </c>
    </row>
    <row r="57" spans="3:24" x14ac:dyDescent="0.2">
      <c r="C57" s="712" t="s">
        <v>197</v>
      </c>
      <c r="D57" s="354" t="s">
        <v>262</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SUM(E61:E68)</f>
        <v>0</v>
      </c>
      <c r="F60" s="758">
        <f t="shared" ref="F60:Q60" si="24">SUM(F61:F68)</f>
        <v>0</v>
      </c>
      <c r="G60" s="758">
        <f t="shared" si="24"/>
        <v>0</v>
      </c>
      <c r="H60" s="758">
        <f t="shared" si="24"/>
        <v>0</v>
      </c>
      <c r="I60" s="758">
        <f t="shared" si="24"/>
        <v>0</v>
      </c>
      <c r="J60" s="758">
        <f t="shared" si="24"/>
        <v>0</v>
      </c>
      <c r="K60" s="758">
        <f t="shared" si="24"/>
        <v>0</v>
      </c>
      <c r="L60" s="758">
        <f t="shared" si="24"/>
        <v>0</v>
      </c>
      <c r="M60" s="758">
        <f t="shared" si="24"/>
        <v>0</v>
      </c>
      <c r="N60" s="758">
        <f t="shared" si="24"/>
        <v>0</v>
      </c>
      <c r="O60" s="758">
        <f t="shared" si="24"/>
        <v>0</v>
      </c>
      <c r="P60" s="758">
        <f t="shared" si="24"/>
        <v>0</v>
      </c>
      <c r="Q60" s="758">
        <f t="shared" si="24"/>
        <v>0</v>
      </c>
      <c r="R60" s="352" t="s">
        <v>0</v>
      </c>
      <c r="S60" s="759"/>
      <c r="T60" s="732">
        <f>SUM(T61:T68)</f>
        <v>0</v>
      </c>
      <c r="U60" s="352"/>
    </row>
    <row r="61" spans="3:24" x14ac:dyDescent="0.2">
      <c r="C61" s="353" t="s">
        <v>203</v>
      </c>
      <c r="D61" s="721"/>
      <c r="E61" s="742">
        <f t="shared" ref="E61:Q68" si="25">$T61/12*(1+$D61/100)</f>
        <v>0</v>
      </c>
      <c r="F61" s="742">
        <f t="shared" si="25"/>
        <v>0</v>
      </c>
      <c r="G61" s="742">
        <f t="shared" si="25"/>
        <v>0</v>
      </c>
      <c r="H61" s="742">
        <f t="shared" si="25"/>
        <v>0</v>
      </c>
      <c r="I61" s="742">
        <f t="shared" si="25"/>
        <v>0</v>
      </c>
      <c r="J61" s="742">
        <f t="shared" si="25"/>
        <v>0</v>
      </c>
      <c r="K61" s="742">
        <f t="shared" si="25"/>
        <v>0</v>
      </c>
      <c r="L61" s="742">
        <f t="shared" si="25"/>
        <v>0</v>
      </c>
      <c r="M61" s="742">
        <f t="shared" si="25"/>
        <v>0</v>
      </c>
      <c r="N61" s="742">
        <f t="shared" si="25"/>
        <v>0</v>
      </c>
      <c r="O61" s="742">
        <f t="shared" si="25"/>
        <v>0</v>
      </c>
      <c r="P61" s="742">
        <f t="shared" si="25"/>
        <v>0</v>
      </c>
      <c r="Q61" s="320">
        <f t="shared" ref="Q61:Q66" si="26">SUM(E61:P61)</f>
        <v>0</v>
      </c>
      <c r="R61" s="357"/>
      <c r="S61" s="754"/>
      <c r="T61" s="753">
        <f>'3. Calculation no VAT'!J56+'3. Calculation no VAT'!J58</f>
        <v>0</v>
      </c>
      <c r="U61" s="368"/>
      <c r="V61" s="280"/>
    </row>
    <row r="62" spans="3:24" x14ac:dyDescent="0.2">
      <c r="C62" s="724" t="s">
        <v>261</v>
      </c>
      <c r="D62" s="721"/>
      <c r="E62" s="742">
        <f t="shared" si="25"/>
        <v>0</v>
      </c>
      <c r="F62" s="742">
        <f t="shared" si="25"/>
        <v>0</v>
      </c>
      <c r="G62" s="742">
        <f t="shared" si="25"/>
        <v>0</v>
      </c>
      <c r="H62" s="742">
        <f t="shared" si="25"/>
        <v>0</v>
      </c>
      <c r="I62" s="742">
        <f t="shared" si="25"/>
        <v>0</v>
      </c>
      <c r="J62" s="742">
        <f t="shared" si="25"/>
        <v>0</v>
      </c>
      <c r="K62" s="742">
        <f t="shared" si="25"/>
        <v>0</v>
      </c>
      <c r="L62" s="742">
        <f t="shared" si="25"/>
        <v>0</v>
      </c>
      <c r="M62" s="742">
        <f t="shared" si="25"/>
        <v>0</v>
      </c>
      <c r="N62" s="742">
        <f t="shared" si="25"/>
        <v>0</v>
      </c>
      <c r="O62" s="742">
        <f t="shared" si="25"/>
        <v>0</v>
      </c>
      <c r="P62" s="742">
        <f t="shared" si="25"/>
        <v>0</v>
      </c>
      <c r="Q62" s="320">
        <f t="shared" si="26"/>
        <v>0</v>
      </c>
      <c r="S62" s="754"/>
      <c r="T62" s="753">
        <f>'3. Calculation no VAT'!J80</f>
        <v>0</v>
      </c>
    </row>
    <row r="63" spans="3:24" x14ac:dyDescent="0.2">
      <c r="C63" s="720" t="s">
        <v>254</v>
      </c>
      <c r="D63" s="721"/>
      <c r="E63" s="742">
        <f t="shared" si="25"/>
        <v>0</v>
      </c>
      <c r="F63" s="742">
        <f t="shared" si="25"/>
        <v>0</v>
      </c>
      <c r="G63" s="742">
        <f t="shared" si="25"/>
        <v>0</v>
      </c>
      <c r="H63" s="742">
        <f t="shared" si="25"/>
        <v>0</v>
      </c>
      <c r="I63" s="742">
        <f t="shared" si="25"/>
        <v>0</v>
      </c>
      <c r="J63" s="742">
        <f t="shared" si="25"/>
        <v>0</v>
      </c>
      <c r="K63" s="742">
        <f t="shared" si="25"/>
        <v>0</v>
      </c>
      <c r="L63" s="742">
        <f t="shared" si="25"/>
        <v>0</v>
      </c>
      <c r="M63" s="742">
        <f t="shared" si="25"/>
        <v>0</v>
      </c>
      <c r="N63" s="742">
        <f t="shared" si="25"/>
        <v>0</v>
      </c>
      <c r="O63" s="742">
        <f t="shared" si="25"/>
        <v>0</v>
      </c>
      <c r="P63" s="742">
        <f t="shared" si="25"/>
        <v>0</v>
      </c>
      <c r="Q63" s="320">
        <f t="shared" si="26"/>
        <v>0</v>
      </c>
      <c r="S63" s="754"/>
      <c r="T63" s="753">
        <f>'3. Calculation no VAT'!J103</f>
        <v>0</v>
      </c>
    </row>
    <row r="64" spans="3:24" x14ac:dyDescent="0.2">
      <c r="C64" s="723" t="s">
        <v>255</v>
      </c>
      <c r="D64" s="722"/>
      <c r="E64" s="742">
        <f t="shared" si="25"/>
        <v>0</v>
      </c>
      <c r="F64" s="742">
        <f t="shared" si="25"/>
        <v>0</v>
      </c>
      <c r="G64" s="742">
        <f t="shared" si="25"/>
        <v>0</v>
      </c>
      <c r="H64" s="742">
        <f t="shared" si="25"/>
        <v>0</v>
      </c>
      <c r="I64" s="742">
        <f t="shared" si="25"/>
        <v>0</v>
      </c>
      <c r="J64" s="742">
        <f t="shared" si="25"/>
        <v>0</v>
      </c>
      <c r="K64" s="742">
        <f t="shared" si="25"/>
        <v>0</v>
      </c>
      <c r="L64" s="742">
        <f t="shared" si="25"/>
        <v>0</v>
      </c>
      <c r="M64" s="742">
        <f t="shared" si="25"/>
        <v>0</v>
      </c>
      <c r="N64" s="742">
        <f t="shared" si="25"/>
        <v>0</v>
      </c>
      <c r="O64" s="742">
        <f t="shared" si="25"/>
        <v>0</v>
      </c>
      <c r="P64" s="742">
        <f t="shared" si="25"/>
        <v>0</v>
      </c>
      <c r="Q64" s="320">
        <f t="shared" si="26"/>
        <v>0</v>
      </c>
      <c r="S64" s="754"/>
      <c r="T64" s="753">
        <f>'3. Calculation no VAT'!J110</f>
        <v>0</v>
      </c>
    </row>
    <row r="65" spans="3:20" x14ac:dyDescent="0.2">
      <c r="C65" s="724" t="s">
        <v>256</v>
      </c>
      <c r="D65" s="722"/>
      <c r="E65" s="742">
        <f t="shared" si="25"/>
        <v>0</v>
      </c>
      <c r="F65" s="742">
        <f t="shared" si="25"/>
        <v>0</v>
      </c>
      <c r="G65" s="742">
        <f t="shared" si="25"/>
        <v>0</v>
      </c>
      <c r="H65" s="742">
        <f t="shared" si="25"/>
        <v>0</v>
      </c>
      <c r="I65" s="742">
        <f t="shared" si="25"/>
        <v>0</v>
      </c>
      <c r="J65" s="742">
        <f t="shared" si="25"/>
        <v>0</v>
      </c>
      <c r="K65" s="742">
        <f t="shared" si="25"/>
        <v>0</v>
      </c>
      <c r="L65" s="742">
        <f t="shared" si="25"/>
        <v>0</v>
      </c>
      <c r="M65" s="742">
        <f t="shared" si="25"/>
        <v>0</v>
      </c>
      <c r="N65" s="742">
        <f t="shared" si="25"/>
        <v>0</v>
      </c>
      <c r="O65" s="742">
        <f t="shared" si="25"/>
        <v>0</v>
      </c>
      <c r="P65" s="742">
        <f t="shared" si="25"/>
        <v>0</v>
      </c>
      <c r="Q65" s="320">
        <f t="shared" si="26"/>
        <v>0</v>
      </c>
      <c r="S65" s="755"/>
      <c r="T65" s="737">
        <f>'3. Calculation no VAT'!J107</f>
        <v>0</v>
      </c>
    </row>
    <row r="66" spans="3:20" x14ac:dyDescent="0.2">
      <c r="C66" s="720" t="s">
        <v>260</v>
      </c>
      <c r="D66" s="722"/>
      <c r="E66" s="742">
        <f t="shared" si="25"/>
        <v>0</v>
      </c>
      <c r="F66" s="742">
        <f t="shared" si="25"/>
        <v>0</v>
      </c>
      <c r="G66" s="742">
        <f t="shared" si="25"/>
        <v>0</v>
      </c>
      <c r="H66" s="742">
        <f t="shared" si="25"/>
        <v>0</v>
      </c>
      <c r="I66" s="742">
        <f t="shared" si="25"/>
        <v>0</v>
      </c>
      <c r="J66" s="742">
        <f t="shared" si="25"/>
        <v>0</v>
      </c>
      <c r="K66" s="742">
        <f t="shared" si="25"/>
        <v>0</v>
      </c>
      <c r="L66" s="742">
        <f t="shared" si="25"/>
        <v>0</v>
      </c>
      <c r="M66" s="742">
        <f t="shared" si="25"/>
        <v>0</v>
      </c>
      <c r="N66" s="742">
        <f t="shared" si="25"/>
        <v>0</v>
      </c>
      <c r="O66" s="742">
        <f t="shared" si="25"/>
        <v>0</v>
      </c>
      <c r="P66" s="742">
        <f t="shared" si="25"/>
        <v>0</v>
      </c>
      <c r="Q66" s="320">
        <f t="shared" si="26"/>
        <v>0</v>
      </c>
      <c r="S66" s="755"/>
      <c r="T66" s="737">
        <f>'3. Calculation no VAT'!J111</f>
        <v>0</v>
      </c>
    </row>
    <row r="67" spans="3:20" x14ac:dyDescent="0.2">
      <c r="C67" s="869" t="s">
        <v>290</v>
      </c>
      <c r="D67" s="870"/>
      <c r="E67" s="742">
        <f t="shared" si="25"/>
        <v>0</v>
      </c>
      <c r="F67" s="742">
        <f t="shared" si="25"/>
        <v>0</v>
      </c>
      <c r="G67" s="742">
        <f t="shared" si="25"/>
        <v>0</v>
      </c>
      <c r="H67" s="742">
        <f t="shared" si="25"/>
        <v>0</v>
      </c>
      <c r="I67" s="742">
        <f t="shared" si="25"/>
        <v>0</v>
      </c>
      <c r="J67" s="742">
        <f t="shared" si="25"/>
        <v>0</v>
      </c>
      <c r="K67" s="742">
        <f t="shared" si="25"/>
        <v>0</v>
      </c>
      <c r="L67" s="742">
        <f t="shared" si="25"/>
        <v>0</v>
      </c>
      <c r="M67" s="742">
        <f t="shared" si="25"/>
        <v>0</v>
      </c>
      <c r="N67" s="742">
        <f t="shared" si="25"/>
        <v>0</v>
      </c>
      <c r="O67" s="742">
        <f t="shared" si="25"/>
        <v>0</v>
      </c>
      <c r="P67" s="742">
        <f t="shared" si="25"/>
        <v>0</v>
      </c>
      <c r="Q67" s="742">
        <f t="shared" si="25"/>
        <v>0</v>
      </c>
      <c r="S67" s="755"/>
      <c r="T67" s="737">
        <f>'3. Calculation no VAT'!J70</f>
        <v>0</v>
      </c>
    </row>
    <row r="68" spans="3:20" x14ac:dyDescent="0.2">
      <c r="C68" s="1453" t="s">
        <v>265</v>
      </c>
      <c r="D68" s="1454"/>
      <c r="E68" s="742">
        <f t="shared" si="25"/>
        <v>0</v>
      </c>
      <c r="F68" s="742">
        <f t="shared" si="25"/>
        <v>0</v>
      </c>
      <c r="G68" s="742">
        <f t="shared" si="25"/>
        <v>0</v>
      </c>
      <c r="H68" s="742">
        <f t="shared" si="25"/>
        <v>0</v>
      </c>
      <c r="I68" s="742">
        <f t="shared" si="25"/>
        <v>0</v>
      </c>
      <c r="J68" s="742">
        <f t="shared" si="25"/>
        <v>0</v>
      </c>
      <c r="K68" s="742">
        <f t="shared" si="25"/>
        <v>0</v>
      </c>
      <c r="L68" s="742">
        <f t="shared" si="25"/>
        <v>0</v>
      </c>
      <c r="M68" s="742">
        <f t="shared" si="25"/>
        <v>0</v>
      </c>
      <c r="N68" s="742">
        <f t="shared" si="25"/>
        <v>0</v>
      </c>
      <c r="O68" s="742">
        <f t="shared" si="25"/>
        <v>0</v>
      </c>
      <c r="P68" s="742">
        <f t="shared" si="25"/>
        <v>0</v>
      </c>
      <c r="Q68" s="320">
        <f t="shared" ref="Q68" si="27">SUM(E68:P68)</f>
        <v>0</v>
      </c>
      <c r="S68" s="755"/>
      <c r="T68" s="737">
        <f>'3. Calculation no VAT'!J116</f>
        <v>0</v>
      </c>
    </row>
    <row r="69" spans="3:20" x14ac:dyDescent="0.2">
      <c r="C69" s="719"/>
    </row>
  </sheetData>
  <sheetProtection algorithmName="SHA-512" hashValue="5OgzY6jSSausLF6KcM7Jmr47PEYNab5/fgcubl29FJHGmPsLPIDLaKvt4YyBALzAbNeCKYJJzCDTU6UEtRjL0w==" saltValue="V20DrNpsYCllxtS9pTXws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t="str">
        <f>'Cash budget no VAT'!G7</f>
        <v>JAN</v>
      </c>
      <c r="D2" s="308" t="str">
        <f>'Cash budget no VAT'!H7</f>
        <v>FEB</v>
      </c>
      <c r="E2" s="308" t="str">
        <f>'Cash budget no VAT'!I7</f>
        <v>MARS</v>
      </c>
      <c r="F2" s="308" t="str">
        <f>'Cash budget no VAT'!J7</f>
        <v>APR</v>
      </c>
      <c r="G2" s="308" t="str">
        <f>'Cash budget no VAT'!K7</f>
        <v>MAY</v>
      </c>
      <c r="H2" s="308" t="str">
        <f>'Cash budget no VAT'!L7</f>
        <v>JUNE</v>
      </c>
      <c r="I2" s="308" t="str">
        <f>'Cash budget no VAT'!M7</f>
        <v>JULY</v>
      </c>
      <c r="J2" s="308" t="str">
        <f>'Cash budget no VAT'!N7</f>
        <v>AUG</v>
      </c>
      <c r="K2" s="308" t="str">
        <f>'Cash budget no VAT'!O7</f>
        <v>SEP</v>
      </c>
      <c r="L2" s="308" t="str">
        <f>'Cash budget no VAT'!P7</f>
        <v>OCT</v>
      </c>
      <c r="M2" s="308" t="str">
        <f>'Cash budget no VAT'!Q7</f>
        <v>NOV</v>
      </c>
      <c r="N2" s="308" t="str">
        <f>'Cash budget no VAT'!R7</f>
        <v>DEC</v>
      </c>
    </row>
    <row r="3" spans="1:14" x14ac:dyDescent="0.2">
      <c r="B3" s="307" t="s">
        <v>173</v>
      </c>
      <c r="C3" s="309">
        <f>'Cash budget no VAT'!E13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'Cash budget no VAT'!G11</f>
        <v>0</v>
      </c>
      <c r="D4" s="310">
        <f>'Cash budget no VAT'!H11</f>
        <v>0</v>
      </c>
      <c r="E4" s="310">
        <f>'Cash budget no VAT'!I11</f>
        <v>0</v>
      </c>
      <c r="F4" s="310">
        <f>'Cash budget no VAT'!J11</f>
        <v>0</v>
      </c>
      <c r="G4" s="310">
        <f>'Cash budget no VAT'!K11</f>
        <v>0</v>
      </c>
      <c r="H4" s="310">
        <f>'Cash budget no VAT'!L11</f>
        <v>0</v>
      </c>
      <c r="I4" s="310">
        <f>'Cash budget no VAT'!M11</f>
        <v>0</v>
      </c>
      <c r="J4" s="310">
        <f>'Cash budget no VAT'!N11</f>
        <v>0</v>
      </c>
      <c r="K4" s="310">
        <f>'Cash budget no VAT'!O11</f>
        <v>0</v>
      </c>
      <c r="L4" s="310">
        <f>'Cash budget no VAT'!P11</f>
        <v>0</v>
      </c>
      <c r="M4" s="310">
        <f>'Cash budget no VAT'!Q11</f>
        <v>0</v>
      </c>
      <c r="N4" s="310">
        <f>'Cash budget no VAT'!R11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c r="D8" s="313"/>
      <c r="E8" s="313"/>
      <c r="F8" s="313"/>
      <c r="G8" s="313"/>
      <c r="H8" s="313"/>
      <c r="I8" s="313"/>
      <c r="J8" s="313"/>
      <c r="K8" s="313"/>
      <c r="L8" s="313"/>
      <c r="M8" s="313"/>
      <c r="N8" s="313"/>
    </row>
    <row r="9" spans="1:14" x14ac:dyDescent="0.2">
      <c r="A9" s="311" t="s">
        <v>179</v>
      </c>
      <c r="B9" s="311" t="s">
        <v>180</v>
      </c>
      <c r="C9" s="312"/>
      <c r="D9" s="312"/>
      <c r="E9" s="312"/>
      <c r="F9" s="312"/>
      <c r="G9" s="312"/>
      <c r="H9" s="312"/>
      <c r="I9" s="312"/>
      <c r="J9" s="312"/>
      <c r="K9" s="312"/>
      <c r="L9" s="312"/>
      <c r="M9" s="312"/>
      <c r="N9" s="312"/>
    </row>
    <row r="10" spans="1:14" x14ac:dyDescent="0.2">
      <c r="A10" s="2" t="s">
        <v>181</v>
      </c>
      <c r="B10" s="2" t="s">
        <v>182</v>
      </c>
      <c r="C10" s="313"/>
      <c r="D10" s="313"/>
      <c r="E10" s="313"/>
      <c r="F10" s="313"/>
      <c r="G10" s="313"/>
      <c r="H10" s="313"/>
      <c r="I10" s="313"/>
      <c r="J10" s="313"/>
      <c r="K10" s="313"/>
      <c r="L10" s="313"/>
      <c r="M10" s="313"/>
      <c r="N10" s="313"/>
    </row>
    <row r="11" spans="1:14" x14ac:dyDescent="0.2">
      <c r="A11" s="311" t="s">
        <v>181</v>
      </c>
      <c r="B11" s="311" t="s">
        <v>182</v>
      </c>
      <c r="C11" s="312"/>
      <c r="D11" s="312"/>
      <c r="E11" s="312"/>
      <c r="F11" s="312"/>
      <c r="G11" s="312"/>
      <c r="H11" s="312"/>
      <c r="I11" s="312"/>
      <c r="J11" s="312"/>
      <c r="K11" s="312"/>
      <c r="L11" s="312"/>
      <c r="M11" s="312"/>
      <c r="N11" s="312"/>
    </row>
    <row r="12" spans="1:14" x14ac:dyDescent="0.2">
      <c r="A12" s="2" t="s">
        <v>183</v>
      </c>
      <c r="B12" s="2" t="s">
        <v>184</v>
      </c>
      <c r="C12" s="313"/>
      <c r="D12" s="313"/>
      <c r="E12" s="313"/>
      <c r="F12" s="313"/>
      <c r="G12" s="313"/>
      <c r="H12" s="313"/>
      <c r="I12" s="313"/>
      <c r="J12" s="313"/>
      <c r="K12" s="313"/>
      <c r="L12" s="313"/>
      <c r="M12" s="313"/>
      <c r="N12" s="313"/>
    </row>
    <row r="13" spans="1:14" x14ac:dyDescent="0.2">
      <c r="A13" s="311" t="s">
        <v>183</v>
      </c>
      <c r="B13" s="311" t="s">
        <v>184</v>
      </c>
      <c r="C13" s="312"/>
      <c r="D13" s="312"/>
      <c r="E13" s="312"/>
      <c r="F13" s="312"/>
      <c r="G13" s="312"/>
      <c r="H13" s="312"/>
      <c r="I13" s="312"/>
      <c r="J13" s="312"/>
      <c r="K13" s="312"/>
      <c r="L13" s="312"/>
      <c r="M13" s="312"/>
      <c r="N13" s="312"/>
    </row>
    <row r="14" spans="1:14" x14ac:dyDescent="0.2">
      <c r="A14" s="2" t="s">
        <v>185</v>
      </c>
      <c r="B14" s="2" t="s">
        <v>186</v>
      </c>
      <c r="C14" s="313"/>
      <c r="D14" s="313"/>
      <c r="E14" s="313"/>
      <c r="F14" s="313"/>
      <c r="G14" s="313"/>
      <c r="H14" s="313"/>
      <c r="I14" s="313"/>
      <c r="J14" s="313"/>
      <c r="K14" s="313"/>
      <c r="L14" s="313"/>
      <c r="M14" s="313"/>
      <c r="N14" s="313"/>
    </row>
    <row r="15" spans="1:14" x14ac:dyDescent="0.2">
      <c r="A15" s="311" t="s">
        <v>185</v>
      </c>
      <c r="B15" s="311" t="s">
        <v>186</v>
      </c>
      <c r="C15" s="312"/>
      <c r="D15" s="312"/>
      <c r="E15" s="312"/>
      <c r="F15" s="312"/>
      <c r="G15" s="312"/>
      <c r="H15" s="312"/>
      <c r="I15" s="312"/>
      <c r="J15" s="312"/>
      <c r="K15" s="312"/>
      <c r="L15" s="312"/>
      <c r="M15" s="312"/>
      <c r="N15" s="312"/>
    </row>
    <row r="16" spans="1:14" x14ac:dyDescent="0.2">
      <c r="A16" s="2"/>
      <c r="B16" s="2" t="s">
        <v>187</v>
      </c>
      <c r="C16" s="313"/>
      <c r="D16" s="313"/>
      <c r="E16" s="313"/>
      <c r="F16" s="313"/>
      <c r="G16" s="313"/>
      <c r="H16" s="313"/>
      <c r="I16" s="313"/>
      <c r="J16" s="313"/>
      <c r="K16" s="313"/>
      <c r="L16" s="313"/>
      <c r="M16" s="313"/>
      <c r="N16" s="313"/>
    </row>
    <row r="17" spans="1:14" x14ac:dyDescent="0.2">
      <c r="A17" s="307"/>
      <c r="B17" s="307" t="s">
        <v>188</v>
      </c>
      <c r="C17" s="308" t="str">
        <f>C2</f>
        <v>JAN</v>
      </c>
      <c r="D17" s="308" t="str">
        <f t="shared" ref="D17:N17" si="4">D2</f>
        <v>FEB</v>
      </c>
      <c r="E17" s="308" t="str">
        <f t="shared" si="4"/>
        <v>MARS</v>
      </c>
      <c r="F17" s="308" t="str">
        <f t="shared" si="4"/>
        <v>APR</v>
      </c>
      <c r="G17" s="308" t="str">
        <f t="shared" si="4"/>
        <v>MAY</v>
      </c>
      <c r="H17" s="308" t="str">
        <f t="shared" si="4"/>
        <v>JUNE</v>
      </c>
      <c r="I17" s="308" t="str">
        <f t="shared" si="4"/>
        <v>JULY</v>
      </c>
      <c r="J17" s="308" t="str">
        <f t="shared" si="4"/>
        <v>AUG</v>
      </c>
      <c r="K17" s="308" t="str">
        <f t="shared" si="4"/>
        <v>SEP</v>
      </c>
      <c r="L17" s="308" t="str">
        <f t="shared" si="4"/>
        <v>OCT</v>
      </c>
      <c r="M17" s="308" t="str">
        <f t="shared" si="4"/>
        <v>NOV</v>
      </c>
      <c r="N17" s="308" t="str">
        <f t="shared" si="4"/>
        <v>DEC</v>
      </c>
    </row>
    <row r="18" spans="1:14" x14ac:dyDescent="0.2">
      <c r="A18" s="2"/>
      <c r="B18" s="2" t="s">
        <v>189</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178</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180</v>
      </c>
      <c r="C20" s="313"/>
      <c r="D20" s="313"/>
      <c r="E20" s="313"/>
      <c r="F20" s="313"/>
      <c r="G20" s="313"/>
      <c r="H20" s="313"/>
      <c r="I20" s="313"/>
      <c r="J20" s="313"/>
      <c r="K20" s="313"/>
      <c r="L20" s="313"/>
      <c r="M20" s="313"/>
      <c r="N20" s="313"/>
    </row>
    <row r="21" spans="1:14" x14ac:dyDescent="0.2">
      <c r="A21" s="2"/>
      <c r="B21" s="2" t="s">
        <v>182</v>
      </c>
      <c r="C21" s="313"/>
      <c r="D21" s="313"/>
      <c r="E21" s="313"/>
      <c r="F21" s="313"/>
      <c r="G21" s="313"/>
      <c r="H21" s="313"/>
      <c r="I21" s="313"/>
      <c r="J21" s="313"/>
      <c r="K21" s="313"/>
      <c r="L21" s="313"/>
      <c r="M21" s="313"/>
      <c r="N21" s="313"/>
    </row>
    <row r="22" spans="1:14" x14ac:dyDescent="0.2">
      <c r="A22" s="2"/>
      <c r="B22" s="2" t="s">
        <v>184</v>
      </c>
      <c r="C22" s="313"/>
      <c r="D22" s="313"/>
      <c r="E22" s="313"/>
      <c r="F22" s="313"/>
      <c r="G22" s="313"/>
      <c r="H22" s="313"/>
      <c r="I22" s="313"/>
      <c r="J22" s="313"/>
      <c r="K22" s="313"/>
      <c r="L22" s="313"/>
      <c r="M22" s="313"/>
      <c r="N22" s="313"/>
    </row>
    <row r="23" spans="1:14" x14ac:dyDescent="0.2">
      <c r="A23" s="2"/>
      <c r="B23" s="2" t="s">
        <v>186</v>
      </c>
      <c r="C23" s="313"/>
      <c r="D23" s="313"/>
      <c r="E23" s="313"/>
      <c r="F23" s="313"/>
      <c r="G23" s="313"/>
      <c r="H23" s="313"/>
      <c r="I23" s="313"/>
      <c r="J23" s="313"/>
      <c r="K23" s="313"/>
      <c r="L23" s="313"/>
      <c r="M23" s="313"/>
      <c r="N23" s="313"/>
    </row>
    <row r="24" spans="1:14" x14ac:dyDescent="0.2">
      <c r="A24" s="2"/>
      <c r="B24" s="2" t="s">
        <v>187</v>
      </c>
      <c r="C24" s="313"/>
      <c r="D24" s="313"/>
      <c r="E24" s="313"/>
      <c r="F24" s="313"/>
      <c r="G24" s="313"/>
      <c r="H24" s="313"/>
      <c r="I24" s="313"/>
      <c r="J24" s="313"/>
      <c r="K24" s="313"/>
      <c r="L24" s="313"/>
      <c r="M24" s="313"/>
      <c r="N24" s="313"/>
    </row>
    <row r="25" spans="1:14" x14ac:dyDescent="0.2">
      <c r="A25" s="307"/>
      <c r="B25" s="307" t="s">
        <v>190</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aDwXGXRjkM6XWHVFRa7v2kIosNXFkdyWIQFbZS95/9oebDgyE0oFU50Qw9HhpAcnon+nenFBaHXqH19JXXz2bw==" saltValue="bvMXeHA4TQO7861wP6a/n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28515625" customWidth="1"/>
    <col min="5" max="5" width="9.85546875" customWidth="1"/>
    <col min="6" max="7" width="6.85546875" customWidth="1"/>
    <col min="8" max="8" width="17"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1" customHeight="1" x14ac:dyDescent="0.2">
      <c r="K1" s="1130"/>
      <c r="L1" s="1130"/>
      <c r="M1" s="1130"/>
    </row>
    <row r="2" spans="2:24" ht="24.6"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179" t="str">
        <f>'Front page'!E40</f>
        <v>Business Kemijärvi</v>
      </c>
      <c r="K4" s="1179"/>
      <c r="L4" s="1179"/>
      <c r="M4" s="1179"/>
      <c r="R4" s="249"/>
    </row>
    <row r="5" spans="2:24" ht="13.35" customHeight="1" x14ac:dyDescent="0.2">
      <c r="B5" s="1235"/>
      <c r="C5" s="1143" t="s">
        <v>123</v>
      </c>
      <c r="D5" s="1143"/>
      <c r="E5" s="1143"/>
      <c r="F5" s="282"/>
      <c r="G5" s="282"/>
      <c r="H5" s="402">
        <v>0</v>
      </c>
      <c r="J5" s="1179"/>
      <c r="K5" s="1179"/>
      <c r="L5" s="1179"/>
      <c r="M5" s="1179"/>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144"/>
      <c r="D7" s="1144"/>
      <c r="E7" s="1144"/>
      <c r="F7" s="24"/>
      <c r="G7" s="24"/>
      <c r="H7" s="1144">
        <v>0</v>
      </c>
      <c r="I7" s="1144"/>
      <c r="J7" s="1144"/>
      <c r="K7" s="1144"/>
      <c r="L7" s="1144"/>
      <c r="M7" s="114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175" t="s">
        <v>298</v>
      </c>
      <c r="G9" s="1176"/>
      <c r="H9" s="1140" t="s">
        <v>299</v>
      </c>
      <c r="I9" s="1141"/>
      <c r="J9" s="1141"/>
      <c r="K9" s="1141"/>
      <c r="L9" s="1142"/>
      <c r="M9" s="551" t="s">
        <v>298</v>
      </c>
      <c r="O9" s="931" t="s">
        <v>388</v>
      </c>
      <c r="P9" s="932"/>
      <c r="Q9" s="932"/>
      <c r="R9" s="932"/>
      <c r="S9" s="932"/>
      <c r="T9" s="932"/>
      <c r="U9" s="932"/>
      <c r="V9" s="932"/>
      <c r="W9" s="932"/>
      <c r="X9" s="933"/>
    </row>
    <row r="10" spans="2:24" ht="15" customHeight="1" x14ac:dyDescent="0.2">
      <c r="C10" s="1120" t="s">
        <v>301</v>
      </c>
      <c r="D10" s="1120"/>
      <c r="E10" s="1067" t="s">
        <v>303</v>
      </c>
      <c r="F10" s="1118">
        <f>F11+F12+F13</f>
        <v>0</v>
      </c>
      <c r="G10" s="1118"/>
      <c r="H10" s="1120" t="s">
        <v>307</v>
      </c>
      <c r="I10" s="1120"/>
      <c r="J10" s="1120"/>
      <c r="K10" s="1177"/>
      <c r="L10" s="1177"/>
      <c r="M10" s="1068">
        <f>SUM(M12:M14)</f>
        <v>0</v>
      </c>
      <c r="O10" s="688"/>
      <c r="P10" s="686"/>
      <c r="Q10" s="686"/>
      <c r="R10" s="686"/>
      <c r="S10" s="686"/>
      <c r="T10" s="686"/>
      <c r="U10" s="686"/>
      <c r="V10" s="686"/>
      <c r="W10" s="686"/>
      <c r="X10" s="687"/>
    </row>
    <row r="11" spans="2:24" ht="15" customHeight="1" x14ac:dyDescent="0.2">
      <c r="C11" s="1086" t="s">
        <v>568</v>
      </c>
      <c r="D11" s="1086"/>
      <c r="E11" s="1070">
        <v>0</v>
      </c>
      <c r="F11" s="1090">
        <v>0</v>
      </c>
      <c r="G11" s="1090"/>
      <c r="H11" s="1174" t="s">
        <v>308</v>
      </c>
      <c r="I11" s="1174"/>
      <c r="J11" s="1072" t="s">
        <v>309</v>
      </c>
      <c r="K11" s="1178" t="s">
        <v>310</v>
      </c>
      <c r="L11" s="1178"/>
      <c r="M11" s="1073" t="s">
        <v>311</v>
      </c>
      <c r="O11" s="688"/>
      <c r="P11" s="686"/>
      <c r="Q11" s="686"/>
      <c r="R11" s="686"/>
      <c r="S11" s="686"/>
      <c r="T11" s="686"/>
      <c r="U11" s="686"/>
      <c r="V11" s="686"/>
      <c r="W11" s="686"/>
      <c r="X11" s="687"/>
    </row>
    <row r="12" spans="2:24" ht="15" customHeight="1" x14ac:dyDescent="0.2">
      <c r="C12" s="1086" t="s">
        <v>499</v>
      </c>
      <c r="D12" s="1086"/>
      <c r="E12" s="1070">
        <v>0</v>
      </c>
      <c r="F12" s="1090">
        <v>0</v>
      </c>
      <c r="G12" s="1090"/>
      <c r="H12" s="1106" t="s">
        <v>452</v>
      </c>
      <c r="I12" s="1106"/>
      <c r="J12" s="1070">
        <v>0</v>
      </c>
      <c r="K12" s="1074">
        <v>0</v>
      </c>
      <c r="L12" s="1075">
        <v>0</v>
      </c>
      <c r="M12" s="1071">
        <v>0</v>
      </c>
      <c r="O12" s="688"/>
      <c r="P12" s="686"/>
      <c r="Q12" s="686"/>
      <c r="R12" s="686"/>
      <c r="S12" s="686"/>
      <c r="T12" s="686"/>
      <c r="U12" s="686"/>
      <c r="V12" s="686"/>
      <c r="W12" s="686"/>
      <c r="X12" s="687"/>
    </row>
    <row r="13" spans="2:24" ht="15" customHeight="1" x14ac:dyDescent="0.2">
      <c r="C13" s="1086" t="s">
        <v>500</v>
      </c>
      <c r="D13" s="1086"/>
      <c r="E13" s="1070">
        <v>0</v>
      </c>
      <c r="F13" s="1090">
        <v>0</v>
      </c>
      <c r="G13" s="1090"/>
      <c r="H13" s="1106" t="s">
        <v>77</v>
      </c>
      <c r="I13" s="1106"/>
      <c r="J13" s="1070">
        <v>0</v>
      </c>
      <c r="K13" s="1074">
        <v>0</v>
      </c>
      <c r="L13" s="1075">
        <v>0</v>
      </c>
      <c r="M13" s="1071">
        <v>0</v>
      </c>
      <c r="O13" s="688"/>
      <c r="P13" s="686"/>
      <c r="Q13" s="686"/>
      <c r="R13" s="686"/>
      <c r="S13" s="686"/>
      <c r="T13" s="686"/>
      <c r="U13" s="686"/>
      <c r="V13" s="686"/>
      <c r="W13" s="686"/>
      <c r="X13" s="687"/>
    </row>
    <row r="14" spans="2:24" ht="15" customHeight="1" x14ac:dyDescent="0.2">
      <c r="C14" s="1120" t="s">
        <v>302</v>
      </c>
      <c r="D14" s="1120"/>
      <c r="E14" s="1067" t="s">
        <v>303</v>
      </c>
      <c r="F14" s="1118">
        <f>SUM(F15:F20)</f>
        <v>0</v>
      </c>
      <c r="G14" s="1118"/>
      <c r="H14" s="1106"/>
      <c r="I14" s="1106"/>
      <c r="J14" s="1070">
        <v>0</v>
      </c>
      <c r="K14" s="1074">
        <v>0</v>
      </c>
      <c r="L14" s="1075">
        <v>0</v>
      </c>
      <c r="M14" s="1071">
        <v>0</v>
      </c>
      <c r="O14" s="688"/>
      <c r="P14" s="686"/>
      <c r="Q14" s="686"/>
      <c r="R14" s="686"/>
      <c r="S14" s="686"/>
      <c r="T14" s="686"/>
      <c r="U14" s="686"/>
      <c r="V14" s="686"/>
      <c r="W14" s="686"/>
      <c r="X14" s="687"/>
    </row>
    <row r="15" spans="2:24" ht="15" customHeight="1" x14ac:dyDescent="0.2">
      <c r="C15" s="1106"/>
      <c r="D15" s="1106"/>
      <c r="E15" s="1070">
        <v>0</v>
      </c>
      <c r="F15" s="1090">
        <v>0</v>
      </c>
      <c r="G15" s="1090"/>
      <c r="H15" s="1120" t="s">
        <v>312</v>
      </c>
      <c r="I15" s="1120"/>
      <c r="J15" s="1070">
        <v>0</v>
      </c>
      <c r="K15" s="1119">
        <v>0</v>
      </c>
      <c r="L15" s="1119"/>
      <c r="M15" s="1071">
        <v>0</v>
      </c>
      <c r="O15" s="688"/>
      <c r="P15" s="686"/>
      <c r="Q15" s="686"/>
      <c r="R15" s="686"/>
      <c r="S15" s="686"/>
      <c r="T15" s="686"/>
      <c r="U15" s="686"/>
      <c r="V15" s="686"/>
      <c r="W15" s="686"/>
      <c r="X15" s="687"/>
    </row>
    <row r="16" spans="2:24" ht="15" customHeight="1" x14ac:dyDescent="0.2">
      <c r="C16" s="1106"/>
      <c r="D16" s="1106"/>
      <c r="E16" s="1070">
        <v>0</v>
      </c>
      <c r="F16" s="1090">
        <v>0</v>
      </c>
      <c r="G16" s="1090"/>
      <c r="H16" s="1120" t="s">
        <v>313</v>
      </c>
      <c r="I16" s="1120"/>
      <c r="J16" s="1070">
        <v>0</v>
      </c>
      <c r="K16" s="1119">
        <v>0</v>
      </c>
      <c r="L16" s="1119"/>
      <c r="M16" s="1071">
        <v>0</v>
      </c>
      <c r="O16" s="688"/>
      <c r="P16" s="686"/>
      <c r="Q16" s="686"/>
      <c r="R16" s="686"/>
      <c r="S16" s="686"/>
      <c r="T16" s="686"/>
      <c r="U16" s="686"/>
      <c r="V16" s="686"/>
      <c r="W16" s="686"/>
      <c r="X16" s="687"/>
    </row>
    <row r="17" spans="1:24" ht="15" customHeight="1" x14ac:dyDescent="0.2">
      <c r="C17" s="1106"/>
      <c r="D17" s="1106"/>
      <c r="E17" s="1070">
        <v>0</v>
      </c>
      <c r="F17" s="1090">
        <v>0</v>
      </c>
      <c r="G17" s="1090"/>
      <c r="H17" s="1120" t="s">
        <v>314</v>
      </c>
      <c r="I17" s="1120"/>
      <c r="J17" s="1120"/>
      <c r="K17" s="1120"/>
      <c r="L17" s="1120"/>
      <c r="M17" s="1076">
        <f>SUM(M18:M20)</f>
        <v>0</v>
      </c>
      <c r="O17" s="688"/>
      <c r="P17" s="686"/>
      <c r="Q17" s="686"/>
      <c r="R17" s="686"/>
      <c r="S17" s="686"/>
      <c r="T17" s="686"/>
      <c r="U17" s="686"/>
      <c r="V17" s="686"/>
      <c r="W17" s="686"/>
      <c r="X17" s="687"/>
    </row>
    <row r="18" spans="1:24" ht="15" customHeight="1" x14ac:dyDescent="0.2">
      <c r="C18" s="1086" t="s">
        <v>501</v>
      </c>
      <c r="D18" s="1086"/>
      <c r="E18" s="1086"/>
      <c r="F18" s="1090">
        <v>0</v>
      </c>
      <c r="G18" s="1090"/>
      <c r="H18" s="1106" t="s">
        <v>453</v>
      </c>
      <c r="I18" s="1106"/>
      <c r="J18" s="1106"/>
      <c r="K18" s="1106"/>
      <c r="L18" s="1106"/>
      <c r="M18" s="1069">
        <f>IF('4 AT Lainat ja avustukset alv'!E54&lt;0,0,'4 AT Lainat ja avustukset alv'!$E$54)</f>
        <v>0</v>
      </c>
      <c r="O18" s="688"/>
      <c r="P18" s="686"/>
      <c r="Q18" s="686"/>
      <c r="R18" s="686"/>
      <c r="S18" s="686"/>
      <c r="T18" s="686"/>
      <c r="U18" s="686"/>
      <c r="V18" s="686"/>
      <c r="W18" s="686"/>
      <c r="X18" s="687"/>
    </row>
    <row r="19" spans="1:24" ht="15" customHeight="1" x14ac:dyDescent="0.2">
      <c r="C19" s="1077" t="s">
        <v>502</v>
      </c>
      <c r="D19" s="1077"/>
      <c r="E19" s="1078"/>
      <c r="F19" s="1090">
        <v>0</v>
      </c>
      <c r="G19" s="1090"/>
      <c r="H19" s="1117" t="s">
        <v>454</v>
      </c>
      <c r="I19" s="1117"/>
      <c r="J19" s="1117"/>
      <c r="K19" s="1117"/>
      <c r="L19" s="1117"/>
      <c r="M19" s="1071">
        <v>0</v>
      </c>
      <c r="O19" s="688"/>
      <c r="P19" s="686"/>
      <c r="Q19" s="686"/>
      <c r="R19" s="686"/>
      <c r="S19" s="686"/>
      <c r="T19" s="686"/>
      <c r="U19" s="686"/>
      <c r="V19" s="686"/>
      <c r="W19" s="686"/>
      <c r="X19" s="687"/>
    </row>
    <row r="20" spans="1:24" ht="15" customHeight="1" x14ac:dyDescent="0.2">
      <c r="C20" s="1086" t="s">
        <v>503</v>
      </c>
      <c r="D20" s="1086"/>
      <c r="E20" s="1070">
        <v>0</v>
      </c>
      <c r="F20" s="1090">
        <v>0</v>
      </c>
      <c r="G20" s="1090"/>
      <c r="H20" s="1117"/>
      <c r="I20" s="1117"/>
      <c r="J20" s="1117"/>
      <c r="K20" s="1117"/>
      <c r="L20" s="1117"/>
      <c r="M20" s="1071">
        <v>0</v>
      </c>
      <c r="O20" s="688"/>
      <c r="P20" s="686"/>
      <c r="Q20" s="686"/>
      <c r="R20" s="686"/>
      <c r="S20" s="686"/>
      <c r="T20" s="686"/>
      <c r="U20" s="686"/>
      <c r="V20" s="686"/>
      <c r="W20" s="686"/>
      <c r="X20" s="687"/>
    </row>
    <row r="21" spans="1:24" ht="15" customHeight="1" x14ac:dyDescent="0.2">
      <c r="C21" s="1120" t="s">
        <v>304</v>
      </c>
      <c r="D21" s="1120"/>
      <c r="E21" s="1120"/>
      <c r="F21" s="1118">
        <f>F22+F23</f>
        <v>0</v>
      </c>
      <c r="G21" s="1118"/>
      <c r="H21" s="1256" t="s">
        <v>315</v>
      </c>
      <c r="I21" s="1256"/>
      <c r="J21" s="1256"/>
      <c r="K21" s="1256"/>
      <c r="L21" s="1256"/>
      <c r="M21" s="1068">
        <f>IF((F13+F14+F21-F20-M15-F18)*0.20319&lt;0,0,(F13+F14+F21-F20-M15-F18)*0.20319)</f>
        <v>0</v>
      </c>
      <c r="O21" s="688"/>
      <c r="P21" s="686"/>
      <c r="Q21" s="686"/>
      <c r="R21" s="686"/>
      <c r="S21" s="686"/>
      <c r="T21" s="686"/>
      <c r="U21" s="686"/>
      <c r="V21" s="686"/>
      <c r="W21" s="686"/>
      <c r="X21" s="687"/>
    </row>
    <row r="22" spans="1:24" ht="15" customHeight="1" x14ac:dyDescent="0.2">
      <c r="C22" s="1106"/>
      <c r="D22" s="1106"/>
      <c r="E22" s="1106"/>
      <c r="F22" s="1090">
        <v>0</v>
      </c>
      <c r="G22" s="1090"/>
      <c r="H22" s="1079" t="s">
        <v>316</v>
      </c>
      <c r="I22" s="1079"/>
      <c r="J22" s="1080"/>
      <c r="K22" s="1254"/>
      <c r="L22" s="1255"/>
      <c r="M22" s="1068">
        <f>SUM(M23:M26)</f>
        <v>0</v>
      </c>
      <c r="O22" s="688"/>
      <c r="P22" s="686"/>
      <c r="Q22" s="686"/>
      <c r="R22" s="686"/>
      <c r="S22" s="686"/>
      <c r="T22" s="686"/>
      <c r="U22" s="686"/>
      <c r="V22" s="686"/>
      <c r="W22" s="686"/>
      <c r="X22" s="687"/>
    </row>
    <row r="23" spans="1:24" ht="15" customHeight="1" x14ac:dyDescent="0.2">
      <c r="C23" s="1106"/>
      <c r="D23" s="1106"/>
      <c r="E23" s="1106"/>
      <c r="F23" s="1090">
        <v>0</v>
      </c>
      <c r="G23" s="1090"/>
      <c r="H23" s="1116" t="s">
        <v>504</v>
      </c>
      <c r="I23" s="1116"/>
      <c r="J23" s="1116"/>
      <c r="K23" s="1116"/>
      <c r="L23" s="1116"/>
      <c r="M23" s="1071">
        <v>0</v>
      </c>
      <c r="O23" s="688"/>
      <c r="P23" s="686"/>
      <c r="Q23" s="686"/>
      <c r="R23" s="686"/>
      <c r="S23" s="686"/>
      <c r="T23" s="686"/>
      <c r="U23" s="686"/>
      <c r="V23" s="686"/>
      <c r="W23" s="686"/>
      <c r="X23" s="687"/>
    </row>
    <row r="24" spans="1:24" ht="15" customHeight="1" x14ac:dyDescent="0.2">
      <c r="C24" s="1120" t="s">
        <v>493</v>
      </c>
      <c r="D24" s="1120"/>
      <c r="E24" s="1120"/>
      <c r="F24" s="1145">
        <v>0</v>
      </c>
      <c r="G24" s="1145"/>
      <c r="H24" s="1117" t="s">
        <v>505</v>
      </c>
      <c r="I24" s="1117"/>
      <c r="J24" s="1117"/>
      <c r="K24" s="1117"/>
      <c r="L24" s="1117"/>
      <c r="M24" s="1071">
        <v>0</v>
      </c>
      <c r="O24" s="688"/>
      <c r="P24" s="686"/>
      <c r="Q24" s="686"/>
      <c r="R24" s="686"/>
      <c r="S24" s="686"/>
      <c r="T24" s="686"/>
      <c r="U24" s="686"/>
      <c r="V24" s="686"/>
      <c r="W24" s="686"/>
      <c r="X24" s="687"/>
    </row>
    <row r="25" spans="1:24" ht="15" customHeight="1" x14ac:dyDescent="0.2">
      <c r="A25" s="1247"/>
      <c r="B25" s="1247"/>
      <c r="C25" s="1120" t="s">
        <v>305</v>
      </c>
      <c r="D25" s="1120"/>
      <c r="E25" s="1120"/>
      <c r="F25" s="1108">
        <v>0</v>
      </c>
      <c r="G25" s="1108"/>
      <c r="H25" s="1117" t="s">
        <v>0</v>
      </c>
      <c r="I25" s="1117"/>
      <c r="J25" s="1117"/>
      <c r="K25" s="1117"/>
      <c r="L25" s="1117"/>
      <c r="M25" s="1071">
        <v>0</v>
      </c>
      <c r="O25" s="688"/>
      <c r="P25" s="686"/>
      <c r="Q25" s="686"/>
      <c r="R25" s="686"/>
      <c r="S25" s="686"/>
      <c r="T25" s="686"/>
      <c r="U25" s="686"/>
      <c r="V25" s="686"/>
      <c r="W25" s="686"/>
      <c r="X25" s="687"/>
    </row>
    <row r="26" spans="1:24" ht="15" customHeight="1" x14ac:dyDescent="0.2">
      <c r="A26" s="1247"/>
      <c r="B26" s="1247"/>
      <c r="C26" s="1120" t="s">
        <v>306</v>
      </c>
      <c r="D26" s="1120"/>
      <c r="E26" s="1120"/>
      <c r="F26" s="1108">
        <v>0</v>
      </c>
      <c r="G26" s="1108"/>
      <c r="H26" s="1117"/>
      <c r="I26" s="1117"/>
      <c r="J26" s="1117"/>
      <c r="K26" s="1117"/>
      <c r="L26" s="1117"/>
      <c r="M26" s="1071">
        <v>0</v>
      </c>
      <c r="O26" s="688"/>
      <c r="P26" s="686"/>
      <c r="Q26" s="686"/>
      <c r="R26" s="686"/>
      <c r="S26" s="686"/>
      <c r="T26" s="686"/>
      <c r="U26" s="686"/>
      <c r="V26" s="686"/>
      <c r="W26" s="686"/>
      <c r="X26" s="687"/>
    </row>
    <row r="27" spans="1:24" ht="17.25" customHeight="1" x14ac:dyDescent="0.2">
      <c r="A27" s="1247"/>
      <c r="B27" s="1247"/>
      <c r="C27" s="256"/>
      <c r="D27" s="1182" t="s">
        <v>317</v>
      </c>
      <c r="E27" s="1182"/>
      <c r="F27" s="1109">
        <f>F10+F14+F21+F25+F26+F24</f>
        <v>0</v>
      </c>
      <c r="G27" s="1110"/>
      <c r="H27" s="1187"/>
      <c r="I27" s="1187"/>
      <c r="J27" s="1187"/>
      <c r="K27" s="1182" t="s">
        <v>317</v>
      </c>
      <c r="L27" s="1182"/>
      <c r="M27" s="1066">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929"/>
      <c r="P28" s="691"/>
      <c r="Q28" s="691"/>
      <c r="R28" s="691"/>
      <c r="S28" s="691"/>
      <c r="T28" s="691"/>
      <c r="U28" s="691"/>
      <c r="V28" s="691"/>
      <c r="W28" s="691"/>
      <c r="X28" s="692"/>
    </row>
    <row r="29" spans="1:24" ht="13.5" customHeight="1" x14ac:dyDescent="0.2">
      <c r="A29" s="1247"/>
      <c r="B29" s="1247"/>
      <c r="C29" s="1113" t="s">
        <v>318</v>
      </c>
      <c r="D29" s="1113"/>
      <c r="E29" s="1113"/>
      <c r="F29" s="1252">
        <f>ROUND(F27-M27,0)</f>
        <v>0</v>
      </c>
      <c r="G29" s="1253"/>
      <c r="H29" s="1113" t="s">
        <v>319</v>
      </c>
      <c r="I29" s="1113"/>
      <c r="J29" s="1113"/>
      <c r="K29" s="1113"/>
      <c r="L29" s="1113"/>
      <c r="M29" s="480">
        <f>M17+M21</f>
        <v>0</v>
      </c>
      <c r="N29" s="270"/>
      <c r="O29" s="688"/>
      <c r="P29" s="686"/>
      <c r="Q29" s="686"/>
      <c r="R29" s="686"/>
      <c r="S29" s="686"/>
      <c r="T29" s="686"/>
      <c r="U29" s="686"/>
      <c r="V29" s="686"/>
      <c r="W29" s="686"/>
      <c r="X29" s="687"/>
    </row>
    <row r="30" spans="1:24" ht="13.5"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567</v>
      </c>
      <c r="E31" s="1188"/>
      <c r="F31" s="1188"/>
      <c r="G31" s="1188"/>
      <c r="H31" s="1189"/>
      <c r="I31" s="1236" t="s">
        <v>321</v>
      </c>
      <c r="J31" s="1237"/>
      <c r="K31" s="1194" t="s">
        <v>322</v>
      </c>
      <c r="L31" s="1195"/>
      <c r="M31" s="627"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324</v>
      </c>
      <c r="J32" s="486">
        <v>2027</v>
      </c>
      <c r="K32" s="1114">
        <f>J32+1</f>
        <v>2028</v>
      </c>
      <c r="L32" s="1115"/>
      <c r="M32" s="486">
        <f>K32+1</f>
        <v>2029</v>
      </c>
      <c r="O32" s="688"/>
      <c r="P32" s="686"/>
      <c r="Q32" s="686"/>
      <c r="R32" s="686"/>
      <c r="S32" s="686"/>
      <c r="T32" s="686"/>
      <c r="U32" s="686"/>
      <c r="V32" s="686"/>
      <c r="W32" s="686"/>
      <c r="X32" s="687"/>
    </row>
    <row r="33" spans="2:27" ht="13.5" customHeight="1" x14ac:dyDescent="0.2">
      <c r="B33" s="254"/>
      <c r="C33" s="990"/>
      <c r="D33" s="1104" t="s">
        <v>325</v>
      </c>
      <c r="E33" s="1104"/>
      <c r="F33" s="1104"/>
      <c r="G33" s="1104"/>
      <c r="H33" s="1207"/>
      <c r="I33" s="561"/>
      <c r="J33" s="915">
        <v>12</v>
      </c>
      <c r="K33" s="1183">
        <v>12</v>
      </c>
      <c r="L33" s="1184"/>
      <c r="M33" s="915">
        <v>12</v>
      </c>
      <c r="O33" s="688"/>
      <c r="P33" s="686"/>
      <c r="Q33" s="686"/>
      <c r="R33" s="686"/>
      <c r="S33" s="686"/>
      <c r="T33" s="686"/>
      <c r="U33" s="686"/>
      <c r="V33" s="686"/>
      <c r="W33" s="686"/>
      <c r="X33" s="687"/>
    </row>
    <row r="34" spans="2:27" s="2" customFormat="1" ht="12.75" customHeight="1" x14ac:dyDescent="0.2">
      <c r="B34" s="90"/>
      <c r="C34" s="991" t="s">
        <v>131</v>
      </c>
      <c r="D34" s="1104" t="s">
        <v>326</v>
      </c>
      <c r="E34" s="1104"/>
      <c r="F34" s="1104"/>
      <c r="G34" s="1104"/>
      <c r="H34" s="1104"/>
      <c r="I34" s="487">
        <f>J34/J$33</f>
        <v>0</v>
      </c>
      <c r="J34" s="490">
        <f>'4 AT Lainat ja avustukset alv'!G30</f>
        <v>0</v>
      </c>
      <c r="K34" s="1205">
        <f>'4 AT Lainat ja avustukset alv'!H30</f>
        <v>0</v>
      </c>
      <c r="L34" s="1206">
        <f>'4 AT Lainat ja avustukset alv'!AE147</f>
        <v>0</v>
      </c>
      <c r="M34" s="523">
        <f>'4 AT Lainat ja avustukset alv'!I30</f>
        <v>0</v>
      </c>
      <c r="N34" s="264"/>
      <c r="O34" s="688"/>
      <c r="P34" s="686"/>
      <c r="Q34" s="686"/>
      <c r="R34" s="686"/>
      <c r="S34" s="686"/>
      <c r="T34" s="686"/>
      <c r="U34" s="686"/>
      <c r="V34" s="686"/>
      <c r="W34" s="686"/>
      <c r="X34" s="687"/>
    </row>
    <row r="35" spans="2:27" ht="12" customHeight="1" x14ac:dyDescent="0.2">
      <c r="B35" s="90"/>
      <c r="C35" s="992"/>
      <c r="D35" s="993" t="s">
        <v>558</v>
      </c>
      <c r="E35" s="993"/>
      <c r="F35" s="993"/>
      <c r="G35" s="993"/>
      <c r="H35" s="994"/>
      <c r="I35" s="488">
        <f>J35/J$33</f>
        <v>0</v>
      </c>
      <c r="J35" s="491">
        <f>'4 AT Lainat ja avustukset alv'!G22</f>
        <v>0</v>
      </c>
      <c r="K35" s="1111">
        <f>'4 AT Lainat ja avustukset alv'!H22</f>
        <v>0</v>
      </c>
      <c r="L35" s="1112">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6">
        <f>'4 AT Lainat ja avustukset alv'!I22</f>
        <v>0</v>
      </c>
      <c r="O35" s="688"/>
      <c r="P35" s="686"/>
      <c r="Q35" s="686"/>
      <c r="R35" s="686"/>
      <c r="S35" s="686"/>
      <c r="T35" s="686"/>
      <c r="U35" s="686"/>
      <c r="V35" s="686"/>
      <c r="W35" s="686"/>
      <c r="X35" s="687"/>
    </row>
    <row r="36" spans="2:27" ht="12" customHeight="1" x14ac:dyDescent="0.2">
      <c r="B36" s="90"/>
      <c r="C36" s="995"/>
      <c r="D36" s="996" t="s">
        <v>557</v>
      </c>
      <c r="E36" s="996"/>
      <c r="F36" s="996"/>
      <c r="G36" s="996"/>
      <c r="H36" s="996"/>
      <c r="I36" s="488">
        <v>0</v>
      </c>
      <c r="J36" s="491">
        <f>'4 AT Lainat ja avustukset alv'!G39</f>
        <v>0</v>
      </c>
      <c r="K36" s="1111">
        <f>'4 AT Lainat ja avustukset alv'!H39</f>
        <v>0</v>
      </c>
      <c r="L36" s="1112">
        <f>'4 AT Lainat ja avustukset alv'!I39</f>
        <v>0</v>
      </c>
      <c r="M36" s="916">
        <f>'4 AT Lainat ja avustukset alv'!I39</f>
        <v>0</v>
      </c>
      <c r="N36" s="265"/>
      <c r="O36" s="688"/>
      <c r="P36" s="686"/>
      <c r="Q36" s="686"/>
      <c r="R36" s="686"/>
      <c r="S36" s="686"/>
      <c r="T36" s="686"/>
      <c r="U36" s="686"/>
      <c r="V36" s="686"/>
      <c r="W36" s="686"/>
      <c r="X36" s="687"/>
    </row>
    <row r="37" spans="2:27" s="2" customFormat="1" ht="12.75" customHeight="1" x14ac:dyDescent="0.2">
      <c r="B37" s="604" t="s">
        <v>68</v>
      </c>
      <c r="C37" s="997" t="s">
        <v>132</v>
      </c>
      <c r="D37" s="259" t="s">
        <v>327</v>
      </c>
      <c r="E37" s="259"/>
      <c r="F37" s="29"/>
      <c r="G37" s="29"/>
      <c r="H37" s="29"/>
      <c r="I37" s="487">
        <f>J37/J$33</f>
        <v>0</v>
      </c>
      <c r="J37" s="492">
        <f>IF($M16=0,0,-J33*PMT($J16/12,$K16*12,$M16)+J33*10)</f>
        <v>0</v>
      </c>
      <c r="K37" s="1096">
        <f>IF($M16=0,0,-K33*PMT($J16/12,$K16*12,$M16)+K33*10)</f>
        <v>0</v>
      </c>
      <c r="L37" s="1097">
        <f>IF($M16=0,0,-L33*PMT($J16/12,$K16*12,$M16)+L33*10)</f>
        <v>0</v>
      </c>
      <c r="M37" s="447">
        <f>IF($M16=0,0,-M33*PMT($J16/12,$K16*12,$M16)+M33*10)</f>
        <v>0</v>
      </c>
      <c r="O37" s="1160" t="s">
        <v>387</v>
      </c>
      <c r="P37" s="1161"/>
      <c r="Q37" s="686"/>
      <c r="R37" s="686"/>
      <c r="S37" s="686"/>
      <c r="T37" s="686"/>
      <c r="U37" s="686"/>
      <c r="V37" s="686"/>
      <c r="W37" s="686"/>
      <c r="X37" s="687"/>
    </row>
    <row r="38" spans="2:27" s="2" customFormat="1" ht="12.75" customHeight="1" x14ac:dyDescent="0.2">
      <c r="B38" s="253" t="s">
        <v>55</v>
      </c>
      <c r="C38" s="991" t="s">
        <v>133</v>
      </c>
      <c r="D38" s="1104" t="s">
        <v>328</v>
      </c>
      <c r="E38" s="1104"/>
      <c r="F38" s="1104"/>
      <c r="G38" s="1104"/>
      <c r="H38" s="1104"/>
      <c r="I38" s="487">
        <f>J38/J$33</f>
        <v>0</v>
      </c>
      <c r="J38" s="492">
        <f>J39*J41</f>
        <v>0</v>
      </c>
      <c r="K38" s="1096">
        <f>K39*K41</f>
        <v>0</v>
      </c>
      <c r="L38" s="1097"/>
      <c r="M38" s="447">
        <f>M39*M41</f>
        <v>0</v>
      </c>
      <c r="O38" s="476">
        <f>K$32</f>
        <v>2028</v>
      </c>
      <c r="P38" s="476">
        <f>M$32</f>
        <v>2029</v>
      </c>
      <c r="Q38" s="686"/>
      <c r="R38" s="686"/>
      <c r="S38" s="686"/>
      <c r="T38" s="686"/>
      <c r="U38" s="686"/>
      <c r="V38" s="686"/>
      <c r="W38" s="686"/>
      <c r="X38" s="687"/>
    </row>
    <row r="39" spans="2:27" s="2" customFormat="1" ht="12" customHeight="1" x14ac:dyDescent="0.2">
      <c r="B39" s="278"/>
      <c r="C39" s="998"/>
      <c r="D39" s="993" t="s">
        <v>556</v>
      </c>
      <c r="E39" s="993" t="s">
        <v>0</v>
      </c>
      <c r="F39" s="993"/>
      <c r="G39" s="993"/>
      <c r="H39" s="994"/>
      <c r="I39" s="488"/>
      <c r="J39" s="493">
        <v>0</v>
      </c>
      <c r="K39" s="1092">
        <f>J39+J39*O39</f>
        <v>0</v>
      </c>
      <c r="L39" s="1093">
        <f>K39 +K39*O39</f>
        <v>0</v>
      </c>
      <c r="M39" s="501">
        <f>K39+K39*P39</f>
        <v>0</v>
      </c>
      <c r="O39" s="474">
        <v>0.03</v>
      </c>
      <c r="P39" s="474">
        <f t="shared" ref="P39" si="0">O39</f>
        <v>0.03</v>
      </c>
      <c r="Q39" s="686"/>
      <c r="R39" s="686"/>
      <c r="S39" s="686"/>
      <c r="T39" s="686"/>
      <c r="U39" s="686"/>
      <c r="V39" s="686"/>
      <c r="W39" s="686"/>
      <c r="X39" s="687"/>
    </row>
    <row r="40" spans="2:27" s="2" customFormat="1" ht="12" customHeight="1" x14ac:dyDescent="0.2">
      <c r="B40" s="278"/>
      <c r="C40" s="999"/>
      <c r="D40" s="1000" t="s">
        <v>555</v>
      </c>
      <c r="E40" s="1000"/>
      <c r="F40" s="1000"/>
      <c r="G40" s="1000"/>
      <c r="H40" s="1001"/>
      <c r="I40" s="488"/>
      <c r="J40" s="493">
        <v>0</v>
      </c>
      <c r="K40" s="1126">
        <f>J40</f>
        <v>0</v>
      </c>
      <c r="L40" s="1127"/>
      <c r="M40" s="501">
        <f>K40</f>
        <v>0</v>
      </c>
      <c r="O40" s="658"/>
      <c r="P40" s="659"/>
      <c r="Q40" s="686"/>
      <c r="R40" s="686"/>
      <c r="S40" s="686"/>
      <c r="T40" s="686"/>
      <c r="U40" s="686"/>
      <c r="V40" s="686"/>
      <c r="W40" s="686"/>
      <c r="X40" s="687"/>
    </row>
    <row r="41" spans="2:27" s="2" customFormat="1" ht="12" customHeight="1" x14ac:dyDescent="0.2">
      <c r="B41" s="278"/>
      <c r="C41" s="1002"/>
      <c r="D41" s="1003" t="s">
        <v>554</v>
      </c>
      <c r="E41" s="1003"/>
      <c r="F41" s="1003"/>
      <c r="G41" s="1003"/>
      <c r="H41" s="1004"/>
      <c r="I41" s="488">
        <v>0</v>
      </c>
      <c r="J41" s="494">
        <f>J33</f>
        <v>12</v>
      </c>
      <c r="K41" s="1098">
        <v>12.5</v>
      </c>
      <c r="L41" s="1099"/>
      <c r="M41" s="502">
        <f>K41</f>
        <v>12.5</v>
      </c>
      <c r="O41" s="660"/>
      <c r="P41" s="661"/>
      <c r="Q41" s="686"/>
      <c r="R41" s="686"/>
      <c r="S41" s="686"/>
      <c r="T41" s="686"/>
      <c r="U41" s="686"/>
      <c r="V41" s="686"/>
      <c r="W41" s="686"/>
      <c r="X41" s="687"/>
    </row>
    <row r="42" spans="2:27" s="2" customFormat="1" ht="12.75" customHeight="1" x14ac:dyDescent="0.2">
      <c r="B42" s="253" t="s">
        <v>55</v>
      </c>
      <c r="C42" s="1005" t="s">
        <v>134</v>
      </c>
      <c r="D42" s="1107" t="s">
        <v>332</v>
      </c>
      <c r="E42" s="1107"/>
      <c r="F42" s="1107"/>
      <c r="G42" s="1107"/>
      <c r="H42" s="1107"/>
      <c r="I42" s="487">
        <f>J42/J$33</f>
        <v>0</v>
      </c>
      <c r="J42" s="492">
        <f>J43*J45</f>
        <v>0</v>
      </c>
      <c r="K42" s="1096">
        <f t="shared" ref="K42:L42" si="1">K43*K45+K44*K45*$Z45</f>
        <v>0</v>
      </c>
      <c r="L42" s="1097">
        <f t="shared" si="1"/>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998"/>
      <c r="D43" s="993" t="s">
        <v>556</v>
      </c>
      <c r="E43" s="993" t="s">
        <v>0</v>
      </c>
      <c r="F43" s="993"/>
      <c r="G43" s="993"/>
      <c r="H43" s="994"/>
      <c r="I43" s="488">
        <v>0</v>
      </c>
      <c r="J43" s="493">
        <v>0</v>
      </c>
      <c r="K43" s="1092">
        <f>J43+J43*O43</f>
        <v>0</v>
      </c>
      <c r="L43" s="1093">
        <f>K43 +K43*O43</f>
        <v>0</v>
      </c>
      <c r="M43" s="501">
        <f>K43+K43*P43</f>
        <v>0</v>
      </c>
      <c r="O43" s="474">
        <v>0.03</v>
      </c>
      <c r="P43" s="474">
        <f t="shared" ref="P43" si="2">O43</f>
        <v>0.03</v>
      </c>
      <c r="Q43" s="686"/>
      <c r="R43" s="686"/>
      <c r="S43" s="686"/>
      <c r="T43" s="686"/>
      <c r="U43" s="686"/>
      <c r="V43" s="686"/>
      <c r="W43" s="686"/>
      <c r="X43" s="687"/>
      <c r="Z43" s="80"/>
    </row>
    <row r="44" spans="2:27" s="2" customFormat="1" ht="12" customHeight="1" x14ac:dyDescent="0.2">
      <c r="B44" s="278"/>
      <c r="C44" s="999"/>
      <c r="D44" s="1000" t="s">
        <v>555</v>
      </c>
      <c r="E44" s="1000"/>
      <c r="F44" s="1000"/>
      <c r="G44" s="1000"/>
      <c r="H44" s="1001"/>
      <c r="I44" s="488"/>
      <c r="J44" s="493">
        <v>0</v>
      </c>
      <c r="K44" s="1126">
        <f>J44</f>
        <v>0</v>
      </c>
      <c r="L44" s="1127"/>
      <c r="M44" s="501">
        <f>K44</f>
        <v>0</v>
      </c>
      <c r="O44" s="658"/>
      <c r="P44" s="659"/>
      <c r="Q44" s="686"/>
      <c r="R44" s="686"/>
      <c r="S44" s="686"/>
      <c r="T44" s="686"/>
      <c r="U44" s="686"/>
      <c r="V44" s="686"/>
      <c r="W44" s="686"/>
      <c r="X44" s="687"/>
      <c r="Z44" s="293"/>
      <c r="AA44" s="29"/>
    </row>
    <row r="45" spans="2:27" s="22" customFormat="1" ht="12" customHeight="1" x14ac:dyDescent="0.2">
      <c r="B45" s="90"/>
      <c r="C45" s="1007"/>
      <c r="D45" s="1008" t="s">
        <v>554</v>
      </c>
      <c r="E45" s="1008"/>
      <c r="F45" s="1008"/>
      <c r="G45" s="1008"/>
      <c r="H45" s="1008"/>
      <c r="I45" s="488">
        <v>0</v>
      </c>
      <c r="J45" s="494">
        <v>0</v>
      </c>
      <c r="K45" s="1098">
        <v>12.5</v>
      </c>
      <c r="L45" s="1099"/>
      <c r="M45" s="502">
        <f>K45</f>
        <v>12.5</v>
      </c>
      <c r="O45" s="658"/>
      <c r="P45" s="659"/>
      <c r="Q45" s="686"/>
      <c r="R45" s="686"/>
      <c r="S45" s="686"/>
      <c r="T45" s="686"/>
      <c r="U45" s="686"/>
      <c r="V45" s="686"/>
      <c r="W45" s="686"/>
      <c r="X45" s="687"/>
      <c r="Z45" s="80"/>
    </row>
    <row r="46" spans="2:27" s="2" customFormat="1" ht="12.75" customHeight="1" x14ac:dyDescent="0.2">
      <c r="B46" s="253" t="s">
        <v>55</v>
      </c>
      <c r="C46" s="991" t="s">
        <v>135</v>
      </c>
      <c r="D46" s="1104" t="s">
        <v>333</v>
      </c>
      <c r="E46" s="1207"/>
      <c r="F46" s="1171">
        <v>0.35</v>
      </c>
      <c r="G46" s="1172"/>
      <c r="H46" s="1009" t="s">
        <v>0</v>
      </c>
      <c r="I46" s="487">
        <f>J46/J$33</f>
        <v>0</v>
      </c>
      <c r="J46" s="492">
        <f>$F46*(J42+J44*J45)</f>
        <v>0</v>
      </c>
      <c r="K46" s="1238">
        <f>$F46*(K42+K44*K33)</f>
        <v>0</v>
      </c>
      <c r="L46" s="1239"/>
      <c r="M46" s="484">
        <f>$F46*(M42+M44*M33)</f>
        <v>0</v>
      </c>
      <c r="O46" s="1158"/>
      <c r="P46" s="1159"/>
      <c r="Q46" s="686"/>
      <c r="R46" s="686"/>
      <c r="S46" s="686"/>
      <c r="T46" s="686"/>
      <c r="U46" s="686"/>
      <c r="V46" s="686"/>
      <c r="W46" s="686"/>
      <c r="X46" s="687"/>
    </row>
    <row r="47" spans="2:27" s="2" customFormat="1" ht="12.75" customHeight="1" x14ac:dyDescent="0.2">
      <c r="B47" s="253" t="s">
        <v>56</v>
      </c>
      <c r="C47" s="1005" t="s">
        <v>136</v>
      </c>
      <c r="D47" s="1010" t="s">
        <v>334</v>
      </c>
      <c r="E47" s="1011"/>
      <c r="F47" s="1011"/>
      <c r="G47" s="1011"/>
      <c r="H47" s="1011"/>
      <c r="I47" s="487">
        <f>J47/J$33</f>
        <v>0</v>
      </c>
      <c r="J47" s="492">
        <f>J48*J49+J50+J51</f>
        <v>0</v>
      </c>
      <c r="K47" s="1096">
        <f t="shared" ref="K47:L47" si="3">K48*K49+K50+K51</f>
        <v>0</v>
      </c>
      <c r="L47" s="1097" t="e">
        <f t="shared" si="3"/>
        <v>#VALUE!</v>
      </c>
      <c r="M47" s="484">
        <f>M48*M49+M50+M51</f>
        <v>0</v>
      </c>
      <c r="O47" s="476">
        <f>K$32</f>
        <v>2028</v>
      </c>
      <c r="P47" s="476">
        <f>M$32</f>
        <v>2029</v>
      </c>
      <c r="Q47" s="686"/>
      <c r="R47" s="686"/>
      <c r="S47" s="686"/>
      <c r="T47" s="686"/>
      <c r="U47" s="686"/>
      <c r="V47" s="686"/>
      <c r="W47" s="686"/>
      <c r="X47" s="687"/>
    </row>
    <row r="48" spans="2:27" ht="12" customHeight="1" x14ac:dyDescent="0.2">
      <c r="B48" s="90" t="s">
        <v>0</v>
      </c>
      <c r="C48" s="992"/>
      <c r="D48" s="993" t="s">
        <v>553</v>
      </c>
      <c r="E48" s="993"/>
      <c r="F48" s="993"/>
      <c r="G48" s="993"/>
      <c r="H48" s="994"/>
      <c r="I48" s="488">
        <v>0</v>
      </c>
      <c r="J48" s="495">
        <f>J38+J40*J41</f>
        <v>0</v>
      </c>
      <c r="K48" s="1249">
        <f>J48+J48*O48</f>
        <v>0</v>
      </c>
      <c r="L48" s="1250">
        <f>K48 +K48*O48</f>
        <v>0</v>
      </c>
      <c r="M48" s="503">
        <f>K48+K48*P48</f>
        <v>0</v>
      </c>
      <c r="O48" s="475">
        <v>0.03</v>
      </c>
      <c r="P48" s="475">
        <f>O48</f>
        <v>0.03</v>
      </c>
      <c r="Q48" s="686"/>
      <c r="R48" s="686"/>
      <c r="S48" s="686"/>
      <c r="T48" s="686"/>
      <c r="U48" s="686"/>
      <c r="V48" s="686"/>
      <c r="W48" s="686"/>
      <c r="X48" s="687"/>
    </row>
    <row r="49" spans="2:24" ht="12" customHeight="1" x14ac:dyDescent="0.2">
      <c r="B49" s="90"/>
      <c r="C49" s="1012"/>
      <c r="D49" s="1000" t="s">
        <v>552</v>
      </c>
      <c r="E49" s="1000"/>
      <c r="F49" s="1000"/>
      <c r="G49" s="1000"/>
      <c r="H49" s="1001"/>
      <c r="I49" s="488">
        <v>0</v>
      </c>
      <c r="J49" s="496">
        <v>0.1903</v>
      </c>
      <c r="K49" s="1138">
        <f>J49</f>
        <v>0.1903</v>
      </c>
      <c r="L49" s="1139"/>
      <c r="M49" s="504">
        <f>K49</f>
        <v>0.1903</v>
      </c>
      <c r="O49" s="662"/>
      <c r="P49" s="663"/>
      <c r="Q49" s="686"/>
      <c r="R49" s="686"/>
      <c r="S49" s="686"/>
      <c r="T49" s="686"/>
      <c r="U49" s="686"/>
      <c r="V49" s="686"/>
      <c r="W49" s="686"/>
      <c r="X49" s="687"/>
    </row>
    <row r="50" spans="2:24" ht="12" customHeight="1" x14ac:dyDescent="0.2">
      <c r="B50" s="90"/>
      <c r="C50" s="1013"/>
      <c r="D50" s="1000" t="s">
        <v>551</v>
      </c>
      <c r="E50" s="1000"/>
      <c r="F50" s="1000"/>
      <c r="G50" s="1000"/>
      <c r="H50" s="1001"/>
      <c r="I50" s="489">
        <v>0</v>
      </c>
      <c r="J50" s="493">
        <v>0</v>
      </c>
      <c r="K50" s="1092">
        <f>J50</f>
        <v>0</v>
      </c>
      <c r="L50" s="1093" t="e">
        <f>K50*12/K$11</f>
        <v>#VALUE!</v>
      </c>
      <c r="M50" s="501">
        <f>K50</f>
        <v>0</v>
      </c>
      <c r="O50" s="667"/>
      <c r="P50" s="668"/>
      <c r="Q50" s="686"/>
      <c r="R50" s="686"/>
      <c r="S50" s="686"/>
      <c r="T50" s="686"/>
      <c r="U50" s="686"/>
      <c r="V50" s="686"/>
      <c r="W50" s="686"/>
      <c r="X50" s="687"/>
    </row>
    <row r="51" spans="2:24" s="22" customFormat="1" ht="12" customHeight="1" x14ac:dyDescent="0.2">
      <c r="B51" s="90"/>
      <c r="C51" s="1014"/>
      <c r="D51" s="996" t="s">
        <v>550</v>
      </c>
      <c r="E51" s="996"/>
      <c r="F51" s="1015"/>
      <c r="G51" s="1015"/>
      <c r="H51" s="1016"/>
      <c r="I51" s="488">
        <v>0</v>
      </c>
      <c r="J51" s="497">
        <f>J33*((1.7%*J48+1.91%*(J38+J40*12))+0.008*$M10)/12</f>
        <v>0</v>
      </c>
      <c r="K51" s="1240">
        <f>K33*((1.7%*K48+1.91%*(K38+K40*12))+0.008*$M10)/12</f>
        <v>0</v>
      </c>
      <c r="L51" s="1241">
        <f t="shared" ref="L51" si="4">L33*((1.7%*L48+1.16%*(L38+L40*12))+0.008*$M10)/12</f>
        <v>0</v>
      </c>
      <c r="M51" s="500">
        <f>M33*((1.7%*M48+1.91%*(M38+M40*12))+0.008*$M10)/12</f>
        <v>0</v>
      </c>
      <c r="O51" s="474">
        <v>0.03</v>
      </c>
      <c r="P51" s="474">
        <f t="shared" ref="P51" si="5">O51</f>
        <v>0.03</v>
      </c>
      <c r="Q51" s="686"/>
      <c r="R51" s="686"/>
      <c r="S51" s="686"/>
      <c r="T51" s="686"/>
      <c r="U51" s="686"/>
      <c r="V51" s="686"/>
      <c r="W51" s="686"/>
      <c r="X51" s="687"/>
    </row>
    <row r="52" spans="2:24" s="2" customFormat="1" ht="12.75" customHeight="1" x14ac:dyDescent="0.2">
      <c r="B52" s="253" t="s">
        <v>69</v>
      </c>
      <c r="C52" s="991" t="s">
        <v>137</v>
      </c>
      <c r="D52" s="1017" t="s">
        <v>335</v>
      </c>
      <c r="E52" s="988"/>
      <c r="F52" s="1018"/>
      <c r="G52" s="1018"/>
      <c r="H52" s="1009"/>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998"/>
      <c r="D53" s="993" t="s">
        <v>549</v>
      </c>
      <c r="E53" s="993"/>
      <c r="F53" s="1019"/>
      <c r="G53" s="1019"/>
      <c r="H53" s="994"/>
      <c r="I53" s="556">
        <v>0</v>
      </c>
      <c r="J53" s="558">
        <v>0</v>
      </c>
      <c r="K53" s="1242">
        <f>(J53+J53*O53)*12/J$33</f>
        <v>0</v>
      </c>
      <c r="L53" s="1243" t="e">
        <f>K53*12/K$11</f>
        <v>#VALUE!</v>
      </c>
      <c r="M53" s="501">
        <f>K53+K53*P53</f>
        <v>0</v>
      </c>
      <c r="O53" s="475">
        <v>0.03</v>
      </c>
      <c r="P53" s="475">
        <f>O53</f>
        <v>0.03</v>
      </c>
      <c r="Q53" s="686"/>
      <c r="R53" s="686"/>
      <c r="S53" s="686"/>
      <c r="T53" s="686"/>
      <c r="U53" s="686"/>
      <c r="V53" s="686"/>
      <c r="W53" s="686"/>
      <c r="X53" s="687"/>
    </row>
    <row r="54" spans="2:24" s="30" customFormat="1" ht="12" customHeight="1" x14ac:dyDescent="0.2">
      <c r="B54" s="90"/>
      <c r="C54" s="1002"/>
      <c r="D54" s="1208" t="s">
        <v>548</v>
      </c>
      <c r="E54" s="1208"/>
      <c r="F54" s="1208"/>
      <c r="G54" s="1208"/>
      <c r="H54" s="1209"/>
      <c r="I54" s="488">
        <v>0</v>
      </c>
      <c r="J54" s="493">
        <v>0</v>
      </c>
      <c r="K54" s="1092">
        <f>(J54+J54*O54)*12/J$33</f>
        <v>0</v>
      </c>
      <c r="L54" s="1093" t="e">
        <f>K54*12/K$11</f>
        <v>#VALUE!</v>
      </c>
      <c r="M54" s="501">
        <f>K54+K54*P54</f>
        <v>0</v>
      </c>
      <c r="O54" s="474">
        <v>0.03</v>
      </c>
      <c r="P54" s="474">
        <f>O54</f>
        <v>0.03</v>
      </c>
      <c r="Q54" s="686"/>
      <c r="R54" s="686"/>
      <c r="S54" s="686"/>
      <c r="T54" s="686"/>
      <c r="U54" s="686"/>
      <c r="V54" s="686"/>
      <c r="W54" s="686"/>
      <c r="X54" s="687"/>
    </row>
    <row r="55" spans="2:24" s="2" customFormat="1" ht="12.75" customHeight="1" x14ac:dyDescent="0.2">
      <c r="B55" s="253" t="s">
        <v>70</v>
      </c>
      <c r="C55" s="1005" t="s">
        <v>138</v>
      </c>
      <c r="D55" s="1010" t="s">
        <v>336</v>
      </c>
      <c r="E55" s="1011"/>
      <c r="F55" s="1011"/>
      <c r="G55" s="1011"/>
      <c r="H55" s="1011"/>
      <c r="I55" s="487">
        <f t="shared" ref="I55" si="6">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998"/>
      <c r="D56" s="993" t="s">
        <v>547</v>
      </c>
      <c r="E56" s="993"/>
      <c r="F56" s="993"/>
      <c r="G56" s="993"/>
      <c r="H56" s="994"/>
      <c r="I56" s="488">
        <v>0</v>
      </c>
      <c r="J56" s="493">
        <v>0</v>
      </c>
      <c r="K56" s="1092">
        <f>(J56+J56*O56)*12/J$33</f>
        <v>0</v>
      </c>
      <c r="L56" s="1093" t="e">
        <f>K56*12/K$11</f>
        <v>#VALUE!</v>
      </c>
      <c r="M56" s="501">
        <f>K56+K56*P56</f>
        <v>0</v>
      </c>
      <c r="O56" s="474">
        <v>0.03</v>
      </c>
      <c r="P56" s="474">
        <f>O56</f>
        <v>0.03</v>
      </c>
      <c r="Q56" s="686"/>
      <c r="R56" s="686"/>
      <c r="S56" s="686"/>
      <c r="T56" s="686"/>
      <c r="U56" s="686"/>
      <c r="V56" s="686"/>
      <c r="W56" s="686"/>
      <c r="X56" s="687"/>
    </row>
    <row r="57" spans="2:24" s="22" customFormat="1" ht="12" customHeight="1" x14ac:dyDescent="0.2">
      <c r="B57" s="90"/>
      <c r="C57" s="999"/>
      <c r="D57" s="1210" t="s">
        <v>546</v>
      </c>
      <c r="E57" s="1210"/>
      <c r="F57" s="1210"/>
      <c r="G57" s="1210"/>
      <c r="H57" s="1211"/>
      <c r="I57" s="488">
        <v>0</v>
      </c>
      <c r="J57" s="493">
        <v>0</v>
      </c>
      <c r="K57" s="1092">
        <f>(J57+J57*O57)*12/J$33</f>
        <v>0</v>
      </c>
      <c r="L57" s="1093" t="e">
        <f>K57*12/K$11</f>
        <v>#VALUE!</v>
      </c>
      <c r="M57" s="501">
        <f>K57+K57*P57</f>
        <v>0</v>
      </c>
      <c r="O57" s="474">
        <v>0.03</v>
      </c>
      <c r="P57" s="474">
        <f>O57</f>
        <v>0.03</v>
      </c>
      <c r="Q57" s="686"/>
      <c r="R57" s="686"/>
      <c r="S57" s="686"/>
      <c r="T57" s="686" t="s">
        <v>0</v>
      </c>
      <c r="U57" s="686"/>
      <c r="V57" s="686"/>
      <c r="W57" s="686"/>
      <c r="X57" s="687"/>
    </row>
    <row r="58" spans="2:24" s="22" customFormat="1" ht="12" customHeight="1" x14ac:dyDescent="0.2">
      <c r="B58" s="90"/>
      <c r="C58" s="1022"/>
      <c r="D58" s="1212" t="s">
        <v>545</v>
      </c>
      <c r="E58" s="1212"/>
      <c r="F58" s="1212"/>
      <c r="G58" s="1212"/>
      <c r="H58" s="1213"/>
      <c r="I58" s="488">
        <v>0</v>
      </c>
      <c r="J58" s="493">
        <v>0</v>
      </c>
      <c r="K58" s="1092">
        <f>(J58+J58*O58)*12/J$33</f>
        <v>0</v>
      </c>
      <c r="L58" s="1093" t="e">
        <f>K58*12/K$11</f>
        <v>#VALUE!</v>
      </c>
      <c r="M58" s="501">
        <f>K58+K58*P58</f>
        <v>0</v>
      </c>
      <c r="O58" s="474">
        <v>0.03</v>
      </c>
      <c r="P58" s="474">
        <f>O58</f>
        <v>0.03</v>
      </c>
      <c r="Q58" s="686"/>
      <c r="R58" s="686"/>
      <c r="S58" s="686"/>
      <c r="T58" s="686"/>
      <c r="U58" s="686"/>
      <c r="V58" s="686"/>
      <c r="W58" s="686"/>
      <c r="X58" s="687"/>
    </row>
    <row r="59" spans="2:24" s="2" customFormat="1" ht="12.75" customHeight="1" x14ac:dyDescent="0.2">
      <c r="B59" s="253" t="s">
        <v>57</v>
      </c>
      <c r="C59" s="991" t="s">
        <v>139</v>
      </c>
      <c r="D59" s="1010" t="s">
        <v>337</v>
      </c>
      <c r="E59" s="988"/>
      <c r="F59" s="988"/>
      <c r="G59" s="988"/>
      <c r="H59" s="986"/>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998"/>
      <c r="D60" s="1024" t="s">
        <v>544</v>
      </c>
      <c r="E60" s="1025"/>
      <c r="F60" s="1025"/>
      <c r="G60" s="1025"/>
      <c r="H60" s="1025"/>
      <c r="I60" s="488">
        <v>0</v>
      </c>
      <c r="J60" s="497">
        <f>J62*J61</f>
        <v>0</v>
      </c>
      <c r="K60" s="1111">
        <f t="shared" ref="K60:L60" si="7">K62*K61</f>
        <v>0</v>
      </c>
      <c r="L60" s="1112">
        <f t="shared" si="7"/>
        <v>0</v>
      </c>
      <c r="M60" s="500">
        <f>M62*M61</f>
        <v>0</v>
      </c>
      <c r="O60" s="476">
        <f>K$32</f>
        <v>2028</v>
      </c>
      <c r="P60" s="476">
        <f>M$32</f>
        <v>2029</v>
      </c>
      <c r="Q60" s="686"/>
      <c r="R60" s="686"/>
      <c r="S60" s="686"/>
      <c r="T60" s="686"/>
      <c r="U60" s="686"/>
      <c r="V60" s="686"/>
      <c r="W60" s="686"/>
      <c r="X60" s="687"/>
    </row>
    <row r="61" spans="2:24" s="22" customFormat="1" ht="12" customHeight="1" x14ac:dyDescent="0.2">
      <c r="B61" s="90"/>
      <c r="C61" s="999"/>
      <c r="D61" s="1000" t="s">
        <v>543</v>
      </c>
      <c r="E61" s="1020"/>
      <c r="F61" s="1020"/>
      <c r="G61" s="1020"/>
      <c r="H61" s="1020"/>
      <c r="I61" s="488">
        <f>J61</f>
        <v>0</v>
      </c>
      <c r="J61" s="493">
        <v>0</v>
      </c>
      <c r="K61" s="1092">
        <f>I61+I61*O61</f>
        <v>0</v>
      </c>
      <c r="L61" s="1093">
        <f t="shared" ref="L61" si="8">J61+J61*O61</f>
        <v>0</v>
      </c>
      <c r="M61" s="501">
        <f>K61+K61*P61</f>
        <v>0</v>
      </c>
      <c r="O61" s="475">
        <v>0.03</v>
      </c>
      <c r="P61" s="475">
        <f t="shared" ref="P61:P67" si="9">O61</f>
        <v>0.03</v>
      </c>
      <c r="Q61" s="686"/>
      <c r="R61" s="686"/>
      <c r="S61" s="686"/>
      <c r="T61" s="686"/>
      <c r="U61" s="686"/>
      <c r="V61" s="686"/>
      <c r="W61" s="686"/>
      <c r="X61" s="687"/>
    </row>
    <row r="62" spans="2:24" s="22" customFormat="1" ht="12" customHeight="1" x14ac:dyDescent="0.2">
      <c r="B62" s="90"/>
      <c r="C62" s="999"/>
      <c r="D62" s="30" t="s">
        <v>542</v>
      </c>
      <c r="E62" s="1020"/>
      <c r="F62" s="1020"/>
      <c r="G62" s="1020"/>
      <c r="H62" s="1020"/>
      <c r="I62" s="488">
        <v>0</v>
      </c>
      <c r="J62" s="493">
        <v>12</v>
      </c>
      <c r="K62" s="1092">
        <f>J62</f>
        <v>12</v>
      </c>
      <c r="L62" s="1093">
        <f>L33</f>
        <v>0</v>
      </c>
      <c r="M62" s="501">
        <f>K62</f>
        <v>12</v>
      </c>
      <c r="O62" s="671"/>
      <c r="P62" s="672"/>
      <c r="Q62" s="686"/>
      <c r="R62" s="686"/>
      <c r="S62" s="686"/>
      <c r="T62" s="686"/>
      <c r="U62" s="686"/>
      <c r="V62" s="686"/>
      <c r="W62" s="686"/>
      <c r="X62" s="687"/>
    </row>
    <row r="63" spans="2:24" s="22" customFormat="1" ht="12" customHeight="1" x14ac:dyDescent="0.2">
      <c r="B63" s="90"/>
      <c r="C63" s="999"/>
      <c r="D63" s="1000" t="s">
        <v>541</v>
      </c>
      <c r="E63" s="1020"/>
      <c r="F63" s="1020"/>
      <c r="G63" s="1020"/>
      <c r="H63" s="1020"/>
      <c r="I63" s="488">
        <f t="shared" ref="I63:I70" si="10">J63/J$33</f>
        <v>0</v>
      </c>
      <c r="J63" s="493">
        <v>0</v>
      </c>
      <c r="K63" s="1092">
        <f t="shared" ref="K63:K68" si="11">(J63+J63*O63)*12/J$33</f>
        <v>0</v>
      </c>
      <c r="L63" s="1093" t="e">
        <f t="shared" ref="L63:L68" si="12">K63*12/K$11</f>
        <v>#VALUE!</v>
      </c>
      <c r="M63" s="501">
        <f t="shared" ref="M63:M70" si="13">K63+K63*P63</f>
        <v>0</v>
      </c>
      <c r="O63" s="474">
        <v>0.03</v>
      </c>
      <c r="P63" s="474">
        <f t="shared" si="9"/>
        <v>0.03</v>
      </c>
      <c r="Q63" s="686"/>
      <c r="R63" s="686"/>
      <c r="S63" s="686"/>
      <c r="T63" s="686"/>
      <c r="U63" s="686"/>
      <c r="V63" s="686"/>
      <c r="W63" s="686"/>
      <c r="X63" s="687"/>
    </row>
    <row r="64" spans="2:24" s="22" customFormat="1" ht="12" customHeight="1" x14ac:dyDescent="0.2">
      <c r="B64" s="90"/>
      <c r="C64" s="999"/>
      <c r="D64" s="1000" t="s">
        <v>540</v>
      </c>
      <c r="E64" s="1020"/>
      <c r="F64" s="1020"/>
      <c r="G64" s="1020"/>
      <c r="H64" s="1021"/>
      <c r="I64" s="488">
        <f t="shared" si="10"/>
        <v>0</v>
      </c>
      <c r="J64" s="493">
        <v>0</v>
      </c>
      <c r="K64" s="1092">
        <f t="shared" si="11"/>
        <v>0</v>
      </c>
      <c r="L64" s="1093" t="e">
        <f t="shared" si="12"/>
        <v>#VALUE!</v>
      </c>
      <c r="M64" s="501">
        <f t="shared" si="13"/>
        <v>0</v>
      </c>
      <c r="O64" s="474">
        <v>0.03</v>
      </c>
      <c r="P64" s="474">
        <f t="shared" si="9"/>
        <v>0.03</v>
      </c>
      <c r="Q64" s="686"/>
      <c r="R64" s="686"/>
      <c r="S64" s="686"/>
      <c r="T64" s="686"/>
      <c r="U64" s="686"/>
      <c r="V64" s="686"/>
      <c r="W64" s="686"/>
      <c r="X64" s="687"/>
    </row>
    <row r="65" spans="1:24" s="22" customFormat="1" ht="12" customHeight="1" x14ac:dyDescent="0.2">
      <c r="B65" s="90"/>
      <c r="C65" s="999"/>
      <c r="D65" s="1000" t="s">
        <v>539</v>
      </c>
      <c r="E65" s="1020"/>
      <c r="F65" s="1020"/>
      <c r="G65" s="1020"/>
      <c r="H65" s="1021"/>
      <c r="I65" s="488">
        <f t="shared" si="10"/>
        <v>0</v>
      </c>
      <c r="J65" s="493">
        <v>0</v>
      </c>
      <c r="K65" s="1092">
        <f t="shared" si="11"/>
        <v>0</v>
      </c>
      <c r="L65" s="1093" t="e">
        <f t="shared" si="12"/>
        <v>#VALUE!</v>
      </c>
      <c r="M65" s="501">
        <f t="shared" si="13"/>
        <v>0</v>
      </c>
      <c r="O65" s="474">
        <v>0.03</v>
      </c>
      <c r="P65" s="474">
        <f t="shared" si="9"/>
        <v>0.03</v>
      </c>
      <c r="Q65" s="686"/>
      <c r="R65" s="686"/>
      <c r="S65" s="686"/>
      <c r="T65" s="686"/>
      <c r="U65" s="686"/>
      <c r="V65" s="686"/>
      <c r="W65" s="686"/>
      <c r="X65" s="687"/>
    </row>
    <row r="66" spans="1:24" s="22" customFormat="1" ht="12" customHeight="1" x14ac:dyDescent="0.2">
      <c r="B66" s="90"/>
      <c r="C66" s="999"/>
      <c r="D66" s="1020" t="s">
        <v>538</v>
      </c>
      <c r="E66" s="1020"/>
      <c r="F66" s="1020"/>
      <c r="G66" s="1020"/>
      <c r="H66" s="1021"/>
      <c r="I66" s="488">
        <f t="shared" si="10"/>
        <v>0</v>
      </c>
      <c r="J66" s="493">
        <v>0</v>
      </c>
      <c r="K66" s="1092">
        <f t="shared" si="11"/>
        <v>0</v>
      </c>
      <c r="L66" s="1093" t="e">
        <f t="shared" si="12"/>
        <v>#VALUE!</v>
      </c>
      <c r="M66" s="501">
        <f t="shared" si="13"/>
        <v>0</v>
      </c>
      <c r="O66" s="474">
        <v>0.03</v>
      </c>
      <c r="P66" s="474">
        <f t="shared" si="9"/>
        <v>0.03</v>
      </c>
      <c r="Q66" s="686"/>
      <c r="R66" s="686"/>
      <c r="S66" s="686"/>
      <c r="T66" s="686"/>
      <c r="U66" s="686"/>
      <c r="V66" s="686"/>
      <c r="W66" s="686"/>
      <c r="X66" s="687"/>
    </row>
    <row r="67" spans="1:24" s="22" customFormat="1" ht="12" customHeight="1" x14ac:dyDescent="0.2">
      <c r="B67" s="90"/>
      <c r="C67" s="999"/>
      <c r="D67" s="1020" t="s">
        <v>537</v>
      </c>
      <c r="E67" s="1020"/>
      <c r="F67" s="1020"/>
      <c r="G67" s="1020"/>
      <c r="H67" s="1021"/>
      <c r="I67" s="488">
        <f t="shared" si="10"/>
        <v>0</v>
      </c>
      <c r="J67" s="493">
        <v>0</v>
      </c>
      <c r="K67" s="1092">
        <f t="shared" si="11"/>
        <v>0</v>
      </c>
      <c r="L67" s="1093" t="e">
        <f t="shared" si="12"/>
        <v>#VALUE!</v>
      </c>
      <c r="M67" s="501">
        <f t="shared" si="13"/>
        <v>0</v>
      </c>
      <c r="O67" s="474">
        <v>0.03</v>
      </c>
      <c r="P67" s="474">
        <f t="shared" si="9"/>
        <v>0.03</v>
      </c>
      <c r="Q67" s="686"/>
      <c r="R67" s="686"/>
      <c r="S67" s="686"/>
      <c r="T67" s="686"/>
      <c r="U67" s="686"/>
      <c r="V67" s="686"/>
      <c r="W67" s="686"/>
      <c r="X67" s="687"/>
    </row>
    <row r="68" spans="1:24" ht="12" customHeight="1" x14ac:dyDescent="0.2">
      <c r="A68" s="22"/>
      <c r="B68" s="90"/>
      <c r="C68" s="1012"/>
      <c r="D68" s="1000" t="s">
        <v>536</v>
      </c>
      <c r="E68" s="1026"/>
      <c r="F68" s="1026"/>
      <c r="G68" s="1026"/>
      <c r="H68" s="987"/>
      <c r="I68" s="488">
        <f t="shared" si="10"/>
        <v>0</v>
      </c>
      <c r="J68" s="493">
        <v>0</v>
      </c>
      <c r="K68" s="1092">
        <f t="shared" si="11"/>
        <v>0</v>
      </c>
      <c r="L68" s="1093" t="e">
        <f t="shared" si="12"/>
        <v>#VALUE!</v>
      </c>
      <c r="M68" s="501">
        <f t="shared" si="13"/>
        <v>0</v>
      </c>
      <c r="O68" s="474">
        <v>0.03</v>
      </c>
      <c r="P68" s="474">
        <f>O68</f>
        <v>0.03</v>
      </c>
      <c r="Q68" s="686"/>
      <c r="R68" s="686"/>
      <c r="S68" s="686"/>
      <c r="T68" s="686"/>
      <c r="U68" s="686"/>
      <c r="V68" s="686"/>
      <c r="W68" s="686"/>
      <c r="X68" s="687"/>
    </row>
    <row r="69" spans="1:24" ht="12" customHeight="1" x14ac:dyDescent="0.2">
      <c r="B69" s="90"/>
      <c r="C69" s="1027"/>
      <c r="D69" s="1020" t="s">
        <v>535</v>
      </c>
      <c r="E69" s="1020"/>
      <c r="F69" s="1020"/>
      <c r="G69" s="1020"/>
      <c r="H69" s="1021"/>
      <c r="I69" s="488"/>
      <c r="J69" s="493">
        <v>0</v>
      </c>
      <c r="K69" s="1092">
        <f t="shared" ref="K69" si="14">J69+J69*O69</f>
        <v>0</v>
      </c>
      <c r="L69" s="1093">
        <f t="shared" ref="L69" si="15">K69 +K69*O69</f>
        <v>0</v>
      </c>
      <c r="M69" s="501">
        <f t="shared" si="13"/>
        <v>0</v>
      </c>
      <c r="O69" s="474">
        <v>0.03</v>
      </c>
      <c r="P69" s="474">
        <f>O69</f>
        <v>0.03</v>
      </c>
      <c r="Q69" s="688"/>
      <c r="R69" s="686"/>
      <c r="S69" s="686"/>
      <c r="T69" s="686"/>
      <c r="U69" s="686"/>
      <c r="V69" s="686"/>
      <c r="W69" s="686"/>
      <c r="X69" s="687"/>
    </row>
    <row r="70" spans="1:24" ht="12" customHeight="1" x14ac:dyDescent="0.2">
      <c r="B70" s="90"/>
      <c r="C70" s="1028"/>
      <c r="D70" s="1003" t="s">
        <v>534</v>
      </c>
      <c r="E70" s="384"/>
      <c r="F70" s="384"/>
      <c r="G70" s="384"/>
      <c r="H70" s="1029"/>
      <c r="I70" s="488">
        <f t="shared" si="10"/>
        <v>0</v>
      </c>
      <c r="J70" s="493"/>
      <c r="K70" s="1092">
        <f>(J70+J70*O70)*12/J$33</f>
        <v>0</v>
      </c>
      <c r="L70" s="1093" t="e">
        <f>K70*12/K$11</f>
        <v>#VALUE!</v>
      </c>
      <c r="M70" s="501">
        <f t="shared" si="13"/>
        <v>0</v>
      </c>
      <c r="O70" s="474">
        <v>0.03</v>
      </c>
      <c r="P70" s="474">
        <f>O70</f>
        <v>0.03</v>
      </c>
      <c r="Q70" s="689"/>
      <c r="R70" s="689"/>
      <c r="S70" s="689"/>
      <c r="T70" s="689"/>
      <c r="U70" s="689"/>
      <c r="V70" s="689"/>
      <c r="W70" s="689"/>
      <c r="X70" s="690"/>
    </row>
    <row r="71" spans="1:24" ht="12.75" customHeight="1" x14ac:dyDescent="0.2">
      <c r="B71" s="1248" t="s">
        <v>293</v>
      </c>
      <c r="C71" s="549" t="s">
        <v>0</v>
      </c>
      <c r="D71" s="1164" t="str">
        <f>D31</f>
        <v>BUSINESS COSTS VAT 0 %</v>
      </c>
      <c r="E71" s="1164"/>
      <c r="F71" s="1164"/>
      <c r="G71" s="1164"/>
      <c r="H71" s="1165"/>
      <c r="I71" s="1168" t="str">
        <f>I31</f>
        <v>1. ACCOUNTING PERIOD</v>
      </c>
      <c r="J71" s="1123"/>
      <c r="K71" s="1152" t="str">
        <f>K31</f>
        <v>2. PERIOD</v>
      </c>
      <c r="L71" s="1153"/>
      <c r="M71" s="545" t="str">
        <f>M31</f>
        <v>3. PERIOD</v>
      </c>
      <c r="N71" s="271"/>
      <c r="O71" s="664"/>
      <c r="P71" s="663"/>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tr">
        <f>I32</f>
        <v>Per month</v>
      </c>
      <c r="J72" s="546">
        <f>J32</f>
        <v>2027</v>
      </c>
      <c r="K72" s="1169">
        <f>K32</f>
        <v>2028</v>
      </c>
      <c r="L72" s="1170"/>
      <c r="M72" s="546">
        <f>M32</f>
        <v>2029</v>
      </c>
      <c r="O72" s="658"/>
      <c r="P72" s="659"/>
      <c r="Q72" s="686"/>
      <c r="R72" s="686"/>
      <c r="S72" s="686"/>
      <c r="T72" s="686"/>
      <c r="U72" s="686"/>
      <c r="V72" s="686"/>
      <c r="W72" s="686"/>
      <c r="X72" s="687"/>
    </row>
    <row r="73" spans="1:24" ht="14.65" customHeight="1" x14ac:dyDescent="0.2">
      <c r="B73" s="254"/>
      <c r="C73" s="1088" t="s">
        <v>320</v>
      </c>
      <c r="D73" s="1089"/>
      <c r="E73" s="1089"/>
      <c r="F73" s="540"/>
      <c r="G73" s="540"/>
      <c r="H73" s="541"/>
      <c r="I73" s="521"/>
      <c r="J73" s="476">
        <f>J33</f>
        <v>12</v>
      </c>
      <c r="K73" s="1154">
        <f>K33</f>
        <v>12</v>
      </c>
      <c r="L73" s="1154"/>
      <c r="M73" s="476">
        <f>M33</f>
        <v>12</v>
      </c>
      <c r="O73" s="658"/>
      <c r="P73" s="659"/>
      <c r="Q73" s="686"/>
      <c r="R73" s="686"/>
      <c r="S73" s="686"/>
      <c r="T73" s="686"/>
      <c r="U73" s="686"/>
      <c r="V73" s="686"/>
      <c r="W73" s="686"/>
      <c r="X73" s="687"/>
    </row>
    <row r="74" spans="1:24" s="2" customFormat="1" ht="12.75" customHeight="1" x14ac:dyDescent="0.2">
      <c r="A74"/>
      <c r="B74" s="253" t="s">
        <v>58</v>
      </c>
      <c r="C74" s="464" t="s">
        <v>140</v>
      </c>
      <c r="D74" s="1104" t="s">
        <v>338</v>
      </c>
      <c r="E74" s="1104"/>
      <c r="F74" s="1104"/>
      <c r="G74" s="988"/>
      <c r="H74" s="1030">
        <v>0.3</v>
      </c>
      <c r="I74" s="447">
        <f t="shared" ref="I74:I86" si="16">J74/J$33</f>
        <v>0</v>
      </c>
      <c r="J74" s="447">
        <f>IF($M$15=0,0,J33*'4 AT Lainat ja avustukset alv'!$G$61/12)</f>
        <v>0</v>
      </c>
      <c r="K74" s="1105">
        <f>IF($M15=0,0,IF($K15&gt;1,'4 AT Lainat ja avustukset alv'!$G61,0))</f>
        <v>0</v>
      </c>
      <c r="L74" s="1105"/>
      <c r="M74" s="447">
        <f>IF($M$15=0,0,IF($K$15&gt;2,'4 AT Lainat ja avustukset alv'!$G$61,0))</f>
        <v>0</v>
      </c>
      <c r="O74" s="665"/>
      <c r="P74" s="666"/>
      <c r="Q74" s="686"/>
      <c r="R74" s="686"/>
      <c r="S74" s="686"/>
      <c r="T74" s="686"/>
      <c r="U74" s="686"/>
      <c r="V74" s="686"/>
      <c r="W74" s="686"/>
      <c r="X74" s="687"/>
    </row>
    <row r="75" spans="1:24" s="2" customFormat="1" ht="12.75" customHeight="1" x14ac:dyDescent="0.2">
      <c r="B75" s="253" t="s">
        <v>59</v>
      </c>
      <c r="C75" s="464" t="s">
        <v>141</v>
      </c>
      <c r="D75" s="1107" t="s">
        <v>339</v>
      </c>
      <c r="E75" s="1107"/>
      <c r="F75" s="1107"/>
      <c r="G75" s="1107"/>
      <c r="H75" s="1107"/>
      <c r="I75" s="482">
        <f t="shared" si="16"/>
        <v>0</v>
      </c>
      <c r="J75" s="447">
        <f>J76*J77*J78+J79+J80+J82+J81</f>
        <v>0</v>
      </c>
      <c r="K75" s="1105">
        <f t="shared" ref="K75:L75" si="17">K76*K77*K78+K79+K80+K82+K81</f>
        <v>0</v>
      </c>
      <c r="L75" s="1105" t="e">
        <f t="shared" si="17"/>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1025" t="s">
        <v>533</v>
      </c>
      <c r="E76" s="1031"/>
      <c r="F76" s="1031"/>
      <c r="G76" s="1031"/>
      <c r="H76" s="1031"/>
      <c r="I76" s="522">
        <f t="shared" si="16"/>
        <v>0</v>
      </c>
      <c r="J76" s="452">
        <v>0</v>
      </c>
      <c r="K76" s="1103">
        <f>(J76+J76*O76)*12/J$33</f>
        <v>0</v>
      </c>
      <c r="L76" s="1103" t="e">
        <f>K76*12/K$11</f>
        <v>#VALUE!</v>
      </c>
      <c r="M76" s="452">
        <f>K76+K76*P76</f>
        <v>0</v>
      </c>
      <c r="O76" s="474">
        <v>0</v>
      </c>
      <c r="P76" s="474">
        <f>O76</f>
        <v>0</v>
      </c>
      <c r="Q76" s="686"/>
      <c r="R76" s="686"/>
      <c r="S76" s="686"/>
      <c r="T76" s="686"/>
      <c r="U76" s="686"/>
      <c r="V76" s="686"/>
      <c r="W76" s="686"/>
      <c r="X76" s="687"/>
    </row>
    <row r="77" spans="1:24" s="2" customFormat="1" ht="12" customHeight="1" x14ac:dyDescent="0.2">
      <c r="B77" s="25"/>
      <c r="C77" s="533"/>
      <c r="D77" s="1020" t="s">
        <v>532</v>
      </c>
      <c r="E77" s="1032"/>
      <c r="F77" s="1032"/>
      <c r="G77" s="1032"/>
      <c r="H77" s="1032"/>
      <c r="I77" s="522">
        <v>0</v>
      </c>
      <c r="J77" s="449">
        <v>0</v>
      </c>
      <c r="K77" s="1125">
        <f>J77</f>
        <v>0</v>
      </c>
      <c r="L77" s="1125"/>
      <c r="M77" s="449">
        <f>K77</f>
        <v>0</v>
      </c>
      <c r="O77" s="458">
        <f>K$32</f>
        <v>2028</v>
      </c>
      <c r="P77" s="458">
        <f>M$32</f>
        <v>2029</v>
      </c>
      <c r="Q77" s="686"/>
      <c r="R77" s="686"/>
      <c r="S77" s="686"/>
      <c r="T77" s="686"/>
      <c r="U77" s="686"/>
      <c r="V77" s="686"/>
      <c r="W77" s="686"/>
      <c r="X77" s="687"/>
    </row>
    <row r="78" spans="1:24" s="2" customFormat="1" ht="12" customHeight="1" x14ac:dyDescent="0.2">
      <c r="B78" s="25"/>
      <c r="C78" s="533"/>
      <c r="D78" s="1020" t="s">
        <v>531</v>
      </c>
      <c r="E78" s="1032"/>
      <c r="F78" s="1032"/>
      <c r="G78" s="1032"/>
      <c r="H78" s="1032"/>
      <c r="I78" s="522">
        <v>0</v>
      </c>
      <c r="J78" s="449">
        <v>0</v>
      </c>
      <c r="K78" s="1125">
        <f t="shared" ref="K78" si="18">J78+J78*O78</f>
        <v>0</v>
      </c>
      <c r="L78" s="1125">
        <f t="shared" ref="L78" si="19">K78 +K78*O78</f>
        <v>0</v>
      </c>
      <c r="M78" s="449">
        <f>K78+K78*P78</f>
        <v>0</v>
      </c>
      <c r="O78" s="474">
        <v>0</v>
      </c>
      <c r="P78" s="474">
        <f>O78</f>
        <v>0</v>
      </c>
      <c r="Q78" s="686"/>
      <c r="R78" s="686"/>
      <c r="S78" s="686"/>
      <c r="T78" s="686"/>
      <c r="U78" s="686"/>
      <c r="V78" s="686"/>
      <c r="W78" s="686"/>
      <c r="X78" s="687"/>
    </row>
    <row r="79" spans="1:24" s="22" customFormat="1" ht="12" customHeight="1" x14ac:dyDescent="0.2">
      <c r="A79" s="2"/>
      <c r="B79" s="90"/>
      <c r="C79" s="537"/>
      <c r="D79" s="1000" t="s">
        <v>530</v>
      </c>
      <c r="E79" s="1033"/>
      <c r="F79" s="1000"/>
      <c r="G79" s="1000"/>
      <c r="H79" s="1034"/>
      <c r="I79" s="522">
        <f t="shared" si="16"/>
        <v>0</v>
      </c>
      <c r="J79" s="452">
        <v>0</v>
      </c>
      <c r="K79" s="1103">
        <f>(J79+J79*O79)*12/J$33</f>
        <v>0</v>
      </c>
      <c r="L79" s="1103" t="e">
        <f>K79*12/K$11</f>
        <v>#VALUE!</v>
      </c>
      <c r="M79" s="452">
        <f>K79+K79*P79</f>
        <v>0</v>
      </c>
      <c r="O79" s="474">
        <v>0.03</v>
      </c>
      <c r="P79" s="474">
        <f>O79</f>
        <v>0.03</v>
      </c>
      <c r="Q79" s="686"/>
      <c r="R79" s="686"/>
      <c r="S79" s="686"/>
      <c r="T79" s="686"/>
      <c r="U79" s="686"/>
      <c r="V79" s="686"/>
      <c r="W79" s="686"/>
      <c r="X79" s="687"/>
    </row>
    <row r="80" spans="1:24" s="22" customFormat="1" ht="12" customHeight="1" x14ac:dyDescent="0.2">
      <c r="B80" s="90"/>
      <c r="C80" s="537"/>
      <c r="D80" s="1065" t="s">
        <v>529</v>
      </c>
      <c r="E80" s="1033"/>
      <c r="F80" s="1000"/>
      <c r="G80" s="1000"/>
      <c r="H80" s="1034"/>
      <c r="I80" s="522">
        <f t="shared" si="16"/>
        <v>0</v>
      </c>
      <c r="J80" s="452">
        <v>0</v>
      </c>
      <c r="K80" s="1103">
        <f>(J80+J80*O80)*12/J$33</f>
        <v>0</v>
      </c>
      <c r="L80" s="1103" t="e">
        <f>K80*12/K$11</f>
        <v>#VALUE!</v>
      </c>
      <c r="M80" s="452">
        <f>K80+K80*P80</f>
        <v>0</v>
      </c>
      <c r="O80" s="474">
        <v>0.03</v>
      </c>
      <c r="P80" s="474">
        <f>O80</f>
        <v>0.03</v>
      </c>
      <c r="Q80" s="686"/>
      <c r="R80" s="686"/>
      <c r="S80" s="686"/>
      <c r="T80" s="686"/>
      <c r="U80" s="686"/>
      <c r="V80" s="686"/>
      <c r="W80" s="686"/>
      <c r="X80" s="687"/>
    </row>
    <row r="81" spans="1:24" s="22" customFormat="1" ht="12" customHeight="1" x14ac:dyDescent="0.2">
      <c r="B81" s="90"/>
      <c r="C81" s="537"/>
      <c r="D81" s="996" t="s">
        <v>528</v>
      </c>
      <c r="E81" s="1035"/>
      <c r="F81" s="996"/>
      <c r="G81" s="996"/>
      <c r="H81" s="1036"/>
      <c r="I81" s="522"/>
      <c r="J81" s="452">
        <v>0</v>
      </c>
      <c r="K81" s="1103">
        <f>(J81+J81*O81)*12/J$33</f>
        <v>0</v>
      </c>
      <c r="L81" s="1103" t="e">
        <f>K81*12/K$11</f>
        <v>#VALUE!</v>
      </c>
      <c r="M81" s="452">
        <f>K81+K81*P81</f>
        <v>0</v>
      </c>
      <c r="O81" s="474">
        <v>0.03</v>
      </c>
      <c r="P81" s="474">
        <f>O81</f>
        <v>0.03</v>
      </c>
      <c r="Q81" s="686"/>
      <c r="R81" s="686"/>
      <c r="S81" s="686"/>
      <c r="T81" s="686"/>
      <c r="U81" s="686"/>
      <c r="V81" s="686"/>
      <c r="W81" s="686"/>
      <c r="X81" s="687"/>
    </row>
    <row r="82" spans="1:24" s="22" customFormat="1" ht="12" customHeight="1" x14ac:dyDescent="0.2">
      <c r="B82" s="90"/>
      <c r="C82" s="529"/>
      <c r="D82" s="996" t="s">
        <v>527</v>
      </c>
      <c r="E82" s="1035"/>
      <c r="F82" s="996"/>
      <c r="G82" s="996"/>
      <c r="H82" s="1036"/>
      <c r="I82" s="522">
        <f t="shared" si="16"/>
        <v>0</v>
      </c>
      <c r="J82" s="452">
        <v>0</v>
      </c>
      <c r="K82" s="1103">
        <f>(J82+J82*O82)*12/J$33</f>
        <v>0</v>
      </c>
      <c r="L82" s="1103" t="e">
        <f>K82*12/K$11</f>
        <v>#VALUE!</v>
      </c>
      <c r="M82" s="452">
        <f>K82+K82*P82</f>
        <v>0</v>
      </c>
      <c r="O82" s="474">
        <v>0.03</v>
      </c>
      <c r="P82" s="474">
        <f>O82</f>
        <v>0.03</v>
      </c>
      <c r="Q82" s="686"/>
      <c r="R82" s="686"/>
      <c r="S82" s="686"/>
      <c r="T82" s="686"/>
      <c r="U82" s="686"/>
      <c r="V82" s="686"/>
      <c r="W82" s="686"/>
      <c r="X82" s="687"/>
    </row>
    <row r="83" spans="1:24" s="2" customFormat="1" ht="12.75" customHeight="1" x14ac:dyDescent="0.2">
      <c r="A83" s="22"/>
      <c r="B83" s="253" t="s">
        <v>60</v>
      </c>
      <c r="C83" s="462" t="s">
        <v>142</v>
      </c>
      <c r="D83" s="1104" t="s">
        <v>340</v>
      </c>
      <c r="E83" s="1104"/>
      <c r="F83" s="1104"/>
      <c r="G83" s="1104"/>
      <c r="H83" s="1104"/>
      <c r="I83" s="482">
        <f>J83/J$33</f>
        <v>0</v>
      </c>
      <c r="J83" s="523">
        <f>SUM(J84:J86)</f>
        <v>0</v>
      </c>
      <c r="K83" s="1163">
        <f t="shared" ref="K83:L83" si="20">SUM(K84:K86)</f>
        <v>0</v>
      </c>
      <c r="L83" s="1163" t="e">
        <f t="shared" si="20"/>
        <v>#VALUE!</v>
      </c>
      <c r="M83" s="523">
        <f>SUM(M84:M86)</f>
        <v>0</v>
      </c>
      <c r="O83" s="667"/>
      <c r="P83" s="668"/>
      <c r="Q83" s="686"/>
      <c r="R83" s="686"/>
      <c r="S83" s="686"/>
      <c r="T83" s="686"/>
      <c r="U83" s="686"/>
      <c r="V83" s="686"/>
      <c r="W83" s="686"/>
      <c r="X83" s="687"/>
    </row>
    <row r="84" spans="1:24" s="22" customFormat="1" ht="12" customHeight="1" x14ac:dyDescent="0.2">
      <c r="A84" s="2"/>
      <c r="B84" s="90"/>
      <c r="C84" s="505"/>
      <c r="D84" s="993" t="s">
        <v>526</v>
      </c>
      <c r="E84" s="1037"/>
      <c r="F84" s="993"/>
      <c r="G84" s="993"/>
      <c r="H84" s="1038"/>
      <c r="I84" s="522">
        <f>J84/J$33</f>
        <v>0</v>
      </c>
      <c r="J84" s="452">
        <v>0</v>
      </c>
      <c r="K84" s="1103">
        <f>(J84+J84*O84)*12/J$33</f>
        <v>0</v>
      </c>
      <c r="L84" s="1103" t="e">
        <f>K84*12/K$11</f>
        <v>#VALUE!</v>
      </c>
      <c r="M84" s="452">
        <f>K84+K84*P84</f>
        <v>0</v>
      </c>
      <c r="O84" s="474">
        <v>0.03</v>
      </c>
      <c r="P84" s="474">
        <f>O84</f>
        <v>0.03</v>
      </c>
      <c r="Q84" s="686"/>
      <c r="R84" s="686"/>
      <c r="S84" s="686"/>
      <c r="T84" s="686"/>
      <c r="U84" s="686"/>
      <c r="V84" s="686"/>
      <c r="W84" s="686"/>
      <c r="X84" s="687"/>
    </row>
    <row r="85" spans="1:24" s="22" customFormat="1" ht="12" customHeight="1" x14ac:dyDescent="0.2">
      <c r="B85" s="90"/>
      <c r="C85" s="512"/>
      <c r="D85" s="996" t="s">
        <v>525</v>
      </c>
      <c r="E85" s="1035"/>
      <c r="F85" s="996"/>
      <c r="G85" s="996"/>
      <c r="H85" s="1039"/>
      <c r="I85" s="522">
        <f t="shared" ref="I85" si="21">J85/J$33</f>
        <v>0</v>
      </c>
      <c r="J85" s="452">
        <v>0</v>
      </c>
      <c r="K85" s="1103">
        <f>(J85+J85*O85)*12/J$33</f>
        <v>0</v>
      </c>
      <c r="L85" s="1103" t="e">
        <f>K85*12/K$11</f>
        <v>#VALUE!</v>
      </c>
      <c r="M85" s="452">
        <f>K85+K85*P85</f>
        <v>0</v>
      </c>
      <c r="O85" s="474">
        <v>0.03</v>
      </c>
      <c r="P85" s="474">
        <f>O85</f>
        <v>0.03</v>
      </c>
      <c r="Q85" s="686"/>
      <c r="R85" s="686"/>
      <c r="S85" s="686"/>
      <c r="T85" s="686"/>
      <c r="U85" s="686"/>
      <c r="V85" s="686"/>
      <c r="W85" s="686"/>
      <c r="X85" s="687"/>
    </row>
    <row r="86" spans="1:24" s="22" customFormat="1" ht="12" customHeight="1" x14ac:dyDescent="0.2">
      <c r="B86" s="90"/>
      <c r="C86" s="512"/>
      <c r="D86" s="996" t="s">
        <v>524</v>
      </c>
      <c r="E86" s="1035"/>
      <c r="F86" s="996"/>
      <c r="G86" s="996"/>
      <c r="H86" s="1039"/>
      <c r="I86" s="522">
        <f t="shared" si="16"/>
        <v>0</v>
      </c>
      <c r="J86" s="452">
        <v>0</v>
      </c>
      <c r="K86" s="1103">
        <f>(J86+J86*O86)*12/J$33</f>
        <v>0</v>
      </c>
      <c r="L86" s="1103" t="e">
        <f>K86*12/K$11</f>
        <v>#VALUE!</v>
      </c>
      <c r="M86" s="452">
        <f>K86+K86*P86</f>
        <v>0</v>
      </c>
      <c r="O86" s="474">
        <v>0.03</v>
      </c>
      <c r="P86" s="474">
        <f>O86</f>
        <v>0.03</v>
      </c>
      <c r="Q86" s="686"/>
      <c r="R86" s="686"/>
      <c r="S86" s="686"/>
      <c r="T86" s="686"/>
      <c r="U86" s="686"/>
      <c r="V86" s="686"/>
      <c r="W86" s="686"/>
      <c r="X86" s="687"/>
    </row>
    <row r="87" spans="1:24" s="2" customFormat="1" ht="12.75" customHeight="1" x14ac:dyDescent="0.2">
      <c r="A87" s="22"/>
      <c r="B87" s="253" t="s">
        <v>61</v>
      </c>
      <c r="C87" s="464" t="s">
        <v>143</v>
      </c>
      <c r="D87" s="1192" t="s">
        <v>341</v>
      </c>
      <c r="E87" s="1192"/>
      <c r="F87" s="1192"/>
      <c r="G87" s="1192"/>
      <c r="H87" s="1193"/>
      <c r="I87" s="482">
        <f>J87/J$33</f>
        <v>0</v>
      </c>
      <c r="J87" s="447">
        <f>J91+J90+J89+J88</f>
        <v>0</v>
      </c>
      <c r="K87" s="1105">
        <f>SUM(K88:K91)</f>
        <v>0</v>
      </c>
      <c r="L87" s="1105"/>
      <c r="M87" s="447">
        <f>M91+M90+M89+M88</f>
        <v>0</v>
      </c>
      <c r="O87" s="667"/>
      <c r="P87" s="668"/>
      <c r="Q87" s="686"/>
      <c r="R87" s="686"/>
      <c r="S87" s="686"/>
      <c r="T87" s="686"/>
      <c r="U87" s="686"/>
      <c r="V87" s="686"/>
      <c r="W87" s="686"/>
      <c r="X87" s="687"/>
    </row>
    <row r="88" spans="1:24" s="2" customFormat="1" ht="12" customHeight="1" x14ac:dyDescent="0.2">
      <c r="A88" s="22"/>
      <c r="B88" s="25"/>
      <c r="C88" s="516"/>
      <c r="D88" s="1000" t="s">
        <v>523</v>
      </c>
      <c r="E88" s="1033"/>
      <c r="F88" s="1000"/>
      <c r="G88" s="1000"/>
      <c r="H88" s="1041"/>
      <c r="I88" s="522">
        <f>J88/12</f>
        <v>0</v>
      </c>
      <c r="J88" s="452">
        <v>0</v>
      </c>
      <c r="K88" s="1103">
        <f>(J88+J88*O88)*12/J$33</f>
        <v>0</v>
      </c>
      <c r="L88" s="1103" t="e">
        <f>K88*12/K$11</f>
        <v>#VALUE!</v>
      </c>
      <c r="M88" s="452">
        <f>K88+K88*P88</f>
        <v>0</v>
      </c>
      <c r="N88" s="22"/>
      <c r="O88" s="474">
        <v>0.03</v>
      </c>
      <c r="P88" s="474">
        <f t="shared" ref="P88:P92" si="22">O88</f>
        <v>0.03</v>
      </c>
      <c r="Q88" s="686"/>
      <c r="R88" s="686"/>
      <c r="S88" s="686"/>
      <c r="T88" s="686"/>
      <c r="U88" s="686"/>
      <c r="V88" s="686"/>
      <c r="W88" s="686"/>
      <c r="X88" s="687"/>
    </row>
    <row r="89" spans="1:24" s="22" customFormat="1" ht="12" customHeight="1" x14ac:dyDescent="0.2">
      <c r="A89" s="2"/>
      <c r="B89" s="90"/>
      <c r="C89" s="506"/>
      <c r="D89" s="1000" t="s">
        <v>522</v>
      </c>
      <c r="E89" s="1033"/>
      <c r="F89" s="1000"/>
      <c r="G89" s="1000"/>
      <c r="H89" s="1041"/>
      <c r="I89" s="522">
        <f>J89/12</f>
        <v>0</v>
      </c>
      <c r="J89" s="452">
        <v>0</v>
      </c>
      <c r="K89" s="1103">
        <f>(J89+J89*O89)*12/J$33</f>
        <v>0</v>
      </c>
      <c r="L89" s="1103" t="e">
        <f>K89*12/K$11</f>
        <v>#VALUE!</v>
      </c>
      <c r="M89" s="452">
        <f>K89+K89*P89</f>
        <v>0</v>
      </c>
      <c r="O89" s="474">
        <v>0.03</v>
      </c>
      <c r="P89" s="474">
        <f t="shared" si="22"/>
        <v>0.03</v>
      </c>
      <c r="Q89" s="686"/>
      <c r="R89" s="686"/>
      <c r="S89" s="686"/>
      <c r="T89" s="686"/>
      <c r="U89" s="686"/>
      <c r="V89" s="686"/>
      <c r="W89" s="686"/>
      <c r="X89" s="687"/>
    </row>
    <row r="90" spans="1:24" s="22" customFormat="1" ht="12" customHeight="1" x14ac:dyDescent="0.2">
      <c r="B90" s="90"/>
      <c r="C90" s="512"/>
      <c r="D90" s="1000" t="s">
        <v>521</v>
      </c>
      <c r="E90" s="1033"/>
      <c r="F90" s="1000"/>
      <c r="G90" s="1000"/>
      <c r="H90" s="1041"/>
      <c r="I90" s="522">
        <f>J90/12</f>
        <v>0</v>
      </c>
      <c r="J90" s="452">
        <v>0</v>
      </c>
      <c r="K90" s="1103">
        <f>(J90+J90*O90)*12/J$33</f>
        <v>0</v>
      </c>
      <c r="L90" s="1103" t="e">
        <f>K90*12/K$11</f>
        <v>#VALUE!</v>
      </c>
      <c r="M90" s="452">
        <f>K90+K90*P90</f>
        <v>0</v>
      </c>
      <c r="O90" s="474">
        <v>0.03</v>
      </c>
      <c r="P90" s="474">
        <f t="shared" si="22"/>
        <v>0.03</v>
      </c>
      <c r="Q90" s="686"/>
      <c r="R90" s="686"/>
      <c r="S90" s="686"/>
      <c r="T90" s="686"/>
      <c r="U90" s="686"/>
      <c r="V90" s="686"/>
      <c r="W90" s="686"/>
      <c r="X90" s="687"/>
    </row>
    <row r="91" spans="1:24" s="22" customFormat="1" ht="12" customHeight="1" x14ac:dyDescent="0.2">
      <c r="B91" s="90"/>
      <c r="C91" s="520"/>
      <c r="D91" s="1003" t="s">
        <v>520</v>
      </c>
      <c r="E91" s="1003"/>
      <c r="F91" s="1003"/>
      <c r="G91" s="1003"/>
      <c r="H91" s="1042"/>
      <c r="I91" s="522">
        <f>J91/12</f>
        <v>0</v>
      </c>
      <c r="J91" s="452">
        <v>0</v>
      </c>
      <c r="K91" s="1103">
        <f>(J91+J91*O91)*12/J$33</f>
        <v>0</v>
      </c>
      <c r="L91" s="1103" t="e">
        <f>K91*12/K$11</f>
        <v>#VALUE!</v>
      </c>
      <c r="M91" s="452">
        <f>K91+K91*P91</f>
        <v>0</v>
      </c>
      <c r="O91" s="474">
        <v>0.03</v>
      </c>
      <c r="P91" s="474">
        <f t="shared" si="22"/>
        <v>0.03</v>
      </c>
      <c r="Q91" s="686"/>
      <c r="R91" s="686"/>
      <c r="S91" s="686"/>
      <c r="T91" s="686"/>
      <c r="U91" s="686"/>
      <c r="V91" s="686"/>
      <c r="W91" s="686"/>
      <c r="X91" s="687"/>
    </row>
    <row r="92" spans="1:24" s="2" customFormat="1" ht="12.75" customHeight="1" x14ac:dyDescent="0.2">
      <c r="A92" s="22"/>
      <c r="B92" s="25"/>
      <c r="C92" s="464" t="s">
        <v>144</v>
      </c>
      <c r="D92" s="1104" t="s">
        <v>342</v>
      </c>
      <c r="E92" s="1104"/>
      <c r="F92" s="1104"/>
      <c r="G92" s="1104"/>
      <c r="H92" s="1207"/>
      <c r="I92" s="482">
        <f t="shared" ref="I92:I103" si="23">J92/J$33</f>
        <v>0</v>
      </c>
      <c r="J92" s="524">
        <v>0</v>
      </c>
      <c r="K92" s="1133">
        <f>(J92+J92*O92)*12/J$33</f>
        <v>0</v>
      </c>
      <c r="L92" s="1133" t="e">
        <f>K92*12/K$11</f>
        <v>#VALUE!</v>
      </c>
      <c r="M92" s="524">
        <f>K92+K92*P92</f>
        <v>0</v>
      </c>
      <c r="O92" s="474">
        <v>0.03</v>
      </c>
      <c r="P92" s="474">
        <f t="shared" si="22"/>
        <v>0.03</v>
      </c>
      <c r="Q92" s="686"/>
      <c r="R92" s="686"/>
      <c r="S92" s="686"/>
      <c r="T92" s="686"/>
      <c r="U92" s="686"/>
      <c r="V92" s="686"/>
      <c r="W92" s="686"/>
      <c r="X92" s="687"/>
    </row>
    <row r="93" spans="1:24" s="2" customFormat="1" ht="12.75" customHeight="1" x14ac:dyDescent="0.2">
      <c r="B93" s="253" t="s">
        <v>74</v>
      </c>
      <c r="C93" s="464" t="s">
        <v>145</v>
      </c>
      <c r="D93" s="1104" t="s">
        <v>343</v>
      </c>
      <c r="E93" s="1104"/>
      <c r="F93" s="988"/>
      <c r="G93" s="988"/>
      <c r="H93" s="986"/>
      <c r="I93" s="482">
        <f t="shared" si="23"/>
        <v>0</v>
      </c>
      <c r="J93" s="447">
        <f>J94*J95+J97*J96</f>
        <v>0</v>
      </c>
      <c r="K93" s="1105">
        <f t="shared" ref="K93:L93" si="24">K94*K95+K97*K96</f>
        <v>0</v>
      </c>
      <c r="L93" s="1105" t="e">
        <f t="shared" si="24"/>
        <v>#DIV/0!</v>
      </c>
      <c r="M93" s="447">
        <f>M94*M95+M97*M96</f>
        <v>0</v>
      </c>
      <c r="O93" s="658"/>
      <c r="P93" s="659"/>
      <c r="Q93" s="686"/>
      <c r="R93" s="686"/>
      <c r="S93" s="686"/>
      <c r="T93" s="686"/>
      <c r="U93" s="686"/>
      <c r="V93" s="686"/>
      <c r="W93" s="686"/>
      <c r="X93" s="687"/>
    </row>
    <row r="94" spans="1:24" s="2" customFormat="1" ht="12" customHeight="1" x14ac:dyDescent="0.2">
      <c r="B94" s="25"/>
      <c r="C94" s="505"/>
      <c r="D94" s="1025" t="s">
        <v>519</v>
      </c>
      <c r="E94" s="1040"/>
      <c r="F94" s="1040"/>
      <c r="G94" s="1040"/>
      <c r="H94" s="1040"/>
      <c r="I94" s="525"/>
      <c r="J94" s="452">
        <v>0</v>
      </c>
      <c r="K94" s="1103">
        <f>J94*12/J$33</f>
        <v>0</v>
      </c>
      <c r="L94" s="1103"/>
      <c r="M94" s="452">
        <f>K94</f>
        <v>0</v>
      </c>
      <c r="O94" s="669"/>
      <c r="P94" s="670"/>
      <c r="Q94" s="686"/>
      <c r="R94" s="686"/>
      <c r="S94" s="686"/>
      <c r="T94" s="686"/>
      <c r="U94" s="686"/>
      <c r="V94" s="686"/>
      <c r="W94" s="686"/>
      <c r="X94" s="687"/>
    </row>
    <row r="95" spans="1:24" s="2" customFormat="1" ht="12" customHeight="1" x14ac:dyDescent="0.2">
      <c r="B95" s="25"/>
      <c r="C95" s="506"/>
      <c r="D95" s="1020" t="s">
        <v>518</v>
      </c>
      <c r="E95" s="1043"/>
      <c r="F95" s="1043"/>
      <c r="G95" s="1043"/>
      <c r="H95" s="1043"/>
      <c r="I95" s="522">
        <v>0</v>
      </c>
      <c r="J95" s="526">
        <v>0.55000000000000004</v>
      </c>
      <c r="K95" s="1196">
        <f>J95</f>
        <v>0.55000000000000004</v>
      </c>
      <c r="L95" s="1196"/>
      <c r="M95" s="526">
        <f>K95</f>
        <v>0.55000000000000004</v>
      </c>
      <c r="O95" s="669"/>
      <c r="P95" s="670"/>
      <c r="Q95" s="686"/>
      <c r="R95" s="686"/>
      <c r="S95" s="686"/>
      <c r="T95" s="686"/>
      <c r="U95" s="686"/>
      <c r="V95" s="686"/>
      <c r="W95" s="686"/>
      <c r="X95" s="687"/>
    </row>
    <row r="96" spans="1:24" s="2" customFormat="1" ht="12" customHeight="1" x14ac:dyDescent="0.2">
      <c r="B96" s="25"/>
      <c r="C96" s="512"/>
      <c r="D96" s="1020" t="s">
        <v>517</v>
      </c>
      <c r="E96" s="1043"/>
      <c r="F96" s="1043"/>
      <c r="G96" s="1043"/>
      <c r="H96" s="1043"/>
      <c r="I96" s="522">
        <v>0</v>
      </c>
      <c r="J96" s="452">
        <v>0</v>
      </c>
      <c r="K96" s="1103">
        <f>(J96*12/J$33)</f>
        <v>0</v>
      </c>
      <c r="L96" s="1103" t="e">
        <f>K96*12/K$10</f>
        <v>#DIV/0!</v>
      </c>
      <c r="M96" s="452">
        <f>K96</f>
        <v>0</v>
      </c>
      <c r="O96" s="669"/>
      <c r="P96" s="670"/>
      <c r="Q96" s="686"/>
      <c r="R96" s="686"/>
      <c r="S96" s="686"/>
      <c r="T96" s="686"/>
      <c r="U96" s="686"/>
      <c r="V96" s="686"/>
      <c r="W96" s="686"/>
      <c r="X96" s="687"/>
    </row>
    <row r="97" spans="1:26" s="2" customFormat="1" ht="12" customHeight="1" x14ac:dyDescent="0.2">
      <c r="B97" s="25"/>
      <c r="C97" s="520"/>
      <c r="D97" s="1023" t="s">
        <v>516</v>
      </c>
      <c r="E97" s="1044"/>
      <c r="F97" s="1044"/>
      <c r="G97" s="1044"/>
      <c r="H97" s="1044"/>
      <c r="I97" s="522">
        <v>0</v>
      </c>
      <c r="J97" s="449">
        <v>0</v>
      </c>
      <c r="K97" s="1125">
        <f>J97</f>
        <v>0</v>
      </c>
      <c r="L97" s="1125"/>
      <c r="M97" s="449">
        <f>K97</f>
        <v>0</v>
      </c>
      <c r="O97" s="669"/>
      <c r="P97" s="670"/>
      <c r="Q97" s="686"/>
      <c r="R97" s="686"/>
      <c r="S97" s="686"/>
      <c r="T97" s="686"/>
      <c r="U97" s="686"/>
      <c r="V97" s="686"/>
      <c r="W97" s="686"/>
      <c r="X97" s="687"/>
    </row>
    <row r="98" spans="1:26" s="2" customFormat="1" ht="12.75" customHeight="1" x14ac:dyDescent="0.2">
      <c r="B98" s="253" t="s">
        <v>75</v>
      </c>
      <c r="C98" s="464" t="s">
        <v>146</v>
      </c>
      <c r="D98" s="1010" t="s">
        <v>344</v>
      </c>
      <c r="E98" s="988"/>
      <c r="F98" s="988"/>
      <c r="G98" s="988"/>
      <c r="H98" s="988"/>
      <c r="I98" s="482">
        <f t="shared" si="23"/>
        <v>0</v>
      </c>
      <c r="J98" s="447">
        <f>SUM(J99:J100)</f>
        <v>0</v>
      </c>
      <c r="K98" s="1105">
        <f>K99+K100</f>
        <v>0</v>
      </c>
      <c r="L98" s="1105"/>
      <c r="M98" s="447">
        <f>SUM(M99:M100)</f>
        <v>0</v>
      </c>
      <c r="O98" s="658"/>
      <c r="P98" s="659"/>
      <c r="Q98" s="686"/>
      <c r="R98" s="686"/>
      <c r="T98" s="686"/>
      <c r="U98" s="686"/>
      <c r="V98" s="686"/>
      <c r="W98" s="686"/>
      <c r="X98" s="687"/>
      <c r="Z98" s="2" t="s">
        <v>0</v>
      </c>
    </row>
    <row r="99" spans="1:26" ht="12" customHeight="1" x14ac:dyDescent="0.2">
      <c r="A99" s="2"/>
      <c r="B99" s="90" t="s">
        <v>0</v>
      </c>
      <c r="C99" s="505"/>
      <c r="D99" s="993" t="s">
        <v>515</v>
      </c>
      <c r="E99" s="993"/>
      <c r="F99" s="993"/>
      <c r="G99" s="993"/>
      <c r="H99" s="994"/>
      <c r="I99" s="522">
        <f t="shared" si="23"/>
        <v>0</v>
      </c>
      <c r="J99" s="452">
        <v>0</v>
      </c>
      <c r="K99" s="1103">
        <f>(J99+J99*O99)*12/J$33</f>
        <v>0</v>
      </c>
      <c r="L99" s="1103" t="e">
        <f>K99*12/K$11</f>
        <v>#VALUE!</v>
      </c>
      <c r="M99" s="452">
        <f>K99+K99*P99</f>
        <v>0</v>
      </c>
      <c r="O99" s="474">
        <v>0.03</v>
      </c>
      <c r="P99" s="474">
        <f>O99</f>
        <v>0.03</v>
      </c>
      <c r="Q99" s="686"/>
      <c r="R99" s="686"/>
      <c r="S99" s="686"/>
      <c r="T99" s="686"/>
      <c r="U99" s="686"/>
      <c r="V99" s="686"/>
      <c r="W99" s="686"/>
      <c r="X99" s="687"/>
    </row>
    <row r="100" spans="1:26" ht="12" customHeight="1" x14ac:dyDescent="0.2">
      <c r="B100" s="90" t="s">
        <v>0</v>
      </c>
      <c r="C100" s="512"/>
      <c r="D100" s="1003" t="s">
        <v>514</v>
      </c>
      <c r="E100" s="1003"/>
      <c r="F100" s="1003"/>
      <c r="G100" s="1003"/>
      <c r="H100" s="1004"/>
      <c r="I100" s="522">
        <f t="shared" si="23"/>
        <v>0</v>
      </c>
      <c r="J100" s="452">
        <v>0</v>
      </c>
      <c r="K100" s="1103">
        <f>(J100+J100*O100)*12/J$33</f>
        <v>0</v>
      </c>
      <c r="L100" s="1103" t="e">
        <f>K100*12/K$11</f>
        <v>#VALUE!</v>
      </c>
      <c r="M100" s="452">
        <f>K100+K100*P100</f>
        <v>0</v>
      </c>
      <c r="O100" s="474">
        <v>0.03</v>
      </c>
      <c r="P100" s="474">
        <f>O100</f>
        <v>0.03</v>
      </c>
      <c r="Q100" s="686"/>
      <c r="R100" s="686"/>
      <c r="S100" s="686"/>
      <c r="T100" s="686"/>
      <c r="U100" s="686"/>
      <c r="V100" s="686"/>
      <c r="W100" s="686"/>
      <c r="X100" s="687"/>
    </row>
    <row r="101" spans="1:26" s="2" customFormat="1" ht="12.75" customHeight="1" x14ac:dyDescent="0.2">
      <c r="A101"/>
      <c r="B101" s="253" t="s">
        <v>62</v>
      </c>
      <c r="C101" s="464" t="s">
        <v>147</v>
      </c>
      <c r="D101" s="1010" t="s">
        <v>345</v>
      </c>
      <c r="E101" s="1006"/>
      <c r="F101" s="1006"/>
      <c r="G101" s="1006"/>
      <c r="H101" s="1006"/>
      <c r="I101" s="482">
        <f t="shared" si="23"/>
        <v>0</v>
      </c>
      <c r="J101" s="447">
        <f>SUM(J102:J103)</f>
        <v>0</v>
      </c>
      <c r="K101" s="1105">
        <f>SUM(K102:K103)</f>
        <v>0</v>
      </c>
      <c r="L101" s="1105"/>
      <c r="M101" s="447">
        <f>SUM(M102:M103)</f>
        <v>0</v>
      </c>
      <c r="O101" s="667"/>
      <c r="P101" s="668"/>
      <c r="Q101" s="686"/>
      <c r="R101" s="686"/>
      <c r="S101" s="686"/>
      <c r="T101" s="686"/>
      <c r="U101" s="686"/>
      <c r="V101" s="686"/>
      <c r="W101" s="686"/>
      <c r="X101" s="687"/>
    </row>
    <row r="102" spans="1:26" s="22" customFormat="1" ht="12" customHeight="1" x14ac:dyDescent="0.2">
      <c r="A102" s="2"/>
      <c r="B102" s="90"/>
      <c r="C102" s="516"/>
      <c r="D102" s="1047" t="s">
        <v>513</v>
      </c>
      <c r="E102" s="993"/>
      <c r="F102" s="993"/>
      <c r="G102" s="993"/>
      <c r="H102" s="994"/>
      <c r="I102" s="522">
        <f t="shared" si="23"/>
        <v>0</v>
      </c>
      <c r="J102" s="452">
        <v>0</v>
      </c>
      <c r="K102" s="1103">
        <f>(J102+J102*O102)*12/J$33</f>
        <v>0</v>
      </c>
      <c r="L102" s="1103" t="e">
        <f>K102*12/K$11</f>
        <v>#VALUE!</v>
      </c>
      <c r="M102" s="452">
        <f>K102+K102*P102</f>
        <v>0</v>
      </c>
      <c r="O102" s="474">
        <v>0.03</v>
      </c>
      <c r="P102" s="474">
        <f>O102</f>
        <v>0.03</v>
      </c>
      <c r="Q102" s="686"/>
      <c r="R102" s="686"/>
      <c r="S102" s="686"/>
      <c r="T102" s="686"/>
      <c r="U102" s="686"/>
      <c r="V102" s="686"/>
      <c r="W102" s="686"/>
      <c r="X102" s="687"/>
    </row>
    <row r="103" spans="1:26" s="22" customFormat="1" ht="12" customHeight="1" x14ac:dyDescent="0.2">
      <c r="B103" s="90"/>
      <c r="C103" s="512"/>
      <c r="D103" s="1003" t="s">
        <v>512</v>
      </c>
      <c r="E103" s="1003"/>
      <c r="F103" s="1003"/>
      <c r="G103" s="1003"/>
      <c r="H103" s="1004"/>
      <c r="I103" s="522">
        <f t="shared" si="23"/>
        <v>0</v>
      </c>
      <c r="J103" s="452">
        <v>0</v>
      </c>
      <c r="K103" s="1103">
        <f>(J103+J103*O103)*12/J$33</f>
        <v>0</v>
      </c>
      <c r="L103" s="1103" t="e">
        <f>K103*12/K$11</f>
        <v>#VALUE!</v>
      </c>
      <c r="M103" s="452">
        <f>K103+K103*P103</f>
        <v>0</v>
      </c>
      <c r="O103" s="474">
        <v>0</v>
      </c>
      <c r="P103" s="474">
        <f>O103</f>
        <v>0</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ref="I104" si="25">J104/J$33</f>
        <v>0</v>
      </c>
      <c r="J104" s="447">
        <f>SUM(J105:J107)</f>
        <v>0</v>
      </c>
      <c r="K104" s="1105">
        <f t="shared" ref="K104:L104" si="26">SUM(K105:K107)</f>
        <v>0</v>
      </c>
      <c r="L104" s="1105" t="e">
        <f t="shared" si="26"/>
        <v>#VALUE!</v>
      </c>
      <c r="M104" s="447">
        <f>SUM(M105:M106)</f>
        <v>0</v>
      </c>
      <c r="O104" s="667"/>
      <c r="P104" s="668"/>
      <c r="Q104" s="686"/>
      <c r="R104" s="686"/>
      <c r="S104" s="686"/>
      <c r="T104" s="686"/>
      <c r="U104" s="686"/>
      <c r="V104" s="686"/>
      <c r="W104" s="686"/>
      <c r="X104" s="687"/>
    </row>
    <row r="105" spans="1:26" s="29" customFormat="1" ht="12" customHeight="1" x14ac:dyDescent="0.2">
      <c r="A105" s="22"/>
      <c r="B105" s="253"/>
      <c r="C105" s="728"/>
      <c r="D105" s="30" t="s">
        <v>511</v>
      </c>
      <c r="E105" s="417"/>
      <c r="F105" s="417"/>
      <c r="G105" s="417"/>
      <c r="H105" s="417"/>
      <c r="I105" s="482">
        <v>0</v>
      </c>
      <c r="J105" s="452">
        <v>0</v>
      </c>
      <c r="K105" s="1103">
        <f>(J105+J105*O105)*12/J$33</f>
        <v>0</v>
      </c>
      <c r="L105" s="1103" t="e">
        <f>K105*12/K$11</f>
        <v>#VALUE!</v>
      </c>
      <c r="M105" s="452">
        <f>K105+K105*P105</f>
        <v>0</v>
      </c>
      <c r="O105" s="474">
        <v>0.03</v>
      </c>
      <c r="P105" s="474">
        <f>O105</f>
        <v>0.03</v>
      </c>
      <c r="Q105" s="686"/>
      <c r="R105" s="686"/>
      <c r="S105" s="686"/>
      <c r="T105" s="686"/>
      <c r="U105" s="686"/>
      <c r="V105" s="686"/>
      <c r="W105" s="686"/>
      <c r="X105" s="687"/>
    </row>
    <row r="106" spans="1:26" s="29" customFormat="1" ht="12" customHeight="1" x14ac:dyDescent="0.2">
      <c r="A106" s="22"/>
      <c r="B106" s="253"/>
      <c r="C106" s="725"/>
      <c r="D106" s="726" t="s">
        <v>510</v>
      </c>
      <c r="E106" s="726"/>
      <c r="F106" s="726"/>
      <c r="G106" s="726"/>
      <c r="H106" s="727"/>
      <c r="I106" s="482"/>
      <c r="J106" s="452">
        <v>0</v>
      </c>
      <c r="K106" s="1103">
        <f>(J106+J106*O106)*12/J$33</f>
        <v>0</v>
      </c>
      <c r="L106" s="1103" t="e">
        <f>K106*12/K$11</f>
        <v>#VALUE!</v>
      </c>
      <c r="M106" s="452">
        <f>K106+K106*P106</f>
        <v>0</v>
      </c>
      <c r="O106" s="474">
        <v>0</v>
      </c>
      <c r="P106" s="474">
        <f t="shared" ref="P106:P107" si="27">O106</f>
        <v>0</v>
      </c>
      <c r="Q106" s="686"/>
      <c r="R106" s="686"/>
      <c r="S106" s="686"/>
      <c r="T106" s="686"/>
      <c r="U106" s="686"/>
      <c r="V106" s="686"/>
      <c r="W106" s="686"/>
      <c r="X106" s="687"/>
    </row>
    <row r="107" spans="1:26" s="29" customFormat="1" ht="12" customHeight="1" x14ac:dyDescent="0.2">
      <c r="A107" s="22"/>
      <c r="B107" s="253"/>
      <c r="C107" s="728"/>
      <c r="D107" s="30" t="s">
        <v>509</v>
      </c>
      <c r="E107" s="417"/>
      <c r="F107" s="417"/>
      <c r="G107" s="417"/>
      <c r="H107" s="417"/>
      <c r="I107" s="482"/>
      <c r="J107" s="452">
        <v>0</v>
      </c>
      <c r="K107" s="1103">
        <f>(J107+J107*O107)*12/J$33</f>
        <v>0</v>
      </c>
      <c r="L107" s="1103" t="e">
        <f>K107*12/K$11</f>
        <v>#VALUE!</v>
      </c>
      <c r="M107" s="452">
        <f>K107+K107*P107</f>
        <v>0</v>
      </c>
      <c r="O107" s="474">
        <v>0.03</v>
      </c>
      <c r="P107" s="474">
        <f t="shared" si="27"/>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8">J108/J$33</f>
        <v>0</v>
      </c>
      <c r="J108" s="447">
        <f>SUM(J109:J111)</f>
        <v>0</v>
      </c>
      <c r="K108" s="1105">
        <f>SUM(K109:K111)</f>
        <v>0</v>
      </c>
      <c r="L108" s="1105"/>
      <c r="M108" s="447">
        <f>SUM(M109:M111)</f>
        <v>0</v>
      </c>
      <c r="O108" s="667" t="s">
        <v>0</v>
      </c>
      <c r="P108" s="668" t="s">
        <v>0</v>
      </c>
      <c r="Q108" s="686"/>
      <c r="R108" s="686"/>
      <c r="S108" s="686"/>
      <c r="T108" s="686"/>
      <c r="U108" s="686"/>
      <c r="V108" s="686"/>
      <c r="W108" s="686"/>
      <c r="X108" s="687"/>
    </row>
    <row r="109" spans="1:26" ht="12" customHeight="1" x14ac:dyDescent="0.2">
      <c r="A109" s="2"/>
      <c r="B109" s="90"/>
      <c r="C109" s="505"/>
      <c r="D109" s="1101" t="s">
        <v>508</v>
      </c>
      <c r="E109" s="1101"/>
      <c r="F109" s="1101"/>
      <c r="G109" s="1101"/>
      <c r="H109" s="1102"/>
      <c r="I109" s="525">
        <f t="shared" si="28"/>
        <v>0</v>
      </c>
      <c r="J109" s="452">
        <v>0</v>
      </c>
      <c r="K109" s="1103">
        <f t="shared" ref="K109:K110" si="29">(J109+J109*O109)*12/J$33</f>
        <v>0</v>
      </c>
      <c r="L109" s="1103" t="e">
        <f t="shared" ref="L109:L110" si="30">K109*12/K$11</f>
        <v>#VALUE!</v>
      </c>
      <c r="M109" s="452">
        <f t="shared" ref="M109:M115" si="31">K109+K109*P109</f>
        <v>0</v>
      </c>
      <c r="O109" s="474">
        <v>0.03</v>
      </c>
      <c r="P109" s="474">
        <f t="shared" ref="P109:P115" si="32">O109</f>
        <v>0.03</v>
      </c>
      <c r="Q109" s="686"/>
      <c r="R109" s="686"/>
      <c r="S109" s="686"/>
      <c r="T109" s="686"/>
      <c r="U109" s="686"/>
      <c r="V109" s="686"/>
      <c r="W109" s="686"/>
      <c r="X109" s="687"/>
    </row>
    <row r="110" spans="1:26" ht="12" customHeight="1" x14ac:dyDescent="0.2">
      <c r="B110" s="90"/>
      <c r="C110" s="506"/>
      <c r="D110" s="507" t="s">
        <v>507</v>
      </c>
      <c r="E110" s="507"/>
      <c r="F110" s="507"/>
      <c r="G110" s="507"/>
      <c r="H110" s="507"/>
      <c r="I110" s="525">
        <f t="shared" si="28"/>
        <v>0</v>
      </c>
      <c r="J110" s="452">
        <v>0</v>
      </c>
      <c r="K110" s="1103">
        <f t="shared" si="29"/>
        <v>0</v>
      </c>
      <c r="L110" s="1103" t="e">
        <f t="shared" si="30"/>
        <v>#VALUE!</v>
      </c>
      <c r="M110" s="452">
        <f t="shared" si="31"/>
        <v>0</v>
      </c>
      <c r="O110" s="474">
        <v>0.03</v>
      </c>
      <c r="P110" s="474">
        <f t="shared" si="32"/>
        <v>0.03</v>
      </c>
      <c r="Q110" s="686"/>
      <c r="R110" s="686"/>
      <c r="S110" s="686"/>
      <c r="T110" s="686"/>
      <c r="U110" s="686"/>
      <c r="V110" s="686"/>
      <c r="W110" s="686"/>
      <c r="X110" s="687"/>
    </row>
    <row r="111" spans="1:26" ht="12" customHeight="1" x14ac:dyDescent="0.2">
      <c r="B111" s="90"/>
      <c r="C111" s="512"/>
      <c r="D111" s="1128" t="s">
        <v>506</v>
      </c>
      <c r="E111" s="1128"/>
      <c r="F111" s="1128"/>
      <c r="G111" s="1128"/>
      <c r="H111" s="1129"/>
      <c r="I111" s="525">
        <f t="shared" si="28"/>
        <v>0</v>
      </c>
      <c r="J111" s="452">
        <v>0</v>
      </c>
      <c r="K111" s="1103">
        <f>(J111+J111*O111)*12/J$33</f>
        <v>0</v>
      </c>
      <c r="L111" s="1103" t="e">
        <f>K111*12/K$11</f>
        <v>#VALUE!</v>
      </c>
      <c r="M111" s="452">
        <f t="shared" si="31"/>
        <v>0</v>
      </c>
      <c r="O111" s="474">
        <v>0.03</v>
      </c>
      <c r="P111" s="474">
        <f t="shared" si="32"/>
        <v>0.03</v>
      </c>
      <c r="Q111" s="686"/>
      <c r="R111" s="686"/>
      <c r="S111" s="686"/>
      <c r="T111" s="686"/>
      <c r="U111" s="686"/>
      <c r="V111" s="686"/>
      <c r="W111" s="686"/>
      <c r="X111" s="687"/>
    </row>
    <row r="112" spans="1:26" s="2" customFormat="1" ht="12.75" customHeight="1" x14ac:dyDescent="0.2">
      <c r="A112"/>
      <c r="B112" s="253" t="s">
        <v>72</v>
      </c>
      <c r="C112" s="464" t="s">
        <v>150</v>
      </c>
      <c r="D112" s="1107" t="s">
        <v>347</v>
      </c>
      <c r="E112" s="1107"/>
      <c r="F112" s="1107"/>
      <c r="G112" s="1107"/>
      <c r="H112" s="1107"/>
      <c r="I112" s="525">
        <f t="shared" si="28"/>
        <v>0</v>
      </c>
      <c r="J112" s="524">
        <v>0</v>
      </c>
      <c r="K112" s="1133">
        <f>(J112+J112*O112)*12/J$33</f>
        <v>0</v>
      </c>
      <c r="L112" s="1133" t="e">
        <f>K112*12/K$11</f>
        <v>#VALUE!</v>
      </c>
      <c r="M112" s="524">
        <f>K112+K112*P112</f>
        <v>0</v>
      </c>
      <c r="O112" s="474">
        <v>0.03</v>
      </c>
      <c r="P112" s="474">
        <f t="shared" si="32"/>
        <v>0.03</v>
      </c>
      <c r="Q112" s="686"/>
      <c r="R112" s="686"/>
      <c r="S112" s="686"/>
      <c r="T112" s="686"/>
      <c r="U112" s="686"/>
      <c r="V112" s="686"/>
      <c r="W112" s="686"/>
      <c r="X112" s="687"/>
    </row>
    <row r="113" spans="1:24" s="2" customFormat="1" ht="12.75" customHeight="1" x14ac:dyDescent="0.2">
      <c r="B113" s="253" t="s">
        <v>76</v>
      </c>
      <c r="C113" s="464" t="s">
        <v>151</v>
      </c>
      <c r="D113" s="1107" t="s">
        <v>348</v>
      </c>
      <c r="E113" s="1107"/>
      <c r="F113" s="1107"/>
      <c r="G113" s="1107"/>
      <c r="H113" s="1107"/>
      <c r="I113" s="482">
        <f t="shared" si="28"/>
        <v>0</v>
      </c>
      <c r="J113" s="524">
        <v>0</v>
      </c>
      <c r="K113" s="1133">
        <f>(J113+J113*O113)*12/J$33</f>
        <v>0</v>
      </c>
      <c r="L113" s="1133" t="e">
        <f>K113*12/K$11</f>
        <v>#VALUE!</v>
      </c>
      <c r="M113" s="524">
        <f t="shared" si="31"/>
        <v>0</v>
      </c>
      <c r="O113" s="474">
        <v>0.03</v>
      </c>
      <c r="P113" s="474">
        <f t="shared" si="32"/>
        <v>0.03</v>
      </c>
      <c r="Q113" s="686"/>
      <c r="R113" s="686"/>
      <c r="S113" s="686"/>
      <c r="T113" s="686"/>
      <c r="U113" s="686"/>
      <c r="V113" s="686"/>
      <c r="W113" s="686"/>
      <c r="X113" s="687"/>
    </row>
    <row r="114" spans="1:24" s="2" customFormat="1" ht="12.75" customHeight="1" x14ac:dyDescent="0.2">
      <c r="B114" s="253" t="s">
        <v>210</v>
      </c>
      <c r="C114" s="464" t="s">
        <v>152</v>
      </c>
      <c r="D114" s="1017" t="s">
        <v>349</v>
      </c>
      <c r="E114" s="1009"/>
      <c r="F114" s="1009"/>
      <c r="G114" s="1009"/>
      <c r="H114" s="1009"/>
      <c r="I114" s="482">
        <f t="shared" si="28"/>
        <v>0</v>
      </c>
      <c r="J114" s="524">
        <v>0</v>
      </c>
      <c r="K114" s="1133">
        <f>(J114+J114*O114)*12/J$33</f>
        <v>0</v>
      </c>
      <c r="L114" s="1133" t="e">
        <f>K114*12/K$11</f>
        <v>#VALUE!</v>
      </c>
      <c r="M114" s="524">
        <f t="shared" si="31"/>
        <v>0</v>
      </c>
      <c r="O114" s="474">
        <v>0.03</v>
      </c>
      <c r="P114" s="474">
        <f t="shared" ref="P114" si="33">O114</f>
        <v>0.03</v>
      </c>
      <c r="Q114" s="686"/>
      <c r="R114" s="686"/>
      <c r="S114" s="686"/>
      <c r="T114" s="686"/>
      <c r="U114" s="686"/>
      <c r="V114" s="686"/>
      <c r="W114" s="686"/>
      <c r="X114" s="687"/>
    </row>
    <row r="115" spans="1:24" s="2" customFormat="1" ht="12.75" customHeight="1" x14ac:dyDescent="0.2">
      <c r="B115" s="253" t="s">
        <v>211</v>
      </c>
      <c r="C115" s="598" t="s">
        <v>153</v>
      </c>
      <c r="D115" s="1045" t="s">
        <v>350</v>
      </c>
      <c r="E115" s="1046"/>
      <c r="F115" s="1046"/>
      <c r="G115" s="1046"/>
      <c r="H115" s="1046"/>
      <c r="I115" s="600">
        <f t="shared" si="28"/>
        <v>0</v>
      </c>
      <c r="J115" s="601">
        <v>0</v>
      </c>
      <c r="K115" s="1133">
        <f>(J115+J115*O115)*12/J$33</f>
        <v>0</v>
      </c>
      <c r="L115" s="1133" t="e">
        <f>K115*12/K$11</f>
        <v>#VALUE!</v>
      </c>
      <c r="M115" s="524">
        <f t="shared" si="31"/>
        <v>0</v>
      </c>
      <c r="O115" s="474">
        <v>0.03</v>
      </c>
      <c r="P115" s="474">
        <f t="shared" si="32"/>
        <v>0.03</v>
      </c>
      <c r="Q115" s="686"/>
      <c r="R115" s="686"/>
      <c r="S115" s="686"/>
      <c r="T115" s="686"/>
      <c r="U115" s="686"/>
      <c r="V115" s="686"/>
      <c r="W115" s="686"/>
      <c r="X115" s="687"/>
    </row>
    <row r="116" spans="1:24" ht="12.75" customHeight="1" x14ac:dyDescent="0.2">
      <c r="A116" s="2"/>
      <c r="B116" s="655" t="s">
        <v>239</v>
      </c>
      <c r="C116" s="464" t="s">
        <v>154</v>
      </c>
      <c r="D116" s="1200" t="s">
        <v>352</v>
      </c>
      <c r="E116" s="1200"/>
      <c r="F116" s="1200"/>
      <c r="G116" s="1200"/>
      <c r="H116" s="1201"/>
      <c r="I116" s="602"/>
      <c r="J116" s="982">
        <v>0</v>
      </c>
      <c r="K116" s="1157">
        <v>0</v>
      </c>
      <c r="L116" s="1157"/>
      <c r="M116" s="597">
        <v>0</v>
      </c>
      <c r="N116" s="272"/>
      <c r="O116" s="756"/>
      <c r="P116" s="75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34"/>
      <c r="P117" s="6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34"/>
      <c r="P118" s="652"/>
      <c r="Q118" s="686"/>
      <c r="R118" s="686"/>
      <c r="S118" s="686"/>
      <c r="T118" s="686"/>
      <c r="U118" s="686"/>
      <c r="V118" s="686"/>
      <c r="W118" s="686"/>
      <c r="X118" s="687"/>
    </row>
    <row r="119" spans="1:24" ht="12" customHeight="1" x14ac:dyDescent="0.2">
      <c r="C119" s="1134" t="s">
        <v>354</v>
      </c>
      <c r="D119" s="1135"/>
      <c r="E119" s="1135"/>
      <c r="F119" s="1135"/>
      <c r="G119" s="1135"/>
      <c r="H119" s="1135"/>
      <c r="I119" s="1123" t="str">
        <f>I71</f>
        <v>1. ACCOUNTING PERIOD</v>
      </c>
      <c r="J119" s="1123"/>
      <c r="K119" s="1152" t="str">
        <f>K71</f>
        <v>2. PERIOD</v>
      </c>
      <c r="L119" s="1153"/>
      <c r="M119" s="545" t="str">
        <f>M71</f>
        <v>3. PERIOD</v>
      </c>
      <c r="O119" s="935"/>
      <c r="P119" s="652"/>
      <c r="Q119" s="686"/>
      <c r="R119" s="686"/>
      <c r="S119" s="686"/>
      <c r="T119" s="686"/>
      <c r="U119" s="686"/>
      <c r="V119" s="686"/>
      <c r="W119" s="686"/>
      <c r="X119" s="687"/>
    </row>
    <row r="120" spans="1:24" ht="15" customHeight="1" x14ac:dyDescent="0.2">
      <c r="C120" s="1136"/>
      <c r="D120" s="1137"/>
      <c r="E120" s="1137"/>
      <c r="F120" s="1137"/>
      <c r="G120" s="1137"/>
      <c r="H120" s="1137"/>
      <c r="I120" s="706" t="str">
        <f>I32</f>
        <v>Per month</v>
      </c>
      <c r="J120" s="546">
        <f>J32</f>
        <v>2027</v>
      </c>
      <c r="K120" s="1169">
        <f>J120+1</f>
        <v>2028</v>
      </c>
      <c r="L120" s="1170"/>
      <c r="M120" s="546">
        <f>K120+1</f>
        <v>2029</v>
      </c>
      <c r="O120" s="936"/>
      <c r="P120" s="937"/>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150"/>
      <c r="P121" s="1151"/>
      <c r="Q121" s="686"/>
      <c r="R121" s="686"/>
      <c r="S121" s="686"/>
      <c r="T121" s="686"/>
      <c r="U121" s="686"/>
      <c r="V121" s="686"/>
      <c r="W121" s="686"/>
      <c r="X121" s="687"/>
    </row>
    <row r="122" spans="1:24" s="32" customFormat="1" ht="14.25" customHeight="1" x14ac:dyDescent="0.2">
      <c r="B122" s="613"/>
      <c r="C122" s="615"/>
      <c r="D122" s="542"/>
      <c r="E122" s="542"/>
      <c r="F122" s="1203" t="s">
        <v>353</v>
      </c>
      <c r="G122" s="1204"/>
      <c r="H122" s="616"/>
      <c r="I122" s="575"/>
      <c r="J122" s="458"/>
      <c r="K122" s="1155"/>
      <c r="L122" s="1155"/>
      <c r="M122" s="463"/>
      <c r="O122" s="1146" t="s">
        <v>387</v>
      </c>
      <c r="P122" s="1147"/>
      <c r="Q122" s="686"/>
      <c r="R122" s="686"/>
      <c r="S122" s="686"/>
      <c r="T122" s="686"/>
      <c r="U122" s="686"/>
      <c r="V122" s="686"/>
      <c r="W122" s="686"/>
      <c r="X122" s="687"/>
    </row>
    <row r="123" spans="1:24" s="32" customFormat="1" ht="12" customHeight="1" x14ac:dyDescent="0.2">
      <c r="B123" s="253" t="s">
        <v>238</v>
      </c>
      <c r="C123" s="1094" t="s">
        <v>355</v>
      </c>
      <c r="D123" s="1095"/>
      <c r="E123" s="1095"/>
      <c r="F123" s="1180">
        <v>0.255</v>
      </c>
      <c r="G123" s="1181"/>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048" t="s">
        <v>356</v>
      </c>
      <c r="D124" s="1049"/>
      <c r="E124" s="1049"/>
      <c r="F124" s="1049"/>
      <c r="G124" s="1049"/>
      <c r="H124" s="1050"/>
      <c r="I124" s="448"/>
      <c r="J124" s="449">
        <v>0</v>
      </c>
      <c r="K124" s="1125">
        <f>J124+J124*O124</f>
        <v>0</v>
      </c>
      <c r="L124" s="1125">
        <f>K124 +K124*O124</f>
        <v>0</v>
      </c>
      <c r="M124" s="449">
        <f>K124+K124*P124</f>
        <v>0</v>
      </c>
      <c r="O124" s="475">
        <v>0.03</v>
      </c>
      <c r="P124" s="475">
        <f>O124</f>
        <v>0.03</v>
      </c>
      <c r="Q124" s="686"/>
      <c r="R124" s="686"/>
      <c r="S124" s="686"/>
      <c r="T124" s="686"/>
      <c r="U124" s="686"/>
      <c r="V124" s="686"/>
      <c r="W124" s="686"/>
      <c r="X124" s="687"/>
    </row>
    <row r="125" spans="1:24" s="32" customFormat="1" ht="12" customHeight="1" x14ac:dyDescent="0.2">
      <c r="C125" s="1051" t="s">
        <v>357</v>
      </c>
      <c r="D125" s="1052"/>
      <c r="E125" s="1052"/>
      <c r="F125" s="1052"/>
      <c r="G125" s="1052"/>
      <c r="H125" s="1053"/>
      <c r="I125" s="522">
        <v>0</v>
      </c>
      <c r="J125" s="450">
        <f>J124/(1+$F123)</f>
        <v>0</v>
      </c>
      <c r="K125" s="1156">
        <f>K124/(1+F123)</f>
        <v>0</v>
      </c>
      <c r="L125" s="1156"/>
      <c r="M125" s="451">
        <f>M124/(1+F123)</f>
        <v>0</v>
      </c>
      <c r="O125" s="658"/>
      <c r="P125" s="659"/>
      <c r="Q125" s="686"/>
      <c r="R125" s="686"/>
      <c r="S125" s="686"/>
      <c r="T125" s="686"/>
      <c r="U125" s="686"/>
      <c r="V125" s="686"/>
      <c r="W125" s="686"/>
      <c r="X125" s="687"/>
    </row>
    <row r="126" spans="1:24" s="32" customFormat="1" ht="12" customHeight="1" x14ac:dyDescent="0.2">
      <c r="C126" s="1197" t="s">
        <v>358</v>
      </c>
      <c r="D126" s="1198"/>
      <c r="E126" s="1198"/>
      <c r="F126" s="1198"/>
      <c r="G126" s="1198"/>
      <c r="H126" s="1199"/>
      <c r="I126" s="446">
        <f>J126/J$33</f>
        <v>0</v>
      </c>
      <c r="J126" s="452">
        <v>0</v>
      </c>
      <c r="K126" s="1103">
        <f>(J126+J126*O126)*12/J$33</f>
        <v>0</v>
      </c>
      <c r="L126" s="1103" t="e">
        <f>K126*12/K$11</f>
        <v>#VALUE!</v>
      </c>
      <c r="M126" s="452">
        <f>K126+K126*P126</f>
        <v>0</v>
      </c>
      <c r="O126" s="474">
        <v>0</v>
      </c>
      <c r="P126" s="474">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675"/>
      <c r="P127" s="676"/>
      <c r="Q127" s="686"/>
      <c r="R127" s="686"/>
      <c r="S127" s="686"/>
      <c r="T127" s="686"/>
      <c r="U127" s="686"/>
      <c r="V127" s="686"/>
      <c r="W127" s="686"/>
      <c r="X127" s="687"/>
    </row>
    <row r="128" spans="1:24" s="32" customFormat="1" ht="12" customHeight="1" x14ac:dyDescent="0.2">
      <c r="C128" s="1094" t="s">
        <v>355</v>
      </c>
      <c r="D128" s="1095"/>
      <c r="E128" s="1095"/>
      <c r="F128" s="1180">
        <v>0.255</v>
      </c>
      <c r="G128" s="1181"/>
      <c r="H128" s="617" t="s">
        <v>359</v>
      </c>
      <c r="I128" s="454">
        <f>J128/J$33</f>
        <v>0</v>
      </c>
      <c r="J128" s="447">
        <f>J130*J131</f>
        <v>0</v>
      </c>
      <c r="K128" s="1105">
        <f>K130*K131</f>
        <v>0</v>
      </c>
      <c r="L128" s="1105"/>
      <c r="M128" s="447">
        <f>M130*M131</f>
        <v>0</v>
      </c>
      <c r="O128" s="656"/>
      <c r="P128" s="657"/>
      <c r="Q128" s="686"/>
      <c r="R128" s="686"/>
      <c r="S128" s="686"/>
      <c r="T128" s="686"/>
      <c r="U128" s="686"/>
      <c r="V128" s="686"/>
      <c r="W128" s="686"/>
      <c r="X128" s="687"/>
    </row>
    <row r="129" spans="3:24" s="32" customFormat="1" ht="12" customHeight="1" x14ac:dyDescent="0.2">
      <c r="C129" s="1048" t="s">
        <v>356</v>
      </c>
      <c r="D129" s="1049"/>
      <c r="E129" s="1049"/>
      <c r="F129" s="1049"/>
      <c r="G129" s="1049"/>
      <c r="H129" s="1050"/>
      <c r="I129" s="448"/>
      <c r="J129" s="449">
        <v>0</v>
      </c>
      <c r="K129" s="1125">
        <f>J129+J129*O129</f>
        <v>0</v>
      </c>
      <c r="L129" s="1125">
        <f>K129 +K129*O129</f>
        <v>0</v>
      </c>
      <c r="M129" s="449">
        <f>K129+K129*P129</f>
        <v>0</v>
      </c>
      <c r="O129" s="474">
        <v>0.03</v>
      </c>
      <c r="P129" s="474">
        <f>O129</f>
        <v>0.03</v>
      </c>
      <c r="Q129" s="686"/>
      <c r="R129" s="686"/>
      <c r="S129" s="686"/>
      <c r="T129" s="686"/>
      <c r="U129" s="686"/>
      <c r="V129" s="686"/>
      <c r="W129" s="686"/>
      <c r="X129" s="687"/>
    </row>
    <row r="130" spans="3:24" s="32" customFormat="1" ht="12" customHeight="1" x14ac:dyDescent="0.2">
      <c r="C130" s="1051" t="s">
        <v>357</v>
      </c>
      <c r="D130" s="1052"/>
      <c r="E130" s="1052"/>
      <c r="F130" s="1052"/>
      <c r="G130" s="1052"/>
      <c r="H130" s="1053"/>
      <c r="I130" s="522">
        <v>0</v>
      </c>
      <c r="J130" s="450">
        <f>J129/(1+$F128)</f>
        <v>0</v>
      </c>
      <c r="K130" s="1156">
        <f>K129/(1+F128)</f>
        <v>0</v>
      </c>
      <c r="L130" s="1156"/>
      <c r="M130" s="451">
        <f>M129/(1+F128)</f>
        <v>0</v>
      </c>
      <c r="O130" s="658"/>
      <c r="P130" s="659"/>
      <c r="Q130" s="686"/>
      <c r="R130" s="686"/>
      <c r="S130" s="686"/>
      <c r="T130" s="686"/>
      <c r="U130" s="686"/>
      <c r="V130" s="686"/>
      <c r="W130" s="686"/>
      <c r="X130" s="687"/>
    </row>
    <row r="131" spans="3:24" s="32" customFormat="1" ht="12" customHeight="1" x14ac:dyDescent="0.2">
      <c r="C131" s="1197" t="s">
        <v>358</v>
      </c>
      <c r="D131" s="1198"/>
      <c r="E131" s="1198"/>
      <c r="F131" s="1198"/>
      <c r="G131" s="1198"/>
      <c r="H131" s="1199"/>
      <c r="I131" s="446">
        <f>J131/J$33</f>
        <v>0</v>
      </c>
      <c r="J131" s="452">
        <v>0</v>
      </c>
      <c r="K131" s="1103">
        <f>(J131+J131*O131)*12/J$33</f>
        <v>0</v>
      </c>
      <c r="L131" s="1103" t="e">
        <f>K131*12/K$11</f>
        <v>#VALUE!</v>
      </c>
      <c r="M131" s="452">
        <f>K131+K131*P131</f>
        <v>0</v>
      </c>
      <c r="O131" s="474">
        <v>0</v>
      </c>
      <c r="P131" s="474">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675"/>
      <c r="P132" s="676"/>
      <c r="Q132" s="686"/>
      <c r="R132" s="686"/>
      <c r="S132" s="686"/>
      <c r="T132" s="686"/>
      <c r="U132" s="686"/>
      <c r="V132" s="686"/>
      <c r="W132" s="686"/>
      <c r="X132" s="687"/>
    </row>
    <row r="133" spans="3:24" s="32" customFormat="1" ht="12" customHeight="1" x14ac:dyDescent="0.2">
      <c r="C133" s="1094" t="s">
        <v>355</v>
      </c>
      <c r="D133" s="1095"/>
      <c r="E133" s="1095"/>
      <c r="F133" s="1180">
        <v>0.255</v>
      </c>
      <c r="G133" s="1181"/>
      <c r="H133" s="617" t="s">
        <v>359</v>
      </c>
      <c r="I133" s="454">
        <f>J133/J$33</f>
        <v>0</v>
      </c>
      <c r="J133" s="447">
        <f>J135*J136</f>
        <v>0</v>
      </c>
      <c r="K133" s="1105">
        <f>K135*K136</f>
        <v>0</v>
      </c>
      <c r="L133" s="1105"/>
      <c r="M133" s="447">
        <f>M135*M136</f>
        <v>0</v>
      </c>
      <c r="O133" s="656"/>
      <c r="P133" s="657"/>
      <c r="Q133" s="686"/>
      <c r="R133" s="686"/>
      <c r="S133" s="686"/>
      <c r="T133" s="686"/>
      <c r="U133" s="686"/>
      <c r="V133" s="686"/>
      <c r="W133" s="686"/>
      <c r="X133" s="687"/>
    </row>
    <row r="134" spans="3:24" s="32" customFormat="1" ht="12" customHeight="1" x14ac:dyDescent="0.2">
      <c r="C134" s="1048" t="s">
        <v>356</v>
      </c>
      <c r="D134" s="1049"/>
      <c r="E134" s="1049"/>
      <c r="F134" s="1049"/>
      <c r="G134" s="1049"/>
      <c r="H134" s="1050"/>
      <c r="I134" s="448"/>
      <c r="J134" s="449">
        <v>0</v>
      </c>
      <c r="K134" s="1125">
        <f>J134+J134*O134</f>
        <v>0</v>
      </c>
      <c r="L134" s="1125">
        <f>K134 +K134*O134</f>
        <v>0</v>
      </c>
      <c r="M134" s="449">
        <f>K134+K134*P134</f>
        <v>0</v>
      </c>
      <c r="O134" s="474">
        <v>0.03</v>
      </c>
      <c r="P134" s="474">
        <f>O134</f>
        <v>0.03</v>
      </c>
      <c r="Q134" s="686"/>
      <c r="R134" s="686"/>
      <c r="S134" s="686"/>
      <c r="T134" s="686"/>
      <c r="U134" s="686"/>
      <c r="V134" s="686"/>
      <c r="W134" s="686"/>
      <c r="X134" s="687"/>
    </row>
    <row r="135" spans="3:24" s="32" customFormat="1" ht="12" customHeight="1" x14ac:dyDescent="0.2">
      <c r="C135" s="1051" t="s">
        <v>357</v>
      </c>
      <c r="D135" s="1052"/>
      <c r="E135" s="1052"/>
      <c r="F135" s="1052"/>
      <c r="G135" s="1052"/>
      <c r="H135" s="1053"/>
      <c r="I135" s="522">
        <v>0</v>
      </c>
      <c r="J135" s="450">
        <f>J134/(1+$F133)</f>
        <v>0</v>
      </c>
      <c r="K135" s="1156">
        <f>K134/(1+F133)</f>
        <v>0</v>
      </c>
      <c r="L135" s="1156"/>
      <c r="M135" s="451">
        <f>M134/(1+F133)</f>
        <v>0</v>
      </c>
      <c r="O135" s="673"/>
      <c r="P135" s="674"/>
      <c r="Q135" s="686"/>
      <c r="R135" s="686"/>
      <c r="S135" s="686"/>
      <c r="T135" s="686"/>
      <c r="U135" s="686"/>
      <c r="V135" s="686"/>
      <c r="W135" s="686"/>
      <c r="X135" s="687"/>
    </row>
    <row r="136" spans="3:24" s="32" customFormat="1" ht="12" customHeight="1" x14ac:dyDescent="0.2">
      <c r="C136" s="1197" t="s">
        <v>358</v>
      </c>
      <c r="D136" s="1198"/>
      <c r="E136" s="1198"/>
      <c r="F136" s="1198"/>
      <c r="G136" s="1198"/>
      <c r="H136" s="1199"/>
      <c r="I136" s="446">
        <f>J136/J$33</f>
        <v>0</v>
      </c>
      <c r="J136" s="452">
        <v>0</v>
      </c>
      <c r="K136" s="1103">
        <f>(J136+J136*O136)*12/J$33</f>
        <v>0</v>
      </c>
      <c r="L136" s="1103" t="e">
        <f>K136*12/K$11</f>
        <v>#VALUE!</v>
      </c>
      <c r="M136" s="452">
        <f>K136+K136*P136</f>
        <v>0</v>
      </c>
      <c r="O136" s="474">
        <v>0</v>
      </c>
      <c r="P136" s="474">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675"/>
      <c r="P137" s="676"/>
      <c r="Q137" s="686"/>
      <c r="R137" s="686"/>
      <c r="S137" s="686"/>
      <c r="T137" s="686"/>
      <c r="U137" s="686"/>
      <c r="V137" s="686"/>
      <c r="W137" s="686"/>
      <c r="X137" s="687"/>
    </row>
    <row r="138" spans="3:24" s="32" customFormat="1" ht="12" customHeight="1" x14ac:dyDescent="0.2">
      <c r="C138" s="1094" t="s">
        <v>355</v>
      </c>
      <c r="D138" s="1095"/>
      <c r="E138" s="1095"/>
      <c r="F138" s="1180">
        <v>0.255</v>
      </c>
      <c r="G138" s="1181"/>
      <c r="H138" s="617" t="s">
        <v>359</v>
      </c>
      <c r="I138" s="454">
        <f>J138/J$33</f>
        <v>0</v>
      </c>
      <c r="J138" s="447">
        <f>J140*J141</f>
        <v>0</v>
      </c>
      <c r="K138" s="1105">
        <f>K140*K141</f>
        <v>0</v>
      </c>
      <c r="L138" s="1105"/>
      <c r="M138" s="447">
        <f>M140*M141</f>
        <v>0</v>
      </c>
      <c r="O138" s="660"/>
      <c r="P138" s="661"/>
      <c r="Q138" s="686"/>
      <c r="R138" s="686"/>
      <c r="S138" s="686"/>
      <c r="T138" s="686"/>
      <c r="U138" s="686"/>
      <c r="V138" s="686"/>
      <c r="W138" s="686"/>
      <c r="X138" s="687"/>
    </row>
    <row r="139" spans="3:24" s="32" customFormat="1" ht="12" customHeight="1" x14ac:dyDescent="0.2">
      <c r="C139" s="1048" t="s">
        <v>356</v>
      </c>
      <c r="D139" s="1049"/>
      <c r="E139" s="1049"/>
      <c r="F139" s="1049"/>
      <c r="G139" s="1049"/>
      <c r="H139" s="1050"/>
      <c r="I139" s="448"/>
      <c r="J139" s="449">
        <v>0</v>
      </c>
      <c r="K139" s="1125">
        <f>J139+J139*O139</f>
        <v>0</v>
      </c>
      <c r="L139" s="1125">
        <f>K139 +K139*O139</f>
        <v>0</v>
      </c>
      <c r="M139" s="449">
        <f>K139+K139*P139</f>
        <v>0</v>
      </c>
      <c r="O139" s="474">
        <v>0.03</v>
      </c>
      <c r="P139" s="474">
        <f>O139</f>
        <v>0.03</v>
      </c>
      <c r="Q139" s="686"/>
      <c r="R139" s="686"/>
      <c r="S139" s="686"/>
      <c r="T139" s="686"/>
      <c r="U139" s="686"/>
      <c r="V139" s="686"/>
      <c r="W139" s="686"/>
      <c r="X139" s="687"/>
    </row>
    <row r="140" spans="3:24" s="32" customFormat="1" ht="12" customHeight="1" x14ac:dyDescent="0.2">
      <c r="C140" s="1051" t="s">
        <v>357</v>
      </c>
      <c r="D140" s="1052"/>
      <c r="E140" s="1052"/>
      <c r="F140" s="1052"/>
      <c r="G140" s="1052"/>
      <c r="H140" s="1053"/>
      <c r="I140" s="522">
        <v>0</v>
      </c>
      <c r="J140" s="450">
        <f>J139/(1+$F138)</f>
        <v>0</v>
      </c>
      <c r="K140" s="1156">
        <f>K139/(1+F138)</f>
        <v>0</v>
      </c>
      <c r="L140" s="1156"/>
      <c r="M140" s="451">
        <f>M139/(1+F138)</f>
        <v>0</v>
      </c>
      <c r="O140" s="658"/>
      <c r="P140" s="659"/>
      <c r="Q140" s="686"/>
      <c r="R140" s="686"/>
      <c r="S140" s="686"/>
      <c r="T140" s="686"/>
      <c r="U140" s="686"/>
      <c r="V140" s="686"/>
      <c r="W140" s="686"/>
      <c r="X140" s="687"/>
    </row>
    <row r="141" spans="3:24" s="32" customFormat="1" ht="12" customHeight="1" x14ac:dyDescent="0.2">
      <c r="C141" s="1197" t="s">
        <v>358</v>
      </c>
      <c r="D141" s="1198"/>
      <c r="E141" s="1198"/>
      <c r="F141" s="1198"/>
      <c r="G141" s="1198"/>
      <c r="H141" s="1199"/>
      <c r="I141" s="446">
        <f>J141/J$33</f>
        <v>0</v>
      </c>
      <c r="J141" s="452">
        <v>0</v>
      </c>
      <c r="K141" s="1103">
        <f>(J141+J141*O141)*12/J$33</f>
        <v>0</v>
      </c>
      <c r="L141" s="1103" t="e">
        <f>K141*12/K$11</f>
        <v>#VALUE!</v>
      </c>
      <c r="M141" s="452">
        <f>K141+K141*P141</f>
        <v>0</v>
      </c>
      <c r="O141" s="474">
        <v>0</v>
      </c>
      <c r="P141" s="474">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675"/>
      <c r="P142" s="676"/>
      <c r="Q142" s="686"/>
      <c r="R142" s="686"/>
      <c r="S142" s="686"/>
      <c r="T142" s="686"/>
      <c r="U142" s="686"/>
      <c r="V142" s="686"/>
      <c r="W142" s="686"/>
      <c r="X142" s="687"/>
    </row>
    <row r="143" spans="3:24" s="32" customFormat="1" ht="12" customHeight="1" x14ac:dyDescent="0.2">
      <c r="C143" s="1094" t="s">
        <v>355</v>
      </c>
      <c r="D143" s="1095"/>
      <c r="E143" s="1095"/>
      <c r="F143" s="1180">
        <v>0.255</v>
      </c>
      <c r="G143" s="1181"/>
      <c r="H143" s="617" t="s">
        <v>359</v>
      </c>
      <c r="I143" s="454">
        <f>J143/J$33</f>
        <v>0</v>
      </c>
      <c r="J143" s="447">
        <f>J145*J146</f>
        <v>0</v>
      </c>
      <c r="K143" s="1105">
        <f>K145*K146</f>
        <v>0</v>
      </c>
      <c r="L143" s="1105"/>
      <c r="M143" s="447">
        <f>M145*M146</f>
        <v>0</v>
      </c>
      <c r="O143" s="658"/>
      <c r="P143" s="659"/>
      <c r="Q143" s="686"/>
      <c r="R143" s="686"/>
      <c r="S143" s="686"/>
      <c r="T143" s="686"/>
      <c r="U143" s="686"/>
      <c r="V143" s="686"/>
      <c r="W143" s="686"/>
      <c r="X143" s="687"/>
    </row>
    <row r="144" spans="3:24" s="32" customFormat="1" ht="12" customHeight="1" x14ac:dyDescent="0.2">
      <c r="C144" s="1048" t="s">
        <v>356</v>
      </c>
      <c r="D144" s="1049"/>
      <c r="E144" s="1049"/>
      <c r="F144" s="1049"/>
      <c r="G144" s="1049"/>
      <c r="H144" s="1050"/>
      <c r="I144" s="448"/>
      <c r="J144" s="449">
        <v>0</v>
      </c>
      <c r="K144" s="1125">
        <f>J144+J144*O144</f>
        <v>0</v>
      </c>
      <c r="L144" s="1125">
        <f>K144 +K144*O144</f>
        <v>0</v>
      </c>
      <c r="M144" s="449">
        <f>K144+K144*P144</f>
        <v>0</v>
      </c>
      <c r="O144" s="474">
        <v>0.03</v>
      </c>
      <c r="P144" s="474">
        <f>O144</f>
        <v>0.03</v>
      </c>
      <c r="Q144" s="686"/>
      <c r="R144" s="686"/>
      <c r="S144" s="686"/>
      <c r="T144" s="686"/>
      <c r="U144" s="686"/>
      <c r="V144" s="686"/>
      <c r="W144" s="686"/>
      <c r="X144" s="687"/>
    </row>
    <row r="145" spans="2:24" s="32" customFormat="1" ht="12" customHeight="1" x14ac:dyDescent="0.2">
      <c r="C145" s="1051" t="s">
        <v>357</v>
      </c>
      <c r="D145" s="1052"/>
      <c r="E145" s="1052"/>
      <c r="F145" s="1052"/>
      <c r="G145" s="1052"/>
      <c r="H145" s="1053"/>
      <c r="I145" s="522">
        <v>0</v>
      </c>
      <c r="J145" s="450">
        <f>J144/(1+$F143)</f>
        <v>0</v>
      </c>
      <c r="K145" s="1156">
        <f>K144/(1+F143)</f>
        <v>0</v>
      </c>
      <c r="L145" s="1156"/>
      <c r="M145" s="451">
        <f>M144/(1+F143)</f>
        <v>0</v>
      </c>
      <c r="O145" s="658"/>
      <c r="P145" s="659"/>
      <c r="Q145" s="686"/>
      <c r="R145" s="686"/>
      <c r="S145" s="686"/>
      <c r="T145" s="686"/>
      <c r="U145" s="686"/>
      <c r="V145" s="686"/>
      <c r="W145" s="686"/>
      <c r="X145" s="687"/>
    </row>
    <row r="146" spans="2:24" s="32" customFormat="1" ht="12" customHeight="1" x14ac:dyDescent="0.2">
      <c r="C146" s="1197" t="s">
        <v>358</v>
      </c>
      <c r="D146" s="1198"/>
      <c r="E146" s="1198"/>
      <c r="F146" s="1198"/>
      <c r="G146" s="1198"/>
      <c r="H146" s="1199"/>
      <c r="I146" s="446">
        <f>J146/J$33</f>
        <v>0</v>
      </c>
      <c r="J146" s="452">
        <v>0</v>
      </c>
      <c r="K146" s="1103">
        <f>(J146+J146*O146)*12/J$33</f>
        <v>0</v>
      </c>
      <c r="L146" s="1103" t="e">
        <f>K146*12/K$11</f>
        <v>#VALUE!</v>
      </c>
      <c r="M146" s="452">
        <f>K146+K146*P146</f>
        <v>0</v>
      </c>
      <c r="O146" s="474">
        <v>0</v>
      </c>
      <c r="P146" s="474">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675"/>
      <c r="P147" s="676"/>
      <c r="Q147" s="686"/>
      <c r="R147" s="686"/>
      <c r="S147" s="686"/>
      <c r="T147" s="686"/>
      <c r="U147" s="686"/>
      <c r="V147" s="686"/>
      <c r="W147" s="686"/>
      <c r="X147" s="687"/>
    </row>
    <row r="148" spans="2:24" s="32" customFormat="1" ht="12" customHeight="1" x14ac:dyDescent="0.2">
      <c r="C148" s="1094" t="s">
        <v>355</v>
      </c>
      <c r="D148" s="1095"/>
      <c r="E148" s="1095"/>
      <c r="F148" s="1180">
        <v>0.255</v>
      </c>
      <c r="G148" s="1181"/>
      <c r="H148" s="617" t="s">
        <v>359</v>
      </c>
      <c r="I148" s="454">
        <f>J148/J$33</f>
        <v>0</v>
      </c>
      <c r="J148" s="447">
        <f>J150*J151</f>
        <v>0</v>
      </c>
      <c r="K148" s="1105">
        <f>K150*K151</f>
        <v>0</v>
      </c>
      <c r="L148" s="1105"/>
      <c r="M148" s="447">
        <f>M150*M151</f>
        <v>0</v>
      </c>
      <c r="O148" s="658"/>
      <c r="P148" s="659"/>
      <c r="Q148" s="686"/>
      <c r="R148" s="686"/>
      <c r="S148" s="686"/>
      <c r="T148" s="686"/>
      <c r="U148" s="686"/>
      <c r="V148" s="686"/>
      <c r="W148" s="686"/>
      <c r="X148" s="687"/>
    </row>
    <row r="149" spans="2:24" s="32" customFormat="1" ht="12" customHeight="1" x14ac:dyDescent="0.2">
      <c r="C149" s="1048" t="s">
        <v>356</v>
      </c>
      <c r="D149" s="1049"/>
      <c r="E149" s="1049"/>
      <c r="F149" s="1049"/>
      <c r="G149" s="1049"/>
      <c r="H149" s="1050"/>
      <c r="I149" s="448"/>
      <c r="J149" s="449">
        <v>0</v>
      </c>
      <c r="K149" s="1125">
        <f>J149+J149*O149</f>
        <v>0</v>
      </c>
      <c r="L149" s="1125">
        <f>K149 +K149*O149</f>
        <v>0</v>
      </c>
      <c r="M149" s="449">
        <f>K149+K149*P149</f>
        <v>0</v>
      </c>
      <c r="O149" s="474">
        <v>0.03</v>
      </c>
      <c r="P149" s="474">
        <f>O149</f>
        <v>0.03</v>
      </c>
      <c r="Q149" s="686"/>
      <c r="R149" s="686"/>
      <c r="S149" s="686"/>
      <c r="T149" s="686"/>
      <c r="U149" s="686"/>
      <c r="V149" s="686"/>
      <c r="W149" s="686"/>
      <c r="X149" s="687"/>
    </row>
    <row r="150" spans="2:24" s="32" customFormat="1" ht="12" customHeight="1" x14ac:dyDescent="0.2">
      <c r="C150" s="1051" t="s">
        <v>357</v>
      </c>
      <c r="D150" s="1052"/>
      <c r="E150" s="1052"/>
      <c r="F150" s="1052"/>
      <c r="G150" s="1052"/>
      <c r="H150" s="1053"/>
      <c r="I150" s="522">
        <v>0</v>
      </c>
      <c r="J150" s="450">
        <f>J149/(1+$F148)</f>
        <v>0</v>
      </c>
      <c r="K150" s="1156">
        <f>K149/(1+F148)</f>
        <v>0</v>
      </c>
      <c r="L150" s="1156"/>
      <c r="M150" s="451">
        <f>M149/(1+F148)</f>
        <v>0</v>
      </c>
      <c r="O150" s="658"/>
      <c r="P150" s="659"/>
      <c r="Q150" s="686"/>
      <c r="R150" s="686"/>
      <c r="S150" s="686"/>
      <c r="T150" s="686"/>
      <c r="U150" s="686"/>
      <c r="V150" s="686"/>
      <c r="W150" s="686"/>
      <c r="X150" s="687"/>
    </row>
    <row r="151" spans="2:24" s="32" customFormat="1" ht="12" customHeight="1" x14ac:dyDescent="0.2">
      <c r="C151" s="1197" t="s">
        <v>358</v>
      </c>
      <c r="D151" s="1198"/>
      <c r="E151" s="1198"/>
      <c r="F151" s="1198"/>
      <c r="G151" s="1198"/>
      <c r="H151" s="1199"/>
      <c r="I151" s="446">
        <f>J151/J$33</f>
        <v>0</v>
      </c>
      <c r="J151" s="452">
        <v>0</v>
      </c>
      <c r="K151" s="1103">
        <f>(J151+J151*O151)*12/J$33</f>
        <v>0</v>
      </c>
      <c r="L151" s="1103" t="e">
        <f>K151*12/K$11</f>
        <v>#VALUE!</v>
      </c>
      <c r="M151" s="452">
        <f>K151+K151*P151</f>
        <v>0</v>
      </c>
      <c r="O151" s="474">
        <v>0</v>
      </c>
      <c r="P151" s="474">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682"/>
      <c r="P152" s="683"/>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I31</f>
        <v>1. ACCOUNTING PERIOD</v>
      </c>
      <c r="J153" s="1123"/>
      <c r="K153" s="1123" t="str">
        <f>K31</f>
        <v>2. PERIOD</v>
      </c>
      <c r="L153" s="1123"/>
      <c r="M153" s="545" t="str">
        <f>M31</f>
        <v>3. PERIOD</v>
      </c>
      <c r="O153" s="653"/>
      <c r="P153" s="652"/>
      <c r="Q153" s="686"/>
      <c r="R153" s="686"/>
      <c r="S153" s="686"/>
      <c r="T153" s="686"/>
      <c r="U153" s="695"/>
      <c r="V153" s="686"/>
      <c r="W153" s="686"/>
      <c r="X153" s="687"/>
    </row>
    <row r="154" spans="2:24" ht="15" customHeight="1" x14ac:dyDescent="0.2">
      <c r="C154" s="1122"/>
      <c r="D154" s="1122"/>
      <c r="E154" s="1122"/>
      <c r="F154" s="1122"/>
      <c r="G154" s="1122"/>
      <c r="H154" s="1122"/>
      <c r="I154" s="706" t="str">
        <f>I32</f>
        <v>Per month</v>
      </c>
      <c r="J154" s="546">
        <f>J120</f>
        <v>2027</v>
      </c>
      <c r="K154" s="1124">
        <f>K120</f>
        <v>2028</v>
      </c>
      <c r="L154" s="1124"/>
      <c r="M154" s="546">
        <f>M120</f>
        <v>2029</v>
      </c>
      <c r="O154" s="653"/>
      <c r="P154" s="652"/>
      <c r="Q154" s="686"/>
      <c r="R154" s="686"/>
      <c r="S154" s="686"/>
      <c r="T154" s="686"/>
      <c r="U154" s="686"/>
      <c r="V154" s="686"/>
      <c r="W154" s="686"/>
      <c r="X154" s="687"/>
    </row>
    <row r="155" spans="2:24" ht="12.75" customHeight="1" x14ac:dyDescent="0.2">
      <c r="B155" s="254"/>
      <c r="C155" s="1081" t="s">
        <v>320</v>
      </c>
      <c r="D155" s="1082"/>
      <c r="E155" s="581"/>
      <c r="F155" s="581"/>
      <c r="G155" s="581"/>
      <c r="H155" s="582"/>
      <c r="I155" s="460"/>
      <c r="J155" s="583">
        <f>J121</f>
        <v>12</v>
      </c>
      <c r="K155" s="1148">
        <f>K121</f>
        <v>12</v>
      </c>
      <c r="L155" s="1149"/>
      <c r="M155" s="584">
        <f>M121</f>
        <v>12</v>
      </c>
      <c r="O155" s="653"/>
      <c r="P155" s="652"/>
      <c r="Q155" s="686"/>
      <c r="R155" s="686"/>
      <c r="S155" s="686"/>
      <c r="T155" s="686"/>
      <c r="U155" s="686"/>
      <c r="V155" s="686"/>
      <c r="W155" s="686"/>
      <c r="X155" s="687"/>
    </row>
    <row r="156" spans="2:24" s="32" customFormat="1" ht="12" customHeight="1" x14ac:dyDescent="0.2">
      <c r="B156" s="613"/>
      <c r="C156" s="1054"/>
      <c r="D156" s="292"/>
      <c r="E156" s="292"/>
      <c r="F156" s="1160" t="s">
        <v>360</v>
      </c>
      <c r="G156" s="1229"/>
      <c r="H156" s="288"/>
      <c r="I156" s="461"/>
      <c r="J156" s="456"/>
      <c r="K156" s="1230"/>
      <c r="L156" s="1231"/>
      <c r="M156" s="544"/>
      <c r="O156" s="653"/>
      <c r="P156" s="652"/>
      <c r="Q156" s="686"/>
      <c r="R156" s="686"/>
      <c r="S156" s="686"/>
      <c r="T156" s="686"/>
      <c r="U156" s="686"/>
      <c r="V156" s="686"/>
      <c r="W156" s="686"/>
      <c r="X156" s="687"/>
    </row>
    <row r="157" spans="2:24" s="32" customFormat="1" ht="12.75" customHeight="1" x14ac:dyDescent="0.2">
      <c r="B157" s="613"/>
      <c r="C157" s="1054"/>
      <c r="D157" s="292"/>
      <c r="E157" s="292"/>
      <c r="F157" s="462" t="s">
        <v>361</v>
      </c>
      <c r="G157" s="1055" t="s">
        <v>362</v>
      </c>
      <c r="H157" s="288"/>
      <c r="I157" s="459"/>
      <c r="J157" s="456"/>
      <c r="K157" s="1259"/>
      <c r="L157" s="1260"/>
      <c r="M157" s="458"/>
      <c r="O157" s="653"/>
      <c r="P157" s="652"/>
      <c r="Q157" s="686"/>
      <c r="R157" s="686"/>
      <c r="S157" s="686"/>
      <c r="T157" s="686"/>
      <c r="U157" s="686"/>
      <c r="V157" s="686"/>
      <c r="W157" s="686"/>
      <c r="X157" s="687"/>
    </row>
    <row r="158" spans="2:24" s="32" customFormat="1" ht="12" customHeight="1" x14ac:dyDescent="0.2">
      <c r="C158" s="1232" t="s">
        <v>363</v>
      </c>
      <c r="D158" s="1233"/>
      <c r="E158" s="1234"/>
      <c r="F158" s="1056">
        <v>0.255</v>
      </c>
      <c r="G158" s="1056">
        <f>F158</f>
        <v>0.255</v>
      </c>
      <c r="H158" s="1057" t="s">
        <v>359</v>
      </c>
      <c r="I158" s="454">
        <f>J158/J$33</f>
        <v>0</v>
      </c>
      <c r="J158" s="447">
        <f>J159/(1+$F158)*J160</f>
        <v>0</v>
      </c>
      <c r="K158" s="1105">
        <f>K159/(1+F158)*K160</f>
        <v>0</v>
      </c>
      <c r="L158" s="1105"/>
      <c r="M158" s="447">
        <f>M160*M159/(1+F158)</f>
        <v>0</v>
      </c>
      <c r="O158" s="1146" t="s">
        <v>387</v>
      </c>
      <c r="P158" s="1147"/>
      <c r="Q158" s="686"/>
      <c r="R158" s="686"/>
      <c r="S158" s="686"/>
      <c r="T158" s="686"/>
      <c r="U158" s="686"/>
      <c r="V158" s="686"/>
      <c r="W158" s="686"/>
      <c r="X158" s="687"/>
    </row>
    <row r="159" spans="2:24" s="32" customFormat="1" ht="12.75" customHeight="1" x14ac:dyDescent="0.2">
      <c r="C159" s="1100" t="s">
        <v>364</v>
      </c>
      <c r="D159" s="1100"/>
      <c r="E159" s="1100"/>
      <c r="F159" s="1100"/>
      <c r="G159" s="1100"/>
      <c r="H159" s="1100"/>
      <c r="I159" s="522">
        <v>0</v>
      </c>
      <c r="J159" s="449">
        <v>0</v>
      </c>
      <c r="K159" s="1125">
        <f>J159+J159*O159</f>
        <v>0</v>
      </c>
      <c r="L159" s="1125">
        <f>K159 +K159*O159</f>
        <v>0</v>
      </c>
      <c r="M159" s="449">
        <f>K159+K159*P159</f>
        <v>0</v>
      </c>
      <c r="O159" s="474">
        <v>0.03</v>
      </c>
      <c r="P159" s="474">
        <f>O159</f>
        <v>0.03</v>
      </c>
      <c r="Q159" s="686"/>
      <c r="R159" s="686"/>
      <c r="S159" s="686"/>
      <c r="T159" s="686"/>
      <c r="U159" s="686"/>
      <c r="V159" s="686"/>
      <c r="W159" s="686"/>
      <c r="X159" s="687"/>
    </row>
    <row r="160" spans="2:24" s="32" customFormat="1" ht="12.75" customHeight="1" x14ac:dyDescent="0.2">
      <c r="C160" s="1100" t="s">
        <v>365</v>
      </c>
      <c r="D160" s="1100"/>
      <c r="E160" s="1100"/>
      <c r="F160" s="1100"/>
      <c r="G160" s="1100"/>
      <c r="H160" s="1100"/>
      <c r="I160" s="446">
        <f>J160/J$33</f>
        <v>0</v>
      </c>
      <c r="J160" s="452">
        <v>0</v>
      </c>
      <c r="K160" s="1103">
        <f>(J160+J160*O160)*12/J$33</f>
        <v>0</v>
      </c>
      <c r="L160" s="1103" t="e">
        <f>K160*12/K$11</f>
        <v>#VALUE!</v>
      </c>
      <c r="M160" s="452">
        <f>K160+K160*P160</f>
        <v>0</v>
      </c>
      <c r="O160" s="474">
        <v>0</v>
      </c>
      <c r="P160" s="474">
        <f>O160</f>
        <v>0</v>
      </c>
      <c r="Q160" s="686"/>
      <c r="R160" s="686"/>
      <c r="S160" s="686"/>
      <c r="T160" s="686"/>
      <c r="U160" s="686"/>
      <c r="V160" s="686"/>
      <c r="W160" s="686"/>
      <c r="X160" s="687"/>
    </row>
    <row r="161" spans="3:37" s="32" customFormat="1" ht="12.75" customHeight="1" x14ac:dyDescent="0.2">
      <c r="C161" s="1100" t="s">
        <v>366</v>
      </c>
      <c r="D161" s="1100"/>
      <c r="E161" s="1100"/>
      <c r="F161" s="1100"/>
      <c r="G161" s="1100"/>
      <c r="H161" s="1100"/>
      <c r="I161" s="522">
        <v>0</v>
      </c>
      <c r="J161" s="449">
        <v>0</v>
      </c>
      <c r="K161" s="1125">
        <f>J161+J161*O161</f>
        <v>0</v>
      </c>
      <c r="L161" s="1125">
        <f>K161 +K161*O161</f>
        <v>0</v>
      </c>
      <c r="M161" s="449">
        <f>K161+K161*P161</f>
        <v>0</v>
      </c>
      <c r="O161" s="474">
        <v>0.03</v>
      </c>
      <c r="P161" s="474">
        <f>O161</f>
        <v>0.03</v>
      </c>
      <c r="Q161" s="686"/>
      <c r="R161" s="686"/>
      <c r="S161" s="686"/>
      <c r="T161" s="686"/>
      <c r="U161" s="686"/>
      <c r="V161" s="686"/>
      <c r="W161" s="686"/>
      <c r="X161" s="687"/>
    </row>
    <row r="162" spans="3:37" s="32" customFormat="1" ht="12.75" customHeight="1" x14ac:dyDescent="0.2">
      <c r="C162" s="1100" t="s">
        <v>367</v>
      </c>
      <c r="D162" s="1100"/>
      <c r="E162" s="1100"/>
      <c r="F162" s="1100"/>
      <c r="G162" s="1100"/>
      <c r="H162" s="1100"/>
      <c r="I162" s="522">
        <v>0</v>
      </c>
      <c r="J162" s="450">
        <f>J161/(1+$G158)</f>
        <v>0</v>
      </c>
      <c r="K162" s="1156">
        <f t="shared" ref="K162:L162" si="34">K161/(1+$G158)</f>
        <v>0</v>
      </c>
      <c r="L162" s="1156">
        <f t="shared" si="34"/>
        <v>0</v>
      </c>
      <c r="M162" s="450">
        <f>M161/(1+$G158)</f>
        <v>0</v>
      </c>
      <c r="N162" s="620"/>
      <c r="O162" s="658"/>
      <c r="P162" s="659"/>
      <c r="Q162" s="686"/>
      <c r="R162" s="686"/>
      <c r="S162" s="686"/>
      <c r="T162" s="686"/>
      <c r="U162" s="686"/>
      <c r="V162" s="686"/>
      <c r="W162" s="686"/>
      <c r="X162" s="687"/>
    </row>
    <row r="163" spans="3:37" s="32" customFormat="1" ht="12.75" customHeight="1" x14ac:dyDescent="0.2">
      <c r="C163" s="1100" t="s">
        <v>368</v>
      </c>
      <c r="D163" s="1100"/>
      <c r="E163" s="1100"/>
      <c r="F163" s="1100"/>
      <c r="G163" s="1100"/>
      <c r="H163" s="1100"/>
      <c r="I163" s="522">
        <v>0</v>
      </c>
      <c r="J163" s="453">
        <f>IF(J159=0,0,(J159/(1+$F158)-J162)/(J159/(1+$F158)))</f>
        <v>0</v>
      </c>
      <c r="K163" s="1220">
        <f t="shared" ref="K163:L163" si="35">IF(K159=0,0,(K159/(1+$F158)-K162)/(K159/(1+$F158)))</f>
        <v>0</v>
      </c>
      <c r="L163" s="1220">
        <f t="shared" si="35"/>
        <v>0</v>
      </c>
      <c r="M163" s="453">
        <f>IF(M159=0,0,(M159/(1+$F158)-M162)/(M159/(1+$F158)))</f>
        <v>0</v>
      </c>
      <c r="N163" s="610"/>
      <c r="O163" s="678"/>
      <c r="P163" s="659"/>
      <c r="Q163" s="686"/>
      <c r="R163" s="686"/>
      <c r="S163" s="686"/>
      <c r="T163" s="686"/>
      <c r="U163" s="686"/>
      <c r="V163" s="686"/>
      <c r="W163" s="686"/>
      <c r="X163" s="687"/>
    </row>
    <row r="164" spans="3:37" s="32" customFormat="1" ht="12.75" customHeight="1" x14ac:dyDescent="0.2">
      <c r="C164" s="1100" t="s">
        <v>369</v>
      </c>
      <c r="D164" s="1217"/>
      <c r="E164" s="1217"/>
      <c r="F164" s="1217"/>
      <c r="G164" s="1217"/>
      <c r="H164" s="1217"/>
      <c r="I164" s="522">
        <v>0</v>
      </c>
      <c r="J164" s="454">
        <f>J158*J163</f>
        <v>0</v>
      </c>
      <c r="K164" s="1223">
        <f>K158*K163</f>
        <v>0</v>
      </c>
      <c r="L164" s="1223"/>
      <c r="M164" s="454">
        <f>M158*M163</f>
        <v>0</v>
      </c>
      <c r="N164" s="620"/>
      <c r="O164" s="658"/>
      <c r="P164" s="659"/>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677"/>
      <c r="P165" s="679"/>
      <c r="Q165" s="686"/>
      <c r="R165" s="686"/>
      <c r="S165" s="686"/>
      <c r="T165" s="686"/>
      <c r="U165" s="686"/>
      <c r="V165" s="686"/>
      <c r="W165" s="686"/>
      <c r="X165" s="687"/>
    </row>
    <row r="166" spans="3:37" s="32" customFormat="1" ht="12" customHeight="1" x14ac:dyDescent="0.2">
      <c r="C166" s="1232" t="s">
        <v>363</v>
      </c>
      <c r="D166" s="1233"/>
      <c r="E166" s="1234"/>
      <c r="F166" s="1056">
        <v>0.255</v>
      </c>
      <c r="G166" s="1056">
        <f>F166</f>
        <v>0.255</v>
      </c>
      <c r="H166" s="1057" t="s">
        <v>359</v>
      </c>
      <c r="I166" s="454">
        <f>J166/J$33</f>
        <v>0</v>
      </c>
      <c r="J166" s="447">
        <f>J167/(1+$F166)*J168</f>
        <v>0</v>
      </c>
      <c r="K166" s="1105">
        <f>K167/(1+F166)*K168</f>
        <v>0</v>
      </c>
      <c r="L166" s="1105"/>
      <c r="M166" s="447">
        <f>M168*M167/(1+F166)</f>
        <v>0</v>
      </c>
      <c r="N166" s="621"/>
      <c r="O166" s="678"/>
      <c r="P166" s="680"/>
      <c r="Q166" s="696"/>
      <c r="R166" s="686"/>
      <c r="S166" s="686"/>
      <c r="T166" s="686"/>
      <c r="U166" s="686"/>
      <c r="V166" s="686"/>
      <c r="W166" s="686"/>
      <c r="X166" s="687"/>
    </row>
    <row r="167" spans="3:37" s="32" customFormat="1" ht="12.75" customHeight="1" x14ac:dyDescent="0.2">
      <c r="C167" s="1100" t="s">
        <v>364</v>
      </c>
      <c r="D167" s="1100"/>
      <c r="E167" s="1100"/>
      <c r="F167" s="1100"/>
      <c r="G167" s="1100"/>
      <c r="H167" s="1100"/>
      <c r="I167" s="522"/>
      <c r="J167" s="449">
        <v>0</v>
      </c>
      <c r="K167" s="1125">
        <f>J167+J167*O167</f>
        <v>0</v>
      </c>
      <c r="L167" s="1125"/>
      <c r="M167" s="449">
        <f>K167+K167*P167</f>
        <v>0</v>
      </c>
      <c r="N167" s="622"/>
      <c r="O167" s="474">
        <v>0.03</v>
      </c>
      <c r="P167" s="474">
        <f>O167</f>
        <v>0.03</v>
      </c>
      <c r="Q167" s="696"/>
      <c r="R167" s="686"/>
      <c r="S167" s="686"/>
      <c r="T167" s="686"/>
      <c r="U167" s="686"/>
      <c r="V167" s="686"/>
      <c r="W167" s="686"/>
      <c r="X167" s="687"/>
      <c r="AK167" s="623"/>
    </row>
    <row r="168" spans="3:37" s="32" customFormat="1" ht="12.75" customHeight="1" x14ac:dyDescent="0.2">
      <c r="C168" s="1100" t="s">
        <v>365</v>
      </c>
      <c r="D168" s="1100"/>
      <c r="E168" s="1100"/>
      <c r="F168" s="1100"/>
      <c r="G168" s="1100"/>
      <c r="H168" s="1100"/>
      <c r="I168" s="446">
        <f>J168/J$33</f>
        <v>0</v>
      </c>
      <c r="J168" s="452">
        <v>0</v>
      </c>
      <c r="K168" s="1103">
        <f>(J168+J168*O168)*12/J$33</f>
        <v>0</v>
      </c>
      <c r="L168" s="1103" t="e">
        <f>K168*12/K$11</f>
        <v>#VALUE!</v>
      </c>
      <c r="M168" s="452">
        <f>K168+K168*P168</f>
        <v>0</v>
      </c>
      <c r="N168" s="622"/>
      <c r="O168" s="474">
        <v>0</v>
      </c>
      <c r="P168" s="474">
        <f>O168</f>
        <v>0</v>
      </c>
      <c r="Q168" s="696"/>
      <c r="R168" s="686"/>
      <c r="S168" s="686"/>
      <c r="T168" s="686"/>
      <c r="U168" s="686"/>
      <c r="V168" s="686"/>
      <c r="W168" s="686"/>
      <c r="X168" s="687"/>
    </row>
    <row r="169" spans="3:37" s="32" customFormat="1" ht="12.75" customHeight="1" x14ac:dyDescent="0.2">
      <c r="C169" s="1100" t="s">
        <v>366</v>
      </c>
      <c r="D169" s="1100"/>
      <c r="E169" s="1100"/>
      <c r="F169" s="1100"/>
      <c r="G169" s="1100"/>
      <c r="H169" s="1100"/>
      <c r="I169" s="522"/>
      <c r="J169" s="449">
        <v>0</v>
      </c>
      <c r="K169" s="1125">
        <f>J169+J169*O169</f>
        <v>0</v>
      </c>
      <c r="L169" s="1125">
        <f>K169 +K169*O169</f>
        <v>0</v>
      </c>
      <c r="M169" s="449">
        <f>K169+K169*P169</f>
        <v>0</v>
      </c>
      <c r="N169" s="622"/>
      <c r="O169" s="474">
        <v>0.03</v>
      </c>
      <c r="P169" s="474">
        <f>O169</f>
        <v>0.03</v>
      </c>
      <c r="Q169" s="696"/>
      <c r="R169" s="686"/>
      <c r="S169" s="686"/>
      <c r="T169" s="686"/>
      <c r="U169" s="686"/>
      <c r="V169" s="686"/>
      <c r="W169" s="686"/>
      <c r="X169" s="687"/>
    </row>
    <row r="170" spans="3:37" s="32" customFormat="1" ht="12.75" customHeight="1" x14ac:dyDescent="0.2">
      <c r="C170" s="1100" t="s">
        <v>367</v>
      </c>
      <c r="D170" s="1100"/>
      <c r="E170" s="1100"/>
      <c r="F170" s="1100"/>
      <c r="G170" s="1100"/>
      <c r="H170" s="1100"/>
      <c r="I170" s="522"/>
      <c r="J170" s="450">
        <f>J169/(1+$G166)</f>
        <v>0</v>
      </c>
      <c r="K170" s="1156">
        <f>K169/(1+G166)</f>
        <v>0</v>
      </c>
      <c r="L170" s="1156"/>
      <c r="M170" s="450">
        <f>M169/(1+G166)</f>
        <v>0</v>
      </c>
      <c r="N170" s="622"/>
      <c r="O170" s="678"/>
      <c r="P170" s="680"/>
      <c r="Q170" s="696"/>
      <c r="R170" s="686"/>
      <c r="S170" s="686"/>
      <c r="T170" s="686"/>
      <c r="U170" s="686"/>
      <c r="V170" s="686"/>
      <c r="W170" s="686"/>
      <c r="X170" s="687"/>
    </row>
    <row r="171" spans="3:37" s="32" customFormat="1" ht="12.75" customHeight="1" x14ac:dyDescent="0.2">
      <c r="C171" s="1100" t="s">
        <v>368</v>
      </c>
      <c r="D171" s="1100"/>
      <c r="E171" s="1100"/>
      <c r="F171" s="1100"/>
      <c r="G171" s="1100"/>
      <c r="H171" s="1100"/>
      <c r="I171" s="522"/>
      <c r="J171" s="453">
        <f>IF(J167=0,0,(J167/(1+$F166)-J170)/(J167/(1+$F166)))</f>
        <v>0</v>
      </c>
      <c r="K171" s="1220">
        <f t="shared" ref="K171" si="36">IF(K167=0,0,(K167/(1+$F166)-K170)/(K167/(1+$F166)))</f>
        <v>0</v>
      </c>
      <c r="L171" s="1220">
        <f t="shared" ref="L171" si="37">IF(L167=0,0,(L167/(1+$F166)-L170)/(L167/(1+$F166)))</f>
        <v>0</v>
      </c>
      <c r="M171" s="453">
        <f>IF(M167=0,0,(M167/(1+$F166)-M170)/(M167/(1+$F166)))</f>
        <v>0</v>
      </c>
      <c r="N171" s="622"/>
      <c r="O171" s="678"/>
      <c r="P171" s="680"/>
      <c r="Q171" s="696"/>
      <c r="R171" s="686"/>
      <c r="S171" s="686"/>
      <c r="T171" s="686"/>
      <c r="U171" s="686"/>
      <c r="V171" s="686"/>
      <c r="W171" s="686"/>
      <c r="X171" s="687"/>
    </row>
    <row r="172" spans="3:37" s="32" customFormat="1" ht="12.75" customHeight="1" x14ac:dyDescent="0.2">
      <c r="C172" s="1100" t="s">
        <v>369</v>
      </c>
      <c r="D172" s="1217"/>
      <c r="E172" s="1217"/>
      <c r="F172" s="1217"/>
      <c r="G172" s="1217"/>
      <c r="H172" s="1217"/>
      <c r="I172" s="522"/>
      <c r="J172" s="454">
        <f>J166*J171</f>
        <v>0</v>
      </c>
      <c r="K172" s="1223">
        <f>K166*K171</f>
        <v>0</v>
      </c>
      <c r="L172" s="1223"/>
      <c r="M172" s="454">
        <f>M166*M171</f>
        <v>0</v>
      </c>
      <c r="N172" s="622"/>
      <c r="O172" s="678"/>
      <c r="P172" s="6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681"/>
      <c r="P173" s="679"/>
      <c r="Q173" s="686"/>
      <c r="R173" s="686"/>
      <c r="S173" s="686"/>
      <c r="T173" s="686"/>
      <c r="U173" s="686"/>
      <c r="V173" s="686"/>
      <c r="W173" s="686"/>
      <c r="X173" s="687"/>
    </row>
    <row r="174" spans="3:37" s="32" customFormat="1" ht="12" customHeight="1" x14ac:dyDescent="0.2">
      <c r="C174" s="1232" t="s">
        <v>363</v>
      </c>
      <c r="D174" s="1233"/>
      <c r="E174" s="1234"/>
      <c r="F174" s="1056">
        <v>0.255</v>
      </c>
      <c r="G174" s="1056">
        <f>F174</f>
        <v>0.255</v>
      </c>
      <c r="H174" s="1057" t="s">
        <v>359</v>
      </c>
      <c r="I174" s="454">
        <f>J174/J$33</f>
        <v>0</v>
      </c>
      <c r="J174" s="447">
        <f>J175/(1+$F174)*J176</f>
        <v>0</v>
      </c>
      <c r="K174" s="1105">
        <f>K175/(1+F174)*K176</f>
        <v>0</v>
      </c>
      <c r="L174" s="1105"/>
      <c r="M174" s="447">
        <f>M176*M175/(1+F174)</f>
        <v>0</v>
      </c>
      <c r="O174" s="658"/>
      <c r="P174" s="659"/>
      <c r="Q174" s="686"/>
      <c r="R174" s="686"/>
      <c r="S174" s="686"/>
      <c r="T174" s="686"/>
      <c r="U174" s="686"/>
      <c r="V174" s="686"/>
      <c r="W174" s="686"/>
      <c r="X174" s="687"/>
    </row>
    <row r="175" spans="3:37" s="32" customFormat="1" ht="12.75" customHeight="1" x14ac:dyDescent="0.2">
      <c r="C175" s="1100" t="s">
        <v>364</v>
      </c>
      <c r="D175" s="1100"/>
      <c r="E175" s="1100"/>
      <c r="F175" s="1100"/>
      <c r="G175" s="1100"/>
      <c r="H175" s="1100"/>
      <c r="I175" s="522">
        <v>0</v>
      </c>
      <c r="J175" s="449">
        <v>0</v>
      </c>
      <c r="K175" s="1125">
        <f>J175+J175*O175</f>
        <v>0</v>
      </c>
      <c r="L175" s="1125">
        <f>K175 +K175*O175</f>
        <v>0</v>
      </c>
      <c r="M175" s="449">
        <f>K175+K175*P175</f>
        <v>0</v>
      </c>
      <c r="O175" s="474">
        <v>0.03</v>
      </c>
      <c r="P175" s="474">
        <f>O175</f>
        <v>0.03</v>
      </c>
      <c r="Q175" s="686"/>
      <c r="R175" s="686"/>
      <c r="S175" s="686"/>
      <c r="T175" s="686"/>
      <c r="U175" s="686"/>
      <c r="V175" s="686"/>
      <c r="W175" s="686"/>
      <c r="X175" s="687"/>
    </row>
    <row r="176" spans="3:37" s="32" customFormat="1" ht="12.75" customHeight="1" x14ac:dyDescent="0.2">
      <c r="C176" s="1100" t="s">
        <v>365</v>
      </c>
      <c r="D176" s="1100"/>
      <c r="E176" s="1100"/>
      <c r="F176" s="1100"/>
      <c r="G176" s="1100"/>
      <c r="H176" s="1100"/>
      <c r="I176" s="446">
        <f>J176/J$33</f>
        <v>0</v>
      </c>
      <c r="J176" s="452">
        <v>0</v>
      </c>
      <c r="K176" s="1103">
        <f>(J176+J176*O176)*12/J$33</f>
        <v>0</v>
      </c>
      <c r="L176" s="1103" t="e">
        <f>K176*12/K$11</f>
        <v>#VALUE!</v>
      </c>
      <c r="M176" s="452">
        <f>K176+K176*P176</f>
        <v>0</v>
      </c>
      <c r="O176" s="474">
        <v>0</v>
      </c>
      <c r="P176" s="474">
        <f>O176</f>
        <v>0</v>
      </c>
      <c r="Q176" s="686"/>
      <c r="R176" s="686"/>
      <c r="S176" s="686"/>
      <c r="T176" s="686"/>
      <c r="U176" s="686"/>
      <c r="V176" s="686"/>
      <c r="W176" s="686"/>
      <c r="X176" s="687"/>
    </row>
    <row r="177" spans="3:37" s="32" customFormat="1" ht="12.75" customHeight="1" x14ac:dyDescent="0.2">
      <c r="C177" s="1100" t="s">
        <v>366</v>
      </c>
      <c r="D177" s="1100"/>
      <c r="E177" s="1100"/>
      <c r="F177" s="1100"/>
      <c r="G177" s="1100"/>
      <c r="H177" s="1100"/>
      <c r="I177" s="522">
        <v>0</v>
      </c>
      <c r="J177" s="449">
        <v>0</v>
      </c>
      <c r="K177" s="1125">
        <f>J177+J177*O177</f>
        <v>0</v>
      </c>
      <c r="L177" s="1125">
        <f>K177 +K177*O177</f>
        <v>0</v>
      </c>
      <c r="M177" s="449">
        <f>K177+K177*P177</f>
        <v>0</v>
      </c>
      <c r="O177" s="474">
        <v>0.03</v>
      </c>
      <c r="P177" s="474">
        <f>O177</f>
        <v>0.03</v>
      </c>
      <c r="Q177" s="686"/>
      <c r="R177" s="686"/>
      <c r="S177" s="686"/>
      <c r="T177" s="686"/>
      <c r="U177" s="686"/>
      <c r="V177" s="686"/>
      <c r="W177" s="686"/>
      <c r="X177" s="687"/>
    </row>
    <row r="178" spans="3:37" s="32" customFormat="1" ht="12.75" customHeight="1" x14ac:dyDescent="0.2">
      <c r="C178" s="1100" t="s">
        <v>367</v>
      </c>
      <c r="D178" s="1100"/>
      <c r="E178" s="1100"/>
      <c r="F178" s="1100"/>
      <c r="G178" s="1100"/>
      <c r="H178" s="1100"/>
      <c r="I178" s="522">
        <v>0</v>
      </c>
      <c r="J178" s="450">
        <f>J177/(1+$G174)</f>
        <v>0</v>
      </c>
      <c r="K178" s="1156">
        <f>K177/(1+G174)</f>
        <v>0</v>
      </c>
      <c r="L178" s="1156"/>
      <c r="M178" s="450">
        <f>M177/(1+G174)</f>
        <v>0</v>
      </c>
      <c r="O178" s="658"/>
      <c r="P178" s="659"/>
      <c r="Q178" s="686"/>
      <c r="R178" s="686"/>
      <c r="S178" s="686"/>
      <c r="T178" s="686"/>
      <c r="U178" s="686"/>
      <c r="V178" s="686"/>
      <c r="W178" s="686"/>
      <c r="X178" s="687"/>
    </row>
    <row r="179" spans="3:37" s="32" customFormat="1" ht="12.75" customHeight="1" x14ac:dyDescent="0.2">
      <c r="C179" s="1100" t="s">
        <v>368</v>
      </c>
      <c r="D179" s="1100"/>
      <c r="E179" s="1100"/>
      <c r="F179" s="1100"/>
      <c r="G179" s="1100"/>
      <c r="H179" s="1100"/>
      <c r="I179" s="522">
        <v>0</v>
      </c>
      <c r="J179" s="453">
        <f>IF(J175=0,0,(J175/(1+$F174)-J178)/(J175/(1+$F174)))</f>
        <v>0</v>
      </c>
      <c r="K179" s="1220">
        <f t="shared" ref="K179" si="38">IF(K175=0,0,(K175/(1+$F174)-K178)/(K175/(1+$F174)))</f>
        <v>0</v>
      </c>
      <c r="L179" s="1220">
        <f t="shared" ref="L179" si="39">IF(L175=0,0,(L175/(1+$F174)-L178)/(L175/(1+$F174)))</f>
        <v>0</v>
      </c>
      <c r="M179" s="453">
        <f>IF(M175=0,0,(M175/(1+$F174)-M178)/(M175/(1+$F174)))</f>
        <v>0</v>
      </c>
      <c r="N179" s="609"/>
      <c r="O179" s="658"/>
      <c r="P179" s="659"/>
      <c r="Q179" s="686"/>
      <c r="R179" s="686"/>
      <c r="S179" s="686"/>
      <c r="T179" s="686"/>
      <c r="U179" s="686"/>
      <c r="V179" s="686"/>
      <c r="W179" s="686"/>
      <c r="X179" s="687"/>
    </row>
    <row r="180" spans="3:37" s="32" customFormat="1" ht="12.75" customHeight="1" x14ac:dyDescent="0.2">
      <c r="C180" s="1100" t="s">
        <v>369</v>
      </c>
      <c r="D180" s="1217"/>
      <c r="E180" s="1217"/>
      <c r="F180" s="1217"/>
      <c r="G180" s="1217"/>
      <c r="H180" s="1217"/>
      <c r="I180" s="522">
        <v>0</v>
      </c>
      <c r="J180" s="454">
        <f>J174*J179</f>
        <v>0</v>
      </c>
      <c r="K180" s="1223">
        <f>K174*K179</f>
        <v>0</v>
      </c>
      <c r="L180" s="1223"/>
      <c r="M180" s="454">
        <f>M174*M179</f>
        <v>0</v>
      </c>
      <c r="N180" s="609"/>
      <c r="O180" s="658"/>
      <c r="P180" s="659"/>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669"/>
      <c r="P181" s="670"/>
      <c r="Q181" s="686"/>
      <c r="R181" s="686"/>
      <c r="S181" s="686"/>
      <c r="T181" s="686"/>
      <c r="U181" s="686"/>
      <c r="V181" s="686"/>
      <c r="W181" s="686"/>
      <c r="X181" s="687"/>
    </row>
    <row r="182" spans="3:37" s="32" customFormat="1" ht="12" customHeight="1" x14ac:dyDescent="0.2">
      <c r="C182" s="1232" t="s">
        <v>363</v>
      </c>
      <c r="D182" s="1233"/>
      <c r="E182" s="1234"/>
      <c r="F182" s="1056">
        <v>0.255</v>
      </c>
      <c r="G182" s="1056">
        <f>F182</f>
        <v>0.255</v>
      </c>
      <c r="H182" s="1057" t="s">
        <v>359</v>
      </c>
      <c r="I182" s="709">
        <f>J182/J$33</f>
        <v>0</v>
      </c>
      <c r="J182" s="447">
        <f>J183/(1+$F182)*J184</f>
        <v>0</v>
      </c>
      <c r="K182" s="1105">
        <f>K183/(1+F182)*K184</f>
        <v>0</v>
      </c>
      <c r="L182" s="1105"/>
      <c r="M182" s="447">
        <f>M184*M183/(1+F182)</f>
        <v>0</v>
      </c>
      <c r="O182" s="658"/>
      <c r="P182" s="659"/>
      <c r="Q182" s="686"/>
      <c r="R182" s="686"/>
      <c r="S182" s="686"/>
      <c r="T182" s="686"/>
      <c r="U182" s="686"/>
      <c r="V182" s="686"/>
      <c r="W182" s="686"/>
      <c r="X182" s="687"/>
    </row>
    <row r="183" spans="3:37" s="32" customFormat="1" ht="12.75" customHeight="1" x14ac:dyDescent="0.2">
      <c r="C183" s="1100" t="s">
        <v>364</v>
      </c>
      <c r="D183" s="1100"/>
      <c r="E183" s="1100"/>
      <c r="F183" s="1100"/>
      <c r="G183" s="1100"/>
      <c r="H183" s="1100"/>
      <c r="I183" s="446">
        <v>0</v>
      </c>
      <c r="J183" s="449">
        <v>0</v>
      </c>
      <c r="K183" s="1125">
        <f>J183+J183*O183</f>
        <v>0</v>
      </c>
      <c r="L183" s="1125">
        <f>K183 +K183*O183</f>
        <v>0</v>
      </c>
      <c r="M183" s="449">
        <f>K183+K183*P183</f>
        <v>0</v>
      </c>
      <c r="O183" s="474">
        <v>0.03</v>
      </c>
      <c r="P183" s="474">
        <f>O183</f>
        <v>0.03</v>
      </c>
      <c r="Q183" s="686"/>
      <c r="R183" s="686"/>
      <c r="S183" s="686"/>
      <c r="T183" s="686"/>
      <c r="U183" s="686"/>
      <c r="V183" s="686"/>
      <c r="W183" s="686"/>
      <c r="X183" s="687"/>
    </row>
    <row r="184" spans="3:37" s="32" customFormat="1" ht="12.75" customHeight="1" x14ac:dyDescent="0.2">
      <c r="C184" s="1100" t="s">
        <v>365</v>
      </c>
      <c r="D184" s="1100"/>
      <c r="E184" s="1100"/>
      <c r="F184" s="1100"/>
      <c r="G184" s="1100"/>
      <c r="H184" s="1100"/>
      <c r="I184" s="448">
        <f>J184/J$33</f>
        <v>0</v>
      </c>
      <c r="J184" s="452">
        <v>0</v>
      </c>
      <c r="K184" s="1103">
        <f>(J184+J184*O184)*12/J$33</f>
        <v>0</v>
      </c>
      <c r="L184" s="1103" t="e">
        <f>K184*12/K$11</f>
        <v>#VALUE!</v>
      </c>
      <c r="M184" s="452">
        <f>K184+K184*P184</f>
        <v>0</v>
      </c>
      <c r="O184" s="474">
        <v>0</v>
      </c>
      <c r="P184" s="474">
        <f>O184</f>
        <v>0</v>
      </c>
      <c r="Q184" s="686"/>
      <c r="R184" s="686"/>
      <c r="S184" s="686"/>
      <c r="T184" s="686"/>
      <c r="U184" s="686"/>
      <c r="V184" s="686"/>
      <c r="W184" s="686"/>
      <c r="X184" s="687"/>
    </row>
    <row r="185" spans="3:37" s="32" customFormat="1" ht="12.75" customHeight="1" x14ac:dyDescent="0.2">
      <c r="C185" s="1100" t="s">
        <v>366</v>
      </c>
      <c r="D185" s="1100"/>
      <c r="E185" s="1100"/>
      <c r="F185" s="1100"/>
      <c r="G185" s="1100"/>
      <c r="H185" s="1100"/>
      <c r="I185" s="446">
        <v>0</v>
      </c>
      <c r="J185" s="449">
        <v>0</v>
      </c>
      <c r="K185" s="1125">
        <f>J185+J185*O185</f>
        <v>0</v>
      </c>
      <c r="L185" s="1125">
        <f>K185 +K185*O185</f>
        <v>0</v>
      </c>
      <c r="M185" s="449">
        <f>K185+K185*P185</f>
        <v>0</v>
      </c>
      <c r="O185" s="474">
        <v>0.03</v>
      </c>
      <c r="P185" s="474">
        <f>O185</f>
        <v>0.03</v>
      </c>
      <c r="Q185" s="686"/>
      <c r="R185" s="686"/>
      <c r="S185" s="686"/>
      <c r="T185" s="686"/>
      <c r="U185" s="686"/>
      <c r="V185" s="686"/>
      <c r="W185" s="686"/>
      <c r="X185" s="687"/>
    </row>
    <row r="186" spans="3:37" s="32" customFormat="1" ht="12.75" customHeight="1" x14ac:dyDescent="0.2">
      <c r="C186" s="1100" t="s">
        <v>367</v>
      </c>
      <c r="D186" s="1100"/>
      <c r="E186" s="1100"/>
      <c r="F186" s="1100"/>
      <c r="G186" s="1100"/>
      <c r="H186" s="1100"/>
      <c r="I186" s="522">
        <v>0</v>
      </c>
      <c r="J186" s="450">
        <f>J185/(1+$G182)</f>
        <v>0</v>
      </c>
      <c r="K186" s="1257">
        <f>K185/(1+G182)</f>
        <v>0</v>
      </c>
      <c r="L186" s="1258"/>
      <c r="M186" s="450">
        <f>M185/(1+G182)</f>
        <v>0</v>
      </c>
      <c r="N186" s="620"/>
      <c r="O186" s="658"/>
      <c r="P186" s="659"/>
      <c r="Q186" s="686"/>
      <c r="R186" s="686"/>
      <c r="S186" s="686"/>
      <c r="T186" s="686"/>
      <c r="U186" s="686"/>
      <c r="V186" s="686"/>
      <c r="W186" s="686"/>
      <c r="X186" s="687"/>
    </row>
    <row r="187" spans="3:37" s="32" customFormat="1" ht="12.75" customHeight="1" x14ac:dyDescent="0.2">
      <c r="C187" s="1100" t="s">
        <v>368</v>
      </c>
      <c r="D187" s="1100"/>
      <c r="E187" s="1100"/>
      <c r="F187" s="1100"/>
      <c r="G187" s="1100"/>
      <c r="H187" s="1100"/>
      <c r="I187" s="522">
        <v>0</v>
      </c>
      <c r="J187" s="453">
        <f>IF(J183=0,0,(J183/(1+$F182)-J186)/(J183/(1+$F182)))</f>
        <v>0</v>
      </c>
      <c r="K187" s="1220">
        <f t="shared" ref="K187" si="40">IF(K183=0,0,(K183/(1+$F182)-K186)/(K183/(1+$F182)))</f>
        <v>0</v>
      </c>
      <c r="L187" s="1220">
        <f t="shared" ref="L187" si="41">IF(L183=0,0,(L183/(1+$F182)-L186)/(L183/(1+$F182)))</f>
        <v>0</v>
      </c>
      <c r="M187" s="453">
        <f>IF(M183=0,0,(M183/(1+$F182)-M186)/(M183/(1+$F182)))</f>
        <v>0</v>
      </c>
      <c r="N187" s="610"/>
      <c r="O187" s="678"/>
      <c r="P187" s="659"/>
      <c r="Q187" s="686"/>
      <c r="R187" s="686"/>
      <c r="S187" s="686"/>
      <c r="T187" s="686"/>
      <c r="U187" s="686"/>
      <c r="V187" s="686"/>
      <c r="W187" s="686"/>
      <c r="X187" s="687"/>
    </row>
    <row r="188" spans="3:37" s="32" customFormat="1" ht="12.75" customHeight="1" x14ac:dyDescent="0.2">
      <c r="C188" s="1100" t="s">
        <v>369</v>
      </c>
      <c r="D188" s="1217"/>
      <c r="E188" s="1217"/>
      <c r="F188" s="1217"/>
      <c r="G188" s="1217"/>
      <c r="H188" s="1217"/>
      <c r="I188" s="522">
        <v>0</v>
      </c>
      <c r="J188" s="454">
        <f>J182*J187</f>
        <v>0</v>
      </c>
      <c r="K188" s="1223">
        <f>K182*K187</f>
        <v>0</v>
      </c>
      <c r="L188" s="1223"/>
      <c r="M188" s="454">
        <f>M182*M187</f>
        <v>0</v>
      </c>
      <c r="N188" s="620"/>
      <c r="O188" s="658"/>
      <c r="P188" s="659"/>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677"/>
      <c r="P189" s="679"/>
      <c r="Q189" s="686"/>
      <c r="R189" s="686"/>
      <c r="S189" s="686"/>
      <c r="T189" s="686"/>
      <c r="U189" s="686"/>
      <c r="V189" s="686"/>
      <c r="W189" s="686"/>
      <c r="X189" s="687"/>
    </row>
    <row r="190" spans="3:37" s="32" customFormat="1" ht="12" customHeight="1" x14ac:dyDescent="0.2">
      <c r="C190" s="1232" t="s">
        <v>363</v>
      </c>
      <c r="D190" s="1233"/>
      <c r="E190" s="1234"/>
      <c r="F190" s="1056">
        <v>0.255</v>
      </c>
      <c r="G190" s="1056">
        <f>F190</f>
        <v>0.255</v>
      </c>
      <c r="H190" s="1057" t="s">
        <v>359</v>
      </c>
      <c r="I190" s="454">
        <f>J190/J$33</f>
        <v>0</v>
      </c>
      <c r="J190" s="447">
        <f>J191/(1+$F190)*J192</f>
        <v>0</v>
      </c>
      <c r="K190" s="1105">
        <f>K191/(1+F190)*K192</f>
        <v>0</v>
      </c>
      <c r="L190" s="1105"/>
      <c r="M190" s="447">
        <f>M192*M191/(1+F190)</f>
        <v>0</v>
      </c>
      <c r="N190" s="621"/>
      <c r="O190" s="678"/>
      <c r="P190" s="680"/>
      <c r="Q190" s="696"/>
      <c r="R190" s="686"/>
      <c r="S190" s="686"/>
      <c r="T190" s="686"/>
      <c r="U190" s="686"/>
      <c r="V190" s="686"/>
      <c r="W190" s="686"/>
      <c r="X190" s="687"/>
    </row>
    <row r="191" spans="3:37" s="32" customFormat="1" ht="12.75" customHeight="1" x14ac:dyDescent="0.2">
      <c r="C191" s="1100" t="s">
        <v>364</v>
      </c>
      <c r="D191" s="1100"/>
      <c r="E191" s="1100"/>
      <c r="F191" s="1100"/>
      <c r="G191" s="1100"/>
      <c r="H191" s="1100"/>
      <c r="I191" s="522">
        <v>0</v>
      </c>
      <c r="J191" s="449">
        <v>0</v>
      </c>
      <c r="K191" s="1125">
        <f>J191+J191*O191</f>
        <v>0</v>
      </c>
      <c r="L191" s="1125">
        <f>K191 +K191*O191</f>
        <v>0</v>
      </c>
      <c r="M191" s="449">
        <f>K191+K191*P191</f>
        <v>0</v>
      </c>
      <c r="N191" s="622"/>
      <c r="O191" s="474">
        <v>0.03</v>
      </c>
      <c r="P191" s="474">
        <f>O191</f>
        <v>0.03</v>
      </c>
      <c r="Q191" s="696"/>
      <c r="R191" s="686"/>
      <c r="S191" s="686"/>
      <c r="T191" s="686"/>
      <c r="U191" s="686"/>
      <c r="V191" s="686"/>
      <c r="W191" s="686"/>
      <c r="X191" s="687"/>
      <c r="AK191" s="623"/>
    </row>
    <row r="192" spans="3:37" s="32" customFormat="1" ht="12.75" customHeight="1" x14ac:dyDescent="0.2">
      <c r="C192" s="1100" t="s">
        <v>365</v>
      </c>
      <c r="D192" s="1100"/>
      <c r="E192" s="1100"/>
      <c r="F192" s="1100"/>
      <c r="G192" s="1100"/>
      <c r="H192" s="1100"/>
      <c r="I192" s="446">
        <f>J192/J$33</f>
        <v>0</v>
      </c>
      <c r="J192" s="452">
        <v>0</v>
      </c>
      <c r="K192" s="1103">
        <f>(J192+J192*O192)*12/J$33</f>
        <v>0</v>
      </c>
      <c r="L192" s="1103" t="e">
        <f>K192*12/K$11</f>
        <v>#VALUE!</v>
      </c>
      <c r="M192" s="452">
        <f>K192+K192*P192</f>
        <v>0</v>
      </c>
      <c r="N192" s="622"/>
      <c r="O192" s="474">
        <v>0</v>
      </c>
      <c r="P192" s="474">
        <f>O192</f>
        <v>0</v>
      </c>
      <c r="Q192" s="696"/>
      <c r="R192" s="686"/>
      <c r="S192" s="686"/>
      <c r="T192" s="686"/>
      <c r="U192" s="686"/>
      <c r="V192" s="686"/>
      <c r="W192" s="686"/>
      <c r="X192" s="687"/>
    </row>
    <row r="193" spans="2:24" s="32" customFormat="1" ht="12.75" customHeight="1" x14ac:dyDescent="0.2">
      <c r="C193" s="1100" t="s">
        <v>366</v>
      </c>
      <c r="D193" s="1100"/>
      <c r="E193" s="1100"/>
      <c r="F193" s="1100"/>
      <c r="G193" s="1100"/>
      <c r="H193" s="1100"/>
      <c r="I193" s="522">
        <v>0</v>
      </c>
      <c r="J193" s="449">
        <v>0</v>
      </c>
      <c r="K193" s="1125">
        <f>J193+J193*O193</f>
        <v>0</v>
      </c>
      <c r="L193" s="1125">
        <f>K193 +K193*O193</f>
        <v>0</v>
      </c>
      <c r="M193" s="449">
        <f>K193+K193*P193</f>
        <v>0</v>
      </c>
      <c r="N193" s="622"/>
      <c r="O193" s="474">
        <v>0.03</v>
      </c>
      <c r="P193" s="474">
        <f>O193</f>
        <v>0.03</v>
      </c>
      <c r="Q193" s="696"/>
      <c r="R193" s="686"/>
      <c r="S193" s="686"/>
      <c r="T193" s="686"/>
      <c r="U193" s="686"/>
      <c r="V193" s="686"/>
      <c r="W193" s="686"/>
      <c r="X193" s="687"/>
    </row>
    <row r="194" spans="2:24" s="32" customFormat="1" ht="12.75" customHeight="1" x14ac:dyDescent="0.2">
      <c r="C194" s="1100" t="s">
        <v>367</v>
      </c>
      <c r="D194" s="1100"/>
      <c r="E194" s="1100"/>
      <c r="F194" s="1100"/>
      <c r="G194" s="1100"/>
      <c r="H194" s="1100"/>
      <c r="I194" s="522">
        <v>0</v>
      </c>
      <c r="J194" s="450">
        <f>J193/(1+$G190)</f>
        <v>0</v>
      </c>
      <c r="K194" s="1156">
        <f>K193/(1+G190)</f>
        <v>0</v>
      </c>
      <c r="L194" s="1156"/>
      <c r="M194" s="450">
        <f>M193/(1+G190)</f>
        <v>0</v>
      </c>
      <c r="N194" s="622"/>
      <c r="O194" s="678"/>
      <c r="P194" s="680"/>
      <c r="Q194" s="696"/>
      <c r="R194" s="686"/>
      <c r="S194" s="686"/>
      <c r="T194" s="686"/>
      <c r="U194" s="686"/>
      <c r="V194" s="686"/>
      <c r="W194" s="686"/>
      <c r="X194" s="687"/>
    </row>
    <row r="195" spans="2:24" s="32" customFormat="1" ht="12.75" customHeight="1" x14ac:dyDescent="0.2">
      <c r="C195" s="1100" t="s">
        <v>368</v>
      </c>
      <c r="D195" s="1100"/>
      <c r="E195" s="1100"/>
      <c r="F195" s="1100"/>
      <c r="G195" s="1100"/>
      <c r="H195" s="1100"/>
      <c r="I195" s="522">
        <v>0</v>
      </c>
      <c r="J195" s="453">
        <f>IF(J191=0,0,(J191/(1+$F190)-J194)/(J191/(1+$F190)))</f>
        <v>0</v>
      </c>
      <c r="K195" s="1220">
        <f t="shared" ref="K195" si="42">IF(K191=0,0,(K191/(1+$F190)-K194)/(K191/(1+$F190)))</f>
        <v>0</v>
      </c>
      <c r="L195" s="1220">
        <f t="shared" ref="L195" si="43">IF(L191=0,0,(L191/(1+$F190)-L194)/(L191/(1+$F190)))</f>
        <v>0</v>
      </c>
      <c r="M195" s="453">
        <f>IF(M191=0,0,(M191/(1+$F190)-M194)/(M191/(1+$F190)))</f>
        <v>0</v>
      </c>
      <c r="N195" s="622"/>
      <c r="O195" s="678"/>
      <c r="P195" s="680"/>
      <c r="Q195" s="696"/>
      <c r="R195" s="686"/>
      <c r="S195" s="686"/>
      <c r="T195" s="686"/>
      <c r="U195" s="686"/>
      <c r="V195" s="686"/>
      <c r="W195" s="686"/>
      <c r="X195" s="687"/>
    </row>
    <row r="196" spans="2:24" s="32" customFormat="1" ht="12.75" customHeight="1" x14ac:dyDescent="0.2">
      <c r="C196" s="1100" t="s">
        <v>369</v>
      </c>
      <c r="D196" s="1217"/>
      <c r="E196" s="1217"/>
      <c r="F196" s="1217"/>
      <c r="G196" s="1217"/>
      <c r="H196" s="1217"/>
      <c r="I196" s="522">
        <v>0</v>
      </c>
      <c r="J196" s="454">
        <f>J190*J195</f>
        <v>0</v>
      </c>
      <c r="K196" s="1223">
        <f>K190*K195</f>
        <v>0</v>
      </c>
      <c r="L196" s="1223"/>
      <c r="M196" s="454">
        <f>M190*M195</f>
        <v>0</v>
      </c>
      <c r="N196" s="622"/>
      <c r="O196" s="678"/>
      <c r="P196" s="6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681"/>
      <c r="P197" s="679"/>
      <c r="Q197" s="686"/>
      <c r="R197" s="686"/>
      <c r="S197" s="686"/>
      <c r="T197" s="686"/>
      <c r="U197" s="686"/>
      <c r="V197" s="686"/>
      <c r="W197" s="686"/>
      <c r="X197" s="687"/>
    </row>
    <row r="198" spans="2:24" s="32" customFormat="1" ht="12" customHeight="1" x14ac:dyDescent="0.2">
      <c r="C198" s="1224" t="s">
        <v>372</v>
      </c>
      <c r="D198" s="1224"/>
      <c r="E198" s="1224"/>
      <c r="F198" s="1225">
        <v>0.255</v>
      </c>
      <c r="G198" s="1226"/>
      <c r="H198" s="455" t="s">
        <v>359</v>
      </c>
      <c r="I198" s="454">
        <f>J198/J$33</f>
        <v>0</v>
      </c>
      <c r="J198" s="447">
        <f>IF(J199=0,0,J199*J200)-'2 Myynnin ALV'!B18</f>
        <v>0</v>
      </c>
      <c r="K198" s="1105">
        <f>IF(K199=0,0,K199*K200)-'2 Myynnin ALV'!C18</f>
        <v>0</v>
      </c>
      <c r="L198" s="1105"/>
      <c r="M198" s="447">
        <f>IF(M199=0,0,M199*M200)-'2 Myynnin ALV'!D18</f>
        <v>0</v>
      </c>
      <c r="O198" s="658"/>
      <c r="P198" s="659"/>
      <c r="Q198" s="686"/>
      <c r="R198" s="686"/>
      <c r="S198" s="686"/>
      <c r="T198" s="686"/>
      <c r="U198" s="686"/>
      <c r="V198" s="686"/>
      <c r="W198" s="686"/>
      <c r="X198" s="687"/>
    </row>
    <row r="199" spans="2:24" s="32" customFormat="1" ht="12.75" customHeight="1" x14ac:dyDescent="0.2">
      <c r="C199" s="1215" t="s">
        <v>364</v>
      </c>
      <c r="D199" s="1100"/>
      <c r="E199" s="1100"/>
      <c r="F199" s="1100"/>
      <c r="G199" s="1100"/>
      <c r="H199" s="1100"/>
      <c r="I199" s="522">
        <v>0</v>
      </c>
      <c r="J199" s="449">
        <v>0</v>
      </c>
      <c r="K199" s="1125">
        <f>J199+J199*O199</f>
        <v>0</v>
      </c>
      <c r="L199" s="1125">
        <f>K199 +K199*O199</f>
        <v>0</v>
      </c>
      <c r="M199" s="449">
        <f>K199+K199*P199</f>
        <v>0</v>
      </c>
      <c r="O199" s="474">
        <v>0.03</v>
      </c>
      <c r="P199" s="474">
        <f>O199</f>
        <v>0.03</v>
      </c>
      <c r="Q199" s="686"/>
      <c r="R199" s="686"/>
      <c r="S199" s="686"/>
      <c r="T199" s="686"/>
      <c r="U199" s="686"/>
      <c r="V199" s="686"/>
      <c r="W199" s="686"/>
      <c r="X199" s="687"/>
    </row>
    <row r="200" spans="2:24" s="32" customFormat="1" ht="12.75" customHeight="1" x14ac:dyDescent="0.2">
      <c r="C200" s="1215" t="s">
        <v>365</v>
      </c>
      <c r="D200" s="1100"/>
      <c r="E200" s="1100"/>
      <c r="F200" s="1100"/>
      <c r="G200" s="1100"/>
      <c r="H200" s="1100"/>
      <c r="I200" s="446">
        <f>J200/J$33</f>
        <v>0</v>
      </c>
      <c r="J200" s="452">
        <v>0</v>
      </c>
      <c r="K200" s="1103">
        <f>(J200+J200*O200)*12/J$33</f>
        <v>0</v>
      </c>
      <c r="L200" s="1103" t="e">
        <f>K200*12/K$11</f>
        <v>#VALUE!</v>
      </c>
      <c r="M200" s="452">
        <f>K200+K200*P200</f>
        <v>0</v>
      </c>
      <c r="O200" s="474">
        <v>0</v>
      </c>
      <c r="P200" s="474">
        <f>O200</f>
        <v>0</v>
      </c>
      <c r="Q200" s="686"/>
      <c r="R200" s="686"/>
      <c r="S200" s="686"/>
      <c r="T200" s="686"/>
      <c r="U200" s="686"/>
      <c r="V200" s="686"/>
      <c r="W200" s="686"/>
      <c r="X200" s="687"/>
    </row>
    <row r="201" spans="2:24" s="32" customFormat="1" ht="12.75" customHeight="1" x14ac:dyDescent="0.2">
      <c r="C201" s="1215" t="s">
        <v>370</v>
      </c>
      <c r="D201" s="1100"/>
      <c r="E201" s="1100"/>
      <c r="F201" s="1100"/>
      <c r="G201" s="1100"/>
      <c r="H201" s="1100"/>
      <c r="I201" s="522">
        <v>0</v>
      </c>
      <c r="J201" s="449">
        <v>0</v>
      </c>
      <c r="K201" s="1125">
        <f>J201+J201*O201</f>
        <v>0</v>
      </c>
      <c r="L201" s="1125">
        <f>K201 +K201*O201</f>
        <v>0</v>
      </c>
      <c r="M201" s="449">
        <f>K201+K201*P201</f>
        <v>0</v>
      </c>
      <c r="O201" s="474">
        <v>0.03</v>
      </c>
      <c r="P201" s="474">
        <f>O201</f>
        <v>0.03</v>
      </c>
      <c r="Q201" s="686"/>
      <c r="R201" s="686"/>
      <c r="S201" s="686"/>
      <c r="T201" s="686"/>
      <c r="U201" s="686"/>
      <c r="V201" s="686"/>
      <c r="W201" s="686"/>
      <c r="X201" s="687"/>
    </row>
    <row r="202" spans="2:24" s="32" customFormat="1" ht="12.75" customHeight="1" x14ac:dyDescent="0.2">
      <c r="C202" s="1215" t="s">
        <v>368</v>
      </c>
      <c r="D202" s="1100"/>
      <c r="E202" s="1100"/>
      <c r="F202" s="1100"/>
      <c r="G202" s="1100"/>
      <c r="H202" s="1100"/>
      <c r="I202" s="522">
        <v>0</v>
      </c>
      <c r="J202" s="453">
        <f>IF(J201=0,0,(J198-J203)/J198)</f>
        <v>0</v>
      </c>
      <c r="K202" s="1220">
        <f t="shared" ref="K202:L202" si="44">IF(K201=0,0,(K198-K203)/K198)</f>
        <v>0</v>
      </c>
      <c r="L202" s="1220">
        <f t="shared" si="44"/>
        <v>0</v>
      </c>
      <c r="M202" s="453">
        <f>IF(M201=0,0,(M198-M203)/M198)</f>
        <v>0</v>
      </c>
      <c r="O202" s="658"/>
      <c r="P202" s="659"/>
      <c r="Q202" s="686"/>
      <c r="R202" s="686"/>
      <c r="S202" s="686"/>
      <c r="T202" s="686"/>
      <c r="U202" s="686"/>
      <c r="V202" s="686"/>
      <c r="W202" s="686"/>
      <c r="X202" s="687"/>
    </row>
    <row r="203" spans="2:24" s="32" customFormat="1" ht="12.75" customHeight="1" x14ac:dyDescent="0.2">
      <c r="C203" s="1227" t="s">
        <v>371</v>
      </c>
      <c r="D203" s="1228"/>
      <c r="E203" s="1228"/>
      <c r="F203" s="1228"/>
      <c r="G203" s="1228"/>
      <c r="H203" s="1228"/>
      <c r="I203" s="522">
        <v>0</v>
      </c>
      <c r="J203" s="454">
        <f>J200*J201</f>
        <v>0</v>
      </c>
      <c r="K203" s="1223">
        <f t="shared" ref="K203:L203" si="45">K200*K201</f>
        <v>0</v>
      </c>
      <c r="L203" s="1223" t="e">
        <f t="shared" si="45"/>
        <v>#VALUE!</v>
      </c>
      <c r="M203" s="454">
        <f>M200*M201</f>
        <v>0</v>
      </c>
      <c r="N203" s="609"/>
      <c r="O203" s="658"/>
      <c r="P203" s="659"/>
      <c r="Q203" s="686"/>
      <c r="R203" s="686"/>
      <c r="S203" s="686"/>
      <c r="T203" s="686"/>
      <c r="U203" s="686"/>
      <c r="V203" s="686"/>
      <c r="W203" s="686"/>
      <c r="X203" s="687"/>
    </row>
    <row r="204" spans="2:24" s="32" customFormat="1" ht="8.25" customHeight="1" x14ac:dyDescent="0.2">
      <c r="O204" s="938"/>
      <c r="Q204" s="939"/>
      <c r="R204" s="939"/>
      <c r="S204" s="691"/>
      <c r="T204" s="939"/>
      <c r="U204" s="939"/>
      <c r="V204" s="939"/>
      <c r="W204" s="939"/>
      <c r="X204" s="940"/>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468" t="s">
        <v>156</v>
      </c>
      <c r="D207" s="469" t="s">
        <v>496</v>
      </c>
      <c r="E207" s="469"/>
      <c r="F207" s="470"/>
      <c r="G207" s="470"/>
      <c r="H207" s="470"/>
      <c r="I207" s="470"/>
      <c r="J207" s="473">
        <f>J205+J206</f>
        <v>0</v>
      </c>
      <c r="K207" s="1221">
        <f>K205+K206</f>
        <v>0</v>
      </c>
      <c r="L207" s="1222"/>
      <c r="M207" s="473">
        <f>M205+M206</f>
        <v>0</v>
      </c>
      <c r="O207" s="688"/>
      <c r="P207" s="686"/>
      <c r="Q207" s="686"/>
      <c r="R207" s="930"/>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515" t="s">
        <v>377</v>
      </c>
      <c r="E209" s="515"/>
      <c r="F209" s="466"/>
      <c r="G209" s="466"/>
      <c r="H209" s="466"/>
      <c r="I209" s="466"/>
      <c r="J209" s="472">
        <f>J38</f>
        <v>0</v>
      </c>
      <c r="K209" s="1219">
        <f>K38</f>
        <v>0</v>
      </c>
      <c r="L209" s="1219"/>
      <c r="M209" s="467">
        <f>M38</f>
        <v>0</v>
      </c>
      <c r="N209" s="625"/>
      <c r="O209" s="688"/>
      <c r="P209" s="686"/>
      <c r="Q209" s="686"/>
      <c r="R209" s="930"/>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-('4 AT Lainat ja avustukset alv'!F5+'4 AT Lainat ja avustukset alv'!F9+'4 AT Lainat ja avustukset alv'!F13)</f>
        <v>0</v>
      </c>
      <c r="K211" s="1219">
        <f>-('4 AT Lainat ja avustukset alv'!G5+'4 AT Lainat ja avustukset alv'!G9+'4 AT Lainat ja avustukset alv'!G13)</f>
        <v>0</v>
      </c>
      <c r="L211" s="1219">
        <f>-('4 AT Lainat ja avustukset alv'!H5+'4 AT Lainat ja avustukset alv'!H9+'4 AT Lainat ja avustukset alv'!H13)</f>
        <v>0</v>
      </c>
      <c r="M211" s="472">
        <f>-('4 AT Lainat ja avustukset alv'!H5+'4 AT Lainat ja avustukset alv'!H9+'4 AT Lainat ja avustukset alv'!H13)</f>
        <v>0</v>
      </c>
      <c r="O211" s="688"/>
      <c r="P211" s="686"/>
      <c r="Q211" s="686"/>
      <c r="R211" s="686"/>
      <c r="S211" s="686"/>
      <c r="T211" s="686"/>
      <c r="U211" s="686"/>
      <c r="V211" s="686"/>
      <c r="W211" s="686"/>
      <c r="X211" s="687"/>
    </row>
    <row r="212" spans="2:24" s="32" customFormat="1" ht="15" customHeight="1" x14ac:dyDescent="0.2">
      <c r="B212" s="25"/>
      <c r="C212" s="464" t="s">
        <v>159</v>
      </c>
      <c r="D212" s="1200" t="s">
        <v>495</v>
      </c>
      <c r="E212" s="1200"/>
      <c r="F212" s="1200"/>
      <c r="G212" s="1200"/>
      <c r="H212" s="1200"/>
      <c r="I212" s="1201"/>
      <c r="J212" s="473">
        <f>IF(J207=0,0,J207+'4 AT Lainat ja avustukset alv'!G30-'4 AT Lainat ja avustukset alv'!G22+J211+J38)</f>
        <v>0</v>
      </c>
      <c r="K212" s="1216">
        <f>IF(K207=0,0,K207+'4 AT Lainat ja avustukset alv'!H30-'4 AT Lainat ja avustukset alv'!H22+K211+K38)</f>
        <v>0</v>
      </c>
      <c r="L212" s="1216">
        <f>IF(L207=0,0,L207+'4 AT Lainat ja avustukset alv'!I30-'4 AT Lainat ja avustukset alv'!I22+L211+L38)</f>
        <v>0</v>
      </c>
      <c r="M212" s="473">
        <f>IF(M207=0,0,M207+'4 AT Lainat ja avustukset alv'!I30-'4 AT Lainat ja avustukset alv'!I22+M211+M38)</f>
        <v>0</v>
      </c>
      <c r="N212" s="626"/>
      <c r="O212" s="688"/>
      <c r="P212" s="686"/>
      <c r="Q212" s="686"/>
      <c r="R212" s="686"/>
      <c r="S212" s="686"/>
      <c r="T212" s="686"/>
      <c r="U212" s="686"/>
      <c r="V212" s="686"/>
      <c r="W212" s="686"/>
      <c r="X212" s="687"/>
    </row>
    <row r="213" spans="2:24" s="32" customFormat="1" ht="15" customHeight="1" x14ac:dyDescent="0.2">
      <c r="B213" s="25"/>
      <c r="C213" s="464" t="s">
        <v>160</v>
      </c>
      <c r="D213" s="1200" t="s">
        <v>497</v>
      </c>
      <c r="E213" s="1200"/>
      <c r="F213" s="1200"/>
      <c r="G213" s="1200"/>
      <c r="H213" s="1200"/>
      <c r="I213" s="1201"/>
      <c r="J213" s="473">
        <f>IF(J207=0,0,J207+'4 AT Lainat ja avustukset alv'!G30-'4 AT Lainat ja avustukset alv'!G22+J211)</f>
        <v>0</v>
      </c>
      <c r="K213" s="1216">
        <f>IF(K207=0,0,K207+'4 AT Lainat ja avustukset alv'!H30-'4 AT Lainat ja avustukset alv'!H22+K211)</f>
        <v>0</v>
      </c>
      <c r="L213" s="1216">
        <f>IF(L211=0,0,L207+'4 AT Lainat ja avustukset alv'!I30-'4 AT Lainat ja avustukset alv'!I22+L211)</f>
        <v>0</v>
      </c>
      <c r="M213" s="473">
        <f>IF(M207=0,0,M207+'4 AT Lainat ja avustukset alv'!I30-'4 AT Lainat ja avustukset alv'!I22+M211)</f>
        <v>0</v>
      </c>
      <c r="N213" s="626"/>
      <c r="O213" s="688"/>
      <c r="P213" s="686"/>
      <c r="Q213" s="686"/>
      <c r="R213" s="686"/>
      <c r="S213" s="686"/>
      <c r="T213" s="686"/>
      <c r="U213" s="686"/>
      <c r="V213" s="686"/>
      <c r="W213" s="686"/>
      <c r="X213" s="687"/>
    </row>
    <row r="214" spans="2:24" s="32" customFormat="1" ht="15" customHeight="1" x14ac:dyDescent="0.2">
      <c r="B214" s="25"/>
      <c r="C214" s="464" t="s">
        <v>161</v>
      </c>
      <c r="D214" s="1200" t="s">
        <v>498</v>
      </c>
      <c r="E214" s="1200"/>
      <c r="F214" s="1200"/>
      <c r="G214" s="1200"/>
      <c r="H214" s="1200"/>
      <c r="I214" s="1201"/>
      <c r="J214" s="473">
        <f>IF(J207=0,0,J207+'4 AT Lainat ja avustukset alv'!G30-'4 AT Lainat ja avustukset alv'!G22+J211)</f>
        <v>0</v>
      </c>
      <c r="K214" s="1216">
        <f>IF(K207=0,0,K207+'4 AT Lainat ja avustukset alv'!H30-'4 AT Lainat ja avustukset alv'!H22+K211)</f>
        <v>0</v>
      </c>
      <c r="L214" s="1216">
        <f>IF(L207=0,0,L207+'4 AT Lainat ja avustukset alv'!I30-'4 AT Lainat ja avustukset alv'!I22+L211)</f>
        <v>0</v>
      </c>
      <c r="M214" s="471">
        <f>IF(M207=0,0,M207+'4 AT Lainat ja avustukset alv'!I30-'4 AT Lainat ja avustukset alv'!I22+M211)</f>
        <v>0</v>
      </c>
      <c r="N214" s="626"/>
      <c r="O214" s="688"/>
      <c r="P214" s="686"/>
      <c r="Q214" s="686"/>
      <c r="R214" s="686"/>
      <c r="S214" s="686"/>
      <c r="T214" s="686"/>
      <c r="U214" s="686">
        <v>0</v>
      </c>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162</v>
      </c>
      <c r="D216" s="465" t="s">
        <v>379</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t="s">
        <v>228</v>
      </c>
      <c r="D217" s="515" t="s">
        <v>380</v>
      </c>
      <c r="E217" s="465"/>
      <c r="F217" s="466"/>
      <c r="G217" s="466"/>
      <c r="H217" s="466"/>
      <c r="I217" s="466"/>
      <c r="J217" s="472">
        <f>'2 Myynnin ALV'!B19</f>
        <v>0</v>
      </c>
      <c r="K217" s="1219">
        <f>'2 Myynnin ALV'!C19</f>
        <v>0</v>
      </c>
      <c r="L217" s="1219">
        <f>'2 Myynnin ALV'!D19</f>
        <v>0</v>
      </c>
      <c r="M217" s="467">
        <f>'2 Myynnin ALV'!D19</f>
        <v>0</v>
      </c>
      <c r="O217" s="701"/>
      <c r="P217" s="695"/>
      <c r="Q217" s="695"/>
      <c r="R217" s="695"/>
      <c r="S217" s="695"/>
      <c r="T217" s="695"/>
      <c r="U217" s="695"/>
      <c r="V217" s="695"/>
      <c r="W217" s="695"/>
      <c r="X217" s="700"/>
    </row>
    <row r="218" spans="2:24" ht="15" customHeight="1" x14ac:dyDescent="0.2">
      <c r="B218" s="23"/>
      <c r="C218" s="464" t="s">
        <v>241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8"/>
      <c r="D219" s="568" t="s">
        <v>382</v>
      </c>
      <c r="E219" s="568"/>
      <c r="F219" s="569"/>
      <c r="G219" s="569"/>
      <c r="H219" s="569"/>
      <c r="I219" s="569"/>
      <c r="J219" s="570">
        <f>J199*J200</f>
        <v>0</v>
      </c>
      <c r="K219" s="1202">
        <f>K199*K200</f>
        <v>0</v>
      </c>
      <c r="L219" s="1202"/>
      <c r="M219" s="571">
        <f>M199*M200</f>
        <v>0</v>
      </c>
      <c r="O219" s="703"/>
      <c r="P219" s="689"/>
      <c r="Q219" s="689"/>
      <c r="R219" s="689"/>
      <c r="S219" s="689"/>
      <c r="T219" s="689"/>
      <c r="U219" s="689"/>
      <c r="V219" s="689"/>
      <c r="W219" s="689"/>
      <c r="X219" s="690"/>
    </row>
    <row r="220" spans="2:24" s="32" customFormat="1" ht="15" customHeight="1" x14ac:dyDescent="0.2">
      <c r="B220" s="256"/>
      <c r="C220" s="464"/>
      <c r="D220" s="465" t="s">
        <v>383</v>
      </c>
      <c r="E220" s="515"/>
      <c r="F220" s="572"/>
      <c r="G220" s="572"/>
      <c r="H220" s="572"/>
      <c r="I220" s="572"/>
      <c r="J220" s="481">
        <v>1</v>
      </c>
      <c r="K220" s="1214">
        <f>J220</f>
        <v>1</v>
      </c>
      <c r="L220" s="1214"/>
      <c r="M220" s="573">
        <f>K220</f>
        <v>1</v>
      </c>
    </row>
    <row r="221" spans="2:24" ht="14.1" customHeight="1" x14ac:dyDescent="0.2">
      <c r="B221" s="7"/>
      <c r="C221" s="464"/>
      <c r="D221" s="465" t="s">
        <v>384</v>
      </c>
      <c r="E221" s="515"/>
      <c r="F221" s="572"/>
      <c r="G221" s="572"/>
      <c r="H221" s="572"/>
      <c r="I221" s="572"/>
      <c r="J221" s="481">
        <v>47</v>
      </c>
      <c r="K221" s="1214">
        <f>J221</f>
        <v>47</v>
      </c>
      <c r="L221" s="1214"/>
      <c r="M221" s="573">
        <f>K221</f>
        <v>47</v>
      </c>
    </row>
    <row r="222" spans="2:24" ht="14.1" customHeight="1" x14ac:dyDescent="0.2">
      <c r="B222" s="7"/>
      <c r="C222" s="464" t="s">
        <v>0</v>
      </c>
      <c r="D222" s="465" t="s">
        <v>385</v>
      </c>
      <c r="E222" s="515"/>
      <c r="F222" s="572"/>
      <c r="G222" s="572"/>
      <c r="H222" s="572"/>
      <c r="I222" s="572"/>
      <c r="J222" s="481">
        <v>5</v>
      </c>
      <c r="K222" s="1214">
        <f>J222</f>
        <v>5</v>
      </c>
      <c r="L222" s="1214"/>
      <c r="M222" s="573">
        <f>K222</f>
        <v>5</v>
      </c>
    </row>
    <row r="223" spans="2:24" ht="14.1" customHeight="1" x14ac:dyDescent="0.2">
      <c r="B223" s="7"/>
      <c r="C223" s="468"/>
      <c r="D223" s="469" t="s">
        <v>386</v>
      </c>
      <c r="E223" s="568"/>
      <c r="F223" s="569"/>
      <c r="G223" s="569"/>
      <c r="H223" s="569"/>
      <c r="I223" s="569"/>
      <c r="J223" s="570">
        <f>J218/(J221*J222)</f>
        <v>0</v>
      </c>
      <c r="K223" s="1202">
        <f>K218/(K221*K222)</f>
        <v>0</v>
      </c>
      <c r="L223" s="1202" t="e">
        <f>L218/(L221*L222)</f>
        <v>#DIV/0!</v>
      </c>
      <c r="M223" s="571">
        <f>M218/(M221*M222)</f>
        <v>0</v>
      </c>
    </row>
    <row r="225" spans="3:13" x14ac:dyDescent="0.2">
      <c r="C225" s="560" t="s">
        <v>0</v>
      </c>
      <c r="D225" s="1173" t="str">
        <f>'Front page'!E40</f>
        <v>Business Kemijärvi</v>
      </c>
      <c r="E225" s="1173"/>
      <c r="F225" s="1173"/>
      <c r="G225" s="1173"/>
      <c r="H225" s="1173"/>
      <c r="I225" s="1173"/>
    </row>
    <row r="227" spans="3:13" ht="18" customHeight="1" x14ac:dyDescent="0.2">
      <c r="D227" s="2"/>
    </row>
    <row r="228" spans="3:13" ht="19.350000000000001" customHeight="1" x14ac:dyDescent="0.2">
      <c r="D228" s="1173"/>
      <c r="E228" s="1173"/>
      <c r="F228" s="1173"/>
      <c r="G228" s="1173"/>
      <c r="H228" s="1173"/>
      <c r="I228" s="1173"/>
      <c r="J228" s="1173"/>
      <c r="K228" s="1173"/>
      <c r="L228" s="1173"/>
      <c r="M228" s="1173"/>
    </row>
    <row r="229" spans="3:13" x14ac:dyDescent="0.2">
      <c r="D229" s="1218" t="s">
        <v>389</v>
      </c>
      <c r="E229" s="1218"/>
      <c r="F229" s="1218"/>
      <c r="G229" s="1218"/>
      <c r="H229" s="1218"/>
      <c r="I229" s="1218"/>
      <c r="J229" s="1218"/>
      <c r="K229" s="1218"/>
      <c r="L229" s="1218"/>
      <c r="M229" s="1218"/>
    </row>
    <row r="230" spans="3:13" x14ac:dyDescent="0.2">
      <c r="D230" s="1218" t="s">
        <v>390</v>
      </c>
      <c r="E230" s="1218"/>
      <c r="F230" s="1218"/>
      <c r="G230" s="1218"/>
      <c r="H230" s="1218"/>
      <c r="I230" s="1218"/>
      <c r="J230" s="1218"/>
      <c r="K230" s="1218"/>
      <c r="L230" s="1218"/>
      <c r="M230" s="1218"/>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46">IF(K234=0,0,K235/K234)</f>
        <v>0</v>
      </c>
      <c r="L236" s="1245"/>
      <c r="M236" s="366">
        <f t="shared" si="46"/>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236</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47">SUM(K237:K238)</f>
        <v>0</v>
      </c>
      <c r="L239" s="1244"/>
      <c r="M239" s="9">
        <f t="shared" si="47"/>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xqAPHkn9VGMLrCcnkDcwaqRbXnnTZnqsf42p8rrBL2JCvCoKPxnfY8mvLYZMNJzEqjpCd8HocIEG8lt/OfG4ig==" saltValue="v7lyTvnRKs5WbE7OUPObZg==" spinCount="100000" sheet="1" objects="1" scenarios="1" selectLockedCells="1"/>
  <mergeCells count="364">
    <mergeCell ref="C184:H184"/>
    <mergeCell ref="F133:G133"/>
    <mergeCell ref="D225:I225"/>
    <mergeCell ref="C121:E121"/>
    <mergeCell ref="C128:E128"/>
    <mergeCell ref="F29:G29"/>
    <mergeCell ref="C20:D20"/>
    <mergeCell ref="F25:G25"/>
    <mergeCell ref="H18:L18"/>
    <mergeCell ref="H20:L20"/>
    <mergeCell ref="K56:L56"/>
    <mergeCell ref="K66:L66"/>
    <mergeCell ref="K22:L22"/>
    <mergeCell ref="H21:L21"/>
    <mergeCell ref="K27:L27"/>
    <mergeCell ref="K36:L36"/>
    <mergeCell ref="K160:L160"/>
    <mergeCell ref="K158:L158"/>
    <mergeCell ref="C151:H151"/>
    <mergeCell ref="K186:L186"/>
    <mergeCell ref="K169:L169"/>
    <mergeCell ref="K157:L157"/>
    <mergeCell ref="K140:L140"/>
    <mergeCell ref="C183:H183"/>
    <mergeCell ref="K183:L183"/>
    <mergeCell ref="C143:E143"/>
    <mergeCell ref="K234:L234"/>
    <mergeCell ref="K236:L236"/>
    <mergeCell ref="K239:L239"/>
    <mergeCell ref="K240:L240"/>
    <mergeCell ref="A25:B30"/>
    <mergeCell ref="B71:B72"/>
    <mergeCell ref="C126:H126"/>
    <mergeCell ref="C123:E123"/>
    <mergeCell ref="K102:L102"/>
    <mergeCell ref="K88:L88"/>
    <mergeCell ref="D46:E46"/>
    <mergeCell ref="K58:L58"/>
    <mergeCell ref="K54:L54"/>
    <mergeCell ref="K59:L59"/>
    <mergeCell ref="K47:L47"/>
    <mergeCell ref="K48:L48"/>
    <mergeCell ref="K64:L64"/>
    <mergeCell ref="K65:L65"/>
    <mergeCell ref="K67:L67"/>
    <mergeCell ref="K237:L237"/>
    <mergeCell ref="K235:L235"/>
    <mergeCell ref="F143:G143"/>
    <mergeCell ref="C138:E138"/>
    <mergeCell ref="K163:L163"/>
    <mergeCell ref="B4:B5"/>
    <mergeCell ref="K219:L219"/>
    <mergeCell ref="D38:H38"/>
    <mergeCell ref="K98:L98"/>
    <mergeCell ref="I31:J31"/>
    <mergeCell ref="K46:L46"/>
    <mergeCell ref="K150:L150"/>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C179:H179"/>
    <mergeCell ref="C176:H176"/>
    <mergeCell ref="F148:G148"/>
    <mergeCell ref="K208:L208"/>
    <mergeCell ref="K138:L138"/>
    <mergeCell ref="K175:L175"/>
    <mergeCell ref="K180:L180"/>
    <mergeCell ref="C164:H164"/>
    <mergeCell ref="C168:H168"/>
    <mergeCell ref="K170:L170"/>
    <mergeCell ref="K196:L196"/>
    <mergeCell ref="C191:H191"/>
    <mergeCell ref="K192:L192"/>
    <mergeCell ref="K191:L191"/>
    <mergeCell ref="C196:H196"/>
    <mergeCell ref="C186:H186"/>
    <mergeCell ref="C174:E174"/>
    <mergeCell ref="C175:H175"/>
    <mergeCell ref="K174:L174"/>
    <mergeCell ref="K161:L161"/>
    <mergeCell ref="K172:L172"/>
    <mergeCell ref="K171:L171"/>
    <mergeCell ref="K182:L182"/>
    <mergeCell ref="K178:L178"/>
    <mergeCell ref="K131:L131"/>
    <mergeCell ref="K185:L185"/>
    <mergeCell ref="C170:H170"/>
    <mergeCell ref="C159:H159"/>
    <mergeCell ref="C171:H171"/>
    <mergeCell ref="C136:H136"/>
    <mergeCell ref="C141:H141"/>
    <mergeCell ref="K134:L134"/>
    <mergeCell ref="F156:G156"/>
    <mergeCell ref="K156:L156"/>
    <mergeCell ref="K166:L166"/>
    <mergeCell ref="K167:L167"/>
    <mergeCell ref="K184:L184"/>
    <mergeCell ref="C166:E166"/>
    <mergeCell ref="K168:L168"/>
    <mergeCell ref="C167:H167"/>
    <mergeCell ref="C177:H177"/>
    <mergeCell ref="C162:H162"/>
    <mergeCell ref="C163:H163"/>
    <mergeCell ref="C172:H172"/>
    <mergeCell ref="K151:L151"/>
    <mergeCell ref="C185:H185"/>
    <mergeCell ref="C180:H180"/>
    <mergeCell ref="K200:L200"/>
    <mergeCell ref="K198:L198"/>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D230:M230"/>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D229:M229"/>
    <mergeCell ref="K188:L188"/>
    <mergeCell ref="K205:L205"/>
    <mergeCell ref="K216:L216"/>
    <mergeCell ref="D213:I213"/>
    <mergeCell ref="K213:L213"/>
    <mergeCell ref="K209:L209"/>
    <mergeCell ref="C178:H178"/>
    <mergeCell ref="K223:L223"/>
    <mergeCell ref="K75:L75"/>
    <mergeCell ref="F122:G122"/>
    <mergeCell ref="I119:J119"/>
    <mergeCell ref="K42:L42"/>
    <mergeCell ref="K45:L45"/>
    <mergeCell ref="K34:L34"/>
    <mergeCell ref="K70:L70"/>
    <mergeCell ref="H25:L25"/>
    <mergeCell ref="K82:L82"/>
    <mergeCell ref="K92:L92"/>
    <mergeCell ref="D33:H33"/>
    <mergeCell ref="D54:H54"/>
    <mergeCell ref="D57:H57"/>
    <mergeCell ref="D58:H58"/>
    <mergeCell ref="D74:F74"/>
    <mergeCell ref="D92:H92"/>
    <mergeCell ref="D93:E93"/>
    <mergeCell ref="C26:E26"/>
    <mergeCell ref="K201:L201"/>
    <mergeCell ref="K220:L220"/>
    <mergeCell ref="C201:H201"/>
    <mergeCell ref="K214:L214"/>
    <mergeCell ref="C188:H188"/>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H7:M7"/>
    <mergeCell ref="K120:L120"/>
    <mergeCell ref="F123:G123"/>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F9:G9"/>
    <mergeCell ref="H9:L9"/>
    <mergeCell ref="K10:L10"/>
    <mergeCell ref="K11:L11"/>
    <mergeCell ref="F11:G11"/>
    <mergeCell ref="C17:D17"/>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F46:G46"/>
    <mergeCell ref="K61:L61"/>
    <mergeCell ref="K79:L79"/>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5:E5"/>
    <mergeCell ref="C7:E7"/>
    <mergeCell ref="F24:G24"/>
    <mergeCell ref="C22:E22"/>
    <mergeCell ref="C24:E24"/>
    <mergeCell ref="C29:E29"/>
    <mergeCell ref="K37:L37"/>
    <mergeCell ref="C153:H154"/>
    <mergeCell ref="C161:H161"/>
    <mergeCell ref="I153:J153"/>
    <mergeCell ref="K153:L153"/>
    <mergeCell ref="K154:L154"/>
    <mergeCell ref="K159:L159"/>
    <mergeCell ref="K40:L40"/>
    <mergeCell ref="K44:L44"/>
    <mergeCell ref="K110:L110"/>
    <mergeCell ref="K74:L74"/>
    <mergeCell ref="D75:H75"/>
    <mergeCell ref="K94:L94"/>
    <mergeCell ref="K84:L84"/>
    <mergeCell ref="K105:L105"/>
    <mergeCell ref="K106:L106"/>
    <mergeCell ref="K107:L107"/>
    <mergeCell ref="K85:L85"/>
    <mergeCell ref="K81:L81"/>
    <mergeCell ref="D111:H111"/>
    <mergeCell ref="K76:L76"/>
    <mergeCell ref="H19:L19"/>
    <mergeCell ref="F16:G16"/>
    <mergeCell ref="F17:G17"/>
    <mergeCell ref="F18:G18"/>
    <mergeCell ref="F19:G19"/>
    <mergeCell ref="F20:G20"/>
    <mergeCell ref="F12:G12"/>
    <mergeCell ref="F14:G14"/>
    <mergeCell ref="K15:L15"/>
    <mergeCell ref="C18:E18"/>
    <mergeCell ref="K238:L238"/>
    <mergeCell ref="C73:E73"/>
    <mergeCell ref="F23:G23"/>
    <mergeCell ref="K233:L233"/>
    <mergeCell ref="K62:L62"/>
    <mergeCell ref="C148:E148"/>
    <mergeCell ref="K38:L38"/>
    <mergeCell ref="K39:L39"/>
    <mergeCell ref="K41:L41"/>
    <mergeCell ref="C160:H160"/>
    <mergeCell ref="D109:H109"/>
    <mergeCell ref="K146:L146"/>
    <mergeCell ref="D83:H83"/>
    <mergeCell ref="K104:L104"/>
    <mergeCell ref="K93:L93"/>
    <mergeCell ref="C23:E23"/>
    <mergeCell ref="D42:H42"/>
    <mergeCell ref="F26:G26"/>
    <mergeCell ref="F27:G27"/>
    <mergeCell ref="K35:L35"/>
    <mergeCell ref="H29:L29"/>
    <mergeCell ref="K32:L32"/>
    <mergeCell ref="H23:L23"/>
  </mergeCells>
  <phoneticPr fontId="9"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84"/>
    </row>
    <row r="4" spans="1:24" ht="11.65" customHeight="1" x14ac:dyDescent="0.2">
      <c r="A4" s="1284"/>
      <c r="B4" s="576"/>
    </row>
    <row r="5" spans="1:24" ht="17.100000000000001" customHeight="1" x14ac:dyDescent="0.25">
      <c r="B5" s="1267" t="str">
        <f>'1. Calculation'!$C$5</f>
        <v xml:space="preserve">  </v>
      </c>
      <c r="C5" s="1268"/>
      <c r="D5" s="1268"/>
      <c r="E5" s="1268"/>
      <c r="H5" s="1280" t="s">
        <v>292</v>
      </c>
      <c r="I5" s="1281"/>
      <c r="J5" s="1281"/>
      <c r="K5" s="1281"/>
      <c r="L5" s="1281"/>
      <c r="M5" s="1281"/>
      <c r="N5" s="1281"/>
      <c r="O5" s="1281"/>
      <c r="U5" s="1277" t="s">
        <v>171</v>
      </c>
    </row>
    <row r="6" spans="1:24" ht="10.15" customHeight="1" x14ac:dyDescent="0.2">
      <c r="B6" s="1268"/>
      <c r="C6" s="1268"/>
      <c r="D6" s="1268"/>
      <c r="E6" s="1268"/>
      <c r="U6" s="1277"/>
    </row>
    <row r="7" spans="1:24" ht="16.149999999999999" customHeight="1" x14ac:dyDescent="0.2">
      <c r="B7" s="639"/>
      <c r="C7" s="1285" t="s">
        <v>404</v>
      </c>
      <c r="D7" s="1285"/>
      <c r="E7" s="1285"/>
      <c r="F7" s="608"/>
      <c r="G7" s="1058" t="s">
        <v>391</v>
      </c>
      <c r="H7" s="1058" t="s">
        <v>392</v>
      </c>
      <c r="I7" s="1058" t="s">
        <v>393</v>
      </c>
      <c r="J7" s="1058" t="s">
        <v>394</v>
      </c>
      <c r="K7" s="1058" t="s">
        <v>395</v>
      </c>
      <c r="L7" s="1058" t="s">
        <v>396</v>
      </c>
      <c r="M7" s="1058" t="s">
        <v>397</v>
      </c>
      <c r="N7" s="1058" t="s">
        <v>398</v>
      </c>
      <c r="O7" s="1058" t="s">
        <v>399</v>
      </c>
      <c r="P7" s="1058" t="s">
        <v>400</v>
      </c>
      <c r="Q7" s="1058" t="s">
        <v>401</v>
      </c>
      <c r="R7" s="1058" t="s">
        <v>402</v>
      </c>
      <c r="S7" s="409" t="s">
        <v>403</v>
      </c>
      <c r="U7" s="1278"/>
      <c r="V7" s="586"/>
      <c r="W7" s="256"/>
      <c r="X7" s="256"/>
    </row>
    <row r="8" spans="1:24" ht="12.6" customHeight="1" x14ac:dyDescent="0.2">
      <c r="B8" s="640">
        <v>1</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v>2</v>
      </c>
      <c r="C9" s="1269" t="s">
        <v>407</v>
      </c>
      <c r="D9" s="1269"/>
      <c r="E9" s="1271"/>
      <c r="F9" s="410">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33">
        <v>0.04</v>
      </c>
      <c r="H10" s="33">
        <v>0.06</v>
      </c>
      <c r="I10" s="33">
        <v>0.06</v>
      </c>
      <c r="J10" s="33">
        <v>7.0000000000000007E-2</v>
      </c>
      <c r="K10" s="33">
        <v>0.08</v>
      </c>
      <c r="L10" s="33">
        <v>0.09</v>
      </c>
      <c r="M10" s="33">
        <v>0.1</v>
      </c>
      <c r="N10" s="33">
        <v>0.1</v>
      </c>
      <c r="O10" s="33">
        <v>0.1</v>
      </c>
      <c r="P10" s="33">
        <v>0.1</v>
      </c>
      <c r="Q10" s="33">
        <v>0.1</v>
      </c>
      <c r="R10" s="33">
        <v>0.1</v>
      </c>
      <c r="S10" s="296">
        <f t="shared" si="2"/>
        <v>0.99999999999999989</v>
      </c>
      <c r="T10" s="554" t="str">
        <f>IF(F9=0," ",IF(S10=100%," ","VIRHE!"))</f>
        <v xml:space="preserve"> </v>
      </c>
      <c r="U10" s="589"/>
    </row>
    <row r="11" spans="1:24" ht="12.6" customHeight="1" x14ac:dyDescent="0.2">
      <c r="B11" s="641">
        <v>3</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33">
        <v>0.04</v>
      </c>
      <c r="H12" s="33">
        <v>0.06</v>
      </c>
      <c r="I12" s="33">
        <v>0.06</v>
      </c>
      <c r="J12" s="33">
        <v>7.0000000000000007E-2</v>
      </c>
      <c r="K12" s="33">
        <v>0.08</v>
      </c>
      <c r="L12" s="33">
        <v>0.09</v>
      </c>
      <c r="M12" s="33">
        <v>0.1</v>
      </c>
      <c r="N12" s="33">
        <v>0.1</v>
      </c>
      <c r="O12" s="33">
        <v>0.1</v>
      </c>
      <c r="P12" s="33">
        <v>0.1</v>
      </c>
      <c r="Q12" s="33">
        <v>0.1</v>
      </c>
      <c r="R12" s="33">
        <v>0.1</v>
      </c>
      <c r="S12" s="296">
        <f t="shared" si="2"/>
        <v>0.99999999999999989</v>
      </c>
      <c r="T12" s="554" t="str">
        <f>IF(F9=100%," ",IF(S12=100%," ","VIRHE!"))</f>
        <v xml:space="preserve"> </v>
      </c>
      <c r="U12" s="297">
        <f>12*'1. Calculation'!J218/'1. Calculation'!J33</f>
        <v>0</v>
      </c>
      <c r="V12" s="206" t="s">
        <v>217</v>
      </c>
      <c r="W12" s="272"/>
      <c r="X12" s="272"/>
    </row>
    <row r="13" spans="1:24" ht="12.6" customHeight="1" x14ac:dyDescent="0.2">
      <c r="B13" s="641"/>
      <c r="C13" s="367"/>
      <c r="D13" s="386" t="s">
        <v>410</v>
      </c>
      <c r="E13" s="411">
        <v>14</v>
      </c>
      <c r="F13" s="400" t="s">
        <v>411</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2"/>
        <v>0</v>
      </c>
      <c r="U13" s="589"/>
    </row>
    <row r="14" spans="1:24" ht="12.6" customHeight="1" x14ac:dyDescent="0.2">
      <c r="B14" s="641">
        <v>4</v>
      </c>
      <c r="C14" s="1269" t="s">
        <v>412</v>
      </c>
      <c r="D14" s="1270"/>
      <c r="E14" s="1270"/>
      <c r="F14" s="387"/>
      <c r="G14" s="403">
        <f>U14</f>
        <v>0</v>
      </c>
      <c r="H14" s="403">
        <v>0</v>
      </c>
      <c r="I14" s="403">
        <v>0</v>
      </c>
      <c r="J14" s="403">
        <v>0</v>
      </c>
      <c r="K14" s="403">
        <v>0</v>
      </c>
      <c r="L14" s="403">
        <v>0</v>
      </c>
      <c r="M14" s="403">
        <v>0</v>
      </c>
      <c r="N14" s="403">
        <v>0</v>
      </c>
      <c r="O14" s="403">
        <v>0</v>
      </c>
      <c r="P14" s="403">
        <v>0</v>
      </c>
      <c r="Q14" s="403">
        <v>0</v>
      </c>
      <c r="R14" s="403">
        <v>0</v>
      </c>
      <c r="S14" s="295">
        <f t="shared" si="2"/>
        <v>0</v>
      </c>
      <c r="U14" s="297">
        <f>'1. Calculation'!M10</f>
        <v>0</v>
      </c>
    </row>
    <row r="15" spans="1:24" ht="12.6" customHeight="1" thickBot="1" x14ac:dyDescent="0.25">
      <c r="B15" s="642">
        <v>5</v>
      </c>
      <c r="C15" s="1273" t="s">
        <v>413</v>
      </c>
      <c r="D15" s="1288"/>
      <c r="E15" s="1288"/>
      <c r="F15" s="391"/>
      <c r="G15" s="413">
        <v>0</v>
      </c>
      <c r="H15" s="413">
        <v>0</v>
      </c>
      <c r="I15" s="413">
        <v>0</v>
      </c>
      <c r="J15" s="413">
        <v>0</v>
      </c>
      <c r="K15" s="413">
        <v>0</v>
      </c>
      <c r="L15" s="413">
        <v>0</v>
      </c>
      <c r="M15" s="413">
        <v>0</v>
      </c>
      <c r="N15" s="413">
        <f>U15</f>
        <v>0</v>
      </c>
      <c r="O15" s="413">
        <v>0</v>
      </c>
      <c r="P15" s="413">
        <v>0</v>
      </c>
      <c r="Q15" s="413">
        <v>0</v>
      </c>
      <c r="R15" s="413">
        <v>0</v>
      </c>
      <c r="S15" s="298">
        <f t="shared" si="2"/>
        <v>0</v>
      </c>
      <c r="U15" s="297">
        <f>'1. Calculation'!M17</f>
        <v>0</v>
      </c>
    </row>
    <row r="16" spans="1:24" ht="16.149999999999999" customHeight="1" thickTop="1" thickBot="1" x14ac:dyDescent="0.25">
      <c r="B16" s="643"/>
      <c r="C16" s="1275" t="s">
        <v>167</v>
      </c>
      <c r="D16" s="1275"/>
      <c r="E16" s="1275"/>
      <c r="F16" s="1276"/>
      <c r="G16" s="404">
        <f>G9+G13+G14+G15</f>
        <v>0</v>
      </c>
      <c r="H16" s="404">
        <f t="shared" ref="H16:R16" si="4">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9"/>
      <c r="F18" s="578" t="s">
        <v>414</v>
      </c>
      <c r="G18" s="579" t="str">
        <f t="shared" ref="G18:R18" si="5">G7</f>
        <v>JAN</v>
      </c>
      <c r="H18" s="418" t="str">
        <f t="shared" si="5"/>
        <v>FEB</v>
      </c>
      <c r="I18" s="579" t="str">
        <f t="shared" si="5"/>
        <v>MARS</v>
      </c>
      <c r="J18" s="579" t="str">
        <f t="shared" si="5"/>
        <v>APR</v>
      </c>
      <c r="K18" s="579" t="str">
        <f t="shared" si="5"/>
        <v>MAY</v>
      </c>
      <c r="L18" s="579" t="str">
        <f t="shared" si="5"/>
        <v>JUNE</v>
      </c>
      <c r="M18" s="579" t="str">
        <f t="shared" si="5"/>
        <v>JYLY</v>
      </c>
      <c r="N18" s="579" t="str">
        <f t="shared" si="5"/>
        <v>AUG</v>
      </c>
      <c r="O18" s="579" t="str">
        <f t="shared" si="5"/>
        <v>SEP</v>
      </c>
      <c r="P18" s="579" t="str">
        <f t="shared" si="5"/>
        <v>OCT</v>
      </c>
      <c r="Q18" s="579" t="str">
        <f t="shared" si="5"/>
        <v>NOV</v>
      </c>
      <c r="R18" s="579" t="str">
        <f t="shared" si="5"/>
        <v>DEC</v>
      </c>
      <c r="S18" s="577" t="s">
        <v>403</v>
      </c>
      <c r="U18" s="590" t="s">
        <v>169</v>
      </c>
      <c r="V18" s="591" t="s">
        <v>170</v>
      </c>
      <c r="W18" s="315"/>
      <c r="X18" s="315"/>
    </row>
    <row r="19" spans="2:25" ht="12.6" customHeight="1" x14ac:dyDescent="0.2">
      <c r="B19" s="1261">
        <v>6</v>
      </c>
      <c r="C19" s="1290" t="s">
        <v>415</v>
      </c>
      <c r="D19" s="1291"/>
      <c r="E19" s="1291"/>
      <c r="F19" s="989"/>
      <c r="G19" s="585">
        <f>0.5*' 3 AT Palkat, alv'!E16</f>
        <v>0</v>
      </c>
      <c r="H19" s="585">
        <f>0.5*(' 3 AT Palkat, alv'!E16+' 3 AT Palkat, alv'!F16)</f>
        <v>0</v>
      </c>
      <c r="I19" s="585">
        <f>0.5*(' 3 AT Palkat, alv'!F16+' 3 AT Palkat, alv'!G16)</f>
        <v>0</v>
      </c>
      <c r="J19" s="585">
        <f>0.5*(' 3 AT Palkat, alv'!G16+' 3 AT Palkat, alv'!H16)</f>
        <v>0</v>
      </c>
      <c r="K19" s="585">
        <f>0.5*(' 3 AT Palkat, alv'!H16+' 3 AT Palkat, alv'!I16)</f>
        <v>0</v>
      </c>
      <c r="L19" s="585">
        <f>0.5*(' 3 AT Palkat, alv'!I16+' 3 AT Palkat, alv'!J16)</f>
        <v>0</v>
      </c>
      <c r="M19" s="585">
        <f>0.5*(' 3 AT Palkat, alv'!J16+' 3 AT Palkat, alv'!K16)</f>
        <v>0</v>
      </c>
      <c r="N19" s="585">
        <f>0.5*(' 3 AT Palkat, alv'!K16+' 3 AT Palkat, alv'!L16)</f>
        <v>0</v>
      </c>
      <c r="O19" s="585">
        <f>0.5*(' 3 AT Palkat, alv'!L16+' 3 AT Palkat, alv'!M16)</f>
        <v>0</v>
      </c>
      <c r="P19" s="585">
        <f>0.5*(' 3 AT Palkat, alv'!M16+' 3 AT Palkat, alv'!N16)</f>
        <v>0</v>
      </c>
      <c r="Q19" s="585">
        <f>0.5*(' 3 AT Palkat, alv'!N16+' 3 AT Palkat, alv'!O16)</f>
        <v>0</v>
      </c>
      <c r="R19" s="585">
        <f>0.5*(' 3 AT Palkat, alv'!O16+' 3 AT Palkat, alv'!P16)</f>
        <v>0</v>
      </c>
      <c r="S19" s="295">
        <f>SUM(G19:R19)</f>
        <v>0</v>
      </c>
      <c r="U19" s="297">
        <f>'1. Calculation'!J237</f>
        <v>0</v>
      </c>
      <c r="V19" s="297">
        <f>'1. Calculation'!J235</f>
        <v>0</v>
      </c>
      <c r="W19" s="305"/>
      <c r="X19" s="305"/>
      <c r="Y19" s="9"/>
    </row>
    <row r="20" spans="2:25" ht="12.6" customHeight="1" x14ac:dyDescent="0.2">
      <c r="B20" s="1262"/>
      <c r="C20" s="384" t="s">
        <v>416</v>
      </c>
      <c r="D20" s="385"/>
      <c r="E20" s="385"/>
      <c r="F20" s="989"/>
      <c r="G20" s="414">
        <f>IF($V20=0,0,$V20*(G9+G11)/$U12)</f>
        <v>0</v>
      </c>
      <c r="H20" s="414">
        <f t="shared" ref="H20:R20" si="6">IF($V20=0,0,$V20*(H9+H11)/$U12)</f>
        <v>0</v>
      </c>
      <c r="I20" s="414">
        <f t="shared" si="6"/>
        <v>0</v>
      </c>
      <c r="J20" s="414">
        <f t="shared" si="6"/>
        <v>0</v>
      </c>
      <c r="K20" s="414">
        <f t="shared" si="6"/>
        <v>0</v>
      </c>
      <c r="L20" s="414">
        <f t="shared" si="6"/>
        <v>0</v>
      </c>
      <c r="M20" s="414">
        <f t="shared" si="6"/>
        <v>0</v>
      </c>
      <c r="N20" s="414">
        <f t="shared" si="6"/>
        <v>0</v>
      </c>
      <c r="O20" s="414">
        <f t="shared" si="6"/>
        <v>0</v>
      </c>
      <c r="P20" s="414">
        <f t="shared" si="6"/>
        <v>0</v>
      </c>
      <c r="Q20" s="414">
        <f t="shared" si="6"/>
        <v>0</v>
      </c>
      <c r="R20" s="414">
        <f t="shared" si="6"/>
        <v>0</v>
      </c>
      <c r="S20" s="392">
        <f>SUM(G20:R20)</f>
        <v>0</v>
      </c>
      <c r="U20" s="297"/>
      <c r="V20" s="297">
        <f>'1. Calculation'!J238</f>
        <v>0</v>
      </c>
      <c r="W20" s="305"/>
      <c r="X20" s="305"/>
      <c r="Y20" s="9"/>
    </row>
    <row r="21" spans="2:25" ht="12.6" customHeight="1" x14ac:dyDescent="0.2">
      <c r="B21" s="640">
        <f>B19+1</f>
        <v>7</v>
      </c>
      <c r="C21" s="1269" t="s">
        <v>417</v>
      </c>
      <c r="D21" s="1270"/>
      <c r="E21" s="1270"/>
      <c r="F21" s="412">
        <v>25.5</v>
      </c>
      <c r="G21" s="403">
        <f t="shared" ref="G21:R25" si="7">$V21/12*(1+$F21/100)</f>
        <v>0</v>
      </c>
      <c r="H21" s="403">
        <f t="shared" si="7"/>
        <v>0</v>
      </c>
      <c r="I21" s="403">
        <f t="shared" si="7"/>
        <v>0</v>
      </c>
      <c r="J21" s="403">
        <f t="shared" si="7"/>
        <v>0</v>
      </c>
      <c r="K21" s="403">
        <f t="shared" si="7"/>
        <v>0</v>
      </c>
      <c r="L21" s="403">
        <f t="shared" si="7"/>
        <v>0</v>
      </c>
      <c r="M21" s="403">
        <f t="shared" si="7"/>
        <v>0</v>
      </c>
      <c r="N21" s="403">
        <f t="shared" si="7"/>
        <v>0</v>
      </c>
      <c r="O21" s="403">
        <f t="shared" si="7"/>
        <v>0</v>
      </c>
      <c r="P21" s="403">
        <f t="shared" si="7"/>
        <v>0</v>
      </c>
      <c r="Q21" s="403">
        <f t="shared" si="7"/>
        <v>0</v>
      </c>
      <c r="R21" s="403">
        <f t="shared" si="7"/>
        <v>0</v>
      </c>
      <c r="S21" s="295">
        <f t="shared" ref="S21:S52" si="8">SUM(G21:R21)</f>
        <v>0</v>
      </c>
      <c r="U21" s="297">
        <f>V21*(1+F21/100)</f>
        <v>0</v>
      </c>
      <c r="V21" s="297">
        <f>12*'1. Calculation'!J61</f>
        <v>0</v>
      </c>
      <c r="W21" s="305"/>
      <c r="X21" s="305"/>
      <c r="Y21" s="9"/>
    </row>
    <row r="22" spans="2:25" ht="12.6" customHeight="1" x14ac:dyDescent="0.2">
      <c r="B22" s="640">
        <f t="shared" ref="B22:B33" si="9">B21+1</f>
        <v>8</v>
      </c>
      <c r="C22" s="1269" t="s">
        <v>418</v>
      </c>
      <c r="D22" s="1270"/>
      <c r="E22" s="1270"/>
      <c r="F22" s="412">
        <v>25.5</v>
      </c>
      <c r="G22" s="403">
        <f t="shared" si="7"/>
        <v>0</v>
      </c>
      <c r="H22" s="403">
        <f t="shared" si="7"/>
        <v>0</v>
      </c>
      <c r="I22" s="403">
        <f t="shared" si="7"/>
        <v>0</v>
      </c>
      <c r="J22" s="403">
        <f t="shared" si="7"/>
        <v>0</v>
      </c>
      <c r="K22" s="403">
        <f t="shared" si="7"/>
        <v>0</v>
      </c>
      <c r="L22" s="403">
        <f t="shared" si="7"/>
        <v>0</v>
      </c>
      <c r="M22" s="403">
        <f t="shared" si="7"/>
        <v>0</v>
      </c>
      <c r="N22" s="403">
        <f t="shared" si="7"/>
        <v>0</v>
      </c>
      <c r="O22" s="403">
        <f t="shared" si="7"/>
        <v>0</v>
      </c>
      <c r="P22" s="403">
        <f t="shared" si="7"/>
        <v>0</v>
      </c>
      <c r="Q22" s="403">
        <f t="shared" si="7"/>
        <v>0</v>
      </c>
      <c r="R22" s="403">
        <f t="shared" si="7"/>
        <v>0</v>
      </c>
      <c r="S22" s="295">
        <f t="shared" si="8"/>
        <v>0</v>
      </c>
      <c r="U22" s="297">
        <f>V22*(1+F22/100)</f>
        <v>0</v>
      </c>
      <c r="V22" s="297">
        <f>IF('1. Calculation'!J33=12,'1. Calculation'!J74,IF('1. Calculation'!J33&lt;12,12*('1. Calculation'!J74+'1. Calculation'!K74)/('1. Calculation'!J33+'1. Calculation'!K33),12*'1. Calculation'!J74/'1. Calculation'!J33))</f>
        <v>0</v>
      </c>
      <c r="W22" s="305"/>
      <c r="X22" s="305"/>
    </row>
    <row r="23" spans="2:25" ht="12.6" customHeight="1" x14ac:dyDescent="0.2">
      <c r="B23" s="640">
        <f t="shared" si="9"/>
        <v>9</v>
      </c>
      <c r="C23" s="1269" t="s">
        <v>419</v>
      </c>
      <c r="D23" s="1270"/>
      <c r="E23" s="1270"/>
      <c r="F23" s="412">
        <v>25.5</v>
      </c>
      <c r="G23" s="403">
        <f t="shared" si="7"/>
        <v>0</v>
      </c>
      <c r="H23" s="403">
        <f t="shared" si="7"/>
        <v>0</v>
      </c>
      <c r="I23" s="403">
        <f t="shared" si="7"/>
        <v>0</v>
      </c>
      <c r="J23" s="403">
        <f t="shared" si="7"/>
        <v>0</v>
      </c>
      <c r="K23" s="403">
        <f t="shared" si="7"/>
        <v>0</v>
      </c>
      <c r="L23" s="403">
        <f t="shared" si="7"/>
        <v>0</v>
      </c>
      <c r="M23" s="403">
        <f t="shared" si="7"/>
        <v>0</v>
      </c>
      <c r="N23" s="403">
        <f t="shared" si="7"/>
        <v>0</v>
      </c>
      <c r="O23" s="403">
        <f t="shared" si="7"/>
        <v>0</v>
      </c>
      <c r="P23" s="403">
        <f t="shared" si="7"/>
        <v>0</v>
      </c>
      <c r="Q23" s="403">
        <f t="shared" si="7"/>
        <v>0</v>
      </c>
      <c r="R23" s="403">
        <f t="shared" si="7"/>
        <v>0</v>
      </c>
      <c r="S23" s="295">
        <f t="shared" si="8"/>
        <v>0</v>
      </c>
      <c r="U23" s="297">
        <f>V23*(1+F23/100)</f>
        <v>0</v>
      </c>
      <c r="V23" s="297">
        <f>12*('1. Calculation'!J63+'1. Calculation'!J64+'1. Calculation'!J65)/'1. Calculation'!J33</f>
        <v>0</v>
      </c>
      <c r="W23" s="305"/>
      <c r="X23" s="305"/>
    </row>
    <row r="24" spans="2:25" ht="12.6" customHeight="1" x14ac:dyDescent="0.2">
      <c r="B24" s="640">
        <f t="shared" si="9"/>
        <v>10</v>
      </c>
      <c r="C24" s="1269" t="s">
        <v>420</v>
      </c>
      <c r="D24" s="1270"/>
      <c r="E24" s="1270"/>
      <c r="F24" s="412">
        <v>25.5</v>
      </c>
      <c r="G24" s="403">
        <f t="shared" si="7"/>
        <v>0</v>
      </c>
      <c r="H24" s="403">
        <f t="shared" si="7"/>
        <v>0</v>
      </c>
      <c r="I24" s="403">
        <f t="shared" si="7"/>
        <v>0</v>
      </c>
      <c r="J24" s="403">
        <f t="shared" si="7"/>
        <v>0</v>
      </c>
      <c r="K24" s="403">
        <f t="shared" si="7"/>
        <v>0</v>
      </c>
      <c r="L24" s="403">
        <f t="shared" si="7"/>
        <v>0</v>
      </c>
      <c r="M24" s="403">
        <f t="shared" si="7"/>
        <v>0</v>
      </c>
      <c r="N24" s="403">
        <f t="shared" si="7"/>
        <v>0</v>
      </c>
      <c r="O24" s="403">
        <f t="shared" si="7"/>
        <v>0</v>
      </c>
      <c r="P24" s="403">
        <f t="shared" si="7"/>
        <v>0</v>
      </c>
      <c r="Q24" s="403">
        <f t="shared" si="7"/>
        <v>0</v>
      </c>
      <c r="R24" s="403">
        <f t="shared" si="7"/>
        <v>0</v>
      </c>
      <c r="S24" s="295">
        <f t="shared" si="8"/>
        <v>0</v>
      </c>
      <c r="U24" s="297">
        <f>V24*(1+F24/100)</f>
        <v>0</v>
      </c>
      <c r="V24" s="297">
        <f>12*('1. Calculation'!J109)/'1. Calculation'!J33</f>
        <v>0</v>
      </c>
      <c r="W24" s="305"/>
      <c r="X24" s="305"/>
    </row>
    <row r="25" spans="2:25" ht="12.6" customHeight="1" x14ac:dyDescent="0.2">
      <c r="B25" s="640">
        <f t="shared" si="9"/>
        <v>11</v>
      </c>
      <c r="C25" s="1269" t="s">
        <v>421</v>
      </c>
      <c r="D25" s="1269"/>
      <c r="E25" s="1269"/>
      <c r="F25" s="412">
        <v>25.5</v>
      </c>
      <c r="G25" s="403">
        <f t="shared" si="7"/>
        <v>0</v>
      </c>
      <c r="H25" s="403">
        <f t="shared" si="7"/>
        <v>0</v>
      </c>
      <c r="I25" s="403">
        <f t="shared" si="7"/>
        <v>0</v>
      </c>
      <c r="J25" s="403">
        <f t="shared" si="7"/>
        <v>0</v>
      </c>
      <c r="K25" s="403">
        <f t="shared" si="7"/>
        <v>0</v>
      </c>
      <c r="L25" s="403">
        <f t="shared" si="7"/>
        <v>0</v>
      </c>
      <c r="M25" s="403">
        <f t="shared" si="7"/>
        <v>0</v>
      </c>
      <c r="N25" s="403">
        <f t="shared" si="7"/>
        <v>0</v>
      </c>
      <c r="O25" s="403">
        <f t="shared" si="7"/>
        <v>0</v>
      </c>
      <c r="P25" s="403">
        <f t="shared" si="7"/>
        <v>0</v>
      </c>
      <c r="Q25" s="403">
        <f t="shared" si="7"/>
        <v>0</v>
      </c>
      <c r="R25" s="403">
        <f t="shared" si="7"/>
        <v>0</v>
      </c>
      <c r="S25" s="295">
        <f t="shared" si="8"/>
        <v>0</v>
      </c>
      <c r="U25" s="297">
        <f>V25*(1+F25/100)</f>
        <v>0</v>
      </c>
      <c r="V25" s="297">
        <f>12*'1. Calculation'!J98/'1. Calculation'!J33</f>
        <v>0</v>
      </c>
      <c r="W25" s="305"/>
      <c r="X25" s="305"/>
    </row>
    <row r="26" spans="2:25" ht="12.6" customHeight="1" x14ac:dyDescent="0.2">
      <c r="B26" s="640">
        <f t="shared" si="9"/>
        <v>12</v>
      </c>
      <c r="C26" s="1269" t="s">
        <v>422</v>
      </c>
      <c r="D26" s="1270"/>
      <c r="E26" s="1270"/>
      <c r="F26" s="412">
        <v>25.5</v>
      </c>
      <c r="G26" s="428">
        <f>U26</f>
        <v>0</v>
      </c>
      <c r="H26" s="403">
        <v>0</v>
      </c>
      <c r="I26" s="403">
        <v>0</v>
      </c>
      <c r="J26" s="403">
        <v>0</v>
      </c>
      <c r="K26" s="403">
        <v>0</v>
      </c>
      <c r="L26" s="403">
        <v>0</v>
      </c>
      <c r="M26" s="403">
        <v>0</v>
      </c>
      <c r="N26" s="403">
        <v>0</v>
      </c>
      <c r="O26" s="403">
        <v>0</v>
      </c>
      <c r="P26" s="403">
        <v>0</v>
      </c>
      <c r="Q26" s="403">
        <v>0</v>
      </c>
      <c r="R26" s="403">
        <v>0</v>
      </c>
      <c r="S26" s="295">
        <f>ROUND(SUM(G26:R26),0)</f>
        <v>0</v>
      </c>
      <c r="T26" s="605"/>
      <c r="U26" s="369">
        <f>ROUND(('1. Calculation'!F13+'1. Calculation'!F15+'1. Calculation'!F16+'1. Calculation'!F17+'1. Calculation'!F19+'1. Calculation'!F21+'1. Calculation'!F25),0)</f>
        <v>0</v>
      </c>
      <c r="V26" s="297"/>
      <c r="W26" s="305"/>
      <c r="X26" s="305"/>
    </row>
    <row r="27" spans="2:25" ht="12.6" customHeight="1" x14ac:dyDescent="0.2">
      <c r="B27" s="640">
        <f t="shared" si="9"/>
        <v>13</v>
      </c>
      <c r="C27" s="386" t="s">
        <v>423</v>
      </c>
      <c r="D27" s="386"/>
      <c r="E27" s="389"/>
      <c r="F27" s="412">
        <v>25.5</v>
      </c>
      <c r="G27" s="403">
        <f t="shared" ref="G27:R31" si="10">$V27/12*(1+$F27/100)</f>
        <v>0</v>
      </c>
      <c r="H27" s="403">
        <f t="shared" si="10"/>
        <v>0</v>
      </c>
      <c r="I27" s="403">
        <f t="shared" si="10"/>
        <v>0</v>
      </c>
      <c r="J27" s="403">
        <f t="shared" si="10"/>
        <v>0</v>
      </c>
      <c r="K27" s="403">
        <f t="shared" si="10"/>
        <v>0</v>
      </c>
      <c r="L27" s="403">
        <f t="shared" si="10"/>
        <v>0</v>
      </c>
      <c r="M27" s="403">
        <f t="shared" si="10"/>
        <v>0</v>
      </c>
      <c r="N27" s="403">
        <f t="shared" si="10"/>
        <v>0</v>
      </c>
      <c r="O27" s="403">
        <f t="shared" si="10"/>
        <v>0</v>
      </c>
      <c r="P27" s="403">
        <f t="shared" si="10"/>
        <v>0</v>
      </c>
      <c r="Q27" s="403">
        <f t="shared" si="10"/>
        <v>0</v>
      </c>
      <c r="R27" s="403">
        <f t="shared" si="10"/>
        <v>0</v>
      </c>
      <c r="S27" s="295">
        <f t="shared" si="8"/>
        <v>0</v>
      </c>
      <c r="U27" s="297">
        <f>V27*(1+F27/100)</f>
        <v>0</v>
      </c>
      <c r="V27" s="297">
        <f>12*('1. Calculation'!J75-'1. Calculation'!J80)/'1. Calculation'!J33</f>
        <v>0</v>
      </c>
      <c r="W27" s="305"/>
      <c r="X27" s="305"/>
    </row>
    <row r="28" spans="2:25" ht="12.6" customHeight="1" x14ac:dyDescent="0.2">
      <c r="B28" s="640">
        <f t="shared" si="9"/>
        <v>14</v>
      </c>
      <c r="C28" s="386" t="s">
        <v>424</v>
      </c>
      <c r="D28" s="393"/>
      <c r="E28" s="393"/>
      <c r="F28" s="412">
        <v>25.5</v>
      </c>
      <c r="G28" s="403">
        <f t="shared" si="10"/>
        <v>0</v>
      </c>
      <c r="H28" s="403">
        <f t="shared" si="10"/>
        <v>0</v>
      </c>
      <c r="I28" s="403">
        <f t="shared" si="10"/>
        <v>0</v>
      </c>
      <c r="J28" s="403">
        <f t="shared" si="10"/>
        <v>0</v>
      </c>
      <c r="K28" s="403">
        <f t="shared" si="10"/>
        <v>0</v>
      </c>
      <c r="L28" s="403">
        <f t="shared" si="10"/>
        <v>0</v>
      </c>
      <c r="M28" s="403">
        <f t="shared" si="10"/>
        <v>0</v>
      </c>
      <c r="N28" s="403">
        <f t="shared" si="10"/>
        <v>0</v>
      </c>
      <c r="O28" s="403">
        <f t="shared" si="10"/>
        <v>0</v>
      </c>
      <c r="P28" s="403">
        <f t="shared" si="10"/>
        <v>0</v>
      </c>
      <c r="Q28" s="403">
        <f t="shared" si="10"/>
        <v>0</v>
      </c>
      <c r="R28" s="403">
        <f t="shared" si="10"/>
        <v>0</v>
      </c>
      <c r="S28" s="295">
        <f t="shared" si="8"/>
        <v>0</v>
      </c>
      <c r="U28" s="297">
        <f>V28*(1+F28/100)</f>
        <v>0</v>
      </c>
      <c r="V28" s="297">
        <f>12*('1. Calculation'!J66+'1. Calculation'!J67+'1. Calculation'!J68)/'1. Calculation'!J33</f>
        <v>0</v>
      </c>
      <c r="W28" s="305"/>
      <c r="X28" s="305"/>
    </row>
    <row r="29" spans="2:25" ht="12.6" customHeight="1" x14ac:dyDescent="0.2">
      <c r="B29" s="640">
        <f t="shared" si="9"/>
        <v>15</v>
      </c>
      <c r="C29" s="1269" t="s">
        <v>425</v>
      </c>
      <c r="D29" s="1270"/>
      <c r="E29" s="1270"/>
      <c r="F29" s="412">
        <v>25.5</v>
      </c>
      <c r="G29" s="403">
        <f t="shared" si="10"/>
        <v>0</v>
      </c>
      <c r="H29" s="403">
        <f t="shared" si="10"/>
        <v>0</v>
      </c>
      <c r="I29" s="403">
        <f t="shared" si="10"/>
        <v>0</v>
      </c>
      <c r="J29" s="403">
        <f t="shared" si="10"/>
        <v>0</v>
      </c>
      <c r="K29" s="403">
        <f t="shared" si="10"/>
        <v>0</v>
      </c>
      <c r="L29" s="403">
        <f t="shared" si="10"/>
        <v>0</v>
      </c>
      <c r="M29" s="403">
        <f t="shared" si="10"/>
        <v>0</v>
      </c>
      <c r="N29" s="403">
        <f t="shared" si="10"/>
        <v>0</v>
      </c>
      <c r="O29" s="403">
        <f t="shared" si="10"/>
        <v>0</v>
      </c>
      <c r="P29" s="403">
        <f t="shared" si="10"/>
        <v>0</v>
      </c>
      <c r="Q29" s="403">
        <f t="shared" si="10"/>
        <v>0</v>
      </c>
      <c r="R29" s="403">
        <f t="shared" si="10"/>
        <v>0</v>
      </c>
      <c r="S29" s="295">
        <f t="shared" si="8"/>
        <v>0</v>
      </c>
      <c r="U29" s="297">
        <f>V29*(1+F29/100)</f>
        <v>0</v>
      </c>
      <c r="V29" s="297">
        <f>12*'1. Calculation'!J87/'1. Calculation'!J33</f>
        <v>0</v>
      </c>
      <c r="W29" s="305"/>
      <c r="X29" s="305"/>
    </row>
    <row r="30" spans="2:25" ht="12.6" customHeight="1" x14ac:dyDescent="0.2">
      <c r="B30" s="640">
        <f t="shared" si="9"/>
        <v>16</v>
      </c>
      <c r="C30" s="1269" t="s">
        <v>426</v>
      </c>
      <c r="D30" s="1269"/>
      <c r="E30" s="1269"/>
      <c r="F30" s="412">
        <v>25.5</v>
      </c>
      <c r="G30" s="403">
        <f t="shared" si="10"/>
        <v>0</v>
      </c>
      <c r="H30" s="403">
        <f t="shared" si="10"/>
        <v>0</v>
      </c>
      <c r="I30" s="403">
        <f t="shared" si="10"/>
        <v>0</v>
      </c>
      <c r="J30" s="403">
        <f t="shared" si="10"/>
        <v>0</v>
      </c>
      <c r="K30" s="403">
        <f t="shared" si="10"/>
        <v>0</v>
      </c>
      <c r="L30" s="403">
        <f t="shared" si="10"/>
        <v>0</v>
      </c>
      <c r="M30" s="403">
        <f t="shared" si="10"/>
        <v>0</v>
      </c>
      <c r="N30" s="403">
        <f t="shared" si="10"/>
        <v>0</v>
      </c>
      <c r="O30" s="403">
        <f t="shared" si="10"/>
        <v>0</v>
      </c>
      <c r="P30" s="403">
        <f t="shared" si="10"/>
        <v>0</v>
      </c>
      <c r="Q30" s="403">
        <f t="shared" si="10"/>
        <v>0</v>
      </c>
      <c r="R30" s="403">
        <f t="shared" si="10"/>
        <v>0</v>
      </c>
      <c r="S30" s="295">
        <f t="shared" si="8"/>
        <v>0</v>
      </c>
      <c r="U30" s="297">
        <f>V30*(1+F30/100)</f>
        <v>0</v>
      </c>
      <c r="V30" s="297">
        <f>12*'1. Calculation'!J83/'1. Calculation'!J33</f>
        <v>0</v>
      </c>
      <c r="W30" s="305"/>
      <c r="X30" s="305"/>
    </row>
    <row r="31" spans="2:25" ht="12.6" customHeight="1" x14ac:dyDescent="0.2">
      <c r="B31" s="640">
        <f t="shared" si="9"/>
        <v>17</v>
      </c>
      <c r="C31" s="1269" t="s">
        <v>427</v>
      </c>
      <c r="D31" s="1270"/>
      <c r="E31" s="1270"/>
      <c r="F31" s="760">
        <v>25.5</v>
      </c>
      <c r="G31" s="403">
        <f t="shared" si="10"/>
        <v>0</v>
      </c>
      <c r="H31" s="403">
        <f t="shared" si="10"/>
        <v>0</v>
      </c>
      <c r="I31" s="403">
        <f t="shared" si="10"/>
        <v>0</v>
      </c>
      <c r="J31" s="403">
        <f t="shared" si="10"/>
        <v>0</v>
      </c>
      <c r="K31" s="403">
        <f t="shared" si="10"/>
        <v>0</v>
      </c>
      <c r="L31" s="403">
        <f t="shared" si="10"/>
        <v>0</v>
      </c>
      <c r="M31" s="403">
        <f t="shared" si="10"/>
        <v>0</v>
      </c>
      <c r="N31" s="403">
        <f t="shared" si="10"/>
        <v>0</v>
      </c>
      <c r="O31" s="403">
        <f t="shared" si="10"/>
        <v>0</v>
      </c>
      <c r="P31" s="403">
        <f t="shared" si="10"/>
        <v>0</v>
      </c>
      <c r="Q31" s="403">
        <f t="shared" si="10"/>
        <v>0</v>
      </c>
      <c r="R31" s="403">
        <f t="shared" si="10"/>
        <v>0</v>
      </c>
      <c r="S31" s="295">
        <f t="shared" si="8"/>
        <v>0</v>
      </c>
      <c r="U31" s="592">
        <f>V31*(1+F31/100)</f>
        <v>0</v>
      </c>
      <c r="V31" s="592">
        <f>12*' 3 AT Palkat, alv'!Q38/'1. Calculation'!J33</f>
        <v>0</v>
      </c>
      <c r="W31" s="305"/>
      <c r="X31" s="305"/>
    </row>
    <row r="32" spans="2:25" ht="12.6" customHeight="1" x14ac:dyDescent="0.2">
      <c r="B32" s="640">
        <f t="shared" si="9"/>
        <v>18</v>
      </c>
      <c r="C32" s="1269" t="s">
        <v>564</v>
      </c>
      <c r="D32" s="1270"/>
      <c r="E32" s="1270"/>
      <c r="F32" s="387"/>
      <c r="G32" s="403"/>
      <c r="H32" s="403">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8"/>
        <v>0</v>
      </c>
      <c r="U32" s="593"/>
      <c r="V32" s="593"/>
      <c r="W32" s="305"/>
    </row>
    <row r="33" spans="2:40" ht="12.6" customHeight="1" x14ac:dyDescent="0.2">
      <c r="B33" s="640">
        <f t="shared" si="9"/>
        <v>19</v>
      </c>
      <c r="C33" s="1269" t="s">
        <v>429</v>
      </c>
      <c r="D33" s="1270"/>
      <c r="E33" s="1270"/>
      <c r="F33" s="387"/>
      <c r="G33" s="297">
        <f>Z44</f>
        <v>0</v>
      </c>
      <c r="H33" s="297">
        <f t="shared" ref="H33:R33" si="11">AA44</f>
        <v>0</v>
      </c>
      <c r="I33" s="297">
        <f t="shared" si="11"/>
        <v>0</v>
      </c>
      <c r="J33" s="297">
        <f t="shared" si="11"/>
        <v>0</v>
      </c>
      <c r="K33" s="297">
        <f t="shared" si="11"/>
        <v>0</v>
      </c>
      <c r="L33" s="297">
        <f t="shared" si="11"/>
        <v>0</v>
      </c>
      <c r="M33" s="297">
        <f t="shared" si="11"/>
        <v>0</v>
      </c>
      <c r="N33" s="297">
        <f t="shared" si="11"/>
        <v>0</v>
      </c>
      <c r="O33" s="297">
        <f t="shared" si="11"/>
        <v>0</v>
      </c>
      <c r="P33" s="297">
        <f t="shared" si="11"/>
        <v>0</v>
      </c>
      <c r="Q33" s="297">
        <f t="shared" si="11"/>
        <v>0</v>
      </c>
      <c r="R33" s="297">
        <f t="shared" si="11"/>
        <v>0</v>
      </c>
      <c r="S33" s="295">
        <f t="shared" si="8"/>
        <v>0</v>
      </c>
      <c r="U33" s="276"/>
      <c r="V33" s="297">
        <f>AL33</f>
        <v>0</v>
      </c>
      <c r="W33" s="305"/>
      <c r="X33" s="432" t="s">
        <v>0</v>
      </c>
      <c r="Y33" s="257" t="s">
        <v>205</v>
      </c>
      <c r="Z33" s="632" t="str">
        <f t="shared" ref="Z33:AK33" si="12">G7</f>
        <v>JAN</v>
      </c>
      <c r="AA33" s="632" t="str">
        <f t="shared" si="12"/>
        <v>FEB</v>
      </c>
      <c r="AB33" s="632" t="str">
        <f t="shared" si="12"/>
        <v>MARS</v>
      </c>
      <c r="AC33" s="632" t="str">
        <f t="shared" si="12"/>
        <v>APR</v>
      </c>
      <c r="AD33" s="632" t="str">
        <f t="shared" si="12"/>
        <v>MAY</v>
      </c>
      <c r="AE33" s="632" t="str">
        <f t="shared" si="12"/>
        <v>JUNE</v>
      </c>
      <c r="AF33" s="632" t="str">
        <f t="shared" si="12"/>
        <v>JYLY</v>
      </c>
      <c r="AG33" s="632" t="str">
        <f t="shared" si="12"/>
        <v>AUG</v>
      </c>
      <c r="AH33" s="632" t="str">
        <f t="shared" si="12"/>
        <v>SEP</v>
      </c>
      <c r="AI33" s="632" t="str">
        <f t="shared" si="12"/>
        <v>OCT</v>
      </c>
      <c r="AJ33" s="632" t="str">
        <f t="shared" si="12"/>
        <v>NOV</v>
      </c>
      <c r="AK33" s="632" t="str">
        <f t="shared" si="12"/>
        <v>DEC</v>
      </c>
      <c r="AL33" s="361"/>
    </row>
    <row r="34" spans="2:40" ht="12" customHeight="1" x14ac:dyDescent="0.2">
      <c r="B34" s="645"/>
      <c r="C34" s="1282" t="s">
        <v>430</v>
      </c>
      <c r="D34" s="1282"/>
      <c r="E34" s="1283"/>
      <c r="F34" s="415">
        <v>0.28999999999999998</v>
      </c>
      <c r="G34" s="401">
        <f t="shared" ref="G34:R37" si="13">$V34/12</f>
        <v>0</v>
      </c>
      <c r="H34" s="401">
        <f t="shared" si="13"/>
        <v>0</v>
      </c>
      <c r="I34" s="401">
        <f t="shared" si="13"/>
        <v>0</v>
      </c>
      <c r="J34" s="401">
        <f t="shared" si="13"/>
        <v>0</v>
      </c>
      <c r="K34" s="401">
        <f t="shared" si="13"/>
        <v>0</v>
      </c>
      <c r="L34" s="401">
        <f t="shared" si="13"/>
        <v>0</v>
      </c>
      <c r="M34" s="401">
        <f t="shared" si="13"/>
        <v>0</v>
      </c>
      <c r="N34" s="401">
        <f t="shared" si="13"/>
        <v>0</v>
      </c>
      <c r="O34" s="401">
        <f t="shared" si="13"/>
        <v>0</v>
      </c>
      <c r="P34" s="401">
        <f t="shared" si="13"/>
        <v>0</v>
      </c>
      <c r="Q34" s="401">
        <f t="shared" si="13"/>
        <v>0</v>
      </c>
      <c r="R34" s="401">
        <f t="shared" si="13"/>
        <v>0</v>
      </c>
      <c r="S34" s="394">
        <f t="shared" si="8"/>
        <v>0</v>
      </c>
      <c r="T34" s="22"/>
      <c r="U34" s="284"/>
      <c r="V34" s="594">
        <f>'1. Calculation'!J39*12</f>
        <v>0</v>
      </c>
      <c r="W34" s="305"/>
      <c r="X34" s="360" t="s">
        <v>214</v>
      </c>
      <c r="Y34" s="359"/>
      <c r="Z34" s="634">
        <f t="shared" ref="Z34:AK34" si="14">G34+G35</f>
        <v>0</v>
      </c>
      <c r="AA34" s="634">
        <f t="shared" si="14"/>
        <v>0</v>
      </c>
      <c r="AB34" s="634">
        <f t="shared" si="14"/>
        <v>0</v>
      </c>
      <c r="AC34" s="634">
        <f t="shared" si="14"/>
        <v>0</v>
      </c>
      <c r="AD34" s="634">
        <f t="shared" si="14"/>
        <v>0</v>
      </c>
      <c r="AE34" s="634">
        <f t="shared" si="14"/>
        <v>0</v>
      </c>
      <c r="AF34" s="634">
        <f t="shared" si="14"/>
        <v>0</v>
      </c>
      <c r="AG34" s="634">
        <f t="shared" si="14"/>
        <v>0</v>
      </c>
      <c r="AH34" s="634">
        <f t="shared" si="14"/>
        <v>0</v>
      </c>
      <c r="AI34" s="634">
        <f t="shared" si="14"/>
        <v>0</v>
      </c>
      <c r="AJ34" s="634">
        <f t="shared" si="14"/>
        <v>0</v>
      </c>
      <c r="AK34" s="634">
        <f t="shared" si="14"/>
        <v>0</v>
      </c>
      <c r="AL34" s="634">
        <f>SUM(Z34:AK34)</f>
        <v>0</v>
      </c>
    </row>
    <row r="35" spans="2:40" ht="12" customHeight="1" x14ac:dyDescent="0.2">
      <c r="B35" s="645"/>
      <c r="C35" s="1282" t="s">
        <v>431</v>
      </c>
      <c r="D35" s="1282"/>
      <c r="E35" s="1282"/>
      <c r="F35" s="381"/>
      <c r="G35" s="401">
        <f t="shared" si="13"/>
        <v>0</v>
      </c>
      <c r="H35" s="401">
        <f t="shared" si="13"/>
        <v>0</v>
      </c>
      <c r="I35" s="401">
        <f t="shared" si="13"/>
        <v>0</v>
      </c>
      <c r="J35" s="401">
        <f t="shared" si="13"/>
        <v>0</v>
      </c>
      <c r="K35" s="401">
        <f t="shared" si="13"/>
        <v>0</v>
      </c>
      <c r="L35" s="401">
        <f t="shared" si="13"/>
        <v>0</v>
      </c>
      <c r="M35" s="401">
        <f t="shared" si="13"/>
        <v>0</v>
      </c>
      <c r="N35" s="401">
        <f t="shared" si="13"/>
        <v>0</v>
      </c>
      <c r="O35" s="401">
        <f t="shared" si="13"/>
        <v>0</v>
      </c>
      <c r="P35" s="401">
        <f t="shared" si="13"/>
        <v>0</v>
      </c>
      <c r="Q35" s="401">
        <f t="shared" si="13"/>
        <v>0</v>
      </c>
      <c r="R35" s="401">
        <f t="shared" si="13"/>
        <v>0</v>
      </c>
      <c r="S35" s="394">
        <f t="shared" si="8"/>
        <v>0</v>
      </c>
      <c r="T35" s="22"/>
      <c r="U35" s="284"/>
      <c r="V35" s="594">
        <f>'1. Calculation'!J40*12</f>
        <v>0</v>
      </c>
      <c r="W35" s="305"/>
      <c r="X35" s="360" t="s">
        <v>172</v>
      </c>
      <c r="Y35" s="435">
        <f>F34+1.91%</f>
        <v>0.30909999999999999</v>
      </c>
      <c r="Z35" s="635">
        <f>Z34*$Y35</f>
        <v>0</v>
      </c>
      <c r="AA35" s="635">
        <f t="shared" ref="AA35:AK35" si="15">AA34*$Y35</f>
        <v>0</v>
      </c>
      <c r="AB35" s="635">
        <f t="shared" si="15"/>
        <v>0</v>
      </c>
      <c r="AC35" s="635">
        <f t="shared" si="15"/>
        <v>0</v>
      </c>
      <c r="AD35" s="635">
        <f t="shared" si="15"/>
        <v>0</v>
      </c>
      <c r="AE35" s="635">
        <f t="shared" si="15"/>
        <v>0</v>
      </c>
      <c r="AF35" s="635">
        <f t="shared" si="15"/>
        <v>0</v>
      </c>
      <c r="AG35" s="635">
        <f t="shared" si="15"/>
        <v>0</v>
      </c>
      <c r="AH35" s="635">
        <f t="shared" si="15"/>
        <v>0</v>
      </c>
      <c r="AI35" s="635">
        <f t="shared" si="15"/>
        <v>0</v>
      </c>
      <c r="AJ35" s="635">
        <f t="shared" si="15"/>
        <v>0</v>
      </c>
      <c r="AK35" s="635">
        <f t="shared" si="15"/>
        <v>0</v>
      </c>
      <c r="AL35" s="634">
        <f t="shared" ref="AL35:AL38" si="16">SUM(Z35:AK35)</f>
        <v>0</v>
      </c>
      <c r="AN35" s="257"/>
    </row>
    <row r="36" spans="2:40" ht="12" customHeight="1" x14ac:dyDescent="0.2">
      <c r="B36" s="645"/>
      <c r="C36" s="1282" t="s">
        <v>432</v>
      </c>
      <c r="D36" s="1282"/>
      <c r="E36" s="1283"/>
      <c r="F36" s="415">
        <v>0.25</v>
      </c>
      <c r="G36" s="401">
        <f t="shared" si="13"/>
        <v>0</v>
      </c>
      <c r="H36" s="401">
        <f t="shared" si="13"/>
        <v>0</v>
      </c>
      <c r="I36" s="401">
        <f t="shared" si="13"/>
        <v>0</v>
      </c>
      <c r="J36" s="401">
        <f t="shared" si="13"/>
        <v>0</v>
      </c>
      <c r="K36" s="401">
        <f t="shared" si="13"/>
        <v>0</v>
      </c>
      <c r="L36" s="401">
        <f t="shared" si="13"/>
        <v>0</v>
      </c>
      <c r="M36" s="401">
        <f t="shared" si="13"/>
        <v>0</v>
      </c>
      <c r="N36" s="401">
        <f t="shared" si="13"/>
        <v>0</v>
      </c>
      <c r="O36" s="401">
        <f t="shared" si="13"/>
        <v>0</v>
      </c>
      <c r="P36" s="401">
        <f t="shared" si="13"/>
        <v>0</v>
      </c>
      <c r="Q36" s="401">
        <f t="shared" si="13"/>
        <v>0</v>
      </c>
      <c r="R36" s="401">
        <f t="shared" si="13"/>
        <v>0</v>
      </c>
      <c r="S36" s="394">
        <f t="shared" si="8"/>
        <v>0</v>
      </c>
      <c r="T36" s="22"/>
      <c r="U36" s="284"/>
      <c r="V36" s="431">
        <f>'1. Calculation'!J43*'1. Calculation'!J45</f>
        <v>0</v>
      </c>
      <c r="W36" s="305"/>
      <c r="X36" s="360" t="s">
        <v>213</v>
      </c>
      <c r="Y36" s="362"/>
      <c r="Z36" s="634">
        <f t="shared" ref="Z36:AK36" si="17">G36+G37</f>
        <v>0</v>
      </c>
      <c r="AA36" s="634">
        <f t="shared" si="17"/>
        <v>0</v>
      </c>
      <c r="AB36" s="634">
        <f t="shared" si="17"/>
        <v>0</v>
      </c>
      <c r="AC36" s="634">
        <f t="shared" si="17"/>
        <v>0</v>
      </c>
      <c r="AD36" s="634">
        <f t="shared" si="17"/>
        <v>0</v>
      </c>
      <c r="AE36" s="634">
        <f t="shared" si="17"/>
        <v>0</v>
      </c>
      <c r="AF36" s="634">
        <f t="shared" si="17"/>
        <v>0</v>
      </c>
      <c r="AG36" s="634">
        <f t="shared" si="17"/>
        <v>0</v>
      </c>
      <c r="AH36" s="634">
        <f t="shared" si="17"/>
        <v>0</v>
      </c>
      <c r="AI36" s="634">
        <f t="shared" si="17"/>
        <v>0</v>
      </c>
      <c r="AJ36" s="634">
        <f t="shared" si="17"/>
        <v>0</v>
      </c>
      <c r="AK36" s="634">
        <f t="shared" si="17"/>
        <v>0</v>
      </c>
      <c r="AL36" s="634">
        <f t="shared" si="16"/>
        <v>0</v>
      </c>
    </row>
    <row r="37" spans="2:40" ht="12" customHeight="1" x14ac:dyDescent="0.2">
      <c r="B37" s="645"/>
      <c r="C37" s="1282" t="s">
        <v>433</v>
      </c>
      <c r="D37" s="1282"/>
      <c r="E37" s="1282"/>
      <c r="F37" s="381"/>
      <c r="G37" s="401">
        <f t="shared" si="13"/>
        <v>0</v>
      </c>
      <c r="H37" s="401">
        <f t="shared" si="13"/>
        <v>0</v>
      </c>
      <c r="I37" s="401">
        <f t="shared" si="13"/>
        <v>0</v>
      </c>
      <c r="J37" s="401">
        <f t="shared" si="13"/>
        <v>0</v>
      </c>
      <c r="K37" s="401">
        <f t="shared" si="13"/>
        <v>0</v>
      </c>
      <c r="L37" s="401">
        <f t="shared" si="13"/>
        <v>0</v>
      </c>
      <c r="M37" s="401">
        <f t="shared" si="13"/>
        <v>0</v>
      </c>
      <c r="N37" s="401">
        <f t="shared" si="13"/>
        <v>0</v>
      </c>
      <c r="O37" s="401">
        <f t="shared" si="13"/>
        <v>0</v>
      </c>
      <c r="P37" s="401">
        <f t="shared" si="13"/>
        <v>0</v>
      </c>
      <c r="Q37" s="401">
        <f t="shared" si="13"/>
        <v>0</v>
      </c>
      <c r="R37" s="401">
        <f t="shared" si="13"/>
        <v>0</v>
      </c>
      <c r="S37" s="394">
        <f t="shared" si="8"/>
        <v>0</v>
      </c>
      <c r="T37" s="22"/>
      <c r="U37" s="284"/>
      <c r="V37" s="431">
        <f>'1. Calculation'!J44*12</f>
        <v>0</v>
      </c>
      <c r="W37" s="305"/>
      <c r="X37" s="360" t="s">
        <v>172</v>
      </c>
      <c r="Y37" s="435">
        <f>F36+1.91%</f>
        <v>0.26910000000000001</v>
      </c>
      <c r="Z37" s="635">
        <f>Z36*$Y37</f>
        <v>0</v>
      </c>
      <c r="AA37" s="635">
        <f t="shared" ref="AA37:AK37" si="18">AA36*$Y37</f>
        <v>0</v>
      </c>
      <c r="AB37" s="635">
        <f t="shared" si="18"/>
        <v>0</v>
      </c>
      <c r="AC37" s="635">
        <f t="shared" si="18"/>
        <v>0</v>
      </c>
      <c r="AD37" s="635">
        <f t="shared" si="18"/>
        <v>0</v>
      </c>
      <c r="AE37" s="635">
        <f t="shared" si="18"/>
        <v>0</v>
      </c>
      <c r="AF37" s="635">
        <f t="shared" si="18"/>
        <v>0</v>
      </c>
      <c r="AG37" s="635">
        <f t="shared" si="18"/>
        <v>0</v>
      </c>
      <c r="AH37" s="635">
        <f t="shared" si="18"/>
        <v>0</v>
      </c>
      <c r="AI37" s="635">
        <f t="shared" si="18"/>
        <v>0</v>
      </c>
      <c r="AJ37" s="635">
        <f t="shared" si="18"/>
        <v>0</v>
      </c>
      <c r="AK37" s="635">
        <f t="shared" si="18"/>
        <v>0</v>
      </c>
      <c r="AL37" s="634">
        <f t="shared" si="16"/>
        <v>0</v>
      </c>
    </row>
    <row r="38" spans="2:40" ht="12" customHeight="1" x14ac:dyDescent="0.2">
      <c r="B38" s="645"/>
      <c r="C38" s="395" t="s">
        <v>434</v>
      </c>
      <c r="D38" s="396"/>
      <c r="E38" s="396"/>
      <c r="F38" s="416">
        <v>8.1900000000000001E-2</v>
      </c>
      <c r="G38" s="431">
        <f>(G36+G37)*$F38</f>
        <v>0</v>
      </c>
      <c r="H38" s="431">
        <f t="shared" ref="H38:R38" si="19">(H36+H37)*$F38</f>
        <v>0</v>
      </c>
      <c r="I38" s="431">
        <f t="shared" si="19"/>
        <v>0</v>
      </c>
      <c r="J38" s="431">
        <f t="shared" si="19"/>
        <v>0</v>
      </c>
      <c r="K38" s="431">
        <f t="shared" si="19"/>
        <v>0</v>
      </c>
      <c r="L38" s="431">
        <f t="shared" si="19"/>
        <v>0</v>
      </c>
      <c r="M38" s="431">
        <f t="shared" si="19"/>
        <v>0</v>
      </c>
      <c r="N38" s="431">
        <f t="shared" si="19"/>
        <v>0</v>
      </c>
      <c r="O38" s="431">
        <f t="shared" si="19"/>
        <v>0</v>
      </c>
      <c r="P38" s="431">
        <f t="shared" si="19"/>
        <v>0</v>
      </c>
      <c r="Q38" s="431">
        <f t="shared" si="19"/>
        <v>0</v>
      </c>
      <c r="R38" s="431">
        <f t="shared" si="19"/>
        <v>0</v>
      </c>
      <c r="S38" s="394">
        <f t="shared" si="8"/>
        <v>0</v>
      </c>
      <c r="T38" s="22"/>
      <c r="U38" s="284"/>
      <c r="V38" s="595"/>
      <c r="W38" s="305"/>
      <c r="X38" s="631" t="s">
        <v>251</v>
      </c>
      <c r="Y38" s="630"/>
      <c r="Z38" s="636">
        <f>Z35+Z37</f>
        <v>0</v>
      </c>
      <c r="AA38" s="636">
        <f t="shared" ref="AA38:AK38" si="20">AA35+AA37</f>
        <v>0</v>
      </c>
      <c r="AB38" s="636">
        <f t="shared" si="20"/>
        <v>0</v>
      </c>
      <c r="AC38" s="636">
        <f t="shared" si="20"/>
        <v>0</v>
      </c>
      <c r="AD38" s="636">
        <f t="shared" si="20"/>
        <v>0</v>
      </c>
      <c r="AE38" s="636">
        <f t="shared" si="20"/>
        <v>0</v>
      </c>
      <c r="AF38" s="636">
        <f t="shared" si="20"/>
        <v>0</v>
      </c>
      <c r="AG38" s="636">
        <f t="shared" si="20"/>
        <v>0</v>
      </c>
      <c r="AH38" s="636">
        <f t="shared" si="20"/>
        <v>0</v>
      </c>
      <c r="AI38" s="636">
        <f t="shared" si="20"/>
        <v>0</v>
      </c>
      <c r="AJ38" s="636">
        <f t="shared" si="20"/>
        <v>0</v>
      </c>
      <c r="AK38" s="636">
        <f t="shared" si="20"/>
        <v>0</v>
      </c>
      <c r="AL38" s="637">
        <f t="shared" si="16"/>
        <v>0</v>
      </c>
    </row>
    <row r="39" spans="2:40" ht="12.6" customHeight="1" x14ac:dyDescent="0.2">
      <c r="B39" s="640">
        <f>B33+1</f>
        <v>20</v>
      </c>
      <c r="C39" s="384" t="s">
        <v>435</v>
      </c>
      <c r="D39" s="385"/>
      <c r="E39" s="385"/>
      <c r="F39" s="397"/>
      <c r="G39" s="297">
        <v>0</v>
      </c>
      <c r="H39" s="403">
        <f>Z38</f>
        <v>0</v>
      </c>
      <c r="I39" s="403">
        <f t="shared" ref="I39:R39" si="21">AA38</f>
        <v>0</v>
      </c>
      <c r="J39" s="403">
        <f t="shared" si="21"/>
        <v>0</v>
      </c>
      <c r="K39" s="403">
        <f t="shared" si="21"/>
        <v>0</v>
      </c>
      <c r="L39" s="403">
        <f t="shared" si="21"/>
        <v>0</v>
      </c>
      <c r="M39" s="403">
        <f t="shared" si="21"/>
        <v>0</v>
      </c>
      <c r="N39" s="403">
        <f t="shared" si="21"/>
        <v>0</v>
      </c>
      <c r="O39" s="403">
        <f t="shared" si="21"/>
        <v>0</v>
      </c>
      <c r="P39" s="403">
        <f t="shared" si="21"/>
        <v>0</v>
      </c>
      <c r="Q39" s="403">
        <f t="shared" si="21"/>
        <v>0</v>
      </c>
      <c r="R39" s="403">
        <f t="shared" si="21"/>
        <v>0</v>
      </c>
      <c r="S39" s="295">
        <f t="shared" si="8"/>
        <v>0</v>
      </c>
      <c r="U39" s="276"/>
      <c r="V39" s="596"/>
      <c r="W39" s="305"/>
      <c r="X39" s="432" t="s">
        <v>246</v>
      </c>
      <c r="Y39" s="628">
        <f>F34</f>
        <v>0.28999999999999998</v>
      </c>
      <c r="Z39" s="362">
        <f>Z34*$Y39</f>
        <v>0</v>
      </c>
      <c r="AA39" s="362">
        <f t="shared" ref="AA39:AK39" si="22">AA34*$Y39</f>
        <v>0</v>
      </c>
      <c r="AB39" s="362">
        <f t="shared" si="22"/>
        <v>0</v>
      </c>
      <c r="AC39" s="362">
        <f t="shared" si="22"/>
        <v>0</v>
      </c>
      <c r="AD39" s="362">
        <f t="shared" si="22"/>
        <v>0</v>
      </c>
      <c r="AE39" s="362">
        <f t="shared" si="22"/>
        <v>0</v>
      </c>
      <c r="AF39" s="362">
        <f t="shared" si="22"/>
        <v>0</v>
      </c>
      <c r="AG39" s="362">
        <f t="shared" si="22"/>
        <v>0</v>
      </c>
      <c r="AH39" s="362">
        <f t="shared" si="22"/>
        <v>0</v>
      </c>
      <c r="AI39" s="362">
        <f t="shared" si="22"/>
        <v>0</v>
      </c>
      <c r="AJ39" s="362">
        <f t="shared" si="22"/>
        <v>0</v>
      </c>
      <c r="AK39" s="362">
        <f t="shared" si="22"/>
        <v>0</v>
      </c>
      <c r="AL39" s="634">
        <f>SUM(Z39:AK39)</f>
        <v>0</v>
      </c>
    </row>
    <row r="40" spans="2:40" ht="12.6" customHeight="1" x14ac:dyDescent="0.2">
      <c r="B40" s="641">
        <f t="shared" ref="B40:B52" si="23">B39+1</f>
        <v>21</v>
      </c>
      <c r="C40" s="1269" t="s">
        <v>436</v>
      </c>
      <c r="D40" s="1269"/>
      <c r="E40" s="1269"/>
      <c r="F40" s="1271"/>
      <c r="G40" s="403">
        <f t="shared" ref="G40:R40" si="24">$V40/12</f>
        <v>0</v>
      </c>
      <c r="H40" s="403">
        <f t="shared" si="24"/>
        <v>0</v>
      </c>
      <c r="I40" s="403">
        <f t="shared" si="24"/>
        <v>0</v>
      </c>
      <c r="J40" s="403">
        <f t="shared" si="24"/>
        <v>0</v>
      </c>
      <c r="K40" s="403">
        <f t="shared" si="24"/>
        <v>0</v>
      </c>
      <c r="L40" s="403">
        <f t="shared" si="24"/>
        <v>0</v>
      </c>
      <c r="M40" s="403">
        <f t="shared" si="24"/>
        <v>0</v>
      </c>
      <c r="N40" s="403">
        <f t="shared" si="24"/>
        <v>0</v>
      </c>
      <c r="O40" s="403">
        <f t="shared" si="24"/>
        <v>0</v>
      </c>
      <c r="P40" s="403">
        <f t="shared" si="24"/>
        <v>0</v>
      </c>
      <c r="Q40" s="403">
        <f t="shared" si="24"/>
        <v>0</v>
      </c>
      <c r="R40" s="403">
        <f t="shared" si="24"/>
        <v>0</v>
      </c>
      <c r="S40" s="295">
        <f t="shared" si="8"/>
        <v>0</v>
      </c>
      <c r="U40" s="276"/>
      <c r="V40" s="390">
        <f>'1. Calculation'!J47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f t="shared" si="23"/>
        <v>22</v>
      </c>
      <c r="C41" s="1269" t="s">
        <v>437</v>
      </c>
      <c r="D41" s="1270"/>
      <c r="E41" s="1270"/>
      <c r="F41" s="416">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8"/>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f t="shared" si="23"/>
        <v>23</v>
      </c>
      <c r="C42" s="386" t="s">
        <v>438</v>
      </c>
      <c r="D42" s="389"/>
      <c r="E42" s="389"/>
      <c r="F42" s="398"/>
      <c r="G42" s="403">
        <f t="shared" ref="G42:R42" si="29">$V42/12</f>
        <v>0</v>
      </c>
      <c r="H42" s="403">
        <f t="shared" si="29"/>
        <v>0</v>
      </c>
      <c r="I42" s="403">
        <f t="shared" si="29"/>
        <v>0</v>
      </c>
      <c r="J42" s="403">
        <f t="shared" si="29"/>
        <v>0</v>
      </c>
      <c r="K42" s="403">
        <f t="shared" si="29"/>
        <v>0</v>
      </c>
      <c r="L42" s="403">
        <f t="shared" si="29"/>
        <v>0</v>
      </c>
      <c r="M42" s="403">
        <f t="shared" si="29"/>
        <v>0</v>
      </c>
      <c r="N42" s="403">
        <f t="shared" si="29"/>
        <v>0</v>
      </c>
      <c r="O42" s="403">
        <f t="shared" si="29"/>
        <v>0</v>
      </c>
      <c r="P42" s="403">
        <f t="shared" si="29"/>
        <v>0</v>
      </c>
      <c r="Q42" s="403">
        <f t="shared" si="29"/>
        <v>0</v>
      </c>
      <c r="R42" s="403">
        <f t="shared" si="29"/>
        <v>0</v>
      </c>
      <c r="S42" s="392">
        <f t="shared" si="8"/>
        <v>0</v>
      </c>
      <c r="U42" s="276"/>
      <c r="V42" s="297">
        <f>12*'1. Calculation'!J52/'1. Calculation'!J33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f t="shared" si="23"/>
        <v>24</v>
      </c>
      <c r="C43" s="1269" t="s">
        <v>439</v>
      </c>
      <c r="D43" s="1270"/>
      <c r="E43" s="1270"/>
      <c r="F43" s="399"/>
      <c r="G43" s="403"/>
      <c r="H43" s="403">
        <f>V43</f>
        <v>0</v>
      </c>
      <c r="I43" s="403"/>
      <c r="J43" s="403"/>
      <c r="K43" s="403"/>
      <c r="L43" s="403"/>
      <c r="M43" s="403"/>
      <c r="N43" s="403"/>
      <c r="O43" s="403"/>
      <c r="P43" s="403"/>
      <c r="Q43" s="403"/>
      <c r="R43" s="403"/>
      <c r="S43" s="295">
        <f t="shared" si="8"/>
        <v>0</v>
      </c>
      <c r="U43" s="276"/>
      <c r="V43" s="297">
        <f>12*('1. Calculation'!J112+0.003*'1. Calculation'!J69)/'1. Calculation'!J33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f t="shared" si="23"/>
        <v>25</v>
      </c>
      <c r="C44" s="1269" t="s">
        <v>440</v>
      </c>
      <c r="D44" s="1269"/>
      <c r="E44" s="1269"/>
      <c r="F44" s="1271"/>
      <c r="G44" s="403">
        <f t="shared" ref="G44:R44" si="32">$V44/12</f>
        <v>0</v>
      </c>
      <c r="H44" s="403">
        <f t="shared" si="32"/>
        <v>0</v>
      </c>
      <c r="I44" s="403">
        <f t="shared" si="32"/>
        <v>0</v>
      </c>
      <c r="J44" s="403">
        <f t="shared" si="32"/>
        <v>0</v>
      </c>
      <c r="K44" s="403">
        <f t="shared" si="32"/>
        <v>0</v>
      </c>
      <c r="L44" s="403">
        <f t="shared" si="32"/>
        <v>0</v>
      </c>
      <c r="M44" s="403">
        <f t="shared" si="32"/>
        <v>0</v>
      </c>
      <c r="N44" s="403">
        <f t="shared" si="32"/>
        <v>0</v>
      </c>
      <c r="O44" s="403">
        <f t="shared" si="32"/>
        <v>0</v>
      </c>
      <c r="P44" s="403">
        <f t="shared" si="32"/>
        <v>0</v>
      </c>
      <c r="Q44" s="403">
        <f t="shared" si="32"/>
        <v>0</v>
      </c>
      <c r="R44" s="403">
        <f t="shared" si="32"/>
        <v>0</v>
      </c>
      <c r="S44" s="295">
        <f t="shared" si="8"/>
        <v>0</v>
      </c>
      <c r="U44" s="276"/>
      <c r="V44" s="297">
        <f>12*' 3 AT Palkat, alv'!T60/'1. Calculation'!J33</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f t="shared" si="23"/>
        <v>26</v>
      </c>
      <c r="C45" s="1269" t="s">
        <v>441</v>
      </c>
      <c r="D45" s="1269"/>
      <c r="E45" s="1269"/>
      <c r="F45" s="1271"/>
      <c r="G45" s="403"/>
      <c r="H45" s="403"/>
      <c r="I45" s="403"/>
      <c r="J45" s="403"/>
      <c r="K45" s="403"/>
      <c r="L45" s="403">
        <f>$V45/2</f>
        <v>0</v>
      </c>
      <c r="M45" s="403"/>
      <c r="N45" s="403"/>
      <c r="O45" s="403">
        <v>0</v>
      </c>
      <c r="P45" s="403"/>
      <c r="Q45" s="403"/>
      <c r="R45" s="403">
        <f>$V45/2</f>
        <v>0</v>
      </c>
      <c r="S45" s="295">
        <f t="shared" si="8"/>
        <v>0</v>
      </c>
      <c r="U45" s="276"/>
      <c r="V45" s="297">
        <f>12*'1. Calculation'!J35/'1. Calculation'!J33</f>
        <v>0</v>
      </c>
      <c r="W45" s="305"/>
      <c r="X45" s="305"/>
    </row>
    <row r="46" spans="2:40" ht="12.6" customHeight="1" x14ac:dyDescent="0.2">
      <c r="B46" s="641">
        <f t="shared" si="23"/>
        <v>27</v>
      </c>
      <c r="C46" s="1269" t="s">
        <v>442</v>
      </c>
      <c r="D46" s="1269"/>
      <c r="E46" s="1269"/>
      <c r="F46" s="1271"/>
      <c r="G46" s="403">
        <f>(V46/12)</f>
        <v>0</v>
      </c>
      <c r="H46" s="403">
        <f>G46</f>
        <v>0</v>
      </c>
      <c r="I46" s="403">
        <f t="shared" ref="I46:R46" si="34">H46</f>
        <v>0</v>
      </c>
      <c r="J46" s="403">
        <f t="shared" si="34"/>
        <v>0</v>
      </c>
      <c r="K46" s="403">
        <f t="shared" si="34"/>
        <v>0</v>
      </c>
      <c r="L46" s="403">
        <f t="shared" si="34"/>
        <v>0</v>
      </c>
      <c r="M46" s="403">
        <f t="shared" si="34"/>
        <v>0</v>
      </c>
      <c r="N46" s="403">
        <f t="shared" si="34"/>
        <v>0</v>
      </c>
      <c r="O46" s="403">
        <f t="shared" si="34"/>
        <v>0</v>
      </c>
      <c r="P46" s="403">
        <f t="shared" si="34"/>
        <v>0</v>
      </c>
      <c r="Q46" s="403">
        <f t="shared" si="34"/>
        <v>0</v>
      </c>
      <c r="R46" s="403">
        <f t="shared" si="34"/>
        <v>0</v>
      </c>
      <c r="S46" s="295">
        <f t="shared" si="8"/>
        <v>0</v>
      </c>
      <c r="U46" s="276"/>
      <c r="V46" s="297">
        <f>IF('1. Calculation'!J207&lt;=0,0,'1. Calculation'!J207*20%)</f>
        <v>0</v>
      </c>
      <c r="W46" s="305"/>
      <c r="X46" s="305"/>
    </row>
    <row r="47" spans="2:40" ht="12.6" customHeight="1" x14ac:dyDescent="0.2">
      <c r="B47" s="641">
        <f t="shared" si="23"/>
        <v>28</v>
      </c>
      <c r="C47" s="1269" t="s">
        <v>443</v>
      </c>
      <c r="D47" s="1269"/>
      <c r="E47" s="1269"/>
      <c r="F47" s="1271"/>
      <c r="G47" s="403">
        <f t="shared" ref="G47:R48" si="35">$V47/12</f>
        <v>0</v>
      </c>
      <c r="H47" s="403">
        <f t="shared" si="35"/>
        <v>0</v>
      </c>
      <c r="I47" s="403">
        <f t="shared" si="35"/>
        <v>0</v>
      </c>
      <c r="J47" s="403">
        <f t="shared" si="35"/>
        <v>0</v>
      </c>
      <c r="K47" s="403">
        <f t="shared" si="35"/>
        <v>0</v>
      </c>
      <c r="L47" s="403">
        <f t="shared" si="35"/>
        <v>0</v>
      </c>
      <c r="M47" s="403">
        <f t="shared" si="35"/>
        <v>0</v>
      </c>
      <c r="N47" s="403">
        <f t="shared" si="35"/>
        <v>0</v>
      </c>
      <c r="O47" s="403">
        <f t="shared" si="35"/>
        <v>0</v>
      </c>
      <c r="P47" s="403">
        <f t="shared" si="35"/>
        <v>0</v>
      </c>
      <c r="Q47" s="403">
        <f t="shared" si="35"/>
        <v>0</v>
      </c>
      <c r="R47" s="403">
        <f t="shared" si="35"/>
        <v>0</v>
      </c>
      <c r="S47" s="295">
        <f t="shared" si="8"/>
        <v>0</v>
      </c>
      <c r="U47" s="276"/>
      <c r="V47" s="297">
        <f>12*('1. Calculation'!J92+'1. Calculation'!J93)/'1. Calculation'!J33</f>
        <v>0</v>
      </c>
      <c r="W47" s="305"/>
      <c r="X47" s="305"/>
    </row>
    <row r="48" spans="2:40" ht="12.6" customHeight="1" x14ac:dyDescent="0.2">
      <c r="B48" s="641">
        <f t="shared" si="23"/>
        <v>29</v>
      </c>
      <c r="C48" s="1269" t="s">
        <v>444</v>
      </c>
      <c r="D48" s="1269"/>
      <c r="E48" s="1269"/>
      <c r="F48" s="1271"/>
      <c r="G48" s="403">
        <f t="shared" si="35"/>
        <v>0</v>
      </c>
      <c r="H48" s="403">
        <f t="shared" si="35"/>
        <v>0</v>
      </c>
      <c r="I48" s="403">
        <f t="shared" si="35"/>
        <v>0</v>
      </c>
      <c r="J48" s="403">
        <f t="shared" si="35"/>
        <v>0</v>
      </c>
      <c r="K48" s="403">
        <f t="shared" si="35"/>
        <v>0</v>
      </c>
      <c r="L48" s="403">
        <f t="shared" si="35"/>
        <v>0</v>
      </c>
      <c r="M48" s="403">
        <f t="shared" si="35"/>
        <v>0</v>
      </c>
      <c r="N48" s="403">
        <f t="shared" si="35"/>
        <v>0</v>
      </c>
      <c r="O48" s="403">
        <f t="shared" si="35"/>
        <v>0</v>
      </c>
      <c r="P48" s="403">
        <f t="shared" si="35"/>
        <v>0</v>
      </c>
      <c r="Q48" s="403">
        <f t="shared" si="35"/>
        <v>0</v>
      </c>
      <c r="R48" s="403">
        <f t="shared" si="35"/>
        <v>0</v>
      </c>
      <c r="S48" s="295">
        <f t="shared" si="8"/>
        <v>0</v>
      </c>
      <c r="U48" s="276"/>
      <c r="V48" s="592">
        <f>12*'1. Calculation'!J115/'1. Calculation'!J33</f>
        <v>0</v>
      </c>
      <c r="W48" s="305"/>
      <c r="X48" s="305">
        <v>0</v>
      </c>
    </row>
    <row r="49" spans="2:24" ht="12.6" customHeight="1" x14ac:dyDescent="0.2">
      <c r="B49" s="641">
        <f t="shared" si="23"/>
        <v>30</v>
      </c>
      <c r="C49" s="1269" t="s">
        <v>445</v>
      </c>
      <c r="D49" s="1269"/>
      <c r="E49" s="1269"/>
      <c r="F49" s="1271"/>
      <c r="G49" s="403"/>
      <c r="H49" s="403"/>
      <c r="I49" s="403"/>
      <c r="J49" s="403"/>
      <c r="K49" s="403"/>
      <c r="L49" s="403">
        <f>V49/2</f>
        <v>0</v>
      </c>
      <c r="M49" s="403"/>
      <c r="N49" s="403"/>
      <c r="O49" s="403">
        <v>0</v>
      </c>
      <c r="P49" s="403"/>
      <c r="Q49" s="403"/>
      <c r="R49" s="403">
        <f>V49/2</f>
        <v>0</v>
      </c>
      <c r="S49" s="295">
        <f t="shared" si="8"/>
        <v>0</v>
      </c>
      <c r="U49" s="276"/>
      <c r="V49" s="297">
        <f>12*('1. Calculation'!M10-'1. Calculation'!J36)/'1. Calculation'!J33</f>
        <v>0</v>
      </c>
      <c r="W49" s="305"/>
      <c r="X49" s="305"/>
    </row>
    <row r="50" spans="2:24" ht="12.6" customHeight="1" x14ac:dyDescent="0.2">
      <c r="B50" s="641">
        <f t="shared" si="23"/>
        <v>31</v>
      </c>
      <c r="C50" s="1269" t="s">
        <v>446</v>
      </c>
      <c r="D50" s="1270"/>
      <c r="E50" s="1270"/>
      <c r="F50" s="387"/>
      <c r="G50" s="403">
        <f t="shared" ref="G50:R50" si="36">$V50/12</f>
        <v>0</v>
      </c>
      <c r="H50" s="403">
        <f t="shared" si="36"/>
        <v>0</v>
      </c>
      <c r="I50" s="403">
        <f t="shared" si="36"/>
        <v>0</v>
      </c>
      <c r="J50" s="403">
        <f t="shared" si="36"/>
        <v>0</v>
      </c>
      <c r="K50" s="403">
        <f t="shared" si="36"/>
        <v>0</v>
      </c>
      <c r="L50" s="403">
        <f t="shared" si="36"/>
        <v>0</v>
      </c>
      <c r="M50" s="403">
        <f t="shared" si="36"/>
        <v>0</v>
      </c>
      <c r="N50" s="403">
        <f t="shared" si="36"/>
        <v>0</v>
      </c>
      <c r="O50" s="403">
        <f t="shared" si="36"/>
        <v>0</v>
      </c>
      <c r="P50" s="403">
        <f t="shared" si="36"/>
        <v>0</v>
      </c>
      <c r="Q50" s="403">
        <f t="shared" si="36"/>
        <v>0</v>
      </c>
      <c r="R50" s="403">
        <f t="shared" si="36"/>
        <v>0</v>
      </c>
      <c r="S50" s="295">
        <f t="shared" si="8"/>
        <v>0</v>
      </c>
      <c r="T50" s="210"/>
      <c r="U50" s="276"/>
      <c r="V50" s="297">
        <f>12*'1. Calculation'!J37/'1. Calculation'!J33</f>
        <v>0</v>
      </c>
      <c r="W50" s="305"/>
      <c r="X50" s="305"/>
    </row>
    <row r="51" spans="2:24" ht="12.6" customHeight="1" x14ac:dyDescent="0.2">
      <c r="B51" s="641">
        <f t="shared" si="23"/>
        <v>32</v>
      </c>
      <c r="C51" s="1269" t="s">
        <v>447</v>
      </c>
      <c r="D51" s="1269"/>
      <c r="E51" s="1269"/>
      <c r="F51" s="1271"/>
      <c r="G51" s="403">
        <f>V51</f>
        <v>0</v>
      </c>
      <c r="H51" s="403"/>
      <c r="I51" s="403"/>
      <c r="J51" s="403">
        <v>0</v>
      </c>
      <c r="K51" s="403"/>
      <c r="L51" s="403"/>
      <c r="M51" s="403"/>
      <c r="N51" s="403"/>
      <c r="O51" s="403"/>
      <c r="P51" s="403"/>
      <c r="Q51" s="403"/>
      <c r="R51" s="403"/>
      <c r="S51" s="295">
        <f>ROUND(SUM(G51:R51),0)</f>
        <v>0</v>
      </c>
      <c r="T51" s="606"/>
      <c r="U51" s="276"/>
      <c r="V51" s="369">
        <f>ROUND(('1. Calculation'!F11+'1. Calculation'!F12+'1. Calculation'!F18+'1. Calculation'!F20+'1. Calculation'!F24),0)</f>
        <v>0</v>
      </c>
      <c r="W51" s="305"/>
      <c r="X51" s="305"/>
    </row>
    <row r="52" spans="2:24" ht="12.6" customHeight="1" thickBot="1" x14ac:dyDescent="0.25">
      <c r="B52" s="641">
        <f t="shared" si="23"/>
        <v>33</v>
      </c>
      <c r="C52" s="1273" t="s">
        <v>448</v>
      </c>
      <c r="D52" s="1273"/>
      <c r="E52" s="1273"/>
      <c r="F52" s="1274"/>
      <c r="G52" s="414">
        <v>0</v>
      </c>
      <c r="H52" s="414"/>
      <c r="I52" s="414"/>
      <c r="J52" s="414"/>
      <c r="K52" s="414"/>
      <c r="L52" s="414">
        <v>0</v>
      </c>
      <c r="M52" s="414"/>
      <c r="N52" s="414"/>
      <c r="O52" s="414"/>
      <c r="P52" s="414">
        <v>0</v>
      </c>
      <c r="Q52" s="414"/>
      <c r="R52" s="414"/>
      <c r="S52" s="295">
        <f t="shared" si="8"/>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c r="C55" s="1263" t="s">
        <v>450</v>
      </c>
      <c r="D55" s="1264"/>
      <c r="E55" s="1264"/>
      <c r="F55" s="1264"/>
      <c r="G55" s="304">
        <f>G16-G53</f>
        <v>0</v>
      </c>
      <c r="H55" s="304">
        <f t="shared" ref="H55:R55" si="38">H16-H53</f>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c r="C56" s="1263" t="s">
        <v>451</v>
      </c>
      <c r="D56" s="1264"/>
      <c r="E56" s="1264"/>
      <c r="F56" s="1264"/>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Business Kemijärvi</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CiP6ceMpAD6iCWxY1LWnIaTzwa+E3MEvLXfHE/uodNkVwBTLhdIY4mnhDloH5iVlqTEyyMp6FCjwL3k56pwwzw==" saltValue="6Y1bQS3uh+BxioGYr79hhA==" spinCount="100000" sheet="1" objects="1" scenarios="1" selectLockedCells="1"/>
  <mergeCells count="49">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35:E35"/>
    <mergeCell ref="C37:E37"/>
    <mergeCell ref="C53:E53"/>
    <mergeCell ref="C45:F45"/>
    <mergeCell ref="C43:E43"/>
    <mergeCell ref="C44:F44"/>
    <mergeCell ref="C52:F52"/>
    <mergeCell ref="B19:B20"/>
    <mergeCell ref="C55:F55"/>
    <mergeCell ref="C56:F56"/>
    <mergeCell ref="S55:S56"/>
    <mergeCell ref="B5:E6"/>
    <mergeCell ref="C41:E41"/>
    <mergeCell ref="C30:E30"/>
    <mergeCell ref="C31:E31"/>
    <mergeCell ref="C32:E32"/>
    <mergeCell ref="C33:E33"/>
    <mergeCell ref="C22:E22"/>
    <mergeCell ref="C23:E23"/>
    <mergeCell ref="C50:E50"/>
    <mergeCell ref="C51:F51"/>
    <mergeCell ref="C21:E21"/>
    <mergeCell ref="C49:F4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7" customHeight="1" x14ac:dyDescent="0.2">
      <c r="K1" s="1130"/>
      <c r="L1" s="1130"/>
      <c r="M1" s="1130"/>
    </row>
    <row r="2" spans="2:24" ht="21"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293" t="str">
        <f>'Front page'!E40</f>
        <v>Business Kemijärvi</v>
      </c>
      <c r="K4" s="1293"/>
      <c r="L4" s="1293"/>
      <c r="M4" s="1293"/>
      <c r="R4" s="249"/>
    </row>
    <row r="5" spans="2:24" ht="13.35" customHeight="1" x14ac:dyDescent="0.2">
      <c r="B5" s="1235"/>
      <c r="C5" s="1292"/>
      <c r="D5" s="1292"/>
      <c r="E5" s="1292"/>
      <c r="F5" s="282"/>
      <c r="G5" s="282"/>
      <c r="H5" s="769">
        <v>0</v>
      </c>
      <c r="J5" s="1293"/>
      <c r="K5" s="1293"/>
      <c r="L5" s="1293"/>
      <c r="M5" s="1293"/>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304"/>
      <c r="D7" s="1304"/>
      <c r="E7" s="1304"/>
      <c r="F7" s="24"/>
      <c r="G7" s="24"/>
      <c r="H7" s="1304">
        <v>0</v>
      </c>
      <c r="I7" s="1304"/>
      <c r="J7" s="1304"/>
      <c r="K7" s="1304"/>
      <c r="L7" s="1304"/>
      <c r="M7" s="130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305" t="s">
        <v>298</v>
      </c>
      <c r="G9" s="1306"/>
      <c r="H9" s="1307" t="s">
        <v>299</v>
      </c>
      <c r="I9" s="1308"/>
      <c r="J9" s="1308"/>
      <c r="K9" s="1308"/>
      <c r="L9" s="1309"/>
      <c r="M9" s="551" t="s">
        <v>298</v>
      </c>
      <c r="O9" s="704" t="s">
        <v>388</v>
      </c>
      <c r="P9" s="611"/>
      <c r="Q9" s="611"/>
      <c r="R9" s="611"/>
      <c r="S9" s="611"/>
      <c r="T9" s="611"/>
      <c r="U9" s="611"/>
      <c r="V9" s="611"/>
      <c r="W9" s="611"/>
      <c r="X9" s="612"/>
    </row>
    <row r="10" spans="2:24" ht="15" customHeight="1" x14ac:dyDescent="0.2">
      <c r="C10" s="1294" t="s">
        <v>301</v>
      </c>
      <c r="D10" s="1201"/>
      <c r="E10" s="479" t="s">
        <v>303</v>
      </c>
      <c r="F10" s="1105">
        <f>F11+F12+F13</f>
        <v>0</v>
      </c>
      <c r="G10" s="1105"/>
      <c r="H10" s="1294" t="s">
        <v>494</v>
      </c>
      <c r="I10" s="1200"/>
      <c r="J10" s="1200"/>
      <c r="K10" s="1295"/>
      <c r="L10" s="1296"/>
      <c r="M10" s="484">
        <f>SUM(M12:M14)</f>
        <v>0</v>
      </c>
      <c r="O10" s="688"/>
      <c r="P10" s="686"/>
      <c r="Q10" s="686"/>
      <c r="R10" s="686"/>
      <c r="S10" s="686"/>
      <c r="T10" s="686"/>
      <c r="U10" s="686"/>
      <c r="V10" s="686"/>
      <c r="W10" s="686"/>
      <c r="X10" s="687"/>
    </row>
    <row r="11" spans="2:24" ht="15" customHeight="1" x14ac:dyDescent="0.2">
      <c r="C11" s="1297" t="s">
        <v>568</v>
      </c>
      <c r="D11" s="1298"/>
      <c r="E11" s="770">
        <v>0</v>
      </c>
      <c r="F11" s="1299">
        <v>0</v>
      </c>
      <c r="G11" s="1299"/>
      <c r="H11" s="1300" t="s">
        <v>457</v>
      </c>
      <c r="I11" s="1301"/>
      <c r="J11" s="564" t="s">
        <v>309</v>
      </c>
      <c r="K11" s="1302" t="s">
        <v>310</v>
      </c>
      <c r="L11" s="1303"/>
      <c r="M11" s="485" t="s">
        <v>311</v>
      </c>
      <c r="O11" s="688"/>
      <c r="P11" s="686"/>
      <c r="Q11" s="686"/>
      <c r="R11" s="686"/>
      <c r="S11" s="686"/>
      <c r="T11" s="686"/>
      <c r="U11" s="686"/>
      <c r="V11" s="686"/>
      <c r="W11" s="686"/>
      <c r="X11" s="687"/>
    </row>
    <row r="12" spans="2:24" ht="15" customHeight="1" x14ac:dyDescent="0.2">
      <c r="C12" s="1315" t="s">
        <v>559</v>
      </c>
      <c r="D12" s="1316"/>
      <c r="E12" s="770">
        <v>0</v>
      </c>
      <c r="F12" s="1299">
        <v>0</v>
      </c>
      <c r="G12" s="1299"/>
      <c r="H12" s="1312" t="s">
        <v>452</v>
      </c>
      <c r="I12" s="1312"/>
      <c r="J12" s="773">
        <v>0</v>
      </c>
      <c r="K12" s="774">
        <v>0</v>
      </c>
      <c r="L12" s="775">
        <v>0</v>
      </c>
      <c r="M12" s="776">
        <v>0</v>
      </c>
      <c r="O12" s="688"/>
      <c r="P12" s="686"/>
      <c r="Q12" s="686"/>
      <c r="R12" s="686"/>
      <c r="S12" s="686"/>
      <c r="T12" s="686"/>
      <c r="U12" s="686"/>
      <c r="V12" s="686"/>
      <c r="W12" s="686"/>
      <c r="X12" s="687"/>
    </row>
    <row r="13" spans="2:24" ht="15" customHeight="1" x14ac:dyDescent="0.2">
      <c r="C13" s="1317"/>
      <c r="D13" s="1318"/>
      <c r="E13" s="762">
        <v>0</v>
      </c>
      <c r="F13" s="1319">
        <v>0</v>
      </c>
      <c r="G13" s="1319"/>
      <c r="H13" s="1320"/>
      <c r="I13" s="1321"/>
      <c r="J13" s="770">
        <v>0</v>
      </c>
      <c r="K13" s="777">
        <v>0</v>
      </c>
      <c r="L13" s="778">
        <v>0</v>
      </c>
      <c r="M13" s="771">
        <v>0</v>
      </c>
      <c r="O13" s="688"/>
      <c r="P13" s="686"/>
      <c r="Q13" s="686"/>
      <c r="R13" s="686"/>
      <c r="S13" s="686"/>
      <c r="T13" s="686"/>
      <c r="U13" s="686"/>
      <c r="V13" s="686"/>
      <c r="W13" s="686"/>
      <c r="X13" s="687"/>
    </row>
    <row r="14" spans="2:24" ht="15" customHeight="1" x14ac:dyDescent="0.2">
      <c r="C14" s="1310" t="s">
        <v>302</v>
      </c>
      <c r="D14" s="1311"/>
      <c r="E14" s="479" t="s">
        <v>303</v>
      </c>
      <c r="F14" s="1105">
        <f>SUM(F15:F20)</f>
        <v>0</v>
      </c>
      <c r="G14" s="1105"/>
      <c r="H14" s="1312"/>
      <c r="I14" s="1312"/>
      <c r="J14" s="770">
        <v>0</v>
      </c>
      <c r="K14" s="777">
        <v>0</v>
      </c>
      <c r="L14" s="778">
        <v>0</v>
      </c>
      <c r="M14" s="771">
        <v>0</v>
      </c>
      <c r="O14" s="688"/>
      <c r="P14" s="686"/>
      <c r="Q14" s="686"/>
      <c r="R14" s="686"/>
      <c r="S14" s="686"/>
      <c r="T14" s="686"/>
      <c r="U14" s="686"/>
      <c r="V14" s="686"/>
      <c r="W14" s="686"/>
      <c r="X14" s="687"/>
    </row>
    <row r="15" spans="2:24" ht="15" customHeight="1" x14ac:dyDescent="0.2">
      <c r="C15" s="1313">
        <v>0</v>
      </c>
      <c r="D15" s="1314"/>
      <c r="E15" s="770">
        <v>0</v>
      </c>
      <c r="F15" s="1299">
        <v>0</v>
      </c>
      <c r="G15" s="1299"/>
      <c r="H15" s="1294" t="s">
        <v>312</v>
      </c>
      <c r="I15" s="1201"/>
      <c r="J15" s="770">
        <v>0</v>
      </c>
      <c r="K15" s="1329">
        <v>0</v>
      </c>
      <c r="L15" s="1329"/>
      <c r="M15" s="771">
        <v>0</v>
      </c>
      <c r="O15" s="688"/>
      <c r="P15" s="686"/>
      <c r="Q15" s="686"/>
      <c r="R15" s="686"/>
      <c r="S15" s="686"/>
      <c r="T15" s="686"/>
      <c r="U15" s="686"/>
      <c r="V15" s="686"/>
      <c r="W15" s="686"/>
      <c r="X15" s="687"/>
    </row>
    <row r="16" spans="2:24" ht="15" customHeight="1" x14ac:dyDescent="0.2">
      <c r="C16" s="1320">
        <v>0</v>
      </c>
      <c r="D16" s="1330"/>
      <c r="E16" s="770">
        <v>0</v>
      </c>
      <c r="F16" s="1299">
        <v>0</v>
      </c>
      <c r="G16" s="1299"/>
      <c r="H16" s="1294" t="s">
        <v>313</v>
      </c>
      <c r="I16" s="1201"/>
      <c r="J16" s="770">
        <v>0</v>
      </c>
      <c r="K16" s="1329">
        <v>0</v>
      </c>
      <c r="L16" s="1329"/>
      <c r="M16" s="771">
        <v>0</v>
      </c>
      <c r="O16" s="688"/>
      <c r="P16" s="686"/>
      <c r="Q16" s="686"/>
      <c r="R16" s="686"/>
      <c r="S16" s="686"/>
      <c r="T16" s="686"/>
      <c r="U16" s="686"/>
      <c r="V16" s="686"/>
      <c r="W16" s="686"/>
      <c r="X16" s="687"/>
    </row>
    <row r="17" spans="1:24" ht="15" customHeight="1" x14ac:dyDescent="0.2">
      <c r="C17" s="1331">
        <v>0</v>
      </c>
      <c r="D17" s="1332"/>
      <c r="E17" s="770">
        <v>0</v>
      </c>
      <c r="F17" s="1299">
        <v>0</v>
      </c>
      <c r="G17" s="1299"/>
      <c r="H17" s="1333" t="s">
        <v>314</v>
      </c>
      <c r="I17" s="1333"/>
      <c r="J17" s="1333"/>
      <c r="K17" s="1333"/>
      <c r="L17" s="1333"/>
      <c r="M17" s="482">
        <f>M20+M19+M18</f>
        <v>0</v>
      </c>
      <c r="O17" s="688"/>
      <c r="P17" s="686"/>
      <c r="Q17" s="686"/>
      <c r="R17" s="686"/>
      <c r="S17" s="686"/>
      <c r="T17" s="686"/>
      <c r="U17" s="686"/>
      <c r="V17" s="686"/>
      <c r="W17" s="686"/>
      <c r="X17" s="687"/>
    </row>
    <row r="18" spans="1:24" ht="15" customHeight="1" x14ac:dyDescent="0.2">
      <c r="C18" s="1334" t="s">
        <v>560</v>
      </c>
      <c r="D18" s="1335"/>
      <c r="E18" s="1336"/>
      <c r="F18" s="1299">
        <v>0</v>
      </c>
      <c r="G18" s="1299"/>
      <c r="H18" s="1322" t="s">
        <v>453</v>
      </c>
      <c r="I18" s="1322"/>
      <c r="J18" s="1322"/>
      <c r="K18" s="1322"/>
      <c r="L18" s="1322"/>
      <c r="M18" s="768">
        <f>IF('5 AT Lainat, avustukset ei alv '!E51&lt;0,0,'5 AT Lainat, avustukset ei alv '!E51)</f>
        <v>0</v>
      </c>
      <c r="O18" s="688"/>
      <c r="P18" s="686"/>
      <c r="Q18" s="686"/>
      <c r="R18" s="686"/>
      <c r="S18" s="686"/>
      <c r="T18" s="686"/>
      <c r="U18" s="686"/>
      <c r="V18" s="686"/>
      <c r="W18" s="686"/>
      <c r="X18" s="687"/>
    </row>
    <row r="19" spans="1:24" ht="15" customHeight="1" x14ac:dyDescent="0.2">
      <c r="C19" s="1323"/>
      <c r="D19" s="1324"/>
      <c r="E19" s="849"/>
      <c r="F19" s="1325"/>
      <c r="G19" s="1325"/>
      <c r="H19" s="1326" t="s">
        <v>454</v>
      </c>
      <c r="I19" s="1327"/>
      <c r="J19" s="1327"/>
      <c r="K19" s="1327"/>
      <c r="L19" s="1328"/>
      <c r="M19" s="771">
        <v>0</v>
      </c>
      <c r="O19" s="688"/>
      <c r="P19" s="686"/>
      <c r="Q19" s="686"/>
      <c r="R19" s="686"/>
      <c r="S19" s="686"/>
      <c r="T19" s="686"/>
      <c r="U19" s="686"/>
      <c r="V19" s="686"/>
      <c r="W19" s="686"/>
      <c r="X19" s="687"/>
    </row>
    <row r="20" spans="1:24" ht="15" customHeight="1" x14ac:dyDescent="0.2">
      <c r="C20" s="1344" t="s">
        <v>501</v>
      </c>
      <c r="D20" s="1345"/>
      <c r="E20" s="770">
        <v>0</v>
      </c>
      <c r="F20" s="1346">
        <v>0</v>
      </c>
      <c r="G20" s="1346"/>
      <c r="H20" s="1347"/>
      <c r="I20" s="1347"/>
      <c r="J20" s="1347"/>
      <c r="K20" s="1347"/>
      <c r="L20" s="1347"/>
      <c r="M20" s="771">
        <v>0</v>
      </c>
      <c r="O20" s="688"/>
      <c r="P20" s="686"/>
      <c r="Q20" s="686"/>
      <c r="R20" s="686"/>
      <c r="S20" s="686"/>
      <c r="T20" s="686"/>
      <c r="U20" s="686"/>
      <c r="V20" s="686"/>
      <c r="W20" s="686"/>
      <c r="X20" s="687"/>
    </row>
    <row r="21" spans="1:24" ht="15" customHeight="1" x14ac:dyDescent="0.2">
      <c r="C21" s="1333" t="s">
        <v>455</v>
      </c>
      <c r="D21" s="1333"/>
      <c r="E21" s="1333"/>
      <c r="F21" s="1105">
        <f>F22+F23</f>
        <v>0</v>
      </c>
      <c r="G21" s="1105"/>
      <c r="H21" s="1348" t="s">
        <v>315</v>
      </c>
      <c r="I21" s="1348"/>
      <c r="J21" s="1348"/>
      <c r="K21" s="1348"/>
      <c r="L21" s="1349"/>
      <c r="M21" s="848">
        <v>0</v>
      </c>
      <c r="O21" s="688"/>
      <c r="P21" s="686"/>
      <c r="Q21" s="686"/>
      <c r="R21" s="686"/>
      <c r="S21" s="686"/>
      <c r="T21" s="686"/>
      <c r="U21" s="686"/>
      <c r="V21" s="686"/>
      <c r="W21" s="686"/>
      <c r="X21" s="687"/>
    </row>
    <row r="22" spans="1:24" ht="15" customHeight="1" x14ac:dyDescent="0.2">
      <c r="C22" s="1313"/>
      <c r="D22" s="1314"/>
      <c r="E22" s="1337"/>
      <c r="F22" s="1338">
        <v>0</v>
      </c>
      <c r="G22" s="1339"/>
      <c r="H22" s="483" t="s">
        <v>316</v>
      </c>
      <c r="I22" s="483"/>
      <c r="J22" s="483"/>
      <c r="K22" s="1340"/>
      <c r="L22" s="1340"/>
      <c r="M22" s="447">
        <f>M23+M24+M25+M26</f>
        <v>0</v>
      </c>
      <c r="O22" s="688"/>
      <c r="P22" s="686"/>
      <c r="Q22" s="686"/>
      <c r="R22" s="686"/>
      <c r="S22" s="686"/>
      <c r="T22" s="686"/>
      <c r="U22" s="686"/>
      <c r="V22" s="686"/>
      <c r="W22" s="686"/>
      <c r="X22" s="687"/>
    </row>
    <row r="23" spans="1:24" ht="15" customHeight="1" x14ac:dyDescent="0.2">
      <c r="C23" s="1331"/>
      <c r="D23" s="1332"/>
      <c r="E23" s="1341"/>
      <c r="F23" s="1338">
        <v>0</v>
      </c>
      <c r="G23" s="1339"/>
      <c r="H23" s="1342" t="s">
        <v>504</v>
      </c>
      <c r="I23" s="1342"/>
      <c r="J23" s="1342"/>
      <c r="K23" s="1342"/>
      <c r="L23" s="1343"/>
      <c r="M23" s="771">
        <v>0</v>
      </c>
      <c r="O23" s="688"/>
      <c r="P23" s="686"/>
      <c r="Q23" s="686"/>
      <c r="R23" s="686"/>
      <c r="S23" s="686"/>
      <c r="T23" s="686"/>
      <c r="U23" s="686"/>
      <c r="V23" s="686"/>
      <c r="W23" s="686"/>
      <c r="X23" s="687"/>
    </row>
    <row r="24" spans="1:24" ht="15" customHeight="1" x14ac:dyDescent="0.2">
      <c r="C24" s="1350"/>
      <c r="D24" s="1350"/>
      <c r="E24" s="1350"/>
      <c r="F24" s="1351">
        <v>0</v>
      </c>
      <c r="G24" s="1351"/>
      <c r="H24" s="1327"/>
      <c r="I24" s="1327"/>
      <c r="J24" s="1327"/>
      <c r="K24" s="1327"/>
      <c r="L24" s="1328"/>
      <c r="M24" s="771">
        <v>0</v>
      </c>
      <c r="O24" s="688"/>
      <c r="P24" s="686"/>
      <c r="Q24" s="686"/>
      <c r="R24" s="686"/>
      <c r="S24" s="686"/>
      <c r="T24" s="686"/>
      <c r="U24" s="686"/>
      <c r="V24" s="686"/>
      <c r="W24" s="686"/>
      <c r="X24" s="687"/>
    </row>
    <row r="25" spans="1:24" ht="15" customHeight="1" x14ac:dyDescent="0.2">
      <c r="A25" s="1247"/>
      <c r="B25" s="1247"/>
      <c r="C25" s="1333" t="s">
        <v>456</v>
      </c>
      <c r="D25" s="1333"/>
      <c r="E25" s="1333"/>
      <c r="F25" s="1352">
        <v>0</v>
      </c>
      <c r="G25" s="1352"/>
      <c r="H25" s="1327" t="s">
        <v>0</v>
      </c>
      <c r="I25" s="1327"/>
      <c r="J25" s="1327"/>
      <c r="K25" s="1327"/>
      <c r="L25" s="1328"/>
      <c r="M25" s="771">
        <v>0</v>
      </c>
      <c r="O25" s="688"/>
      <c r="P25" s="686"/>
      <c r="Q25" s="686"/>
      <c r="R25" s="686"/>
      <c r="S25" s="686"/>
      <c r="T25" s="686"/>
      <c r="U25" s="686"/>
      <c r="V25" s="686"/>
      <c r="W25" s="686"/>
      <c r="X25" s="687"/>
    </row>
    <row r="26" spans="1:24" ht="15" customHeight="1" x14ac:dyDescent="0.2">
      <c r="A26" s="1247"/>
      <c r="B26" s="1247"/>
      <c r="C26" s="1333" t="s">
        <v>306</v>
      </c>
      <c r="D26" s="1333"/>
      <c r="E26" s="1333"/>
      <c r="F26" s="1352">
        <v>0</v>
      </c>
      <c r="G26" s="1352"/>
      <c r="H26" s="1353"/>
      <c r="I26" s="1354"/>
      <c r="J26" s="1354"/>
      <c r="K26" s="1354"/>
      <c r="L26" s="1355"/>
      <c r="M26" s="771">
        <v>0</v>
      </c>
      <c r="O26" s="688"/>
      <c r="P26" s="686"/>
      <c r="Q26" s="686"/>
      <c r="R26" s="686"/>
      <c r="S26" s="686"/>
      <c r="T26" s="686"/>
      <c r="U26" s="686"/>
      <c r="V26" s="686"/>
      <c r="W26" s="686"/>
      <c r="X26" s="687"/>
    </row>
    <row r="27" spans="1:24" ht="17.25" customHeight="1" x14ac:dyDescent="0.2">
      <c r="A27" s="1247"/>
      <c r="B27" s="1247"/>
      <c r="C27" s="256"/>
      <c r="D27" s="1182" t="s">
        <v>317</v>
      </c>
      <c r="E27" s="1182"/>
      <c r="F27" s="1362">
        <f>F10+F14+F21+F25+F26+F24</f>
        <v>0</v>
      </c>
      <c r="G27" s="1363"/>
      <c r="H27" s="1187"/>
      <c r="I27" s="1187"/>
      <c r="J27" s="1187"/>
      <c r="K27" s="1182" t="s">
        <v>317</v>
      </c>
      <c r="L27" s="1182"/>
      <c r="M27" s="480">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688"/>
      <c r="P28" s="686"/>
      <c r="Q28" s="686"/>
      <c r="R28" s="686"/>
      <c r="S28" s="686"/>
      <c r="T28" s="686"/>
      <c r="U28" s="686"/>
      <c r="V28" s="686"/>
      <c r="W28" s="686"/>
      <c r="X28" s="687"/>
    </row>
    <row r="29" spans="1:24" ht="13.5" customHeight="1" x14ac:dyDescent="0.2">
      <c r="A29" s="1247"/>
      <c r="B29" s="1247"/>
      <c r="C29" s="1113" t="s">
        <v>318</v>
      </c>
      <c r="D29" s="1113"/>
      <c r="E29" s="1113"/>
      <c r="F29" s="1252">
        <f>ROUND(F27-M27,0)</f>
        <v>0</v>
      </c>
      <c r="G29" s="1253"/>
      <c r="H29" s="1113" t="s">
        <v>319</v>
      </c>
      <c r="I29" s="1113"/>
      <c r="J29" s="1113"/>
      <c r="K29" s="1113"/>
      <c r="L29" s="1113"/>
      <c r="M29" s="480">
        <f>M17</f>
        <v>0</v>
      </c>
      <c r="N29" s="270"/>
      <c r="O29" s="688"/>
      <c r="P29" s="686"/>
      <c r="Q29" s="686"/>
      <c r="R29" s="686"/>
      <c r="S29" s="686"/>
      <c r="T29" s="686"/>
      <c r="U29" s="686"/>
      <c r="V29" s="686"/>
      <c r="W29" s="686"/>
      <c r="X29" s="687"/>
    </row>
    <row r="30" spans="1:24" ht="18"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458</v>
      </c>
      <c r="E31" s="1188"/>
      <c r="F31" s="1188"/>
      <c r="G31" s="1188"/>
      <c r="H31" s="1189"/>
      <c r="I31" s="1236" t="s">
        <v>321</v>
      </c>
      <c r="J31" s="1237"/>
      <c r="K31" s="1358" t="s">
        <v>322</v>
      </c>
      <c r="L31" s="1359"/>
      <c r="M31" s="1059"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73</v>
      </c>
      <c r="J32" s="779">
        <v>2027</v>
      </c>
      <c r="K32" s="1360">
        <f>J32+1</f>
        <v>2028</v>
      </c>
      <c r="L32" s="1361"/>
      <c r="M32" s="779">
        <f>K32+1</f>
        <v>2029</v>
      </c>
      <c r="O32" s="688"/>
      <c r="P32" s="686"/>
      <c r="Q32" s="686"/>
      <c r="R32" s="686"/>
      <c r="S32" s="686"/>
      <c r="T32" s="686"/>
      <c r="U32" s="686"/>
      <c r="V32" s="686"/>
      <c r="W32" s="686"/>
      <c r="X32" s="687"/>
    </row>
    <row r="33" spans="2:27" ht="13.5" customHeight="1" x14ac:dyDescent="0.2">
      <c r="B33" s="254"/>
      <c r="C33" s="1088" t="s">
        <v>320</v>
      </c>
      <c r="D33" s="1089" t="s">
        <v>325</v>
      </c>
      <c r="E33" s="1089"/>
      <c r="F33" s="292"/>
      <c r="G33" s="292"/>
      <c r="H33" s="288"/>
      <c r="I33" s="561"/>
      <c r="J33" s="915">
        <v>12</v>
      </c>
      <c r="K33" s="1183">
        <v>12</v>
      </c>
      <c r="L33" s="1184"/>
      <c r="M33" s="499">
        <v>12</v>
      </c>
      <c r="O33" s="688"/>
      <c r="P33" s="686"/>
      <c r="Q33" s="686"/>
      <c r="R33" s="686"/>
      <c r="S33" s="686"/>
      <c r="T33" s="686"/>
      <c r="U33" s="686"/>
      <c r="V33" s="686"/>
      <c r="W33" s="686"/>
      <c r="X33" s="687"/>
    </row>
    <row r="34" spans="2:27" s="2" customFormat="1" ht="12.75" customHeight="1" x14ac:dyDescent="0.2">
      <c r="B34" s="90"/>
      <c r="C34" s="505" t="s">
        <v>131</v>
      </c>
      <c r="D34" s="1370" t="s">
        <v>326</v>
      </c>
      <c r="E34" s="1370"/>
      <c r="F34" s="1370"/>
      <c r="G34" s="1370"/>
      <c r="H34" s="1371"/>
      <c r="I34" s="487">
        <f>J34/J$33</f>
        <v>0</v>
      </c>
      <c r="J34" s="490">
        <f>'5 AT Lainat, avustukset ei alv '!G27</f>
        <v>0</v>
      </c>
      <c r="K34" s="1372">
        <f>'5 AT Lainat, avustukset ei alv '!H27</f>
        <v>0</v>
      </c>
      <c r="L34" s="1373">
        <f>'5 AT Lainat, avustukset ei alv '!I27</f>
        <v>0</v>
      </c>
      <c r="M34" s="523">
        <f>'5 AT Lainat, avustukset ei alv '!I27</f>
        <v>0</v>
      </c>
      <c r="N34" s="264"/>
      <c r="O34" s="688"/>
      <c r="P34" s="686"/>
      <c r="Q34" s="686"/>
      <c r="R34" s="686"/>
      <c r="S34" s="686"/>
      <c r="T34" s="686"/>
      <c r="U34" s="686"/>
      <c r="V34" s="686"/>
      <c r="W34" s="686"/>
      <c r="X34" s="687"/>
    </row>
    <row r="35" spans="2:27" ht="12" customHeight="1" x14ac:dyDescent="0.2">
      <c r="B35" s="90"/>
      <c r="C35" s="506"/>
      <c r="D35" s="507" t="s">
        <v>558</v>
      </c>
      <c r="E35" s="507"/>
      <c r="F35" s="507"/>
      <c r="G35" s="507"/>
      <c r="H35" s="508"/>
      <c r="I35" s="488">
        <f>J35/J$33</f>
        <v>0</v>
      </c>
      <c r="J35" s="497">
        <f>'5 AT Lainat, avustukset ei alv '!G19</f>
        <v>0</v>
      </c>
      <c r="K35" s="1240">
        <f>'5 AT Lainat, avustukset ei alv '!H19</f>
        <v>0</v>
      </c>
      <c r="L35" s="1241">
        <f>'5 AT Lainat, avustukset ei alv '!I19</f>
        <v>0</v>
      </c>
      <c r="M35" s="795">
        <f>'5 AT Lainat, avustukset ei alv '!I19</f>
        <v>0</v>
      </c>
      <c r="O35" s="688"/>
      <c r="P35" s="686"/>
      <c r="Q35" s="686"/>
      <c r="R35" s="686"/>
      <c r="S35" s="686"/>
      <c r="T35" s="686"/>
      <c r="U35" s="686"/>
      <c r="V35" s="686"/>
      <c r="W35" s="686"/>
      <c r="X35" s="687"/>
    </row>
    <row r="36" spans="2:27" ht="12" customHeight="1" x14ac:dyDescent="0.2">
      <c r="B36" s="90"/>
      <c r="C36" s="509"/>
      <c r="D36" s="510" t="s">
        <v>557</v>
      </c>
      <c r="E36" s="510"/>
      <c r="F36" s="510"/>
      <c r="G36" s="510"/>
      <c r="H36" s="511"/>
      <c r="I36" s="488">
        <v>0</v>
      </c>
      <c r="J36" s="497">
        <f>'5 AT Lainat, avustukset ei alv '!S21</f>
        <v>0</v>
      </c>
      <c r="K36" s="1111">
        <f>'5 AT Lainat, avustukset ei alv '!Y21</f>
        <v>0</v>
      </c>
      <c r="L36" s="1112">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00">
        <f>'5 AT Lainat, avustukset ei alv '!AE21</f>
        <v>0</v>
      </c>
      <c r="N36" s="265"/>
      <c r="O36" s="688"/>
      <c r="P36" s="686"/>
      <c r="Q36" s="686"/>
      <c r="R36" s="686"/>
      <c r="S36" s="686"/>
      <c r="T36" s="686"/>
      <c r="U36" s="686"/>
      <c r="V36" s="686"/>
      <c r="W36" s="686"/>
      <c r="X36" s="687"/>
    </row>
    <row r="37" spans="2:27" s="2" customFormat="1" ht="12.75" customHeight="1" x14ac:dyDescent="0.2">
      <c r="B37" s="604" t="s">
        <v>68</v>
      </c>
      <c r="C37" s="462" t="s">
        <v>132</v>
      </c>
      <c r="D37" s="259" t="s">
        <v>327</v>
      </c>
      <c r="E37" s="259"/>
      <c r="F37" s="29"/>
      <c r="G37" s="29"/>
      <c r="H37" s="29"/>
      <c r="I37" s="487">
        <f>J37/J$33</f>
        <v>0</v>
      </c>
      <c r="J37" s="492">
        <f>IF($M16=0,0,-J33*PMT($J16/12,$K16*12,$M16)+J33*10)</f>
        <v>0</v>
      </c>
      <c r="K37" s="1096">
        <f>IF($M16=0,0,-K33*PMT($J16/12,$K16*12,$M16)+K33*10)</f>
        <v>0</v>
      </c>
      <c r="L37" s="1097">
        <f>IF($M16=0,0,-L33*PMT($J16/12,$K16*12,$M16)+L33*10)</f>
        <v>0</v>
      </c>
      <c r="M37" s="484">
        <f>IF($M16=0,0,-M33*PMT($J16/12,$K16*12,$M16)+M33*10)</f>
        <v>0</v>
      </c>
      <c r="O37" s="1356" t="s">
        <v>387</v>
      </c>
      <c r="P37" s="1357"/>
      <c r="Q37" s="686"/>
      <c r="R37" s="686"/>
      <c r="S37" s="686"/>
      <c r="T37" s="686"/>
      <c r="U37" s="686"/>
      <c r="V37" s="686"/>
      <c r="W37" s="686"/>
      <c r="X37" s="687"/>
    </row>
    <row r="38" spans="2:27" s="2" customFormat="1" ht="12.75" hidden="1" customHeight="1" x14ac:dyDescent="0.2">
      <c r="B38" s="253" t="s">
        <v>55</v>
      </c>
      <c r="C38" s="464" t="s">
        <v>133</v>
      </c>
      <c r="D38" s="1200" t="s">
        <v>328</v>
      </c>
      <c r="E38" s="1200"/>
      <c r="F38" s="1200"/>
      <c r="G38" s="1200"/>
      <c r="H38" s="1201"/>
      <c r="I38" s="487">
        <f>J38/J$33</f>
        <v>0</v>
      </c>
      <c r="J38" s="492">
        <f>J39*J41</f>
        <v>0</v>
      </c>
      <c r="K38" s="1096">
        <f>K39*K41</f>
        <v>0</v>
      </c>
      <c r="L38" s="1097"/>
      <c r="M38" s="484">
        <f>M39*M41</f>
        <v>0</v>
      </c>
      <c r="O38" s="855"/>
      <c r="P38" s="856"/>
      <c r="Q38" s="686"/>
      <c r="R38" s="686"/>
      <c r="S38" s="686"/>
      <c r="T38" s="686"/>
      <c r="U38" s="686"/>
      <c r="V38" s="686"/>
      <c r="W38" s="686"/>
      <c r="X38" s="687"/>
    </row>
    <row r="39" spans="2:27" s="2" customFormat="1" ht="12" hidden="1" customHeight="1" x14ac:dyDescent="0.2">
      <c r="B39" s="278"/>
      <c r="C39" s="862"/>
      <c r="D39" s="863" t="s">
        <v>329</v>
      </c>
      <c r="E39" s="863" t="s">
        <v>0</v>
      </c>
      <c r="F39" s="863"/>
      <c r="G39" s="863"/>
      <c r="H39" s="863"/>
      <c r="I39" s="850"/>
      <c r="J39" s="850"/>
      <c r="K39" s="1364"/>
      <c r="L39" s="1365"/>
      <c r="M39" s="851"/>
      <c r="N39" s="6"/>
      <c r="O39" s="857"/>
      <c r="P39" s="858"/>
      <c r="Q39" s="686"/>
      <c r="R39" s="686"/>
      <c r="S39" s="686"/>
      <c r="T39" s="686"/>
      <c r="U39" s="686"/>
      <c r="V39" s="686"/>
      <c r="W39" s="686"/>
      <c r="X39" s="687"/>
    </row>
    <row r="40" spans="2:27" s="2" customFormat="1" ht="12" hidden="1" customHeight="1" x14ac:dyDescent="0.2">
      <c r="B40" s="278"/>
      <c r="C40" s="864"/>
      <c r="D40" s="863" t="s">
        <v>330</v>
      </c>
      <c r="E40" s="863"/>
      <c r="F40" s="863"/>
      <c r="G40" s="863"/>
      <c r="H40" s="865"/>
      <c r="I40" s="850"/>
      <c r="J40" s="850"/>
      <c r="K40" s="1366"/>
      <c r="L40" s="1367"/>
      <c r="M40" s="851"/>
      <c r="N40" s="6"/>
      <c r="O40" s="859"/>
      <c r="P40" s="854"/>
      <c r="Q40" s="686"/>
      <c r="R40" s="686"/>
      <c r="S40" s="686"/>
      <c r="T40" s="686"/>
      <c r="U40" s="686"/>
      <c r="V40" s="686"/>
      <c r="W40" s="686"/>
      <c r="X40" s="687"/>
    </row>
    <row r="41" spans="2:27" s="2" customFormat="1" ht="12" hidden="1" customHeight="1" x14ac:dyDescent="0.2">
      <c r="B41" s="278"/>
      <c r="C41" s="866"/>
      <c r="D41" s="867" t="s">
        <v>331</v>
      </c>
      <c r="E41" s="867"/>
      <c r="F41" s="867"/>
      <c r="G41" s="867"/>
      <c r="H41" s="868"/>
      <c r="I41" s="850"/>
      <c r="J41" s="852"/>
      <c r="K41" s="1368"/>
      <c r="L41" s="1369"/>
      <c r="M41" s="853"/>
      <c r="N41" s="6"/>
      <c r="O41" s="860"/>
      <c r="P41" s="861"/>
      <c r="Q41" s="686"/>
      <c r="R41" s="686"/>
      <c r="S41" s="686"/>
      <c r="T41" s="686"/>
      <c r="U41" s="686"/>
      <c r="V41" s="686"/>
      <c r="W41" s="686"/>
      <c r="X41" s="687"/>
    </row>
    <row r="42" spans="2:27" s="2" customFormat="1" ht="12.75" customHeight="1" x14ac:dyDescent="0.2">
      <c r="B42" s="253" t="s">
        <v>55</v>
      </c>
      <c r="C42" s="464" t="s">
        <v>134</v>
      </c>
      <c r="D42" s="1200" t="s">
        <v>332</v>
      </c>
      <c r="E42" s="1200"/>
      <c r="F42" s="1200"/>
      <c r="G42" s="1200"/>
      <c r="H42" s="1201"/>
      <c r="I42" s="487">
        <f>J42/J$33</f>
        <v>0</v>
      </c>
      <c r="J42" s="492">
        <f>J43*J45</f>
        <v>0</v>
      </c>
      <c r="K42" s="1096">
        <f t="shared" ref="K42:L42" si="0">K43*K45+K44*K45*$Z45</f>
        <v>0</v>
      </c>
      <c r="L42" s="1097">
        <f t="shared" si="0"/>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516"/>
      <c r="D43" s="507" t="s">
        <v>556</v>
      </c>
      <c r="E43" s="507" t="s">
        <v>0</v>
      </c>
      <c r="F43" s="507"/>
      <c r="G43" s="507"/>
      <c r="H43" s="507"/>
      <c r="I43" s="488">
        <v>0</v>
      </c>
      <c r="J43" s="780">
        <v>0</v>
      </c>
      <c r="K43" s="1382">
        <f>J43*O43+J43</f>
        <v>0</v>
      </c>
      <c r="L43" s="1383">
        <f>K43 +K43*O43</f>
        <v>0</v>
      </c>
      <c r="M43" s="781">
        <f>K43+K43*P43</f>
        <v>0</v>
      </c>
      <c r="O43" s="770">
        <v>0.03</v>
      </c>
      <c r="P43" s="770">
        <v>0.03</v>
      </c>
      <c r="Q43" s="686"/>
      <c r="R43" s="686"/>
      <c r="S43" s="686"/>
      <c r="T43" s="686"/>
      <c r="U43" s="686"/>
      <c r="V43" s="686"/>
      <c r="W43" s="686"/>
      <c r="X43" s="687"/>
      <c r="Z43" s="80"/>
    </row>
    <row r="44" spans="2:27" s="2" customFormat="1" ht="12" customHeight="1" x14ac:dyDescent="0.2">
      <c r="B44" s="278"/>
      <c r="C44" s="506"/>
      <c r="D44" s="507" t="s">
        <v>555</v>
      </c>
      <c r="E44" s="507"/>
      <c r="F44" s="507"/>
      <c r="G44" s="507"/>
      <c r="H44" s="508"/>
      <c r="I44" s="488"/>
      <c r="J44" s="780">
        <v>0</v>
      </c>
      <c r="K44" s="1384">
        <f>J44</f>
        <v>0</v>
      </c>
      <c r="L44" s="1385"/>
      <c r="M44" s="781">
        <f>K44</f>
        <v>0</v>
      </c>
      <c r="O44" s="951"/>
      <c r="P44" s="952"/>
      <c r="Q44" s="686"/>
      <c r="R44" s="686"/>
      <c r="S44" s="686"/>
      <c r="T44" s="686"/>
      <c r="U44" s="686"/>
      <c r="V44" s="686"/>
      <c r="W44" s="686"/>
      <c r="X44" s="687"/>
      <c r="Z44" s="293"/>
      <c r="AA44" s="29"/>
    </row>
    <row r="45" spans="2:27" s="22" customFormat="1" ht="12" customHeight="1" x14ac:dyDescent="0.2">
      <c r="B45" s="90"/>
      <c r="C45" s="512"/>
      <c r="D45" s="513" t="s">
        <v>554</v>
      </c>
      <c r="E45" s="513"/>
      <c r="F45" s="513"/>
      <c r="G45" s="513"/>
      <c r="H45" s="514"/>
      <c r="I45" s="488">
        <v>0</v>
      </c>
      <c r="J45" s="782">
        <v>0</v>
      </c>
      <c r="K45" s="1386">
        <f>J45</f>
        <v>0</v>
      </c>
      <c r="L45" s="1387"/>
      <c r="M45" s="783">
        <f>K45</f>
        <v>0</v>
      </c>
      <c r="O45" s="951"/>
      <c r="P45" s="952"/>
      <c r="Q45" s="686"/>
      <c r="R45" s="686"/>
      <c r="S45" s="686"/>
      <c r="T45" s="686"/>
      <c r="U45" s="686"/>
      <c r="V45" s="686"/>
      <c r="W45" s="686"/>
      <c r="X45" s="687"/>
      <c r="Z45" s="80"/>
    </row>
    <row r="46" spans="2:27" s="2" customFormat="1" ht="12.75" customHeight="1" x14ac:dyDescent="0.2">
      <c r="B46" s="253" t="s">
        <v>55</v>
      </c>
      <c r="C46" s="464" t="s">
        <v>135</v>
      </c>
      <c r="D46" s="1201" t="s">
        <v>333</v>
      </c>
      <c r="E46" s="1333"/>
      <c r="F46" s="1388">
        <v>0.4</v>
      </c>
      <c r="G46" s="1388"/>
      <c r="H46" s="519" t="s">
        <v>0</v>
      </c>
      <c r="I46" s="487">
        <f>J46/J$33</f>
        <v>0</v>
      </c>
      <c r="J46" s="492">
        <f>$F46*(J42+J44*J45)</f>
        <v>0</v>
      </c>
      <c r="K46" s="1238">
        <f>$F46*(K42+K44*K33)</f>
        <v>0</v>
      </c>
      <c r="L46" s="1239"/>
      <c r="M46" s="484">
        <f>$F46*(M42+M44*M33)</f>
        <v>0</v>
      </c>
      <c r="O46" s="1374"/>
      <c r="P46" s="1375"/>
      <c r="Q46" s="686"/>
      <c r="R46" s="686"/>
      <c r="S46" s="686"/>
      <c r="T46" s="686"/>
      <c r="U46" s="686"/>
      <c r="V46" s="686"/>
      <c r="W46" s="686"/>
      <c r="X46" s="687"/>
    </row>
    <row r="47" spans="2:27" s="2" customFormat="1" ht="12.75" customHeight="1" x14ac:dyDescent="0.2">
      <c r="B47" s="253" t="s">
        <v>56</v>
      </c>
      <c r="C47" s="462" t="s">
        <v>136</v>
      </c>
      <c r="D47" s="1376" t="s">
        <v>334</v>
      </c>
      <c r="E47" s="1376"/>
      <c r="F47" s="1376"/>
      <c r="G47" s="1376"/>
      <c r="H47" s="1377"/>
      <c r="I47" s="487">
        <f>J47/J$33</f>
        <v>0</v>
      </c>
      <c r="J47" s="492">
        <f>J48*J49+J50+J51</f>
        <v>0</v>
      </c>
      <c r="K47" s="1096">
        <f t="shared" ref="K47:L47" si="1">K48*K49+K50+K51</f>
        <v>0</v>
      </c>
      <c r="L47" s="1097" t="e">
        <f t="shared" si="1"/>
        <v>#VALUE!</v>
      </c>
      <c r="M47" s="484">
        <f>M48*M49+M50+M51</f>
        <v>0</v>
      </c>
      <c r="O47" s="476">
        <f>K$32</f>
        <v>2028</v>
      </c>
      <c r="P47" s="476">
        <f>M$32</f>
        <v>2029</v>
      </c>
      <c r="Q47" s="686"/>
      <c r="R47" s="686"/>
      <c r="S47" s="686"/>
      <c r="T47" s="686"/>
      <c r="U47" s="686"/>
      <c r="V47" s="686"/>
      <c r="W47" s="686"/>
      <c r="X47" s="687"/>
    </row>
    <row r="48" spans="2:27" ht="12" customHeight="1" x14ac:dyDescent="0.2">
      <c r="B48" s="90" t="s">
        <v>0</v>
      </c>
      <c r="C48" s="505"/>
      <c r="D48" s="507" t="s">
        <v>553</v>
      </c>
      <c r="E48" s="507"/>
      <c r="F48" s="507"/>
      <c r="G48" s="507"/>
      <c r="H48" s="507"/>
      <c r="I48" s="488">
        <v>0</v>
      </c>
      <c r="J48" s="784">
        <v>0</v>
      </c>
      <c r="K48" s="1378">
        <f>J48+J48*O48</f>
        <v>0</v>
      </c>
      <c r="L48" s="1379">
        <f>K48 +K48*O48</f>
        <v>0</v>
      </c>
      <c r="M48" s="785">
        <f>K48+K48*P48</f>
        <v>0</v>
      </c>
      <c r="O48" s="773">
        <v>0.03</v>
      </c>
      <c r="P48" s="773">
        <f>O48</f>
        <v>0.03</v>
      </c>
      <c r="Q48" s="686"/>
      <c r="R48" s="686"/>
      <c r="S48" s="686"/>
      <c r="T48" s="686"/>
      <c r="U48" s="686"/>
      <c r="V48" s="686"/>
      <c r="W48" s="686"/>
      <c r="X48" s="687"/>
    </row>
    <row r="49" spans="2:24" ht="12" customHeight="1" x14ac:dyDescent="0.2">
      <c r="B49" s="90"/>
      <c r="C49" s="506"/>
      <c r="D49" s="507" t="s">
        <v>552</v>
      </c>
      <c r="E49" s="507"/>
      <c r="F49" s="507"/>
      <c r="G49" s="507"/>
      <c r="H49" s="508"/>
      <c r="I49" s="488">
        <v>0</v>
      </c>
      <c r="J49" s="786">
        <v>0.1903</v>
      </c>
      <c r="K49" s="1380">
        <f>J49</f>
        <v>0.1903</v>
      </c>
      <c r="L49" s="1381"/>
      <c r="M49" s="787">
        <f>K49</f>
        <v>0.1903</v>
      </c>
      <c r="O49" s="955"/>
      <c r="P49" s="956"/>
      <c r="Q49" s="686"/>
      <c r="R49" s="686"/>
      <c r="S49" s="686"/>
      <c r="T49" s="686"/>
      <c r="U49" s="686"/>
      <c r="V49" s="686"/>
      <c r="W49" s="686"/>
      <c r="X49" s="687"/>
    </row>
    <row r="50" spans="2:24" ht="12" customHeight="1" x14ac:dyDescent="0.2">
      <c r="B50" s="90"/>
      <c r="C50" s="509"/>
      <c r="D50" s="510" t="s">
        <v>551</v>
      </c>
      <c r="E50" s="510"/>
      <c r="F50" s="510"/>
      <c r="G50" s="510"/>
      <c r="H50" s="511"/>
      <c r="I50" s="489">
        <v>0</v>
      </c>
      <c r="J50" s="780">
        <v>0</v>
      </c>
      <c r="K50" s="1382">
        <f>J50</f>
        <v>0</v>
      </c>
      <c r="L50" s="1383" t="e">
        <f>K50*12/K$11</f>
        <v>#VALUE!</v>
      </c>
      <c r="M50" s="781">
        <f>K50</f>
        <v>0</v>
      </c>
      <c r="O50" s="957"/>
      <c r="P50" s="958"/>
      <c r="Q50" s="686"/>
      <c r="R50" s="686"/>
      <c r="S50" s="686"/>
      <c r="T50" s="686"/>
      <c r="U50" s="686"/>
      <c r="V50" s="686"/>
      <c r="W50" s="686"/>
      <c r="X50" s="687"/>
    </row>
    <row r="51" spans="2:24" s="22" customFormat="1" ht="12" customHeight="1" x14ac:dyDescent="0.2">
      <c r="B51" s="90"/>
      <c r="C51" s="505"/>
      <c r="D51" s="507" t="s">
        <v>550</v>
      </c>
      <c r="E51" s="507"/>
      <c r="F51" s="1060"/>
      <c r="G51" s="1060"/>
      <c r="H51" s="507"/>
      <c r="I51" s="488">
        <v>0</v>
      </c>
      <c r="J51" s="497">
        <f>J33*((1.7%*J48+1.91%*(J38+J40*12))+0.008*$M10)/12</f>
        <v>0</v>
      </c>
      <c r="K51" s="1240">
        <f>K33*((1.7%*K48+1.91%*(K38+K40*12))+0.008*$M10)/12</f>
        <v>0</v>
      </c>
      <c r="L51" s="1241">
        <f t="shared" ref="L51" si="2">L33*((1.7%*L48+1.16%*(L38+L40*12))+0.008*$M10)/12</f>
        <v>0</v>
      </c>
      <c r="M51" s="500">
        <f>M33*((1.7%*M48+1.91%*(M38+M40*12))+0.008*$M10)/12</f>
        <v>0</v>
      </c>
      <c r="O51" s="959">
        <v>0</v>
      </c>
      <c r="P51" s="960">
        <v>0</v>
      </c>
      <c r="Q51" s="686"/>
      <c r="R51" s="686"/>
      <c r="S51" s="686"/>
      <c r="T51" s="686"/>
      <c r="U51" s="686"/>
      <c r="V51" s="686"/>
      <c r="W51" s="686"/>
      <c r="X51" s="687"/>
    </row>
    <row r="52" spans="2:24" s="2" customFormat="1" ht="12.75" customHeight="1" x14ac:dyDescent="0.2">
      <c r="B52" s="253" t="s">
        <v>69</v>
      </c>
      <c r="C52" s="464" t="s">
        <v>137</v>
      </c>
      <c r="D52" s="1200" t="s">
        <v>335</v>
      </c>
      <c r="E52" s="1200"/>
      <c r="F52" s="1389"/>
      <c r="G52" s="1389"/>
      <c r="H52" s="1201"/>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516"/>
      <c r="D53" s="557" t="s">
        <v>549</v>
      </c>
      <c r="E53" s="557"/>
      <c r="F53" s="1061"/>
      <c r="G53" s="1061"/>
      <c r="H53" s="557"/>
      <c r="I53" s="556">
        <v>0</v>
      </c>
      <c r="J53" s="788">
        <v>0</v>
      </c>
      <c r="K53" s="1390">
        <f>(J53+J53*O53)*12/J$33</f>
        <v>0</v>
      </c>
      <c r="L53" s="1391" t="e">
        <f>K53*12/K$11</f>
        <v>#VALUE!</v>
      </c>
      <c r="M53" s="781">
        <f>K53+K53*P53</f>
        <v>0</v>
      </c>
      <c r="O53" s="773">
        <v>0.03</v>
      </c>
      <c r="P53" s="773">
        <f>O53</f>
        <v>0.03</v>
      </c>
      <c r="Q53" s="686"/>
      <c r="R53" s="686"/>
      <c r="S53" s="686"/>
      <c r="T53" s="686"/>
      <c r="U53" s="686"/>
      <c r="V53" s="686"/>
      <c r="W53" s="686"/>
      <c r="X53" s="687"/>
    </row>
    <row r="54" spans="2:24" s="30" customFormat="1" ht="12" customHeight="1" x14ac:dyDescent="0.2">
      <c r="B54" s="90"/>
      <c r="C54" s="506"/>
      <c r="D54" s="507" t="s">
        <v>548</v>
      </c>
      <c r="E54" s="507"/>
      <c r="F54" s="507"/>
      <c r="G54" s="507"/>
      <c r="H54" s="508"/>
      <c r="I54" s="488">
        <v>0</v>
      </c>
      <c r="J54" s="780">
        <v>0</v>
      </c>
      <c r="K54" s="1382">
        <f>(J54+J54*O54)*12/J$33</f>
        <v>0</v>
      </c>
      <c r="L54" s="1383" t="e">
        <f>K54*12/K$11</f>
        <v>#VALUE!</v>
      </c>
      <c r="M54" s="781">
        <f>K54+K54*P54</f>
        <v>0</v>
      </c>
      <c r="O54" s="770">
        <v>0.03</v>
      </c>
      <c r="P54" s="770">
        <f>O54</f>
        <v>0.03</v>
      </c>
      <c r="Q54" s="686"/>
      <c r="R54" s="686"/>
      <c r="S54" s="686"/>
      <c r="T54" s="686"/>
      <c r="U54" s="686"/>
      <c r="V54" s="686"/>
      <c r="W54" s="686"/>
      <c r="X54" s="687"/>
    </row>
    <row r="55" spans="2:24" s="2" customFormat="1" ht="12.75" customHeight="1" x14ac:dyDescent="0.2">
      <c r="B55" s="253" t="s">
        <v>70</v>
      </c>
      <c r="C55" s="464" t="s">
        <v>138</v>
      </c>
      <c r="D55" s="1200" t="s">
        <v>336</v>
      </c>
      <c r="E55" s="1200"/>
      <c r="F55" s="1200"/>
      <c r="G55" s="1200"/>
      <c r="H55" s="1201"/>
      <c r="I55" s="487">
        <f t="shared" ref="I55" si="3">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505"/>
      <c r="D56" s="507" t="s">
        <v>547</v>
      </c>
      <c r="E56" s="507"/>
      <c r="F56" s="507"/>
      <c r="G56" s="507"/>
      <c r="H56" s="507"/>
      <c r="I56" s="488">
        <v>0</v>
      </c>
      <c r="J56" s="780">
        <v>0</v>
      </c>
      <c r="K56" s="1382">
        <f>(J56+J56*O56)*12/J$33</f>
        <v>0</v>
      </c>
      <c r="L56" s="1383" t="e">
        <f>K56*12/K$11</f>
        <v>#VALUE!</v>
      </c>
      <c r="M56" s="781">
        <f>K56+K56*P56</f>
        <v>0</v>
      </c>
      <c r="O56" s="770">
        <v>0.03</v>
      </c>
      <c r="P56" s="770">
        <f>O56</f>
        <v>0.03</v>
      </c>
      <c r="Q56" s="686"/>
      <c r="R56" s="686"/>
      <c r="S56" s="686"/>
      <c r="T56" s="686"/>
      <c r="U56" s="686"/>
      <c r="V56" s="686"/>
      <c r="W56" s="686"/>
      <c r="X56" s="687"/>
    </row>
    <row r="57" spans="2:24" s="22" customFormat="1" ht="12" customHeight="1" x14ac:dyDescent="0.2">
      <c r="B57" s="90"/>
      <c r="C57" s="506"/>
      <c r="D57" s="507" t="s">
        <v>546</v>
      </c>
      <c r="E57" s="507"/>
      <c r="F57" s="507"/>
      <c r="G57" s="507"/>
      <c r="H57" s="508"/>
      <c r="I57" s="488">
        <v>0</v>
      </c>
      <c r="J57" s="780">
        <v>0</v>
      </c>
      <c r="K57" s="1382">
        <f>(J57+J57*O57)*12/J$33</f>
        <v>0</v>
      </c>
      <c r="L57" s="1383" t="e">
        <f>K57*12/K$11</f>
        <v>#VALUE!</v>
      </c>
      <c r="M57" s="781">
        <f>K57+K57*P57</f>
        <v>0</v>
      </c>
      <c r="O57" s="770">
        <v>0.03</v>
      </c>
      <c r="P57" s="770">
        <f>O57</f>
        <v>0.03</v>
      </c>
      <c r="Q57" s="686"/>
      <c r="R57" s="686"/>
      <c r="S57" s="686"/>
      <c r="T57" s="686" t="s">
        <v>0</v>
      </c>
      <c r="U57" s="686"/>
      <c r="V57" s="686"/>
      <c r="W57" s="686"/>
      <c r="X57" s="687"/>
    </row>
    <row r="58" spans="2:24" s="22" customFormat="1" ht="12" customHeight="1" x14ac:dyDescent="0.2">
      <c r="B58" s="90"/>
      <c r="C58" s="512"/>
      <c r="D58" s="513" t="s">
        <v>545</v>
      </c>
      <c r="E58" s="513"/>
      <c r="F58" s="513"/>
      <c r="G58" s="513"/>
      <c r="H58" s="514"/>
      <c r="I58" s="488">
        <v>0</v>
      </c>
      <c r="J58" s="780">
        <v>0</v>
      </c>
      <c r="K58" s="1382">
        <f>(J58+J58*O58)*12/J$33</f>
        <v>0</v>
      </c>
      <c r="L58" s="1383" t="e">
        <f>K58*12/K$11</f>
        <v>#VALUE!</v>
      </c>
      <c r="M58" s="781">
        <f>K58+K58*P58</f>
        <v>0</v>
      </c>
      <c r="O58" s="770">
        <v>0.03</v>
      </c>
      <c r="P58" s="770">
        <f>O58</f>
        <v>0.03</v>
      </c>
      <c r="Q58" s="686"/>
      <c r="R58" s="686"/>
      <c r="S58" s="686"/>
      <c r="T58" s="686"/>
      <c r="U58" s="686"/>
      <c r="V58" s="686"/>
      <c r="W58" s="686"/>
      <c r="X58" s="687"/>
    </row>
    <row r="59" spans="2:24" s="2" customFormat="1" ht="12.75" customHeight="1" x14ac:dyDescent="0.2">
      <c r="B59" s="253" t="s">
        <v>57</v>
      </c>
      <c r="C59" s="464" t="s">
        <v>139</v>
      </c>
      <c r="D59" s="1200" t="s">
        <v>337</v>
      </c>
      <c r="E59" s="1200"/>
      <c r="F59" s="1200"/>
      <c r="G59" s="1200"/>
      <c r="H59" s="1201"/>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516"/>
      <c r="D60" s="507" t="s">
        <v>544</v>
      </c>
      <c r="E60" s="507"/>
      <c r="F60" s="507"/>
      <c r="G60" s="507"/>
      <c r="H60" s="507"/>
      <c r="I60" s="488">
        <v>0</v>
      </c>
      <c r="J60" s="497">
        <f>J62*J61</f>
        <v>0</v>
      </c>
      <c r="K60" s="1111">
        <f t="shared" ref="K60:L60" si="4">K62*K61</f>
        <v>0</v>
      </c>
      <c r="L60" s="1112">
        <f t="shared" si="4"/>
        <v>0</v>
      </c>
      <c r="M60" s="500">
        <f>M62*M61</f>
        <v>0</v>
      </c>
      <c r="O60" s="476">
        <f>K$32</f>
        <v>2028</v>
      </c>
      <c r="P60" s="476">
        <f>M$32</f>
        <v>2029</v>
      </c>
      <c r="Q60" s="686"/>
      <c r="R60" s="686"/>
      <c r="S60" s="686"/>
      <c r="T60" s="686"/>
      <c r="U60" s="686"/>
      <c r="V60" s="686"/>
      <c r="W60" s="686"/>
      <c r="X60" s="687"/>
    </row>
    <row r="61" spans="2:24" s="22" customFormat="1" ht="12" customHeight="1" x14ac:dyDescent="0.2">
      <c r="B61" s="90"/>
      <c r="C61" s="506"/>
      <c r="D61" s="507" t="s">
        <v>543</v>
      </c>
      <c r="E61" s="507"/>
      <c r="F61" s="507"/>
      <c r="G61" s="507"/>
      <c r="H61" s="508"/>
      <c r="I61" s="488">
        <f>J61</f>
        <v>0</v>
      </c>
      <c r="J61" s="780">
        <v>0</v>
      </c>
      <c r="K61" s="1382">
        <f>I61+I61*O61</f>
        <v>0</v>
      </c>
      <c r="L61" s="1383">
        <f t="shared" ref="L61" si="5">J61+J61*O61</f>
        <v>0</v>
      </c>
      <c r="M61" s="781">
        <f>K61+K61*P61</f>
        <v>0</v>
      </c>
      <c r="O61" s="773">
        <v>0.03</v>
      </c>
      <c r="P61" s="773">
        <f t="shared" ref="P61:P67" si="6">O61</f>
        <v>0.03</v>
      </c>
      <c r="Q61" s="686"/>
      <c r="R61" s="686"/>
      <c r="S61" s="686"/>
      <c r="T61" s="686"/>
      <c r="U61" s="686"/>
      <c r="V61" s="686"/>
      <c r="W61" s="686"/>
      <c r="X61" s="687"/>
    </row>
    <row r="62" spans="2:24" s="22" customFormat="1" ht="12" customHeight="1" x14ac:dyDescent="0.2">
      <c r="B62" s="90"/>
      <c r="C62" s="506"/>
      <c r="D62" s="507" t="s">
        <v>542</v>
      </c>
      <c r="E62" s="507"/>
      <c r="F62" s="507"/>
      <c r="G62" s="507"/>
      <c r="H62" s="508"/>
      <c r="I62" s="488">
        <v>0</v>
      </c>
      <c r="J62" s="780">
        <v>0</v>
      </c>
      <c r="K62" s="1382">
        <f>J62</f>
        <v>0</v>
      </c>
      <c r="L62" s="1383">
        <f>L33</f>
        <v>0</v>
      </c>
      <c r="M62" s="781">
        <f>K62</f>
        <v>0</v>
      </c>
      <c r="O62" s="671"/>
      <c r="P62" s="672"/>
      <c r="Q62" s="686"/>
      <c r="R62" s="686"/>
      <c r="S62" s="686"/>
      <c r="T62" s="686"/>
      <c r="U62" s="686"/>
      <c r="V62" s="686"/>
      <c r="W62" s="686"/>
      <c r="X62" s="687"/>
    </row>
    <row r="63" spans="2:24" s="22" customFormat="1" ht="12" customHeight="1" x14ac:dyDescent="0.2">
      <c r="B63" s="90"/>
      <c r="C63" s="552"/>
      <c r="D63" s="507" t="s">
        <v>541</v>
      </c>
      <c r="E63" s="507"/>
      <c r="F63" s="507"/>
      <c r="G63" s="507"/>
      <c r="H63" s="508"/>
      <c r="I63" s="488">
        <f t="shared" ref="I63:I70" si="7">J63/J$33</f>
        <v>0</v>
      </c>
      <c r="J63" s="780">
        <v>0</v>
      </c>
      <c r="K63" s="1382">
        <f t="shared" ref="K63:K68" si="8">(J63+J63*O63)*12/J$33</f>
        <v>0</v>
      </c>
      <c r="L63" s="1383" t="e">
        <f t="shared" ref="L63:L68" si="9">K63*12/K$11</f>
        <v>#VALUE!</v>
      </c>
      <c r="M63" s="781">
        <f t="shared" ref="M63:M70" si="10">K63+K63*P63</f>
        <v>0</v>
      </c>
      <c r="O63" s="770">
        <v>0.03</v>
      </c>
      <c r="P63" s="770">
        <f t="shared" si="6"/>
        <v>0.03</v>
      </c>
      <c r="Q63" s="686"/>
      <c r="R63" s="686"/>
      <c r="S63" s="686"/>
      <c r="T63" s="686"/>
      <c r="U63" s="686"/>
      <c r="V63" s="686"/>
      <c r="W63" s="686"/>
      <c r="X63" s="687"/>
    </row>
    <row r="64" spans="2:24" s="22" customFormat="1" ht="12" customHeight="1" x14ac:dyDescent="0.2">
      <c r="B64" s="90"/>
      <c r="C64" s="506"/>
      <c r="D64" s="507" t="s">
        <v>540</v>
      </c>
      <c r="E64" s="507"/>
      <c r="F64" s="507"/>
      <c r="G64" s="507"/>
      <c r="H64" s="508"/>
      <c r="I64" s="488">
        <f t="shared" si="7"/>
        <v>0</v>
      </c>
      <c r="J64" s="780">
        <v>0</v>
      </c>
      <c r="K64" s="1382">
        <f t="shared" si="8"/>
        <v>0</v>
      </c>
      <c r="L64" s="1383" t="e">
        <f t="shared" si="9"/>
        <v>#VALUE!</v>
      </c>
      <c r="M64" s="781">
        <f t="shared" si="10"/>
        <v>0</v>
      </c>
      <c r="O64" s="770">
        <v>0.03</v>
      </c>
      <c r="P64" s="770">
        <f t="shared" si="6"/>
        <v>0.03</v>
      </c>
      <c r="Q64" s="686"/>
      <c r="R64" s="686"/>
      <c r="S64" s="686"/>
      <c r="T64" s="686"/>
      <c r="U64" s="686"/>
      <c r="V64" s="686"/>
      <c r="W64" s="686"/>
      <c r="X64" s="687"/>
    </row>
    <row r="65" spans="1:24" s="22" customFormat="1" ht="12" customHeight="1" x14ac:dyDescent="0.2">
      <c r="B65" s="90"/>
      <c r="C65" s="506"/>
      <c r="D65" s="507" t="s">
        <v>539</v>
      </c>
      <c r="E65" s="507"/>
      <c r="F65" s="507"/>
      <c r="G65" s="507"/>
      <c r="H65" s="508"/>
      <c r="I65" s="488">
        <f t="shared" si="7"/>
        <v>0</v>
      </c>
      <c r="J65" s="780">
        <v>0</v>
      </c>
      <c r="K65" s="1382">
        <f t="shared" si="8"/>
        <v>0</v>
      </c>
      <c r="L65" s="1383" t="e">
        <f t="shared" si="9"/>
        <v>#VALUE!</v>
      </c>
      <c r="M65" s="781">
        <f t="shared" si="10"/>
        <v>0</v>
      </c>
      <c r="O65" s="770">
        <v>0.03</v>
      </c>
      <c r="P65" s="770">
        <f t="shared" si="6"/>
        <v>0.03</v>
      </c>
      <c r="Q65" s="686"/>
      <c r="R65" s="686"/>
      <c r="S65" s="686"/>
      <c r="T65" s="686"/>
      <c r="U65" s="686"/>
      <c r="V65" s="686"/>
      <c r="W65" s="686"/>
      <c r="X65" s="687"/>
    </row>
    <row r="66" spans="1:24" s="22" customFormat="1" ht="12" customHeight="1" x14ac:dyDescent="0.2">
      <c r="B66" s="90"/>
      <c r="C66" s="552"/>
      <c r="D66" s="507" t="s">
        <v>538</v>
      </c>
      <c r="E66" s="507"/>
      <c r="F66" s="507"/>
      <c r="G66" s="507"/>
      <c r="H66" s="508"/>
      <c r="I66" s="488">
        <f t="shared" si="7"/>
        <v>0</v>
      </c>
      <c r="J66" s="780">
        <v>0</v>
      </c>
      <c r="K66" s="1382">
        <f t="shared" si="8"/>
        <v>0</v>
      </c>
      <c r="L66" s="1383" t="e">
        <f t="shared" si="9"/>
        <v>#VALUE!</v>
      </c>
      <c r="M66" s="781">
        <f t="shared" si="10"/>
        <v>0</v>
      </c>
      <c r="O66" s="770">
        <v>0.03</v>
      </c>
      <c r="P66" s="770">
        <f t="shared" si="6"/>
        <v>0.03</v>
      </c>
      <c r="Q66" s="686"/>
      <c r="R66" s="686"/>
      <c r="S66" s="686"/>
      <c r="T66" s="686"/>
      <c r="U66" s="686"/>
      <c r="V66" s="686"/>
      <c r="W66" s="686"/>
      <c r="X66" s="687"/>
    </row>
    <row r="67" spans="1:24" s="22" customFormat="1" ht="12" customHeight="1" x14ac:dyDescent="0.2">
      <c r="B67" s="90"/>
      <c r="C67" s="506"/>
      <c r="D67" s="507" t="s">
        <v>537</v>
      </c>
      <c r="E67" s="507"/>
      <c r="F67" s="507"/>
      <c r="G67" s="507"/>
      <c r="H67" s="508"/>
      <c r="I67" s="488">
        <f t="shared" si="7"/>
        <v>0</v>
      </c>
      <c r="J67" s="780">
        <v>0</v>
      </c>
      <c r="K67" s="1382">
        <f t="shared" si="8"/>
        <v>0</v>
      </c>
      <c r="L67" s="1383" t="e">
        <f t="shared" si="9"/>
        <v>#VALUE!</v>
      </c>
      <c r="M67" s="781">
        <f t="shared" si="10"/>
        <v>0</v>
      </c>
      <c r="O67" s="770">
        <v>0.03</v>
      </c>
      <c r="P67" s="770">
        <f t="shared" si="6"/>
        <v>0.03</v>
      </c>
      <c r="Q67" s="686"/>
      <c r="R67" s="686"/>
      <c r="S67" s="686"/>
      <c r="T67" s="686"/>
      <c r="U67" s="686"/>
      <c r="V67" s="686"/>
      <c r="W67" s="686"/>
      <c r="X67" s="687"/>
    </row>
    <row r="68" spans="1:24" ht="12" customHeight="1" x14ac:dyDescent="0.2">
      <c r="A68" s="22"/>
      <c r="B68" s="90"/>
      <c r="C68" s="506"/>
      <c r="D68" s="507" t="s">
        <v>536</v>
      </c>
      <c r="E68" s="507"/>
      <c r="F68" s="507"/>
      <c r="G68" s="507"/>
      <c r="H68" s="508"/>
      <c r="I68" s="488">
        <f t="shared" si="7"/>
        <v>0</v>
      </c>
      <c r="J68" s="780">
        <v>0</v>
      </c>
      <c r="K68" s="1382">
        <f t="shared" si="8"/>
        <v>0</v>
      </c>
      <c r="L68" s="1383" t="e">
        <f t="shared" si="9"/>
        <v>#VALUE!</v>
      </c>
      <c r="M68" s="781">
        <f t="shared" si="10"/>
        <v>0</v>
      </c>
      <c r="O68" s="770">
        <v>0.03</v>
      </c>
      <c r="P68" s="770">
        <f>O68</f>
        <v>0.03</v>
      </c>
      <c r="Q68" s="686"/>
      <c r="R68" s="686"/>
      <c r="S68" s="686"/>
      <c r="T68" s="686"/>
      <c r="U68" s="686"/>
      <c r="V68" s="686"/>
      <c r="W68" s="686"/>
      <c r="X68" s="687"/>
    </row>
    <row r="69" spans="1:24" ht="12" customHeight="1" x14ac:dyDescent="0.2">
      <c r="B69" s="90"/>
      <c r="C69" s="552"/>
      <c r="D69" s="507" t="s">
        <v>535</v>
      </c>
      <c r="E69" s="507"/>
      <c r="F69" s="507"/>
      <c r="G69" s="507"/>
      <c r="H69" s="508"/>
      <c r="I69" s="488"/>
      <c r="J69" s="780">
        <v>0</v>
      </c>
      <c r="K69" s="1382">
        <f t="shared" ref="K69" si="11">J69+J69*O69</f>
        <v>0</v>
      </c>
      <c r="L69" s="1383">
        <f t="shared" ref="L69" si="12">K69 +K69*O69</f>
        <v>0</v>
      </c>
      <c r="M69" s="781">
        <f t="shared" si="10"/>
        <v>0</v>
      </c>
      <c r="O69" s="770">
        <v>0.03</v>
      </c>
      <c r="P69" s="770">
        <f>O69</f>
        <v>0.03</v>
      </c>
      <c r="Q69" s="688"/>
      <c r="R69" s="686"/>
      <c r="S69" s="686"/>
      <c r="T69" s="686"/>
      <c r="U69" s="686"/>
      <c r="V69" s="686"/>
      <c r="W69" s="686"/>
      <c r="X69" s="687"/>
    </row>
    <row r="70" spans="1:24" ht="12" customHeight="1" x14ac:dyDescent="0.2">
      <c r="B70" s="90"/>
      <c r="C70" s="509"/>
      <c r="D70" s="510" t="s">
        <v>534</v>
      </c>
      <c r="E70" s="510"/>
      <c r="F70" s="510"/>
      <c r="G70" s="510"/>
      <c r="H70" s="511"/>
      <c r="I70" s="488">
        <f t="shared" si="7"/>
        <v>0</v>
      </c>
      <c r="J70" s="780">
        <v>0</v>
      </c>
      <c r="K70" s="1382">
        <f>(J70+J70*O70)*12/J$33</f>
        <v>0</v>
      </c>
      <c r="L70" s="1383" t="e">
        <f>K70*12/K$11</f>
        <v>#VALUE!</v>
      </c>
      <c r="M70" s="781">
        <f t="shared" si="10"/>
        <v>0</v>
      </c>
      <c r="O70" s="770">
        <v>0.03</v>
      </c>
      <c r="P70" s="770">
        <f>O70</f>
        <v>0.03</v>
      </c>
      <c r="Q70" s="689"/>
      <c r="R70" s="689"/>
      <c r="S70" s="689"/>
      <c r="T70" s="689"/>
      <c r="U70" s="689"/>
      <c r="V70" s="689"/>
      <c r="W70" s="689"/>
      <c r="X70" s="690"/>
    </row>
    <row r="71" spans="1:24" ht="12.75" customHeight="1" x14ac:dyDescent="0.2">
      <c r="B71" s="1248" t="s">
        <v>293</v>
      </c>
      <c r="C71" s="549" t="s">
        <v>0</v>
      </c>
      <c r="D71" s="1164" t="str">
        <f>D31</f>
        <v>BUSINESS COSTS IN ACCOUNTING PERIOD INCL. VAT</v>
      </c>
      <c r="E71" s="1164"/>
      <c r="F71" s="1164"/>
      <c r="G71" s="1164"/>
      <c r="H71" s="1165"/>
      <c r="I71" s="1168" t="s">
        <v>126</v>
      </c>
      <c r="J71" s="1123"/>
      <c r="K71" s="1152" t="s">
        <v>127</v>
      </c>
      <c r="L71" s="1153"/>
      <c r="M71" s="545" t="s">
        <v>129</v>
      </c>
      <c r="N71" s="271"/>
      <c r="O71" s="961"/>
      <c r="P71" s="956"/>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
        <v>73</v>
      </c>
      <c r="J72" s="546">
        <f>J32</f>
        <v>2027</v>
      </c>
      <c r="K72" s="1169">
        <f>K32</f>
        <v>2028</v>
      </c>
      <c r="L72" s="1170"/>
      <c r="M72" s="546">
        <f>M32</f>
        <v>2029</v>
      </c>
      <c r="O72" s="951"/>
      <c r="P72" s="952"/>
      <c r="Q72" s="686"/>
      <c r="R72" s="686"/>
      <c r="S72" s="686"/>
      <c r="T72" s="686"/>
      <c r="U72" s="686"/>
      <c r="V72" s="686"/>
      <c r="W72" s="686"/>
      <c r="X72" s="687"/>
    </row>
    <row r="73" spans="1:24" ht="12.75" customHeight="1" x14ac:dyDescent="0.2">
      <c r="B73" s="254"/>
      <c r="C73" s="1088" t="s">
        <v>320</v>
      </c>
      <c r="D73" s="1089"/>
      <c r="E73" s="1089"/>
      <c r="F73" s="540"/>
      <c r="G73" s="540"/>
      <c r="H73" s="541"/>
      <c r="I73" s="521"/>
      <c r="J73" s="476">
        <f>J33</f>
        <v>12</v>
      </c>
      <c r="K73" s="1154">
        <f>K33</f>
        <v>12</v>
      </c>
      <c r="L73" s="1154"/>
      <c r="M73" s="476">
        <f>M33</f>
        <v>12</v>
      </c>
      <c r="O73" s="951"/>
      <c r="P73" s="952"/>
      <c r="Q73" s="686"/>
      <c r="R73" s="686"/>
      <c r="S73" s="686"/>
      <c r="T73" s="686"/>
      <c r="U73" s="686"/>
      <c r="V73" s="686"/>
      <c r="W73" s="686"/>
      <c r="X73" s="687"/>
    </row>
    <row r="74" spans="1:24" s="2" customFormat="1" ht="12.75" customHeight="1" x14ac:dyDescent="0.2">
      <c r="A74"/>
      <c r="B74" s="253" t="s">
        <v>58</v>
      </c>
      <c r="C74" s="464" t="s">
        <v>140</v>
      </c>
      <c r="D74" s="1200" t="s">
        <v>338</v>
      </c>
      <c r="E74" s="1200"/>
      <c r="F74" s="1200"/>
      <c r="G74" s="1201"/>
      <c r="H74" s="789">
        <v>0.3</v>
      </c>
      <c r="I74" s="447">
        <f t="shared" ref="I74:I86" si="13">J74/J$33</f>
        <v>0</v>
      </c>
      <c r="J74" s="447">
        <f>IF($M$15=0,0,'5 AT Lainat, avustukset ei alv '!G58)</f>
        <v>0</v>
      </c>
      <c r="K74" s="1105">
        <f>IF($M$15=0,0,'5 AT Lainat, avustukset ei alv '!G58)</f>
        <v>0</v>
      </c>
      <c r="L74" s="1105"/>
      <c r="M74" s="447">
        <f>IF($M$15=0,0,IF($K$15&gt;2,'5 AT Lainat, avustukset ei alv '!G58,0))</f>
        <v>0</v>
      </c>
      <c r="O74" s="962"/>
      <c r="P74" s="963"/>
      <c r="Q74" s="686"/>
      <c r="R74" s="686"/>
      <c r="S74" s="686"/>
      <c r="T74" s="686"/>
      <c r="U74" s="686"/>
      <c r="V74" s="686"/>
      <c r="W74" s="686"/>
      <c r="X74" s="687"/>
    </row>
    <row r="75" spans="1:24" s="2" customFormat="1" ht="12.75" customHeight="1" x14ac:dyDescent="0.2">
      <c r="B75" s="253" t="s">
        <v>59</v>
      </c>
      <c r="C75" s="464" t="s">
        <v>141</v>
      </c>
      <c r="D75" s="1200" t="s">
        <v>339</v>
      </c>
      <c r="E75" s="1200"/>
      <c r="F75" s="1200"/>
      <c r="G75" s="1200"/>
      <c r="H75" s="1200"/>
      <c r="I75" s="482">
        <f t="shared" si="13"/>
        <v>0</v>
      </c>
      <c r="J75" s="447">
        <f>J76*J77*J78+J79+J80+J82+J81</f>
        <v>0</v>
      </c>
      <c r="K75" s="1105">
        <f t="shared" ref="K75:L75" si="14">K76*K77*K78+K79+K80+K82+K81</f>
        <v>0</v>
      </c>
      <c r="L75" s="1105" t="e">
        <f t="shared" si="14"/>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291" t="s">
        <v>533</v>
      </c>
      <c r="E76" s="528"/>
      <c r="F76" s="528"/>
      <c r="G76" s="528"/>
      <c r="H76" s="528"/>
      <c r="I76" s="522">
        <f t="shared" si="13"/>
        <v>0</v>
      </c>
      <c r="J76" s="790">
        <v>0</v>
      </c>
      <c r="K76" s="1392">
        <f>(J76+J76*O76)*12/J$33</f>
        <v>0</v>
      </c>
      <c r="L76" s="1392" t="e">
        <f>K76*12/K$11</f>
        <v>#VALUE!</v>
      </c>
      <c r="M76" s="790">
        <f>K76+K76*P76</f>
        <v>0</v>
      </c>
      <c r="O76" s="770">
        <v>0</v>
      </c>
      <c r="P76" s="770">
        <f>O76</f>
        <v>0</v>
      </c>
      <c r="Q76" s="686"/>
      <c r="R76" s="686"/>
      <c r="S76" s="686"/>
      <c r="T76" s="686"/>
      <c r="U76" s="686"/>
      <c r="V76" s="686"/>
      <c r="W76" s="686"/>
      <c r="X76" s="687"/>
    </row>
    <row r="77" spans="1:24" s="2" customFormat="1" ht="12" customHeight="1" x14ac:dyDescent="0.2">
      <c r="B77" s="25"/>
      <c r="C77" s="533"/>
      <c r="D77" s="534" t="s">
        <v>532</v>
      </c>
      <c r="E77" s="535"/>
      <c r="F77" s="535"/>
      <c r="G77" s="535"/>
      <c r="H77" s="536"/>
      <c r="I77" s="522">
        <v>0</v>
      </c>
      <c r="J77" s="791">
        <v>0</v>
      </c>
      <c r="K77" s="1394">
        <f>J77</f>
        <v>0</v>
      </c>
      <c r="L77" s="1394"/>
      <c r="M77" s="791">
        <f>K77</f>
        <v>0</v>
      </c>
      <c r="O77" s="458">
        <f>K$32</f>
        <v>2028</v>
      </c>
      <c r="P77" s="458">
        <f>M$32</f>
        <v>2029</v>
      </c>
      <c r="Q77" s="686"/>
      <c r="R77" s="686"/>
      <c r="S77" s="686"/>
      <c r="T77" s="686"/>
      <c r="U77" s="686"/>
      <c r="V77" s="686"/>
      <c r="W77" s="686"/>
      <c r="X77" s="687"/>
    </row>
    <row r="78" spans="1:24" s="2" customFormat="1" ht="12" customHeight="1" x14ac:dyDescent="0.2">
      <c r="B78" s="25"/>
      <c r="C78" s="533"/>
      <c r="D78" s="534" t="s">
        <v>531</v>
      </c>
      <c r="E78" s="535"/>
      <c r="F78" s="535"/>
      <c r="G78" s="535"/>
      <c r="H78" s="536"/>
      <c r="I78" s="522">
        <v>0</v>
      </c>
      <c r="J78" s="791">
        <v>0</v>
      </c>
      <c r="K78" s="1394">
        <f t="shared" ref="K78" si="15">J78+J78*O78</f>
        <v>0</v>
      </c>
      <c r="L78" s="1394">
        <f t="shared" ref="L78" si="16">K78 +K78*O78</f>
        <v>0</v>
      </c>
      <c r="M78" s="791">
        <f>K78+K78*P78</f>
        <v>0</v>
      </c>
      <c r="O78" s="770">
        <v>0.03</v>
      </c>
      <c r="P78" s="770">
        <f>O78</f>
        <v>0.03</v>
      </c>
      <c r="Q78" s="686"/>
      <c r="R78" s="686"/>
      <c r="S78" s="686"/>
      <c r="T78" s="686"/>
      <c r="U78" s="686"/>
      <c r="V78" s="686"/>
      <c r="W78" s="686"/>
      <c r="X78" s="687"/>
    </row>
    <row r="79" spans="1:24" s="22" customFormat="1" ht="12" customHeight="1" x14ac:dyDescent="0.2">
      <c r="A79" s="2"/>
      <c r="B79" s="90"/>
      <c r="C79" s="537"/>
      <c r="D79" s="507" t="s">
        <v>530</v>
      </c>
      <c r="E79" s="538"/>
      <c r="F79" s="507"/>
      <c r="G79" s="507"/>
      <c r="H79" s="539"/>
      <c r="I79" s="522">
        <f t="shared" si="13"/>
        <v>0</v>
      </c>
      <c r="J79" s="790">
        <v>0</v>
      </c>
      <c r="K79" s="1392">
        <f>(J79+J79*O79)*12/J$33</f>
        <v>0</v>
      </c>
      <c r="L79" s="1392" t="e">
        <f>K79*12/K$11</f>
        <v>#VALUE!</v>
      </c>
      <c r="M79" s="790">
        <f>K79+K79*P79</f>
        <v>0</v>
      </c>
      <c r="O79" s="770">
        <v>0.03</v>
      </c>
      <c r="P79" s="770">
        <f>O79</f>
        <v>0.03</v>
      </c>
      <c r="Q79" s="686"/>
      <c r="R79" s="686"/>
      <c r="S79" s="686"/>
      <c r="T79" s="686"/>
      <c r="U79" s="686"/>
      <c r="V79" s="686"/>
      <c r="W79" s="686"/>
      <c r="X79" s="687"/>
    </row>
    <row r="80" spans="1:24" s="22" customFormat="1" ht="12" customHeight="1" x14ac:dyDescent="0.2">
      <c r="B80" s="90"/>
      <c r="C80" s="537"/>
      <c r="D80" s="507" t="s">
        <v>529</v>
      </c>
      <c r="E80" s="538"/>
      <c r="F80" s="507"/>
      <c r="G80" s="507"/>
      <c r="H80" s="539"/>
      <c r="I80" s="522">
        <f t="shared" si="13"/>
        <v>0</v>
      </c>
      <c r="J80" s="790">
        <v>0</v>
      </c>
      <c r="K80" s="1392">
        <f>(J80+J80*O80)*12/J$33</f>
        <v>0</v>
      </c>
      <c r="L80" s="1392" t="e">
        <f>K80*12/K$11</f>
        <v>#VALUE!</v>
      </c>
      <c r="M80" s="790">
        <f>K80+K80*P80</f>
        <v>0</v>
      </c>
      <c r="O80" s="770">
        <v>0.03</v>
      </c>
      <c r="P80" s="770">
        <f>O80</f>
        <v>0.03</v>
      </c>
      <c r="Q80" s="686"/>
      <c r="R80" s="686"/>
      <c r="S80" s="686"/>
      <c r="T80" s="686"/>
      <c r="U80" s="686"/>
      <c r="V80" s="686"/>
      <c r="W80" s="686"/>
      <c r="X80" s="687"/>
    </row>
    <row r="81" spans="1:24" s="22" customFormat="1" ht="12" customHeight="1" x14ac:dyDescent="0.2">
      <c r="B81" s="90"/>
      <c r="C81" s="537"/>
      <c r="D81" s="507" t="s">
        <v>528</v>
      </c>
      <c r="E81" s="538"/>
      <c r="F81" s="507"/>
      <c r="G81" s="507"/>
      <c r="H81" s="539"/>
      <c r="I81" s="522"/>
      <c r="J81" s="790">
        <v>0</v>
      </c>
      <c r="K81" s="1392">
        <f>(J81+J81*O81)*12/J$33</f>
        <v>0</v>
      </c>
      <c r="L81" s="1392" t="e">
        <f>K81*12/K$11</f>
        <v>#VALUE!</v>
      </c>
      <c r="M81" s="790">
        <f>K81+K81*P81</f>
        <v>0</v>
      </c>
      <c r="O81" s="770">
        <v>0.03</v>
      </c>
      <c r="P81" s="770">
        <f>O81</f>
        <v>0.03</v>
      </c>
      <c r="Q81" s="686"/>
      <c r="R81" s="686"/>
      <c r="S81" s="686"/>
      <c r="T81" s="686"/>
      <c r="U81" s="686"/>
      <c r="V81" s="686"/>
      <c r="W81" s="686"/>
      <c r="X81" s="687"/>
    </row>
    <row r="82" spans="1:24" s="22" customFormat="1" ht="12" customHeight="1" x14ac:dyDescent="0.2">
      <c r="B82" s="90"/>
      <c r="C82" s="529"/>
      <c r="D82" s="530" t="s">
        <v>527</v>
      </c>
      <c r="E82" s="531"/>
      <c r="F82" s="530"/>
      <c r="G82" s="530"/>
      <c r="H82" s="532"/>
      <c r="I82" s="522">
        <f t="shared" si="13"/>
        <v>0</v>
      </c>
      <c r="J82" s="790">
        <v>0</v>
      </c>
      <c r="K82" s="1392">
        <f>(J82+J82*O82)*12/J$33</f>
        <v>0</v>
      </c>
      <c r="L82" s="1392" t="e">
        <f>K82*12/K$11</f>
        <v>#VALUE!</v>
      </c>
      <c r="M82" s="790">
        <f>K82+K82*P82</f>
        <v>0</v>
      </c>
      <c r="O82" s="770">
        <v>0.03</v>
      </c>
      <c r="P82" s="770">
        <f>O82</f>
        <v>0.03</v>
      </c>
      <c r="Q82" s="686"/>
      <c r="R82" s="686"/>
      <c r="S82" s="686"/>
      <c r="T82" s="686"/>
      <c r="U82" s="686"/>
      <c r="V82" s="686"/>
      <c r="W82" s="686"/>
      <c r="X82" s="687"/>
    </row>
    <row r="83" spans="1:24" s="2" customFormat="1" ht="12.75" customHeight="1" x14ac:dyDescent="0.2">
      <c r="A83" s="22"/>
      <c r="B83" s="253" t="s">
        <v>60</v>
      </c>
      <c r="C83" s="462" t="s">
        <v>142</v>
      </c>
      <c r="D83" s="1376" t="s">
        <v>340</v>
      </c>
      <c r="E83" s="1376"/>
      <c r="F83" s="1376"/>
      <c r="G83" s="1376"/>
      <c r="H83" s="1376"/>
      <c r="I83" s="482">
        <f>J83/J$33</f>
        <v>0</v>
      </c>
      <c r="J83" s="523">
        <f>SUM(J84:J86)</f>
        <v>0</v>
      </c>
      <c r="K83" s="1163">
        <f t="shared" ref="K83:L83" si="17">SUM(K84:K86)</f>
        <v>0</v>
      </c>
      <c r="L83" s="1163" t="e">
        <f t="shared" si="17"/>
        <v>#VALUE!</v>
      </c>
      <c r="M83" s="523">
        <f>SUM(M84:M86)</f>
        <v>0</v>
      </c>
      <c r="O83" s="957"/>
      <c r="P83" s="958"/>
      <c r="Q83" s="686"/>
      <c r="R83" s="686"/>
      <c r="S83" s="686"/>
      <c r="T83" s="686"/>
      <c r="U83" s="686"/>
      <c r="V83" s="686"/>
      <c r="W83" s="686"/>
      <c r="X83" s="687"/>
    </row>
    <row r="84" spans="1:24" s="22" customFormat="1" ht="12" customHeight="1" x14ac:dyDescent="0.2">
      <c r="A84" s="2"/>
      <c r="B84" s="90"/>
      <c r="C84" s="505"/>
      <c r="D84" s="1101" t="s">
        <v>526</v>
      </c>
      <c r="E84" s="1101"/>
      <c r="F84" s="1101"/>
      <c r="G84" s="1101"/>
      <c r="H84" s="1393"/>
      <c r="I84" s="522">
        <f>J84/J$33</f>
        <v>0</v>
      </c>
      <c r="J84" s="790">
        <v>0</v>
      </c>
      <c r="K84" s="1392">
        <f>(J84+J84*O84)*12/J$33</f>
        <v>0</v>
      </c>
      <c r="L84" s="1392" t="e">
        <f>K84*12/K$11</f>
        <v>#VALUE!</v>
      </c>
      <c r="M84" s="790">
        <f>K84+K84*P84</f>
        <v>0</v>
      </c>
      <c r="O84" s="770">
        <v>0.03</v>
      </c>
      <c r="P84" s="770">
        <f>O84</f>
        <v>0.03</v>
      </c>
      <c r="Q84" s="686"/>
      <c r="R84" s="686"/>
      <c r="S84" s="686"/>
      <c r="T84" s="686"/>
      <c r="U84" s="686"/>
      <c r="V84" s="686"/>
      <c r="W84" s="686"/>
      <c r="X84" s="687"/>
    </row>
    <row r="85" spans="1:24" s="22" customFormat="1" ht="12" customHeight="1" x14ac:dyDescent="0.2">
      <c r="B85" s="90"/>
      <c r="C85" s="512"/>
      <c r="D85" s="513" t="s">
        <v>525</v>
      </c>
      <c r="E85" s="513"/>
      <c r="F85" s="513"/>
      <c r="G85" s="513"/>
      <c r="H85" s="1062"/>
      <c r="I85" s="522">
        <f t="shared" ref="I85" si="18">J85/J$33</f>
        <v>0</v>
      </c>
      <c r="J85" s="790">
        <v>0</v>
      </c>
      <c r="K85" s="1392">
        <f>(J85+J85*O85)*12/J$33</f>
        <v>0</v>
      </c>
      <c r="L85" s="1392" t="e">
        <f>K85*12/K$11</f>
        <v>#VALUE!</v>
      </c>
      <c r="M85" s="790">
        <f>K85+K85*P85</f>
        <v>0</v>
      </c>
      <c r="O85" s="770">
        <v>0.03</v>
      </c>
      <c r="P85" s="770">
        <f>O85</f>
        <v>0.03</v>
      </c>
      <c r="Q85" s="686"/>
      <c r="R85" s="686"/>
      <c r="S85" s="686"/>
      <c r="T85" s="686"/>
      <c r="U85" s="686"/>
      <c r="V85" s="686"/>
      <c r="W85" s="686"/>
      <c r="X85" s="687"/>
    </row>
    <row r="86" spans="1:24" s="22" customFormat="1" ht="12" customHeight="1" x14ac:dyDescent="0.2">
      <c r="B86" s="90"/>
      <c r="C86" s="512"/>
      <c r="D86" s="513" t="s">
        <v>524</v>
      </c>
      <c r="E86" s="513"/>
      <c r="F86" s="513"/>
      <c r="G86" s="513"/>
      <c r="H86" s="1062"/>
      <c r="I86" s="522">
        <f t="shared" si="13"/>
        <v>0</v>
      </c>
      <c r="J86" s="790">
        <v>0</v>
      </c>
      <c r="K86" s="1392">
        <f>(J86+J86*O86)*12/J$33</f>
        <v>0</v>
      </c>
      <c r="L86" s="1392" t="e">
        <f>K86*12/K$11</f>
        <v>#VALUE!</v>
      </c>
      <c r="M86" s="790">
        <f>K86+K86*P86</f>
        <v>0</v>
      </c>
      <c r="O86" s="770">
        <v>0.03</v>
      </c>
      <c r="P86" s="770">
        <f>O86</f>
        <v>0.03</v>
      </c>
      <c r="Q86" s="686"/>
      <c r="R86" s="686"/>
      <c r="S86" s="686"/>
      <c r="T86" s="686"/>
      <c r="U86" s="686"/>
      <c r="V86" s="686"/>
      <c r="W86" s="686"/>
      <c r="X86" s="687"/>
    </row>
    <row r="87" spans="1:24" s="2" customFormat="1" ht="12.75" customHeight="1" x14ac:dyDescent="0.2">
      <c r="A87" s="22"/>
      <c r="B87" s="253" t="s">
        <v>61</v>
      </c>
      <c r="C87" s="464" t="s">
        <v>143</v>
      </c>
      <c r="D87" s="1200" t="s">
        <v>459</v>
      </c>
      <c r="E87" s="1200"/>
      <c r="F87" s="1200"/>
      <c r="G87" s="1200"/>
      <c r="H87" s="1200"/>
      <c r="I87" s="482">
        <f>J87/J$33</f>
        <v>0</v>
      </c>
      <c r="J87" s="447">
        <f>J91+J90+J89+J88</f>
        <v>0</v>
      </c>
      <c r="K87" s="1105">
        <f>SUM(K88:K91)</f>
        <v>0</v>
      </c>
      <c r="L87" s="1105"/>
      <c r="M87" s="447">
        <f>M91+M90+M89+M88</f>
        <v>0</v>
      </c>
      <c r="O87" s="957"/>
      <c r="P87" s="958"/>
      <c r="Q87" s="686"/>
      <c r="R87" s="686"/>
      <c r="S87" s="686"/>
      <c r="T87" s="686"/>
      <c r="U87" s="686"/>
      <c r="V87" s="686"/>
      <c r="W87" s="686"/>
      <c r="X87" s="687"/>
    </row>
    <row r="88" spans="1:24" s="2" customFormat="1" ht="12" customHeight="1" x14ac:dyDescent="0.2">
      <c r="A88" s="22"/>
      <c r="B88" s="25"/>
      <c r="C88" s="516"/>
      <c r="D88" s="1396" t="s">
        <v>523</v>
      </c>
      <c r="E88" s="1396"/>
      <c r="F88" s="1396"/>
      <c r="G88" s="1396"/>
      <c r="H88" s="1397"/>
      <c r="I88" s="522">
        <f>J88/12</f>
        <v>0</v>
      </c>
      <c r="J88" s="790">
        <v>0</v>
      </c>
      <c r="K88" s="1392">
        <f>(J88+J88*O88)*12/J$33</f>
        <v>0</v>
      </c>
      <c r="L88" s="1392" t="e">
        <f>K88*12/K$11</f>
        <v>#VALUE!</v>
      </c>
      <c r="M88" s="790">
        <f>K88+K88*P88</f>
        <v>0</v>
      </c>
      <c r="N88" s="22"/>
      <c r="O88" s="770">
        <v>0.03</v>
      </c>
      <c r="P88" s="770">
        <f t="shared" ref="P88:P92" si="19">O88</f>
        <v>0.03</v>
      </c>
      <c r="Q88" s="686"/>
      <c r="R88" s="686"/>
      <c r="S88" s="686"/>
      <c r="T88" s="686"/>
      <c r="U88" s="686"/>
      <c r="V88" s="686"/>
      <c r="W88" s="686"/>
      <c r="X88" s="687"/>
    </row>
    <row r="89" spans="1:24" s="22" customFormat="1" ht="12" customHeight="1" x14ac:dyDescent="0.2">
      <c r="A89" s="2"/>
      <c r="B89" s="90"/>
      <c r="C89" s="506"/>
      <c r="D89" s="507" t="s">
        <v>522</v>
      </c>
      <c r="E89" s="507"/>
      <c r="F89" s="507"/>
      <c r="G89" s="507"/>
      <c r="H89" s="1060"/>
      <c r="I89" s="522">
        <f>J89/12</f>
        <v>0</v>
      </c>
      <c r="J89" s="790">
        <v>0</v>
      </c>
      <c r="K89" s="1392">
        <f>(J89+J89*O89)*12/J$33</f>
        <v>0</v>
      </c>
      <c r="L89" s="1392" t="e">
        <f>K89*12/K$11</f>
        <v>#VALUE!</v>
      </c>
      <c r="M89" s="790">
        <f>K89+K89*P89</f>
        <v>0</v>
      </c>
      <c r="O89" s="770">
        <v>0.03</v>
      </c>
      <c r="P89" s="770">
        <f t="shared" si="19"/>
        <v>0.03</v>
      </c>
      <c r="Q89" s="686"/>
      <c r="R89" s="686"/>
      <c r="S89" s="686"/>
      <c r="T89" s="686"/>
      <c r="U89" s="686"/>
      <c r="V89" s="686"/>
      <c r="W89" s="686"/>
      <c r="X89" s="687"/>
    </row>
    <row r="90" spans="1:24" s="22" customFormat="1" ht="12" customHeight="1" x14ac:dyDescent="0.2">
      <c r="B90" s="90"/>
      <c r="C90" s="512"/>
      <c r="D90" s="513" t="s">
        <v>521</v>
      </c>
      <c r="E90" s="513"/>
      <c r="F90" s="513"/>
      <c r="G90" s="513"/>
      <c r="H90" s="1062"/>
      <c r="I90" s="522">
        <f>J90/12</f>
        <v>0</v>
      </c>
      <c r="J90" s="790">
        <v>0</v>
      </c>
      <c r="K90" s="1392">
        <f>(J90+J90*O90)*12/J$33</f>
        <v>0</v>
      </c>
      <c r="L90" s="1392" t="e">
        <f>K90*12/K$11</f>
        <v>#VALUE!</v>
      </c>
      <c r="M90" s="790">
        <f>K90+K90*P90</f>
        <v>0</v>
      </c>
      <c r="O90" s="770">
        <v>0.03</v>
      </c>
      <c r="P90" s="770">
        <f t="shared" si="19"/>
        <v>0.03</v>
      </c>
      <c r="Q90" s="686"/>
      <c r="R90" s="686"/>
      <c r="S90" s="686"/>
      <c r="T90" s="686"/>
      <c r="U90" s="686"/>
      <c r="V90" s="686"/>
      <c r="W90" s="686"/>
      <c r="X90" s="687"/>
    </row>
    <row r="91" spans="1:24" s="22" customFormat="1" ht="12" customHeight="1" x14ac:dyDescent="0.2">
      <c r="B91" s="90"/>
      <c r="C91" s="520"/>
      <c r="D91" s="1128" t="s">
        <v>520</v>
      </c>
      <c r="E91" s="1128"/>
      <c r="F91" s="1128"/>
      <c r="G91" s="1128"/>
      <c r="H91" s="1395"/>
      <c r="I91" s="522">
        <f>J91/12</f>
        <v>0</v>
      </c>
      <c r="J91" s="790">
        <v>0</v>
      </c>
      <c r="K91" s="1392">
        <f>(J91+J91*O91)*12/J$33</f>
        <v>0</v>
      </c>
      <c r="L91" s="1392" t="e">
        <f>K91*12/K$11</f>
        <v>#VALUE!</v>
      </c>
      <c r="M91" s="790">
        <f>K91+K91*P91</f>
        <v>0</v>
      </c>
      <c r="O91" s="770">
        <v>0.03</v>
      </c>
      <c r="P91" s="770">
        <f t="shared" si="19"/>
        <v>0.03</v>
      </c>
      <c r="Q91" s="686"/>
      <c r="R91" s="686"/>
      <c r="S91" s="686"/>
      <c r="T91" s="686"/>
      <c r="U91" s="686"/>
      <c r="V91" s="686"/>
      <c r="W91" s="686"/>
      <c r="X91" s="687"/>
    </row>
    <row r="92" spans="1:24" s="2" customFormat="1" ht="12.75" customHeight="1" x14ac:dyDescent="0.2">
      <c r="A92" s="22"/>
      <c r="B92" s="25"/>
      <c r="C92" s="464" t="s">
        <v>144</v>
      </c>
      <c r="D92" s="465" t="s">
        <v>460</v>
      </c>
      <c r="E92" s="465"/>
      <c r="F92" s="465"/>
      <c r="G92" s="465"/>
      <c r="H92" s="527"/>
      <c r="I92" s="482">
        <f t="shared" ref="I92:I104" si="20">J92/J$33</f>
        <v>0</v>
      </c>
      <c r="J92" s="772">
        <v>0</v>
      </c>
      <c r="K92" s="1352">
        <f>(J92+J92*O92)*12/J$33</f>
        <v>0</v>
      </c>
      <c r="L92" s="1352" t="e">
        <f>K92*12/K$11</f>
        <v>#VALUE!</v>
      </c>
      <c r="M92" s="772">
        <f>K92+K92*P92</f>
        <v>0</v>
      </c>
      <c r="O92" s="770">
        <v>0.03</v>
      </c>
      <c r="P92" s="770">
        <f t="shared" si="19"/>
        <v>0.03</v>
      </c>
      <c r="Q92" s="686"/>
      <c r="R92" s="686"/>
      <c r="S92" s="686"/>
      <c r="T92" s="686"/>
      <c r="U92" s="686"/>
      <c r="V92" s="686"/>
      <c r="W92" s="686"/>
      <c r="X92" s="687"/>
    </row>
    <row r="93" spans="1:24" s="2" customFormat="1" ht="12.75" customHeight="1" x14ac:dyDescent="0.2">
      <c r="B93" s="253" t="s">
        <v>74</v>
      </c>
      <c r="C93" s="464" t="s">
        <v>145</v>
      </c>
      <c r="D93" s="517" t="s">
        <v>343</v>
      </c>
      <c r="E93" s="517"/>
      <c r="F93" s="517"/>
      <c r="G93" s="517"/>
      <c r="H93" s="518"/>
      <c r="I93" s="482">
        <f t="shared" si="20"/>
        <v>0</v>
      </c>
      <c r="J93" s="447">
        <f>J94*J95+J97*J96</f>
        <v>0</v>
      </c>
      <c r="K93" s="1105">
        <f t="shared" ref="K93:L93" si="21">K94*K95+K97*K96</f>
        <v>0</v>
      </c>
      <c r="L93" s="1105" t="e">
        <f t="shared" si="21"/>
        <v>#DIV/0!</v>
      </c>
      <c r="M93" s="447">
        <f>M94*M95+M97*M96</f>
        <v>0</v>
      </c>
      <c r="O93" s="951"/>
      <c r="P93" s="952"/>
      <c r="Q93" s="686"/>
      <c r="R93" s="686"/>
      <c r="S93" s="686"/>
      <c r="T93" s="686"/>
      <c r="U93" s="686"/>
      <c r="V93" s="686"/>
      <c r="W93" s="686"/>
      <c r="X93" s="687"/>
    </row>
    <row r="94" spans="1:24" s="2" customFormat="1" ht="12" customHeight="1" x14ac:dyDescent="0.2">
      <c r="B94" s="25"/>
      <c r="C94" s="505"/>
      <c r="D94" s="1101" t="s">
        <v>519</v>
      </c>
      <c r="E94" s="1101"/>
      <c r="F94" s="1101"/>
      <c r="G94" s="1101"/>
      <c r="H94" s="1101"/>
      <c r="I94" s="525"/>
      <c r="J94" s="790">
        <v>0</v>
      </c>
      <c r="K94" s="1392">
        <f>J94*12/J$33</f>
        <v>0</v>
      </c>
      <c r="L94" s="1392"/>
      <c r="M94" s="790">
        <f>K94</f>
        <v>0</v>
      </c>
      <c r="O94" s="964"/>
      <c r="P94" s="965"/>
      <c r="Q94" s="686"/>
      <c r="R94" s="686"/>
      <c r="S94" s="686"/>
      <c r="T94" s="686"/>
      <c r="U94" s="686"/>
      <c r="V94" s="686"/>
      <c r="W94" s="686"/>
      <c r="X94" s="687"/>
    </row>
    <row r="95" spans="1:24" s="2" customFormat="1" ht="12" customHeight="1" x14ac:dyDescent="0.2">
      <c r="B95" s="25"/>
      <c r="C95" s="506"/>
      <c r="D95" s="507" t="s">
        <v>518</v>
      </c>
      <c r="E95" s="507"/>
      <c r="F95" s="507"/>
      <c r="G95" s="507"/>
      <c r="H95" s="507"/>
      <c r="I95" s="522">
        <v>0</v>
      </c>
      <c r="J95" s="792">
        <v>0.55000000000000004</v>
      </c>
      <c r="K95" s="1399">
        <f>J95</f>
        <v>0.55000000000000004</v>
      </c>
      <c r="L95" s="1399"/>
      <c r="M95" s="792">
        <f>K95</f>
        <v>0.55000000000000004</v>
      </c>
      <c r="O95" s="964"/>
      <c r="P95" s="965"/>
      <c r="Q95" s="686"/>
      <c r="R95" s="686"/>
      <c r="S95" s="686"/>
      <c r="T95" s="686"/>
      <c r="U95" s="686"/>
      <c r="V95" s="686"/>
      <c r="W95" s="686"/>
      <c r="X95" s="687"/>
    </row>
    <row r="96" spans="1:24" s="2" customFormat="1" ht="12" customHeight="1" x14ac:dyDescent="0.2">
      <c r="B96" s="25"/>
      <c r="C96" s="512"/>
      <c r="D96" s="513" t="s">
        <v>517</v>
      </c>
      <c r="E96" s="513"/>
      <c r="F96" s="513"/>
      <c r="G96" s="513"/>
      <c r="H96" s="513"/>
      <c r="I96" s="522">
        <v>0</v>
      </c>
      <c r="J96" s="790">
        <v>0</v>
      </c>
      <c r="K96" s="1392">
        <f>(J96*12/J$33)</f>
        <v>0</v>
      </c>
      <c r="L96" s="1392" t="e">
        <f>K96*12/K$10</f>
        <v>#DIV/0!</v>
      </c>
      <c r="M96" s="790">
        <f>K96</f>
        <v>0</v>
      </c>
      <c r="O96" s="964"/>
      <c r="P96" s="965"/>
      <c r="Q96" s="686"/>
      <c r="R96" s="686"/>
      <c r="S96" s="686"/>
      <c r="T96" s="686"/>
      <c r="U96" s="686"/>
      <c r="V96" s="686"/>
      <c r="W96" s="686"/>
      <c r="X96" s="687"/>
    </row>
    <row r="97" spans="1:26" s="2" customFormat="1" ht="12" customHeight="1" x14ac:dyDescent="0.2">
      <c r="B97" s="25"/>
      <c r="C97" s="520"/>
      <c r="D97" s="1128" t="s">
        <v>516</v>
      </c>
      <c r="E97" s="1128"/>
      <c r="F97" s="1128"/>
      <c r="G97" s="1128"/>
      <c r="H97" s="1129"/>
      <c r="I97" s="522">
        <v>0</v>
      </c>
      <c r="J97" s="791">
        <v>0</v>
      </c>
      <c r="K97" s="1394">
        <f>J97</f>
        <v>0</v>
      </c>
      <c r="L97" s="1394"/>
      <c r="M97" s="791">
        <f>K97</f>
        <v>0</v>
      </c>
      <c r="O97" s="964"/>
      <c r="P97" s="965"/>
      <c r="Q97" s="686"/>
      <c r="R97" s="686"/>
      <c r="S97" s="686"/>
      <c r="T97" s="686"/>
      <c r="U97" s="686"/>
      <c r="V97" s="686"/>
      <c r="W97" s="686"/>
      <c r="X97" s="687"/>
    </row>
    <row r="98" spans="1:26" s="2" customFormat="1" ht="12.75" customHeight="1" x14ac:dyDescent="0.2">
      <c r="B98" s="253" t="s">
        <v>75</v>
      </c>
      <c r="C98" s="464" t="s">
        <v>146</v>
      </c>
      <c r="D98" s="465" t="s">
        <v>344</v>
      </c>
      <c r="E98" s="465"/>
      <c r="F98" s="465"/>
      <c r="G98" s="465"/>
      <c r="H98" s="465"/>
      <c r="I98" s="482">
        <f t="shared" si="20"/>
        <v>0</v>
      </c>
      <c r="J98" s="447">
        <f>SUM(J99:J100)</f>
        <v>0</v>
      </c>
      <c r="K98" s="1105">
        <f>K99+K100</f>
        <v>0</v>
      </c>
      <c r="L98" s="1105"/>
      <c r="M98" s="447">
        <f>SUM(M99:M100)</f>
        <v>0</v>
      </c>
      <c r="O98" s="951"/>
      <c r="P98" s="952"/>
      <c r="Q98" s="686"/>
      <c r="R98" s="686"/>
      <c r="S98" s="686"/>
      <c r="T98" s="686"/>
      <c r="U98" s="686"/>
      <c r="V98" s="686"/>
      <c r="W98" s="686"/>
      <c r="X98" s="687"/>
      <c r="Z98" s="2" t="s">
        <v>0</v>
      </c>
    </row>
    <row r="99" spans="1:26" ht="12" customHeight="1" x14ac:dyDescent="0.2">
      <c r="A99" s="2"/>
      <c r="B99" s="90" t="s">
        <v>0</v>
      </c>
      <c r="C99" s="505"/>
      <c r="D99" s="1101" t="s">
        <v>515</v>
      </c>
      <c r="E99" s="1101"/>
      <c r="F99" s="1101"/>
      <c r="G99" s="1101"/>
      <c r="H99" s="1101"/>
      <c r="I99" s="522">
        <f t="shared" si="20"/>
        <v>0</v>
      </c>
      <c r="J99" s="790">
        <v>0</v>
      </c>
      <c r="K99" s="1392">
        <f>(J99+J99*O99)*12/J$33</f>
        <v>0</v>
      </c>
      <c r="L99" s="1392" t="e">
        <f>K99*12/K$11</f>
        <v>#VALUE!</v>
      </c>
      <c r="M99" s="790">
        <f>K99+K99*P99</f>
        <v>0</v>
      </c>
      <c r="O99" s="770">
        <v>0.03</v>
      </c>
      <c r="P99" s="770">
        <f>O99</f>
        <v>0.03</v>
      </c>
      <c r="Q99" s="686"/>
      <c r="R99" s="686"/>
      <c r="S99" s="686"/>
      <c r="T99" s="686"/>
      <c r="U99" s="686"/>
      <c r="V99" s="686"/>
      <c r="W99" s="686"/>
      <c r="X99" s="687"/>
    </row>
    <row r="100" spans="1:26" ht="12" customHeight="1" x14ac:dyDescent="0.2">
      <c r="B100" s="90" t="s">
        <v>0</v>
      </c>
      <c r="C100" s="512"/>
      <c r="D100" s="513" t="s">
        <v>514</v>
      </c>
      <c r="E100" s="513"/>
      <c r="F100" s="513"/>
      <c r="G100" s="513"/>
      <c r="H100" s="513"/>
      <c r="I100" s="522">
        <f t="shared" si="20"/>
        <v>0</v>
      </c>
      <c r="J100" s="790">
        <v>0</v>
      </c>
      <c r="K100" s="1392">
        <f>(J100+J100*O100)*12/J$33</f>
        <v>0</v>
      </c>
      <c r="L100" s="1392" t="e">
        <f>K100*12/K$11</f>
        <v>#VALUE!</v>
      </c>
      <c r="M100" s="790">
        <f>K100+K100*P100</f>
        <v>0</v>
      </c>
      <c r="O100" s="770">
        <v>0.03</v>
      </c>
      <c r="P100" s="770">
        <f>O100</f>
        <v>0.03</v>
      </c>
      <c r="Q100" s="686"/>
      <c r="R100" s="686"/>
      <c r="S100" s="686"/>
      <c r="T100" s="686"/>
      <c r="U100" s="686"/>
      <c r="V100" s="686"/>
      <c r="W100" s="686"/>
      <c r="X100" s="687"/>
    </row>
    <row r="101" spans="1:26" s="2" customFormat="1" ht="12.75" customHeight="1" x14ac:dyDescent="0.2">
      <c r="A101"/>
      <c r="B101" s="253" t="s">
        <v>62</v>
      </c>
      <c r="C101" s="464" t="s">
        <v>147</v>
      </c>
      <c r="D101" s="1200" t="s">
        <v>345</v>
      </c>
      <c r="E101" s="1200"/>
      <c r="F101" s="1200"/>
      <c r="G101" s="1200"/>
      <c r="H101" s="1201"/>
      <c r="I101" s="482">
        <f t="shared" si="20"/>
        <v>0</v>
      </c>
      <c r="J101" s="447">
        <f>SUM(J102:J103)</f>
        <v>0</v>
      </c>
      <c r="K101" s="1105">
        <f>SUM(K102:K103)</f>
        <v>0</v>
      </c>
      <c r="L101" s="1105"/>
      <c r="M101" s="447">
        <f>SUM(M102:M103)</f>
        <v>0</v>
      </c>
      <c r="O101" s="957"/>
      <c r="P101" s="958"/>
      <c r="Q101" s="686"/>
      <c r="R101" s="686"/>
      <c r="S101" s="686"/>
      <c r="T101" s="686"/>
      <c r="U101" s="686"/>
      <c r="V101" s="686"/>
      <c r="W101" s="686"/>
      <c r="X101" s="687"/>
    </row>
    <row r="102" spans="1:26" s="22" customFormat="1" ht="12" customHeight="1" x14ac:dyDescent="0.2">
      <c r="A102" s="2"/>
      <c r="B102" s="90"/>
      <c r="C102" s="516"/>
      <c r="D102" s="1398" t="s">
        <v>513</v>
      </c>
      <c r="E102" s="1398"/>
      <c r="F102" s="1398"/>
      <c r="G102" s="1398"/>
      <c r="H102" s="1398"/>
      <c r="I102" s="522">
        <f t="shared" si="20"/>
        <v>0</v>
      </c>
      <c r="J102" s="790">
        <v>0</v>
      </c>
      <c r="K102" s="1392">
        <f>(J102+J102*O102)*12/J$33</f>
        <v>0</v>
      </c>
      <c r="L102" s="1392" t="e">
        <f>K102*12/K$11</f>
        <v>#VALUE!</v>
      </c>
      <c r="M102" s="790">
        <f>K102+K102*P102</f>
        <v>0</v>
      </c>
      <c r="O102" s="770">
        <v>0.03</v>
      </c>
      <c r="P102" s="770">
        <f>O102</f>
        <v>0.03</v>
      </c>
      <c r="Q102" s="686"/>
      <c r="R102" s="686"/>
      <c r="S102" s="686"/>
      <c r="T102" s="686">
        <v>0</v>
      </c>
      <c r="U102" s="686"/>
      <c r="V102" s="686"/>
      <c r="W102" s="686"/>
      <c r="X102" s="687"/>
    </row>
    <row r="103" spans="1:26" s="22" customFormat="1" ht="12" customHeight="1" x14ac:dyDescent="0.2">
      <c r="B103" s="90"/>
      <c r="C103" s="512"/>
      <c r="D103" s="513" t="s">
        <v>512</v>
      </c>
      <c r="E103" s="513"/>
      <c r="F103" s="513"/>
      <c r="G103" s="513"/>
      <c r="H103" s="513"/>
      <c r="I103" s="522">
        <f t="shared" si="20"/>
        <v>0</v>
      </c>
      <c r="J103" s="790">
        <v>0</v>
      </c>
      <c r="K103" s="1392">
        <f>(J103+J103*O103)*12/J$33</f>
        <v>0</v>
      </c>
      <c r="L103" s="1392" t="e">
        <f>K103*12/K$11</f>
        <v>#VALUE!</v>
      </c>
      <c r="M103" s="790">
        <f>K103+K103*P103</f>
        <v>0</v>
      </c>
      <c r="O103" s="770">
        <v>0.03</v>
      </c>
      <c r="P103" s="770">
        <f>O103</f>
        <v>0.03</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si="20"/>
        <v>0</v>
      </c>
      <c r="J104" s="447">
        <f>SUM(J105:J107)</f>
        <v>0</v>
      </c>
      <c r="K104" s="1105">
        <f t="shared" ref="K104:L104" si="22">SUM(K105:K107)</f>
        <v>0</v>
      </c>
      <c r="L104" s="1105" t="e">
        <f t="shared" si="22"/>
        <v>#VALUE!</v>
      </c>
      <c r="M104" s="447">
        <f>SUM(M105:M106)</f>
        <v>0</v>
      </c>
      <c r="O104" s="957"/>
      <c r="P104" s="958"/>
      <c r="Q104" s="686"/>
      <c r="R104" s="686"/>
      <c r="S104" s="686"/>
      <c r="T104" s="686"/>
      <c r="U104" s="686"/>
      <c r="V104" s="686"/>
      <c r="W104" s="686"/>
      <c r="X104" s="687"/>
    </row>
    <row r="105" spans="1:26" s="29" customFormat="1" ht="12.75" customHeight="1" x14ac:dyDescent="0.2">
      <c r="A105" s="22"/>
      <c r="B105" s="253"/>
      <c r="C105" s="728"/>
      <c r="D105" s="30" t="s">
        <v>511</v>
      </c>
      <c r="E105" s="417"/>
      <c r="F105" s="417"/>
      <c r="G105" s="417"/>
      <c r="H105" s="417"/>
      <c r="I105" s="482"/>
      <c r="J105" s="790">
        <v>0</v>
      </c>
      <c r="K105" s="1392">
        <f>(J105+J105*O105)*12/J$33</f>
        <v>0</v>
      </c>
      <c r="L105" s="1392" t="e">
        <f>K105*12/K$11</f>
        <v>#VALUE!</v>
      </c>
      <c r="M105" s="790">
        <f>K105+K105*P105</f>
        <v>0</v>
      </c>
      <c r="O105" s="770">
        <v>0.03</v>
      </c>
      <c r="P105" s="770">
        <f>O105</f>
        <v>0.03</v>
      </c>
      <c r="Q105" s="686"/>
      <c r="R105" s="686">
        <v>0</v>
      </c>
      <c r="S105" s="686"/>
      <c r="T105" s="686"/>
      <c r="U105" s="686"/>
      <c r="V105" s="686"/>
      <c r="W105" s="686"/>
      <c r="X105" s="687"/>
    </row>
    <row r="106" spans="1:26" s="29" customFormat="1" ht="12.75" customHeight="1" x14ac:dyDescent="0.2">
      <c r="A106" s="22"/>
      <c r="B106" s="253"/>
      <c r="C106" s="725"/>
      <c r="D106" s="726" t="s">
        <v>510</v>
      </c>
      <c r="E106" s="726"/>
      <c r="F106" s="726"/>
      <c r="G106" s="726"/>
      <c r="H106" s="727"/>
      <c r="I106" s="482"/>
      <c r="J106" s="790">
        <v>0</v>
      </c>
      <c r="K106" s="1392">
        <f>(J106+J106*O106)*12/J$33</f>
        <v>0</v>
      </c>
      <c r="L106" s="1392" t="e">
        <f>K106*12/K$11</f>
        <v>#VALUE!</v>
      </c>
      <c r="M106" s="790">
        <f>K106+K106*P106</f>
        <v>0</v>
      </c>
      <c r="O106" s="770">
        <v>0</v>
      </c>
      <c r="P106" s="770">
        <f t="shared" ref="P106:P107" si="23">O106</f>
        <v>0</v>
      </c>
      <c r="Q106" s="686"/>
      <c r="R106" s="686"/>
      <c r="S106" s="686"/>
      <c r="T106" s="686"/>
      <c r="U106" s="686"/>
      <c r="V106" s="686"/>
      <c r="W106" s="686"/>
      <c r="X106" s="687"/>
    </row>
    <row r="107" spans="1:26" s="29" customFormat="1" ht="12.75" customHeight="1" x14ac:dyDescent="0.2">
      <c r="A107" s="22"/>
      <c r="B107" s="253"/>
      <c r="C107" s="728"/>
      <c r="D107" s="30" t="s">
        <v>509</v>
      </c>
      <c r="E107" s="417"/>
      <c r="F107" s="417"/>
      <c r="G107" s="417"/>
      <c r="H107" s="417"/>
      <c r="I107" s="482"/>
      <c r="J107" s="790">
        <v>0</v>
      </c>
      <c r="K107" s="1392">
        <f>(J107+J107*O107)*12/J$33</f>
        <v>0</v>
      </c>
      <c r="L107" s="1392" t="e">
        <f>K107*12/K$11</f>
        <v>#VALUE!</v>
      </c>
      <c r="M107" s="790">
        <f>K107+K107*P107</f>
        <v>0</v>
      </c>
      <c r="O107" s="770">
        <v>0.03</v>
      </c>
      <c r="P107" s="770">
        <f t="shared" si="23"/>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4">J108/J$33</f>
        <v>0</v>
      </c>
      <c r="J108" s="447">
        <f>SUM(J109:J111)</f>
        <v>0</v>
      </c>
      <c r="K108" s="1105">
        <f>SUM(K109:K111)</f>
        <v>0</v>
      </c>
      <c r="L108" s="1105"/>
      <c r="M108" s="447">
        <f>SUM(M109:M111)</f>
        <v>0</v>
      </c>
      <c r="O108" s="957" t="s">
        <v>0</v>
      </c>
      <c r="P108" s="958" t="s">
        <v>0</v>
      </c>
      <c r="Q108" s="686"/>
      <c r="R108" s="686">
        <v>0</v>
      </c>
      <c r="S108" s="686"/>
      <c r="T108" s="686"/>
      <c r="U108" s="686"/>
      <c r="V108" s="686"/>
      <c r="W108" s="686"/>
      <c r="X108" s="687"/>
    </row>
    <row r="109" spans="1:26" ht="12" customHeight="1" x14ac:dyDescent="0.2">
      <c r="A109" s="2"/>
      <c r="B109" s="90"/>
      <c r="C109" s="505"/>
      <c r="D109" s="1101" t="s">
        <v>508</v>
      </c>
      <c r="E109" s="1101"/>
      <c r="F109" s="1101"/>
      <c r="G109" s="1101"/>
      <c r="H109" s="1101"/>
      <c r="I109" s="525">
        <f t="shared" si="24"/>
        <v>0</v>
      </c>
      <c r="J109" s="790">
        <v>0</v>
      </c>
      <c r="K109" s="1392">
        <f t="shared" ref="K109:K110" si="25">(J109+J109*O109)*12/J$33</f>
        <v>0</v>
      </c>
      <c r="L109" s="1392" t="e">
        <f t="shared" ref="L109:L110" si="26">K109*12/K$11</f>
        <v>#VALUE!</v>
      </c>
      <c r="M109" s="790">
        <f t="shared" ref="M109:M115" si="27">K109+K109*P109</f>
        <v>0</v>
      </c>
      <c r="O109" s="770">
        <v>0.03</v>
      </c>
      <c r="P109" s="770">
        <f t="shared" ref="P109:P115" si="28">O109</f>
        <v>0.03</v>
      </c>
      <c r="Q109" s="686"/>
      <c r="R109" s="686"/>
      <c r="S109" s="686"/>
      <c r="T109" s="686"/>
      <c r="U109" s="686"/>
      <c r="V109" s="686"/>
      <c r="W109" s="686"/>
      <c r="X109" s="687"/>
    </row>
    <row r="110" spans="1:26" ht="12" customHeight="1" x14ac:dyDescent="0.2">
      <c r="B110" s="90"/>
      <c r="C110" s="506"/>
      <c r="D110" s="507" t="s">
        <v>561</v>
      </c>
      <c r="E110" s="507"/>
      <c r="F110" s="507"/>
      <c r="G110" s="507"/>
      <c r="H110" s="507"/>
      <c r="I110" s="525">
        <f t="shared" si="24"/>
        <v>0</v>
      </c>
      <c r="J110" s="790">
        <v>0</v>
      </c>
      <c r="K110" s="1392">
        <f t="shared" si="25"/>
        <v>0</v>
      </c>
      <c r="L110" s="1392" t="e">
        <f t="shared" si="26"/>
        <v>#VALUE!</v>
      </c>
      <c r="M110" s="790">
        <f t="shared" si="27"/>
        <v>0</v>
      </c>
      <c r="O110" s="770">
        <v>0.03</v>
      </c>
      <c r="P110" s="770">
        <f t="shared" si="28"/>
        <v>0.03</v>
      </c>
      <c r="Q110" s="686"/>
      <c r="R110" s="686"/>
      <c r="S110" s="686"/>
      <c r="T110" s="686"/>
      <c r="U110" s="686"/>
      <c r="V110" s="686"/>
      <c r="W110" s="686"/>
      <c r="X110" s="687"/>
    </row>
    <row r="111" spans="1:26" ht="12" customHeight="1" x14ac:dyDescent="0.2">
      <c r="B111" s="90"/>
      <c r="C111" s="512"/>
      <c r="D111" s="1128" t="s">
        <v>562</v>
      </c>
      <c r="E111" s="1128"/>
      <c r="F111" s="1128"/>
      <c r="G111" s="1128"/>
      <c r="H111" s="1129"/>
      <c r="I111" s="525">
        <f t="shared" si="24"/>
        <v>0</v>
      </c>
      <c r="J111" s="790">
        <v>0</v>
      </c>
      <c r="K111" s="1392">
        <f>(J111+J111*O111)*12/J$33</f>
        <v>0</v>
      </c>
      <c r="L111" s="1392" t="e">
        <f>K111*12/K$11</f>
        <v>#VALUE!</v>
      </c>
      <c r="M111" s="790">
        <f t="shared" si="27"/>
        <v>0</v>
      </c>
      <c r="O111" s="770">
        <v>0.03</v>
      </c>
      <c r="P111" s="770">
        <f t="shared" si="28"/>
        <v>0.03</v>
      </c>
      <c r="Q111" s="686"/>
      <c r="R111" s="686"/>
      <c r="S111" s="686"/>
      <c r="T111" s="686"/>
      <c r="U111" s="686"/>
      <c r="V111" s="686"/>
      <c r="W111" s="686"/>
      <c r="X111" s="687"/>
    </row>
    <row r="112" spans="1:26" s="2" customFormat="1" ht="12.75" customHeight="1" x14ac:dyDescent="0.2">
      <c r="A112"/>
      <c r="B112" s="253" t="s">
        <v>72</v>
      </c>
      <c r="C112" s="464" t="s">
        <v>150</v>
      </c>
      <c r="D112" s="1200" t="s">
        <v>461</v>
      </c>
      <c r="E112" s="1200"/>
      <c r="F112" s="1200"/>
      <c r="G112" s="1200"/>
      <c r="H112" s="1200"/>
      <c r="I112" s="525">
        <f t="shared" si="24"/>
        <v>0</v>
      </c>
      <c r="J112" s="772">
        <v>0</v>
      </c>
      <c r="K112" s="1352">
        <f>(J112+J112*O112)*12/J$33</f>
        <v>0</v>
      </c>
      <c r="L112" s="1352" t="e">
        <f>K112*12/K$11</f>
        <v>#VALUE!</v>
      </c>
      <c r="M112" s="772">
        <f>K112+K112*P112</f>
        <v>0</v>
      </c>
      <c r="O112" s="770">
        <v>0.03</v>
      </c>
      <c r="P112" s="770">
        <f t="shared" si="28"/>
        <v>0.03</v>
      </c>
      <c r="Q112" s="686"/>
      <c r="R112" s="686"/>
      <c r="S112" s="686"/>
      <c r="T112" s="686"/>
      <c r="U112" s="686"/>
      <c r="V112" s="686"/>
      <c r="W112" s="686"/>
      <c r="X112" s="687"/>
    </row>
    <row r="113" spans="1:24" s="2" customFormat="1" ht="12.75" customHeight="1" x14ac:dyDescent="0.2">
      <c r="B113" s="253" t="s">
        <v>76</v>
      </c>
      <c r="C113" s="464" t="s">
        <v>151</v>
      </c>
      <c r="D113" s="1200" t="s">
        <v>348</v>
      </c>
      <c r="E113" s="1200"/>
      <c r="F113" s="1200"/>
      <c r="G113" s="1200"/>
      <c r="H113" s="1200"/>
      <c r="I113" s="482">
        <f t="shared" si="24"/>
        <v>0</v>
      </c>
      <c r="J113" s="772">
        <v>0</v>
      </c>
      <c r="K113" s="1352">
        <f>(J113+J113*O113)*12/J$33</f>
        <v>0</v>
      </c>
      <c r="L113" s="1352" t="e">
        <f>K113*12/K$11</f>
        <v>#VALUE!</v>
      </c>
      <c r="M113" s="772">
        <f t="shared" si="27"/>
        <v>0</v>
      </c>
      <c r="O113" s="770">
        <v>0.03</v>
      </c>
      <c r="P113" s="770">
        <f t="shared" si="28"/>
        <v>0.03</v>
      </c>
      <c r="Q113" s="686"/>
      <c r="R113" s="686"/>
      <c r="S113" s="686"/>
      <c r="T113" s="686"/>
      <c r="U113" s="686"/>
      <c r="V113" s="686"/>
      <c r="W113" s="686"/>
      <c r="X113" s="687"/>
    </row>
    <row r="114" spans="1:24" s="2" customFormat="1" ht="12.75" customHeight="1" x14ac:dyDescent="0.2">
      <c r="B114" s="253" t="s">
        <v>210</v>
      </c>
      <c r="C114" s="464" t="s">
        <v>152</v>
      </c>
      <c r="D114" s="465" t="s">
        <v>349</v>
      </c>
      <c r="E114" s="515"/>
      <c r="F114" s="515"/>
      <c r="G114" s="515"/>
      <c r="H114" s="515"/>
      <c r="I114" s="482">
        <f t="shared" si="24"/>
        <v>0</v>
      </c>
      <c r="J114" s="772">
        <v>0</v>
      </c>
      <c r="K114" s="1352">
        <f>(J114+J114*O114)*12/J$33</f>
        <v>0</v>
      </c>
      <c r="L114" s="1352" t="e">
        <f>K114*12/K$11</f>
        <v>#VALUE!</v>
      </c>
      <c r="M114" s="772">
        <f t="shared" si="27"/>
        <v>0</v>
      </c>
      <c r="O114" s="770">
        <v>0.03</v>
      </c>
      <c r="P114" s="770">
        <f t="shared" si="28"/>
        <v>0.03</v>
      </c>
      <c r="Q114" s="686"/>
      <c r="R114" s="686"/>
      <c r="S114" s="686"/>
      <c r="T114" s="686"/>
      <c r="U114" s="686"/>
      <c r="V114" s="686"/>
      <c r="W114" s="686"/>
      <c r="X114" s="687"/>
    </row>
    <row r="115" spans="1:24" s="2" customFormat="1" ht="12.75" customHeight="1" x14ac:dyDescent="0.2">
      <c r="B115" s="253" t="s">
        <v>211</v>
      </c>
      <c r="C115" s="598" t="s">
        <v>153</v>
      </c>
      <c r="D115" s="599" t="s">
        <v>350</v>
      </c>
      <c r="E115" s="477"/>
      <c r="F115" s="477"/>
      <c r="G115" s="477"/>
      <c r="H115" s="477"/>
      <c r="I115" s="600">
        <f t="shared" si="24"/>
        <v>0</v>
      </c>
      <c r="J115" s="793">
        <v>0</v>
      </c>
      <c r="K115" s="1352">
        <f>(J115+J115*O115)*12/J$33</f>
        <v>0</v>
      </c>
      <c r="L115" s="1352" t="e">
        <f>K115*12/K$11</f>
        <v>#VALUE!</v>
      </c>
      <c r="M115" s="772">
        <f t="shared" si="27"/>
        <v>0</v>
      </c>
      <c r="O115" s="770">
        <v>0.03</v>
      </c>
      <c r="P115" s="770">
        <f t="shared" si="28"/>
        <v>0.03</v>
      </c>
      <c r="Q115" s="686"/>
      <c r="R115" s="686"/>
      <c r="S115" s="686"/>
      <c r="T115" s="686"/>
      <c r="U115" s="686"/>
      <c r="V115" s="686"/>
      <c r="W115" s="686"/>
      <c r="X115" s="687"/>
    </row>
    <row r="116" spans="1:24" ht="12.75" customHeight="1" x14ac:dyDescent="0.2">
      <c r="A116" s="2"/>
      <c r="B116" s="655" t="s">
        <v>239</v>
      </c>
      <c r="C116" s="464" t="s">
        <v>154</v>
      </c>
      <c r="D116" s="1200" t="s">
        <v>462</v>
      </c>
      <c r="E116" s="1200"/>
      <c r="F116" s="1200"/>
      <c r="G116" s="1200"/>
      <c r="H116" s="1201"/>
      <c r="I116" s="602"/>
      <c r="J116" s="950">
        <v>0</v>
      </c>
      <c r="K116" s="1157">
        <v>0</v>
      </c>
      <c r="L116" s="1157"/>
      <c r="M116" s="597">
        <v>0</v>
      </c>
      <c r="N116" s="272"/>
      <c r="O116" s="966"/>
      <c r="P116" s="96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51"/>
      <c r="P117" s="9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51"/>
      <c r="P118" s="952"/>
      <c r="Q118" s="686"/>
      <c r="R118" s="686"/>
      <c r="S118" s="686"/>
      <c r="T118" s="686"/>
      <c r="U118" s="686"/>
      <c r="V118" s="686"/>
      <c r="W118" s="686"/>
      <c r="X118" s="687"/>
    </row>
    <row r="119" spans="1:24" ht="12" customHeight="1" x14ac:dyDescent="0.2">
      <c r="C119" s="1134" t="s">
        <v>354</v>
      </c>
      <c r="D119" s="1135"/>
      <c r="E119" s="1135"/>
      <c r="F119" s="1135"/>
      <c r="G119" s="1135"/>
      <c r="H119" s="1135"/>
      <c r="I119" s="1123" t="s">
        <v>321</v>
      </c>
      <c r="J119" s="1123"/>
      <c r="K119" s="1152" t="s">
        <v>322</v>
      </c>
      <c r="L119" s="1153"/>
      <c r="M119" s="545" t="s">
        <v>323</v>
      </c>
      <c r="O119" s="953"/>
      <c r="P119" s="952"/>
      <c r="Q119" s="686"/>
      <c r="R119" s="686"/>
      <c r="S119" s="686"/>
      <c r="T119" s="686"/>
      <c r="U119" s="686"/>
      <c r="V119" s="686"/>
      <c r="W119" s="686"/>
      <c r="X119" s="687"/>
    </row>
    <row r="120" spans="1:24" ht="15" customHeight="1" x14ac:dyDescent="0.2">
      <c r="C120" s="1136"/>
      <c r="D120" s="1137"/>
      <c r="E120" s="1137"/>
      <c r="F120" s="1137"/>
      <c r="G120" s="1137"/>
      <c r="H120" s="1137"/>
      <c r="I120" s="706" t="s">
        <v>324</v>
      </c>
      <c r="J120" s="546">
        <f>J32</f>
        <v>2027</v>
      </c>
      <c r="K120" s="1169">
        <f>J120+1</f>
        <v>2028</v>
      </c>
      <c r="L120" s="1170"/>
      <c r="M120" s="546">
        <f>K120+1</f>
        <v>2029</v>
      </c>
      <c r="O120" s="968"/>
      <c r="P120" s="969"/>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374"/>
      <c r="P121" s="1375"/>
      <c r="Q121" s="686"/>
      <c r="R121" s="686"/>
      <c r="S121" s="686"/>
      <c r="T121" s="686"/>
      <c r="U121" s="686"/>
      <c r="V121" s="686"/>
      <c r="W121" s="686"/>
      <c r="X121" s="687"/>
    </row>
    <row r="122" spans="1:24" s="32" customFormat="1" ht="14.25" customHeight="1" x14ac:dyDescent="0.2">
      <c r="B122" s="613"/>
      <c r="C122" s="615"/>
      <c r="D122" s="542"/>
      <c r="E122" s="542"/>
      <c r="F122" s="1203"/>
      <c r="G122" s="1204"/>
      <c r="H122" s="616"/>
      <c r="I122" s="575"/>
      <c r="J122" s="458"/>
      <c r="K122" s="1155"/>
      <c r="L122" s="1155"/>
      <c r="M122" s="463"/>
      <c r="O122" s="1400" t="s">
        <v>387</v>
      </c>
      <c r="P122" s="1401"/>
      <c r="Q122" s="686"/>
      <c r="R122" s="686"/>
      <c r="S122" s="686"/>
      <c r="T122" s="686"/>
      <c r="U122" s="686"/>
      <c r="V122" s="686"/>
      <c r="W122" s="686"/>
      <c r="X122" s="687"/>
    </row>
    <row r="123" spans="1:24" s="32" customFormat="1" ht="12" customHeight="1" x14ac:dyDescent="0.2">
      <c r="B123" s="253" t="s">
        <v>238</v>
      </c>
      <c r="C123" s="1402" t="s">
        <v>463</v>
      </c>
      <c r="D123" s="1403"/>
      <c r="E123" s="1403"/>
      <c r="F123" s="1404">
        <v>0</v>
      </c>
      <c r="G123" s="1405"/>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406" t="s">
        <v>356</v>
      </c>
      <c r="D124" s="1407"/>
      <c r="E124" s="1407"/>
      <c r="F124" s="1407"/>
      <c r="G124" s="1408"/>
      <c r="H124" s="1409"/>
      <c r="I124" s="448"/>
      <c r="J124" s="791">
        <v>0</v>
      </c>
      <c r="K124" s="1394">
        <f>J124+J124*O124</f>
        <v>0</v>
      </c>
      <c r="L124" s="1394">
        <f>K124 +K124*O124</f>
        <v>0</v>
      </c>
      <c r="M124" s="791">
        <f>K124+K124*P124</f>
        <v>0</v>
      </c>
      <c r="O124" s="773">
        <v>0.03</v>
      </c>
      <c r="P124" s="773">
        <f>O124</f>
        <v>0.03</v>
      </c>
      <c r="Q124" s="686"/>
      <c r="R124" s="686"/>
      <c r="S124" s="686"/>
      <c r="T124" s="686"/>
      <c r="U124" s="686"/>
      <c r="V124" s="686"/>
      <c r="W124" s="686"/>
      <c r="X124" s="687"/>
    </row>
    <row r="125" spans="1:24" s="32" customFormat="1" ht="12" customHeight="1" x14ac:dyDescent="0.2">
      <c r="C125" s="1410"/>
      <c r="D125" s="1411"/>
      <c r="E125" s="1411"/>
      <c r="F125" s="1411"/>
      <c r="G125" s="1412"/>
      <c r="H125" s="1413"/>
      <c r="I125" s="522">
        <v>0</v>
      </c>
      <c r="J125" s="763">
        <f>J124/(1+$F123)</f>
        <v>0</v>
      </c>
      <c r="K125" s="1414">
        <f>K124/(1+F123)</f>
        <v>0</v>
      </c>
      <c r="L125" s="1414"/>
      <c r="M125" s="764">
        <f>M124/(1+F123)</f>
        <v>0</v>
      </c>
      <c r="O125" s="951"/>
      <c r="P125" s="952"/>
      <c r="Q125" s="686"/>
      <c r="R125" s="686"/>
      <c r="S125" s="686"/>
      <c r="T125" s="686"/>
      <c r="U125" s="686"/>
      <c r="V125" s="686"/>
      <c r="W125" s="686"/>
      <c r="X125" s="687"/>
    </row>
    <row r="126" spans="1:24" s="32" customFormat="1" ht="12" customHeight="1" x14ac:dyDescent="0.2">
      <c r="C126" s="1415" t="s">
        <v>358</v>
      </c>
      <c r="D126" s="1416"/>
      <c r="E126" s="1416"/>
      <c r="F126" s="1416"/>
      <c r="G126" s="1417"/>
      <c r="H126" s="1418"/>
      <c r="I126" s="446">
        <f>J126/J$33</f>
        <v>0</v>
      </c>
      <c r="J126" s="790">
        <v>0</v>
      </c>
      <c r="K126" s="1392">
        <f>(J126+J126*O126)*12/J$33</f>
        <v>0</v>
      </c>
      <c r="L126" s="1392" t="e">
        <f>K126*12/K$11</f>
        <v>#VALUE!</v>
      </c>
      <c r="M126" s="790">
        <f>K126+K126*P126</f>
        <v>0</v>
      </c>
      <c r="O126" s="770">
        <v>0</v>
      </c>
      <c r="P126" s="770">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972"/>
      <c r="P127" s="973"/>
      <c r="Q127" s="691"/>
      <c r="R127" s="691"/>
      <c r="S127" s="691"/>
      <c r="T127" s="691"/>
      <c r="U127" s="691"/>
      <c r="V127" s="691"/>
      <c r="W127" s="691"/>
      <c r="X127" s="692"/>
    </row>
    <row r="128" spans="1:24" s="32" customFormat="1" ht="12" customHeight="1" x14ac:dyDescent="0.2">
      <c r="C128" s="1402">
        <v>0</v>
      </c>
      <c r="D128" s="1403"/>
      <c r="E128" s="1403"/>
      <c r="F128" s="1404">
        <v>0</v>
      </c>
      <c r="G128" s="1405"/>
      <c r="H128" s="617" t="s">
        <v>359</v>
      </c>
      <c r="I128" s="454">
        <f>J128/J$33</f>
        <v>0</v>
      </c>
      <c r="J128" s="447">
        <f>J130*J131</f>
        <v>0</v>
      </c>
      <c r="K128" s="1105">
        <f>K130*K131</f>
        <v>0</v>
      </c>
      <c r="L128" s="1105"/>
      <c r="M128" s="447">
        <f>M130*M131</f>
        <v>0</v>
      </c>
      <c r="O128" s="970"/>
      <c r="P128" s="971"/>
      <c r="Q128" s="686"/>
      <c r="R128" s="686"/>
      <c r="S128" s="686"/>
      <c r="T128" s="686"/>
      <c r="U128" s="686"/>
      <c r="V128" s="686"/>
      <c r="W128" s="686"/>
      <c r="X128" s="687"/>
    </row>
    <row r="129" spans="3:24" s="32" customFormat="1" ht="12" customHeight="1" x14ac:dyDescent="0.2">
      <c r="C129" s="1406" t="s">
        <v>356</v>
      </c>
      <c r="D129" s="1407"/>
      <c r="E129" s="1407"/>
      <c r="F129" s="1407"/>
      <c r="G129" s="1408"/>
      <c r="H129" s="1409"/>
      <c r="I129" s="448"/>
      <c r="J129" s="791">
        <v>0</v>
      </c>
      <c r="K129" s="1394">
        <f>J129+J129*O129</f>
        <v>0</v>
      </c>
      <c r="L129" s="1394">
        <f>K129 +K129*O129</f>
        <v>0</v>
      </c>
      <c r="M129" s="791">
        <f>K129+K129*P129</f>
        <v>0</v>
      </c>
      <c r="O129" s="770">
        <v>0.03</v>
      </c>
      <c r="P129" s="770">
        <f>O129</f>
        <v>0.03</v>
      </c>
      <c r="Q129" s="686"/>
      <c r="R129" s="686"/>
      <c r="S129" s="686"/>
      <c r="T129" s="686"/>
      <c r="U129" s="686"/>
      <c r="V129" s="686"/>
      <c r="W129" s="686"/>
      <c r="X129" s="687"/>
    </row>
    <row r="130" spans="3:24" s="32" customFormat="1" ht="12" customHeight="1" x14ac:dyDescent="0.2">
      <c r="C130" s="1410"/>
      <c r="D130" s="1411"/>
      <c r="E130" s="1411"/>
      <c r="F130" s="1411"/>
      <c r="G130" s="1412"/>
      <c r="H130" s="1413"/>
      <c r="I130" s="522">
        <v>0</v>
      </c>
      <c r="J130" s="763">
        <f>J129/(1+$F128)</f>
        <v>0</v>
      </c>
      <c r="K130" s="1414">
        <f>K129/(1+F128)</f>
        <v>0</v>
      </c>
      <c r="L130" s="1414"/>
      <c r="M130" s="764">
        <f>M129/(1+F128)</f>
        <v>0</v>
      </c>
      <c r="O130" s="951"/>
      <c r="P130" s="952"/>
      <c r="Q130" s="686"/>
      <c r="R130" s="686"/>
      <c r="S130" s="686"/>
      <c r="T130" s="686"/>
      <c r="U130" s="686"/>
      <c r="V130" s="686"/>
      <c r="W130" s="686"/>
      <c r="X130" s="687"/>
    </row>
    <row r="131" spans="3:24" s="32" customFormat="1" ht="12" customHeight="1" x14ac:dyDescent="0.2">
      <c r="C131" s="1415" t="s">
        <v>358</v>
      </c>
      <c r="D131" s="1416"/>
      <c r="E131" s="1416"/>
      <c r="F131" s="1416"/>
      <c r="G131" s="1417"/>
      <c r="H131" s="1418"/>
      <c r="I131" s="446">
        <f>J131/J$33</f>
        <v>0</v>
      </c>
      <c r="J131" s="790">
        <v>0</v>
      </c>
      <c r="K131" s="1392">
        <f>(J131+J131*O131)*12/J$33</f>
        <v>0</v>
      </c>
      <c r="L131" s="1392" t="e">
        <f>K131*12/K$11</f>
        <v>#VALUE!</v>
      </c>
      <c r="M131" s="790">
        <f>K131+K131*P131</f>
        <v>0</v>
      </c>
      <c r="O131" s="770">
        <v>0</v>
      </c>
      <c r="P131" s="770">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972"/>
      <c r="P132" s="973"/>
      <c r="Q132" s="691"/>
      <c r="R132" s="691"/>
      <c r="S132" s="691"/>
      <c r="T132" s="691"/>
      <c r="U132" s="691"/>
      <c r="V132" s="691"/>
      <c r="W132" s="691"/>
      <c r="X132" s="692"/>
    </row>
    <row r="133" spans="3:24" s="32" customFormat="1" ht="12" customHeight="1" x14ac:dyDescent="0.2">
      <c r="C133" s="1402">
        <v>0</v>
      </c>
      <c r="D133" s="1403"/>
      <c r="E133" s="1403"/>
      <c r="F133" s="1404">
        <v>0</v>
      </c>
      <c r="G133" s="1405"/>
      <c r="H133" s="617" t="s">
        <v>359</v>
      </c>
      <c r="I133" s="454">
        <f>J133/J$33</f>
        <v>0</v>
      </c>
      <c r="J133" s="447">
        <f>J135*J136</f>
        <v>0</v>
      </c>
      <c r="K133" s="1105">
        <f>K135*K136</f>
        <v>0</v>
      </c>
      <c r="L133" s="1105"/>
      <c r="M133" s="447">
        <f>M135*M136</f>
        <v>0</v>
      </c>
      <c r="O133" s="970"/>
      <c r="P133" s="971"/>
      <c r="Q133" s="686"/>
      <c r="R133" s="686"/>
      <c r="S133" s="686"/>
      <c r="T133" s="686"/>
      <c r="U133" s="686"/>
      <c r="V133" s="686"/>
      <c r="W133" s="686"/>
      <c r="X133" s="687"/>
    </row>
    <row r="134" spans="3:24" s="32" customFormat="1" ht="12" customHeight="1" x14ac:dyDescent="0.2">
      <c r="C134" s="1406" t="s">
        <v>356</v>
      </c>
      <c r="D134" s="1407"/>
      <c r="E134" s="1407"/>
      <c r="F134" s="1407"/>
      <c r="G134" s="1408"/>
      <c r="H134" s="1409"/>
      <c r="I134" s="448"/>
      <c r="J134" s="791">
        <v>0</v>
      </c>
      <c r="K134" s="1394">
        <f>J134+J134*O134</f>
        <v>0</v>
      </c>
      <c r="L134" s="1394">
        <f>K134 +K134*O134</f>
        <v>0</v>
      </c>
      <c r="M134" s="791">
        <f>K134+K134*P134</f>
        <v>0</v>
      </c>
      <c r="O134" s="770">
        <v>0.03</v>
      </c>
      <c r="P134" s="770">
        <f>O134</f>
        <v>0.03</v>
      </c>
      <c r="Q134" s="686"/>
      <c r="R134" s="686"/>
      <c r="S134" s="686"/>
      <c r="T134" s="686"/>
      <c r="U134" s="686"/>
      <c r="V134" s="686"/>
      <c r="W134" s="686"/>
      <c r="X134" s="687"/>
    </row>
    <row r="135" spans="3:24" s="32" customFormat="1" ht="12" customHeight="1" x14ac:dyDescent="0.2">
      <c r="C135" s="1410"/>
      <c r="D135" s="1411"/>
      <c r="E135" s="1411"/>
      <c r="F135" s="1411"/>
      <c r="G135" s="1412"/>
      <c r="H135" s="1413"/>
      <c r="I135" s="522">
        <v>0</v>
      </c>
      <c r="J135" s="763">
        <f>J134/(1+$F133)</f>
        <v>0</v>
      </c>
      <c r="K135" s="1414">
        <f>K134/(1+F133)</f>
        <v>0</v>
      </c>
      <c r="L135" s="1414"/>
      <c r="M135" s="764">
        <f>M134/(1+F133)</f>
        <v>0</v>
      </c>
      <c r="O135" s="966"/>
      <c r="P135" s="967"/>
      <c r="Q135" s="686"/>
      <c r="R135" s="686"/>
      <c r="S135" s="686"/>
      <c r="T135" s="686"/>
      <c r="U135" s="686"/>
      <c r="V135" s="686"/>
      <c r="W135" s="686"/>
      <c r="X135" s="687"/>
    </row>
    <row r="136" spans="3:24" s="32" customFormat="1" ht="12" customHeight="1" x14ac:dyDescent="0.2">
      <c r="C136" s="1415" t="s">
        <v>358</v>
      </c>
      <c r="D136" s="1416"/>
      <c r="E136" s="1416"/>
      <c r="F136" s="1416"/>
      <c r="G136" s="1417"/>
      <c r="H136" s="1418"/>
      <c r="I136" s="446">
        <f>J136/J$33</f>
        <v>0</v>
      </c>
      <c r="J136" s="790">
        <v>0</v>
      </c>
      <c r="K136" s="1392">
        <f>(J136+J136*O136)*12/J$33</f>
        <v>0</v>
      </c>
      <c r="L136" s="1392" t="e">
        <f>K136*12/K$11</f>
        <v>#VALUE!</v>
      </c>
      <c r="M136" s="790">
        <f>K136+K136*P136</f>
        <v>0</v>
      </c>
      <c r="O136" s="770">
        <v>0</v>
      </c>
      <c r="P136" s="770">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972"/>
      <c r="P137" s="973"/>
      <c r="Q137" s="691"/>
      <c r="R137" s="691"/>
      <c r="S137" s="691"/>
      <c r="T137" s="691"/>
      <c r="U137" s="691"/>
      <c r="V137" s="691"/>
      <c r="W137" s="691"/>
      <c r="X137" s="692"/>
    </row>
    <row r="138" spans="3:24" s="32" customFormat="1" ht="12" customHeight="1" x14ac:dyDescent="0.2">
      <c r="C138" s="1402">
        <v>0</v>
      </c>
      <c r="D138" s="1403"/>
      <c r="E138" s="1403"/>
      <c r="F138" s="1404">
        <v>0</v>
      </c>
      <c r="G138" s="1405"/>
      <c r="H138" s="617" t="s">
        <v>359</v>
      </c>
      <c r="I138" s="454">
        <f>J138/J$33</f>
        <v>0</v>
      </c>
      <c r="J138" s="447">
        <f>J140*J141</f>
        <v>0</v>
      </c>
      <c r="K138" s="1105">
        <f>K140*K141</f>
        <v>0</v>
      </c>
      <c r="L138" s="1105"/>
      <c r="M138" s="447">
        <f>M140*M141</f>
        <v>0</v>
      </c>
      <c r="O138" s="953"/>
      <c r="P138" s="954"/>
      <c r="Q138" s="686"/>
      <c r="R138" s="686"/>
      <c r="S138" s="686"/>
      <c r="T138" s="686"/>
      <c r="U138" s="686"/>
      <c r="V138" s="686"/>
      <c r="W138" s="686"/>
      <c r="X138" s="687"/>
    </row>
    <row r="139" spans="3:24" s="32" customFormat="1" ht="12" customHeight="1" x14ac:dyDescent="0.2">
      <c r="C139" s="1406" t="s">
        <v>356</v>
      </c>
      <c r="D139" s="1407"/>
      <c r="E139" s="1407"/>
      <c r="F139" s="1407"/>
      <c r="G139" s="1408"/>
      <c r="H139" s="1409"/>
      <c r="I139" s="448"/>
      <c r="J139" s="791">
        <v>0</v>
      </c>
      <c r="K139" s="1394">
        <f>J139+J139*O139</f>
        <v>0</v>
      </c>
      <c r="L139" s="1394">
        <f>K139 +K139*O139</f>
        <v>0</v>
      </c>
      <c r="M139" s="791">
        <f>K139+K139*P139</f>
        <v>0</v>
      </c>
      <c r="O139" s="770">
        <v>0.03</v>
      </c>
      <c r="P139" s="770">
        <f>O139</f>
        <v>0.03</v>
      </c>
      <c r="Q139" s="686"/>
      <c r="R139" s="686"/>
      <c r="S139" s="686"/>
      <c r="T139" s="686"/>
      <c r="U139" s="686"/>
      <c r="V139" s="686"/>
      <c r="W139" s="686"/>
      <c r="X139" s="687"/>
    </row>
    <row r="140" spans="3:24" s="32" customFormat="1" ht="12" customHeight="1" x14ac:dyDescent="0.2">
      <c r="C140" s="1410"/>
      <c r="D140" s="1411"/>
      <c r="E140" s="1411"/>
      <c r="F140" s="1411"/>
      <c r="G140" s="1412"/>
      <c r="H140" s="1413"/>
      <c r="I140" s="522">
        <v>0</v>
      </c>
      <c r="J140" s="763">
        <f>J139/(1+$F138)</f>
        <v>0</v>
      </c>
      <c r="K140" s="1414">
        <f>K139/(1+F138)</f>
        <v>0</v>
      </c>
      <c r="L140" s="1414"/>
      <c r="M140" s="764">
        <f>M139/(1+F138)</f>
        <v>0</v>
      </c>
      <c r="O140" s="951"/>
      <c r="P140" s="952"/>
      <c r="Q140" s="686"/>
      <c r="R140" s="686"/>
      <c r="S140" s="686"/>
      <c r="T140" s="686"/>
      <c r="U140" s="686"/>
      <c r="V140" s="686"/>
      <c r="W140" s="686"/>
      <c r="X140" s="687"/>
    </row>
    <row r="141" spans="3:24" s="32" customFormat="1" ht="12" customHeight="1" x14ac:dyDescent="0.2">
      <c r="C141" s="1415" t="s">
        <v>358</v>
      </c>
      <c r="D141" s="1416"/>
      <c r="E141" s="1416"/>
      <c r="F141" s="1416"/>
      <c r="G141" s="1417"/>
      <c r="H141" s="1418"/>
      <c r="I141" s="446">
        <f>J141/J$33</f>
        <v>0</v>
      </c>
      <c r="J141" s="790">
        <v>0</v>
      </c>
      <c r="K141" s="1392">
        <f>(J141+J141*O141)*12/J$33</f>
        <v>0</v>
      </c>
      <c r="L141" s="1392" t="e">
        <f>K141*12/K$11</f>
        <v>#VALUE!</v>
      </c>
      <c r="M141" s="790">
        <f>K141+K141*P141</f>
        <v>0</v>
      </c>
      <c r="O141" s="770">
        <v>0</v>
      </c>
      <c r="P141" s="770">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972"/>
      <c r="P142" s="973"/>
      <c r="Q142" s="691"/>
      <c r="R142" s="691"/>
      <c r="S142" s="691"/>
      <c r="T142" s="691"/>
      <c r="U142" s="691"/>
      <c r="V142" s="691"/>
      <c r="W142" s="691"/>
      <c r="X142" s="692"/>
    </row>
    <row r="143" spans="3:24" s="32" customFormat="1" ht="12" customHeight="1" x14ac:dyDescent="0.2">
      <c r="C143" s="1402">
        <v>0</v>
      </c>
      <c r="D143" s="1403"/>
      <c r="E143" s="1403"/>
      <c r="F143" s="1404">
        <v>0</v>
      </c>
      <c r="G143" s="1405"/>
      <c r="H143" s="617" t="s">
        <v>359</v>
      </c>
      <c r="I143" s="454">
        <f>J143/J$33</f>
        <v>0</v>
      </c>
      <c r="J143" s="447">
        <f>J145*J146</f>
        <v>0</v>
      </c>
      <c r="K143" s="1105">
        <f>K145*K146</f>
        <v>0</v>
      </c>
      <c r="L143" s="1105"/>
      <c r="M143" s="447">
        <f>M145*M146</f>
        <v>0</v>
      </c>
      <c r="O143" s="951"/>
      <c r="P143" s="952"/>
      <c r="Q143" s="686"/>
      <c r="R143" s="686"/>
      <c r="S143" s="686"/>
      <c r="T143" s="686"/>
      <c r="U143" s="686"/>
      <c r="V143" s="686"/>
      <c r="W143" s="686"/>
      <c r="X143" s="687"/>
    </row>
    <row r="144" spans="3:24" s="32" customFormat="1" ht="12" customHeight="1" x14ac:dyDescent="0.2">
      <c r="C144" s="1406" t="s">
        <v>356</v>
      </c>
      <c r="D144" s="1407"/>
      <c r="E144" s="1407"/>
      <c r="F144" s="1407"/>
      <c r="G144" s="1408"/>
      <c r="H144" s="1409"/>
      <c r="I144" s="448"/>
      <c r="J144" s="791">
        <v>0</v>
      </c>
      <c r="K144" s="1394">
        <f>J144+J144*O144</f>
        <v>0</v>
      </c>
      <c r="L144" s="1394">
        <f>K144 +K144*O144</f>
        <v>0</v>
      </c>
      <c r="M144" s="791">
        <f>K144+K144*P144</f>
        <v>0</v>
      </c>
      <c r="O144" s="770">
        <v>0.03</v>
      </c>
      <c r="P144" s="770">
        <f>O144</f>
        <v>0.03</v>
      </c>
      <c r="Q144" s="686"/>
      <c r="R144" s="686"/>
      <c r="S144" s="686"/>
      <c r="T144" s="686"/>
      <c r="U144" s="686"/>
      <c r="V144" s="686"/>
      <c r="W144" s="686"/>
      <c r="X144" s="687"/>
    </row>
    <row r="145" spans="2:24" s="32" customFormat="1" ht="12" customHeight="1" x14ac:dyDescent="0.2">
      <c r="C145" s="1410"/>
      <c r="D145" s="1411"/>
      <c r="E145" s="1411"/>
      <c r="F145" s="1411"/>
      <c r="G145" s="1412"/>
      <c r="H145" s="1413"/>
      <c r="I145" s="522">
        <v>0</v>
      </c>
      <c r="J145" s="763">
        <f>J144/(1+$F143)</f>
        <v>0</v>
      </c>
      <c r="K145" s="1414">
        <f>K144/(1+F143)</f>
        <v>0</v>
      </c>
      <c r="L145" s="1414"/>
      <c r="M145" s="764">
        <f>M144/(1+F143)</f>
        <v>0</v>
      </c>
      <c r="O145" s="951"/>
      <c r="P145" s="952"/>
      <c r="Q145" s="686"/>
      <c r="R145" s="686"/>
      <c r="S145" s="686"/>
      <c r="T145" s="686"/>
      <c r="U145" s="686"/>
      <c r="V145" s="686"/>
      <c r="W145" s="686"/>
      <c r="X145" s="687"/>
    </row>
    <row r="146" spans="2:24" s="32" customFormat="1" ht="12" customHeight="1" x14ac:dyDescent="0.2">
      <c r="C146" s="1415" t="s">
        <v>358</v>
      </c>
      <c r="D146" s="1416"/>
      <c r="E146" s="1416"/>
      <c r="F146" s="1416"/>
      <c r="G146" s="1417"/>
      <c r="H146" s="1418"/>
      <c r="I146" s="446">
        <f>J146/J$33</f>
        <v>0</v>
      </c>
      <c r="J146" s="790">
        <v>0</v>
      </c>
      <c r="K146" s="1392">
        <f>(J146+J146*O146)*12/J$33</f>
        <v>0</v>
      </c>
      <c r="L146" s="1392" t="e">
        <f>K146*12/K$11</f>
        <v>#VALUE!</v>
      </c>
      <c r="M146" s="790">
        <f>K146+K146*P146</f>
        <v>0</v>
      </c>
      <c r="O146" s="770">
        <v>0</v>
      </c>
      <c r="P146" s="770">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972"/>
      <c r="P147" s="973"/>
      <c r="Q147" s="691"/>
      <c r="R147" s="691"/>
      <c r="S147" s="691"/>
      <c r="T147" s="691"/>
      <c r="U147" s="691"/>
      <c r="V147" s="691"/>
      <c r="W147" s="691"/>
      <c r="X147" s="692"/>
    </row>
    <row r="148" spans="2:24" s="32" customFormat="1" ht="12" customHeight="1" x14ac:dyDescent="0.2">
      <c r="C148" s="1419">
        <v>0</v>
      </c>
      <c r="D148" s="1420"/>
      <c r="E148" s="1421"/>
      <c r="F148" s="1422">
        <v>0</v>
      </c>
      <c r="G148" s="1405"/>
      <c r="H148" s="617" t="s">
        <v>359</v>
      </c>
      <c r="I148" s="454">
        <f>J148/J$33</f>
        <v>0</v>
      </c>
      <c r="J148" s="447">
        <f>J150*J151</f>
        <v>0</v>
      </c>
      <c r="K148" s="1105">
        <f>K150*K151</f>
        <v>0</v>
      </c>
      <c r="L148" s="1105"/>
      <c r="M148" s="447">
        <f>M150*M151</f>
        <v>0</v>
      </c>
      <c r="O148" s="951"/>
      <c r="P148" s="952"/>
      <c r="Q148" s="686"/>
      <c r="R148" s="686"/>
      <c r="S148" s="686"/>
      <c r="T148" s="686"/>
      <c r="U148" s="686"/>
      <c r="V148" s="686"/>
      <c r="W148" s="686"/>
      <c r="X148" s="687"/>
    </row>
    <row r="149" spans="2:24" s="32" customFormat="1" ht="12" customHeight="1" x14ac:dyDescent="0.2">
      <c r="C149" s="1406" t="s">
        <v>356</v>
      </c>
      <c r="D149" s="1407"/>
      <c r="E149" s="1407"/>
      <c r="F149" s="1407"/>
      <c r="G149" s="1408"/>
      <c r="H149" s="1409"/>
      <c r="I149" s="448"/>
      <c r="J149" s="791">
        <v>0</v>
      </c>
      <c r="K149" s="1394">
        <f>J149+J149*O149</f>
        <v>0</v>
      </c>
      <c r="L149" s="1394">
        <f>K149 +K149*O149</f>
        <v>0</v>
      </c>
      <c r="M149" s="791">
        <f>K149+K149*P149</f>
        <v>0</v>
      </c>
      <c r="O149" s="770">
        <v>0.03</v>
      </c>
      <c r="P149" s="770">
        <f>O149</f>
        <v>0.03</v>
      </c>
      <c r="Q149" s="686"/>
      <c r="R149" s="686"/>
      <c r="S149" s="686"/>
      <c r="T149" s="686"/>
      <c r="U149" s="686"/>
      <c r="V149" s="686"/>
      <c r="W149" s="686"/>
      <c r="X149" s="687"/>
    </row>
    <row r="150" spans="2:24" s="32" customFormat="1" ht="12" customHeight="1" x14ac:dyDescent="0.2">
      <c r="C150" s="1410"/>
      <c r="D150" s="1411"/>
      <c r="E150" s="1411"/>
      <c r="F150" s="1411"/>
      <c r="G150" s="1412"/>
      <c r="H150" s="1413"/>
      <c r="I150" s="522">
        <v>0</v>
      </c>
      <c r="J150" s="763">
        <f>J149/(1+$F148)</f>
        <v>0</v>
      </c>
      <c r="K150" s="1414">
        <f>K149/(1+F148)</f>
        <v>0</v>
      </c>
      <c r="L150" s="1414"/>
      <c r="M150" s="764">
        <f>M149/(1+F148)</f>
        <v>0</v>
      </c>
      <c r="O150" s="951"/>
      <c r="P150" s="952"/>
      <c r="Q150" s="686"/>
      <c r="R150" s="686"/>
      <c r="S150" s="686"/>
      <c r="T150" s="686"/>
      <c r="U150" s="686"/>
      <c r="V150" s="686"/>
      <c r="W150" s="686"/>
      <c r="X150" s="687"/>
    </row>
    <row r="151" spans="2:24" s="32" customFormat="1" ht="12" customHeight="1" x14ac:dyDescent="0.2">
      <c r="C151" s="1415" t="s">
        <v>358</v>
      </c>
      <c r="D151" s="1416"/>
      <c r="E151" s="1416"/>
      <c r="F151" s="1416"/>
      <c r="G151" s="1417"/>
      <c r="H151" s="1418"/>
      <c r="I151" s="446">
        <f>J151/J$33</f>
        <v>0</v>
      </c>
      <c r="J151" s="790">
        <v>0</v>
      </c>
      <c r="K151" s="1392">
        <f>(J151+J151*O151)*12/J$33</f>
        <v>0</v>
      </c>
      <c r="L151" s="1392" t="e">
        <f>K151*12/K$11</f>
        <v>#VALUE!</v>
      </c>
      <c r="M151" s="790">
        <f>K151+K151*P151</f>
        <v>0</v>
      </c>
      <c r="O151" s="770">
        <v>0</v>
      </c>
      <c r="P151" s="770">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974"/>
      <c r="P152" s="975"/>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I119</f>
        <v>1. ACCOUNTING PERIOD</v>
      </c>
      <c r="J153" s="1123"/>
      <c r="K153" s="1123" t="str">
        <f>K119</f>
        <v>2. PERIOD</v>
      </c>
      <c r="L153" s="1123"/>
      <c r="M153" s="545" t="str">
        <f>M119</f>
        <v>3. PERIOD</v>
      </c>
      <c r="O153" s="976"/>
      <c r="P153" s="971"/>
      <c r="Q153" s="686"/>
      <c r="R153" s="686"/>
      <c r="S153" s="686"/>
      <c r="T153" s="686"/>
      <c r="U153" s="695"/>
      <c r="V153" s="686"/>
      <c r="W153" s="686"/>
      <c r="X153" s="687"/>
    </row>
    <row r="154" spans="2:24" ht="15" customHeight="1" x14ac:dyDescent="0.2">
      <c r="C154" s="1122"/>
      <c r="D154" s="1122"/>
      <c r="E154" s="1122"/>
      <c r="F154" s="1122"/>
      <c r="G154" s="1122"/>
      <c r="H154" s="1122"/>
      <c r="I154" s="706" t="str">
        <f>I120</f>
        <v>Per month</v>
      </c>
      <c r="J154" s="546">
        <f>J120</f>
        <v>2027</v>
      </c>
      <c r="K154" s="1124">
        <f>K120</f>
        <v>2028</v>
      </c>
      <c r="L154" s="1124"/>
      <c r="M154" s="546">
        <f>M120</f>
        <v>2029</v>
      </c>
      <c r="O154" s="976"/>
      <c r="P154" s="971"/>
      <c r="Q154" s="686"/>
      <c r="R154" s="686"/>
      <c r="S154" s="686"/>
      <c r="T154" s="686"/>
      <c r="U154" s="686"/>
      <c r="V154" s="686"/>
      <c r="W154" s="686"/>
      <c r="X154" s="687"/>
    </row>
    <row r="155" spans="2:24" ht="12.75" customHeight="1" x14ac:dyDescent="0.2">
      <c r="B155" s="254"/>
      <c r="C155" s="1423" t="str">
        <f>C121</f>
        <v xml:space="preserve"> Length of the accounting period (months)</v>
      </c>
      <c r="D155" s="1424"/>
      <c r="E155" s="581"/>
      <c r="F155" s="581"/>
      <c r="G155" s="581"/>
      <c r="H155" s="582"/>
      <c r="I155" s="460"/>
      <c r="J155" s="583">
        <f>J121</f>
        <v>12</v>
      </c>
      <c r="K155" s="1148">
        <f>K121</f>
        <v>12</v>
      </c>
      <c r="L155" s="1149"/>
      <c r="M155" s="584">
        <f>M121</f>
        <v>12</v>
      </c>
      <c r="O155" s="976"/>
      <c r="P155" s="971"/>
      <c r="Q155" s="686"/>
      <c r="R155" s="686"/>
      <c r="S155" s="686"/>
      <c r="T155" s="686"/>
      <c r="U155" s="686"/>
      <c r="V155" s="686"/>
      <c r="W155" s="686"/>
      <c r="X155" s="687"/>
    </row>
    <row r="156" spans="2:24" s="32" customFormat="1" ht="12" customHeight="1" x14ac:dyDescent="0.2">
      <c r="B156" s="613"/>
      <c r="C156" s="618"/>
      <c r="D156" s="292"/>
      <c r="E156" s="292"/>
      <c r="F156" s="1428"/>
      <c r="G156" s="1428"/>
      <c r="H156" s="619"/>
      <c r="I156" s="461"/>
      <c r="J156" s="456"/>
      <c r="K156" s="1230"/>
      <c r="L156" s="1231"/>
      <c r="M156" s="544"/>
      <c r="O156" s="976"/>
      <c r="P156" s="971"/>
      <c r="Q156" s="686"/>
      <c r="R156" s="686"/>
      <c r="S156" s="686"/>
      <c r="T156" s="686"/>
      <c r="U156" s="686"/>
      <c r="V156" s="686"/>
      <c r="W156" s="686"/>
      <c r="X156" s="687"/>
    </row>
    <row r="157" spans="2:24" s="32" customFormat="1" ht="12.75" customHeight="1" x14ac:dyDescent="0.2">
      <c r="B157" s="613"/>
      <c r="C157" s="618"/>
      <c r="D157" s="292"/>
      <c r="E157" s="292"/>
      <c r="F157" s="761"/>
      <c r="G157" s="761"/>
      <c r="H157" s="619"/>
      <c r="I157" s="459"/>
      <c r="J157" s="456"/>
      <c r="K157" s="1259"/>
      <c r="L157" s="1260"/>
      <c r="M157" s="458"/>
      <c r="O157" s="976"/>
      <c r="P157" s="971"/>
      <c r="Q157" s="686"/>
      <c r="R157" s="686"/>
      <c r="S157" s="686"/>
      <c r="T157" s="686"/>
      <c r="U157" s="686"/>
      <c r="V157" s="686"/>
      <c r="W157" s="686"/>
      <c r="X157" s="687"/>
    </row>
    <row r="158" spans="2:24" s="32" customFormat="1" ht="12" customHeight="1" x14ac:dyDescent="0.2">
      <c r="C158" s="1429" t="s">
        <v>363</v>
      </c>
      <c r="D158" s="1430"/>
      <c r="E158" s="1430"/>
      <c r="F158" s="765">
        <v>0</v>
      </c>
      <c r="G158" s="765">
        <v>0</v>
      </c>
      <c r="H158" s="455" t="s">
        <v>359</v>
      </c>
      <c r="I158" s="454">
        <f>J158/J$33</f>
        <v>0</v>
      </c>
      <c r="J158" s="447">
        <f>J159/(1+$F158)*J160</f>
        <v>0</v>
      </c>
      <c r="K158" s="1105">
        <f>K159/(1+F158)*K160</f>
        <v>0</v>
      </c>
      <c r="L158" s="1105"/>
      <c r="M158" s="447">
        <f>M160*M159/(1+F158)</f>
        <v>0</v>
      </c>
      <c r="O158" s="1400" t="s">
        <v>387</v>
      </c>
      <c r="P158" s="1401"/>
      <c r="Q158" s="686"/>
      <c r="R158" s="686"/>
      <c r="S158" s="686"/>
      <c r="T158" s="686"/>
      <c r="U158" s="686"/>
      <c r="V158" s="686"/>
      <c r="W158" s="686"/>
      <c r="X158" s="687"/>
    </row>
    <row r="159" spans="2:24" s="32" customFormat="1" ht="12.75" customHeight="1" x14ac:dyDescent="0.2">
      <c r="C159" s="1407" t="s">
        <v>464</v>
      </c>
      <c r="D159" s="1407"/>
      <c r="E159" s="1407"/>
      <c r="F159" s="1407"/>
      <c r="G159" s="1408"/>
      <c r="H159" s="1409"/>
      <c r="I159" s="522">
        <v>0</v>
      </c>
      <c r="J159" s="791">
        <v>0</v>
      </c>
      <c r="K159" s="1394">
        <f>J159+J159*O159</f>
        <v>0</v>
      </c>
      <c r="L159" s="1394">
        <f>K159 +K159*O159</f>
        <v>0</v>
      </c>
      <c r="M159" s="791">
        <f>K159+K159*P159</f>
        <v>0</v>
      </c>
      <c r="O159" s="770">
        <v>0.03</v>
      </c>
      <c r="P159" s="770">
        <f>O159</f>
        <v>0.03</v>
      </c>
      <c r="Q159" s="686"/>
      <c r="R159" s="686"/>
      <c r="S159" s="686"/>
      <c r="T159" s="686"/>
      <c r="U159" s="686"/>
      <c r="V159" s="686"/>
      <c r="W159" s="686"/>
      <c r="X159" s="687"/>
    </row>
    <row r="160" spans="2:24" s="32" customFormat="1" ht="12.75" customHeight="1" x14ac:dyDescent="0.2">
      <c r="C160" s="1425" t="s">
        <v>365</v>
      </c>
      <c r="D160" s="1425"/>
      <c r="E160" s="1425"/>
      <c r="F160" s="1425"/>
      <c r="G160" s="1426"/>
      <c r="H160" s="1427"/>
      <c r="I160" s="446">
        <f>J160/J$33</f>
        <v>0</v>
      </c>
      <c r="J160" s="790">
        <v>0</v>
      </c>
      <c r="K160" s="1392">
        <f>(J160+J160*O160)*12/J$33</f>
        <v>0</v>
      </c>
      <c r="L160" s="1392" t="e">
        <f>K160*12/K$11</f>
        <v>#VALUE!</v>
      </c>
      <c r="M160" s="790">
        <f>K160+K160*P160</f>
        <v>0</v>
      </c>
      <c r="O160" s="770">
        <v>0</v>
      </c>
      <c r="P160" s="770">
        <f>O160</f>
        <v>0</v>
      </c>
      <c r="Q160" s="686"/>
      <c r="R160" s="686"/>
      <c r="S160" s="686"/>
      <c r="T160" s="686"/>
      <c r="U160" s="686"/>
      <c r="V160" s="686"/>
      <c r="W160" s="686"/>
      <c r="X160" s="687"/>
    </row>
    <row r="161" spans="3:37" s="32" customFormat="1" ht="12.75" customHeight="1" x14ac:dyDescent="0.2">
      <c r="C161" s="1425" t="s">
        <v>465</v>
      </c>
      <c r="D161" s="1425"/>
      <c r="E161" s="1425"/>
      <c r="F161" s="1425"/>
      <c r="G161" s="1426"/>
      <c r="H161" s="1427"/>
      <c r="I161" s="522">
        <v>0</v>
      </c>
      <c r="J161" s="791">
        <v>0</v>
      </c>
      <c r="K161" s="1394">
        <f>J161+J161*O161</f>
        <v>0</v>
      </c>
      <c r="L161" s="1394">
        <f>K161 +K161*O161</f>
        <v>0</v>
      </c>
      <c r="M161" s="791">
        <f>K161+K161*P161</f>
        <v>0</v>
      </c>
      <c r="O161" s="770">
        <v>0.03</v>
      </c>
      <c r="P161" s="770">
        <f>O161</f>
        <v>0.03</v>
      </c>
      <c r="Q161" s="686"/>
      <c r="R161" s="686"/>
      <c r="S161" s="686"/>
      <c r="T161" s="686"/>
      <c r="U161" s="686"/>
      <c r="V161" s="686"/>
      <c r="W161" s="686"/>
      <c r="X161" s="687"/>
    </row>
    <row r="162" spans="3:37" s="32" customFormat="1" ht="12.75" customHeight="1" x14ac:dyDescent="0.2">
      <c r="C162" s="1425"/>
      <c r="D162" s="1425"/>
      <c r="E162" s="1425"/>
      <c r="F162" s="1425"/>
      <c r="G162" s="1426"/>
      <c r="H162" s="1427"/>
      <c r="I162" s="522">
        <v>0</v>
      </c>
      <c r="J162" s="763">
        <f>J161/(1+$G158)</f>
        <v>0</v>
      </c>
      <c r="K162" s="1414">
        <f t="shared" ref="K162:L162" si="29">K161/(1+$G158)</f>
        <v>0</v>
      </c>
      <c r="L162" s="1414">
        <f t="shared" si="29"/>
        <v>0</v>
      </c>
      <c r="M162" s="763">
        <f>M161/(1+$G158)</f>
        <v>0</v>
      </c>
      <c r="N162" s="620"/>
      <c r="O162" s="951"/>
      <c r="P162" s="952"/>
      <c r="Q162" s="686"/>
      <c r="R162" s="686"/>
      <c r="S162" s="686"/>
      <c r="T162" s="686"/>
      <c r="U162" s="686"/>
      <c r="V162" s="686"/>
      <c r="W162" s="686"/>
      <c r="X162" s="687"/>
    </row>
    <row r="163" spans="3:37" s="32" customFormat="1" ht="12.75" customHeight="1" x14ac:dyDescent="0.2">
      <c r="C163" s="1425" t="s">
        <v>368</v>
      </c>
      <c r="D163" s="1425"/>
      <c r="E163" s="1425"/>
      <c r="F163" s="1425"/>
      <c r="G163" s="1426"/>
      <c r="H163" s="1427"/>
      <c r="I163" s="522">
        <v>0</v>
      </c>
      <c r="J163" s="453">
        <f>IF(J159=0,0,(J159/(1+$F158)-J162)/(J159/(1+$F158)))</f>
        <v>0</v>
      </c>
      <c r="K163" s="1220">
        <f t="shared" ref="K163:L163" si="30">IF(K159=0,0,(K159/(1+$F158)-K162)/(K159/(1+$F158)))</f>
        <v>0</v>
      </c>
      <c r="L163" s="1220">
        <f t="shared" si="30"/>
        <v>0</v>
      </c>
      <c r="M163" s="453">
        <f>IF(M159=0,0,(M159/(1+$F158)-M162)/(M159/(1+$F158)))</f>
        <v>0</v>
      </c>
      <c r="N163" s="610"/>
      <c r="O163" s="977"/>
      <c r="P163" s="952"/>
      <c r="Q163" s="686"/>
      <c r="R163" s="686"/>
      <c r="S163" s="686"/>
      <c r="T163" s="686"/>
      <c r="U163" s="686"/>
      <c r="V163" s="686"/>
      <c r="W163" s="686"/>
      <c r="X163" s="687"/>
    </row>
    <row r="164" spans="3:37" s="32" customFormat="1" ht="12.75" customHeight="1" x14ac:dyDescent="0.2">
      <c r="C164" s="1431" t="s">
        <v>369</v>
      </c>
      <c r="D164" s="1432"/>
      <c r="E164" s="1432"/>
      <c r="F164" s="1432"/>
      <c r="G164" s="1433"/>
      <c r="H164" s="1434"/>
      <c r="I164" s="522">
        <v>0</v>
      </c>
      <c r="J164" s="454">
        <f>J158*J163</f>
        <v>0</v>
      </c>
      <c r="K164" s="1223">
        <f>K158*K163</f>
        <v>0</v>
      </c>
      <c r="L164" s="1223"/>
      <c r="M164" s="454">
        <f>M158*M163</f>
        <v>0</v>
      </c>
      <c r="N164" s="620"/>
      <c r="O164" s="951"/>
      <c r="P164" s="952"/>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978"/>
      <c r="P165" s="979"/>
      <c r="Q165" s="691"/>
      <c r="R165" s="691"/>
      <c r="S165" s="691"/>
      <c r="T165" s="691"/>
      <c r="U165" s="691"/>
      <c r="V165" s="691"/>
      <c r="W165" s="691"/>
      <c r="X165" s="692"/>
    </row>
    <row r="166" spans="3:37" s="32" customFormat="1" ht="12" customHeight="1" x14ac:dyDescent="0.2">
      <c r="C166" s="1430">
        <v>0</v>
      </c>
      <c r="D166" s="1430"/>
      <c r="E166" s="1430"/>
      <c r="F166" s="765">
        <v>0</v>
      </c>
      <c r="G166" s="765">
        <v>0</v>
      </c>
      <c r="H166" s="455" t="s">
        <v>359</v>
      </c>
      <c r="I166" s="454">
        <f>J166/J$33</f>
        <v>0</v>
      </c>
      <c r="J166" s="447">
        <f>J167/(1+$F166)*J168</f>
        <v>0</v>
      </c>
      <c r="K166" s="1105">
        <f>K167/(1+F166)*K168</f>
        <v>0</v>
      </c>
      <c r="L166" s="1105"/>
      <c r="M166" s="447">
        <f>M168*M167/(1+F166)</f>
        <v>0</v>
      </c>
      <c r="N166" s="621"/>
      <c r="O166" s="977"/>
      <c r="P166" s="980"/>
      <c r="Q166" s="696"/>
      <c r="R166" s="686"/>
      <c r="S166" s="686"/>
      <c r="T166" s="686"/>
      <c r="U166" s="686"/>
      <c r="V166" s="686"/>
      <c r="W166" s="686"/>
      <c r="X166" s="687"/>
    </row>
    <row r="167" spans="3:37" s="32" customFormat="1" ht="12.75" customHeight="1" x14ac:dyDescent="0.2">
      <c r="C167" s="1407" t="s">
        <v>464</v>
      </c>
      <c r="D167" s="1407"/>
      <c r="E167" s="1407"/>
      <c r="F167" s="1407"/>
      <c r="G167" s="1408"/>
      <c r="H167" s="1409"/>
      <c r="I167" s="522"/>
      <c r="J167" s="791">
        <v>0</v>
      </c>
      <c r="K167" s="1394">
        <f>J167+J167*O167</f>
        <v>0</v>
      </c>
      <c r="L167" s="1394"/>
      <c r="M167" s="791">
        <f>K167+K167*P167</f>
        <v>0</v>
      </c>
      <c r="N167" s="622"/>
      <c r="O167" s="770">
        <v>0.03</v>
      </c>
      <c r="P167" s="770">
        <f>O167</f>
        <v>0.03</v>
      </c>
      <c r="Q167" s="696"/>
      <c r="R167" s="686"/>
      <c r="S167" s="686"/>
      <c r="T167" s="686"/>
      <c r="U167" s="686"/>
      <c r="V167" s="686"/>
      <c r="W167" s="686"/>
      <c r="X167" s="687"/>
      <c r="AK167" s="623"/>
    </row>
    <row r="168" spans="3:37" s="32" customFormat="1" ht="12.75" customHeight="1" x14ac:dyDescent="0.2">
      <c r="C168" s="1425" t="s">
        <v>365</v>
      </c>
      <c r="D168" s="1425"/>
      <c r="E168" s="1425"/>
      <c r="F168" s="1425"/>
      <c r="G168" s="1426"/>
      <c r="H168" s="1427"/>
      <c r="I168" s="446">
        <f>J168/J$33</f>
        <v>0</v>
      </c>
      <c r="J168" s="790">
        <v>0</v>
      </c>
      <c r="K168" s="1392">
        <f>(J168+J168*O168)*12/J$33</f>
        <v>0</v>
      </c>
      <c r="L168" s="1392" t="e">
        <f>K168*12/K$11</f>
        <v>#VALUE!</v>
      </c>
      <c r="M168" s="790">
        <f>K168+K168*P168</f>
        <v>0</v>
      </c>
      <c r="N168" s="622"/>
      <c r="O168" s="770">
        <v>0</v>
      </c>
      <c r="P168" s="770">
        <f>O168</f>
        <v>0</v>
      </c>
      <c r="Q168" s="696"/>
      <c r="R168" s="686"/>
      <c r="S168" s="686"/>
      <c r="T168" s="686"/>
      <c r="U168" s="686"/>
      <c r="V168" s="686"/>
      <c r="W168" s="686"/>
      <c r="X168" s="687"/>
    </row>
    <row r="169" spans="3:37" s="32" customFormat="1" ht="12.75" customHeight="1" x14ac:dyDescent="0.2">
      <c r="C169" s="1425" t="s">
        <v>465</v>
      </c>
      <c r="D169" s="1425"/>
      <c r="E169" s="1425"/>
      <c r="F169" s="1425"/>
      <c r="G169" s="1426"/>
      <c r="H169" s="1427"/>
      <c r="I169" s="522"/>
      <c r="J169" s="791">
        <v>0</v>
      </c>
      <c r="K169" s="1394">
        <f>J169+J169*O169</f>
        <v>0</v>
      </c>
      <c r="L169" s="1394">
        <f>K169 +K169*O169</f>
        <v>0</v>
      </c>
      <c r="M169" s="791">
        <f>K169+K169*P169</f>
        <v>0</v>
      </c>
      <c r="N169" s="622"/>
      <c r="O169" s="770">
        <v>0.03</v>
      </c>
      <c r="P169" s="770">
        <f>O169</f>
        <v>0.03</v>
      </c>
      <c r="Q169" s="696"/>
      <c r="R169" s="686"/>
      <c r="S169" s="686"/>
      <c r="T169" s="686"/>
      <c r="U169" s="686"/>
      <c r="V169" s="686"/>
      <c r="W169" s="686"/>
      <c r="X169" s="687"/>
    </row>
    <row r="170" spans="3:37" s="32" customFormat="1" ht="12.75" customHeight="1" x14ac:dyDescent="0.2">
      <c r="C170" s="1425"/>
      <c r="D170" s="1425"/>
      <c r="E170" s="1425"/>
      <c r="F170" s="1425"/>
      <c r="G170" s="1426"/>
      <c r="H170" s="1427"/>
      <c r="I170" s="522"/>
      <c r="J170" s="763">
        <f>J169/(1+$G166)</f>
        <v>0</v>
      </c>
      <c r="K170" s="1414">
        <f>K169/(1+G166)</f>
        <v>0</v>
      </c>
      <c r="L170" s="1414"/>
      <c r="M170" s="763">
        <f>M169/(1+G166)</f>
        <v>0</v>
      </c>
      <c r="N170" s="622"/>
      <c r="O170" s="977"/>
      <c r="P170" s="980"/>
      <c r="Q170" s="696"/>
      <c r="R170" s="686"/>
      <c r="S170" s="686"/>
      <c r="T170" s="686"/>
      <c r="U170" s="686"/>
      <c r="V170" s="686"/>
      <c r="W170" s="686"/>
      <c r="X170" s="687"/>
    </row>
    <row r="171" spans="3:37" s="32" customFormat="1" ht="12.75" customHeight="1" x14ac:dyDescent="0.2">
      <c r="C171" s="1425" t="s">
        <v>368</v>
      </c>
      <c r="D171" s="1425"/>
      <c r="E171" s="1425"/>
      <c r="F171" s="1425"/>
      <c r="G171" s="1426"/>
      <c r="H171" s="1427"/>
      <c r="I171" s="522"/>
      <c r="J171" s="453">
        <f>IF(J167=0,0,(J167/(1+$F166)-J170)/(J167/(1+$F166)))</f>
        <v>0</v>
      </c>
      <c r="K171" s="1220">
        <f t="shared" ref="K171:L171" si="31">IF(K167=0,0,(K167/(1+$F166)-K170)/(K167/(1+$F166)))</f>
        <v>0</v>
      </c>
      <c r="L171" s="1220">
        <f t="shared" si="31"/>
        <v>0</v>
      </c>
      <c r="M171" s="453">
        <f>IF(M167=0,0,(M167/(1+$F166)-M170)/(M167/(1+$F166)))</f>
        <v>0</v>
      </c>
      <c r="N171" s="622"/>
      <c r="O171" s="977"/>
      <c r="P171" s="980"/>
      <c r="Q171" s="696"/>
      <c r="R171" s="686"/>
      <c r="S171" s="686"/>
      <c r="T171" s="686"/>
      <c r="U171" s="686"/>
      <c r="V171" s="686"/>
      <c r="W171" s="686"/>
      <c r="X171" s="687"/>
    </row>
    <row r="172" spans="3:37" s="32" customFormat="1" ht="12.75" customHeight="1" x14ac:dyDescent="0.2">
      <c r="C172" s="1431" t="s">
        <v>369</v>
      </c>
      <c r="D172" s="1432"/>
      <c r="E172" s="1432"/>
      <c r="F172" s="1432"/>
      <c r="G172" s="1433"/>
      <c r="H172" s="1434"/>
      <c r="I172" s="522"/>
      <c r="J172" s="454">
        <f>J166*J171</f>
        <v>0</v>
      </c>
      <c r="K172" s="1223">
        <f>K166*K171</f>
        <v>0</v>
      </c>
      <c r="L172" s="1223"/>
      <c r="M172" s="454">
        <f>M166*M171</f>
        <v>0</v>
      </c>
      <c r="N172" s="622"/>
      <c r="O172" s="977"/>
      <c r="P172" s="9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981"/>
      <c r="P173" s="979"/>
      <c r="Q173" s="691"/>
      <c r="R173" s="691"/>
      <c r="S173" s="691"/>
      <c r="T173" s="691"/>
      <c r="U173" s="691"/>
      <c r="V173" s="691"/>
      <c r="W173" s="691"/>
      <c r="X173" s="692"/>
    </row>
    <row r="174" spans="3:37" s="32" customFormat="1" ht="12" customHeight="1" x14ac:dyDescent="0.2">
      <c r="C174" s="1430">
        <v>0</v>
      </c>
      <c r="D174" s="1430"/>
      <c r="E174" s="1430"/>
      <c r="F174" s="765">
        <v>0</v>
      </c>
      <c r="G174" s="765">
        <v>0</v>
      </c>
      <c r="H174" s="455" t="s">
        <v>359</v>
      </c>
      <c r="I174" s="454">
        <f>J174/J$33</f>
        <v>0</v>
      </c>
      <c r="J174" s="447">
        <f>J175/(1+$F174)*J176</f>
        <v>0</v>
      </c>
      <c r="K174" s="1105">
        <f>K175/(1+F174)*K176</f>
        <v>0</v>
      </c>
      <c r="L174" s="1105"/>
      <c r="M174" s="447">
        <f>M176*M175/(1+F174)</f>
        <v>0</v>
      </c>
      <c r="O174" s="951"/>
      <c r="P174" s="952"/>
      <c r="Q174" s="686"/>
      <c r="R174" s="686"/>
      <c r="S174" s="686"/>
      <c r="T174" s="686"/>
      <c r="U174" s="686"/>
      <c r="V174" s="686"/>
      <c r="W174" s="686"/>
      <c r="X174" s="687"/>
    </row>
    <row r="175" spans="3:37" s="32" customFormat="1" ht="12.75" customHeight="1" x14ac:dyDescent="0.2">
      <c r="C175" s="1407" t="s">
        <v>464</v>
      </c>
      <c r="D175" s="1407"/>
      <c r="E175" s="1407"/>
      <c r="F175" s="1407"/>
      <c r="G175" s="1408"/>
      <c r="H175" s="1409"/>
      <c r="I175" s="522">
        <v>0</v>
      </c>
      <c r="J175" s="791">
        <v>0</v>
      </c>
      <c r="K175" s="1394">
        <f>J175+J175*O175</f>
        <v>0</v>
      </c>
      <c r="L175" s="1394">
        <f>K175 +K175*O175</f>
        <v>0</v>
      </c>
      <c r="M175" s="791">
        <f>K175+K175*P175</f>
        <v>0</v>
      </c>
      <c r="O175" s="770">
        <v>0.03</v>
      </c>
      <c r="P175" s="770">
        <f>O175</f>
        <v>0.03</v>
      </c>
      <c r="Q175" s="686"/>
      <c r="R175" s="686"/>
      <c r="S175" s="686"/>
      <c r="T175" s="686"/>
      <c r="U175" s="686"/>
      <c r="V175" s="686"/>
      <c r="W175" s="686"/>
      <c r="X175" s="687"/>
    </row>
    <row r="176" spans="3:37" s="32" customFormat="1" ht="12.75" customHeight="1" x14ac:dyDescent="0.2">
      <c r="C176" s="1425" t="s">
        <v>365</v>
      </c>
      <c r="D176" s="1425"/>
      <c r="E176" s="1425"/>
      <c r="F176" s="1425"/>
      <c r="G176" s="1426"/>
      <c r="H176" s="1427"/>
      <c r="I176" s="446">
        <f>J176/J$33</f>
        <v>0</v>
      </c>
      <c r="J176" s="790">
        <v>0</v>
      </c>
      <c r="K176" s="1392">
        <f>(J176+J176*O176)*12/J$33</f>
        <v>0</v>
      </c>
      <c r="L176" s="1392" t="e">
        <f>K176*12/K$11</f>
        <v>#VALUE!</v>
      </c>
      <c r="M176" s="790">
        <f>K176+K176*P176</f>
        <v>0</v>
      </c>
      <c r="O176" s="770">
        <v>0</v>
      </c>
      <c r="P176" s="770">
        <f>O176</f>
        <v>0</v>
      </c>
      <c r="Q176" s="686"/>
      <c r="R176" s="686"/>
      <c r="S176" s="686"/>
      <c r="T176" s="686"/>
      <c r="U176" s="686"/>
      <c r="V176" s="686"/>
      <c r="W176" s="686"/>
      <c r="X176" s="687"/>
    </row>
    <row r="177" spans="3:37" s="32" customFormat="1" ht="12.75" customHeight="1" x14ac:dyDescent="0.2">
      <c r="C177" s="1425" t="s">
        <v>465</v>
      </c>
      <c r="D177" s="1425"/>
      <c r="E177" s="1425"/>
      <c r="F177" s="1425"/>
      <c r="G177" s="1426"/>
      <c r="H177" s="1427"/>
      <c r="I177" s="522">
        <v>0</v>
      </c>
      <c r="J177" s="791">
        <v>0</v>
      </c>
      <c r="K177" s="1394">
        <f>J177+J177*O177</f>
        <v>0</v>
      </c>
      <c r="L177" s="1394">
        <f>K177 +K177*O177</f>
        <v>0</v>
      </c>
      <c r="M177" s="791">
        <f>K177+K177*P177</f>
        <v>0</v>
      </c>
      <c r="O177" s="770">
        <v>0.03</v>
      </c>
      <c r="P177" s="770">
        <f>O177</f>
        <v>0.03</v>
      </c>
      <c r="Q177" s="686"/>
      <c r="R177" s="686"/>
      <c r="S177" s="686"/>
      <c r="T177" s="686"/>
      <c r="U177" s="686"/>
      <c r="V177" s="686"/>
      <c r="W177" s="686"/>
      <c r="X177" s="687"/>
    </row>
    <row r="178" spans="3:37" s="32" customFormat="1" ht="12.75" customHeight="1" x14ac:dyDescent="0.2">
      <c r="C178" s="1425"/>
      <c r="D178" s="1425"/>
      <c r="E178" s="1425"/>
      <c r="F178" s="1425"/>
      <c r="G178" s="1426"/>
      <c r="H178" s="1427"/>
      <c r="I178" s="522">
        <v>0</v>
      </c>
      <c r="J178" s="450">
        <f>J177/(1+$G174)</f>
        <v>0</v>
      </c>
      <c r="K178" s="1156">
        <f>K177/(1+G174)</f>
        <v>0</v>
      </c>
      <c r="L178" s="1156"/>
      <c r="M178" s="450">
        <f>M177/(1+G174)</f>
        <v>0</v>
      </c>
      <c r="O178" s="951"/>
      <c r="P178" s="952"/>
      <c r="Q178" s="686"/>
      <c r="R178" s="686"/>
      <c r="S178" s="686"/>
      <c r="T178" s="686"/>
      <c r="U178" s="686"/>
      <c r="V178" s="686"/>
      <c r="W178" s="686"/>
      <c r="X178" s="687"/>
    </row>
    <row r="179" spans="3:37" s="32" customFormat="1" ht="12.75" customHeight="1" x14ac:dyDescent="0.2">
      <c r="C179" s="1425" t="s">
        <v>368</v>
      </c>
      <c r="D179" s="1425"/>
      <c r="E179" s="1425"/>
      <c r="F179" s="1425"/>
      <c r="G179" s="1426"/>
      <c r="H179" s="1427"/>
      <c r="I179" s="522">
        <v>0</v>
      </c>
      <c r="J179" s="453">
        <f>IF(J175=0,0,(J175/(1+$F174)-J178)/(J175/(1+$F174)))</f>
        <v>0</v>
      </c>
      <c r="K179" s="1220">
        <f t="shared" ref="K179:L179" si="32">IF(K175=0,0,(K175/(1+$F174)-K178)/(K175/(1+$F174)))</f>
        <v>0</v>
      </c>
      <c r="L179" s="1220">
        <f t="shared" si="32"/>
        <v>0</v>
      </c>
      <c r="M179" s="453">
        <f>IF(M175=0,0,(M175/(1+$F174)-M178)/(M175/(1+$F174)))</f>
        <v>0</v>
      </c>
      <c r="N179" s="609"/>
      <c r="O179" s="951"/>
      <c r="P179" s="952"/>
      <c r="Q179" s="686"/>
      <c r="R179" s="686"/>
      <c r="S179" s="686"/>
      <c r="T179" s="686"/>
      <c r="U179" s="686"/>
      <c r="V179" s="686"/>
      <c r="W179" s="686"/>
      <c r="X179" s="687"/>
    </row>
    <row r="180" spans="3:37" s="32" customFormat="1" ht="12.75" customHeight="1" x14ac:dyDescent="0.2">
      <c r="C180" s="1431" t="s">
        <v>369</v>
      </c>
      <c r="D180" s="1432"/>
      <c r="E180" s="1432"/>
      <c r="F180" s="1432"/>
      <c r="G180" s="1433"/>
      <c r="H180" s="1434"/>
      <c r="I180" s="522">
        <v>0</v>
      </c>
      <c r="J180" s="454">
        <f>J174*J179</f>
        <v>0</v>
      </c>
      <c r="K180" s="1223">
        <f>K174*K179</f>
        <v>0</v>
      </c>
      <c r="L180" s="1223"/>
      <c r="M180" s="454">
        <f>M174*M179</f>
        <v>0</v>
      </c>
      <c r="N180" s="609"/>
      <c r="O180" s="951"/>
      <c r="P180" s="952"/>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964"/>
      <c r="P181" s="965"/>
      <c r="Q181" s="691"/>
      <c r="R181" s="691"/>
      <c r="S181" s="691"/>
      <c r="T181" s="691"/>
      <c r="U181" s="691"/>
      <c r="V181" s="691"/>
      <c r="W181" s="691"/>
      <c r="X181" s="692"/>
    </row>
    <row r="182" spans="3:37" s="32" customFormat="1" ht="12" customHeight="1" x14ac:dyDescent="0.2">
      <c r="C182" s="1430">
        <v>0</v>
      </c>
      <c r="D182" s="1430"/>
      <c r="E182" s="1430"/>
      <c r="F182" s="765">
        <v>0</v>
      </c>
      <c r="G182" s="765">
        <v>0</v>
      </c>
      <c r="H182" s="455" t="s">
        <v>359</v>
      </c>
      <c r="I182" s="709">
        <f>J182/J$33</f>
        <v>0</v>
      </c>
      <c r="J182" s="447">
        <f>J183/(1+$F182)*J184</f>
        <v>0</v>
      </c>
      <c r="K182" s="1105">
        <f>K183/(1+F182)*K184</f>
        <v>0</v>
      </c>
      <c r="L182" s="1105"/>
      <c r="M182" s="447">
        <f>M184*M183/(1+F182)</f>
        <v>0</v>
      </c>
      <c r="O182" s="951"/>
      <c r="P182" s="952"/>
      <c r="Q182" s="686"/>
      <c r="R182" s="686"/>
      <c r="S182" s="686"/>
      <c r="T182" s="686"/>
      <c r="U182" s="686"/>
      <c r="V182" s="686"/>
      <c r="W182" s="686"/>
      <c r="X182" s="687"/>
    </row>
    <row r="183" spans="3:37" s="32" customFormat="1" ht="12.75" customHeight="1" x14ac:dyDescent="0.2">
      <c r="C183" s="1407" t="s">
        <v>464</v>
      </c>
      <c r="D183" s="1407"/>
      <c r="E183" s="1407"/>
      <c r="F183" s="1407"/>
      <c r="G183" s="1408"/>
      <c r="H183" s="1409"/>
      <c r="I183" s="446">
        <v>0</v>
      </c>
      <c r="J183" s="791">
        <v>0</v>
      </c>
      <c r="K183" s="1394">
        <f>J183+J183*O183</f>
        <v>0</v>
      </c>
      <c r="L183" s="1394">
        <f>K183 +K183*O183</f>
        <v>0</v>
      </c>
      <c r="M183" s="791">
        <f>K183+K183*P183</f>
        <v>0</v>
      </c>
      <c r="O183" s="770">
        <v>0.03</v>
      </c>
      <c r="P183" s="770">
        <f>O183</f>
        <v>0.03</v>
      </c>
      <c r="Q183" s="686"/>
      <c r="R183" s="686"/>
      <c r="S183" s="686"/>
      <c r="T183" s="686"/>
      <c r="U183" s="686"/>
      <c r="V183" s="686"/>
      <c r="W183" s="686"/>
      <c r="X183" s="687"/>
    </row>
    <row r="184" spans="3:37" s="32" customFormat="1" ht="12.75" customHeight="1" x14ac:dyDescent="0.2">
      <c r="C184" s="1425" t="s">
        <v>365</v>
      </c>
      <c r="D184" s="1425"/>
      <c r="E184" s="1425"/>
      <c r="F184" s="1425"/>
      <c r="G184" s="1426"/>
      <c r="H184" s="1427"/>
      <c r="I184" s="448">
        <f>J184/J$33</f>
        <v>0</v>
      </c>
      <c r="J184" s="790">
        <v>0</v>
      </c>
      <c r="K184" s="1392">
        <f>(J184+J184*O184)*12/J$33</f>
        <v>0</v>
      </c>
      <c r="L184" s="1392" t="e">
        <f>K184*12/K$11</f>
        <v>#VALUE!</v>
      </c>
      <c r="M184" s="790">
        <f>K184+K184*P184</f>
        <v>0</v>
      </c>
      <c r="O184" s="770">
        <v>0</v>
      </c>
      <c r="P184" s="770">
        <f>O184</f>
        <v>0</v>
      </c>
      <c r="Q184" s="686"/>
      <c r="R184" s="686"/>
      <c r="S184" s="686"/>
      <c r="T184" s="686"/>
      <c r="U184" s="686"/>
      <c r="V184" s="686"/>
      <c r="W184" s="686"/>
      <c r="X184" s="687"/>
    </row>
    <row r="185" spans="3:37" s="32" customFormat="1" ht="12.75" customHeight="1" x14ac:dyDescent="0.2">
      <c r="C185" s="1425" t="s">
        <v>465</v>
      </c>
      <c r="D185" s="1425"/>
      <c r="E185" s="1425"/>
      <c r="F185" s="1425"/>
      <c r="G185" s="1426"/>
      <c r="H185" s="1427"/>
      <c r="I185" s="446">
        <v>0</v>
      </c>
      <c r="J185" s="791">
        <v>0</v>
      </c>
      <c r="K185" s="1394">
        <f>J185+J185*O185</f>
        <v>0</v>
      </c>
      <c r="L185" s="1394">
        <f>K185 +K185*O185</f>
        <v>0</v>
      </c>
      <c r="M185" s="791">
        <f>K185+K185*P185</f>
        <v>0</v>
      </c>
      <c r="O185" s="770">
        <v>0.03</v>
      </c>
      <c r="P185" s="770">
        <f>O185</f>
        <v>0.03</v>
      </c>
      <c r="Q185" s="686"/>
      <c r="R185" s="686"/>
      <c r="S185" s="686"/>
      <c r="T185" s="686"/>
      <c r="U185" s="686"/>
      <c r="V185" s="686"/>
      <c r="W185" s="686"/>
      <c r="X185" s="687"/>
    </row>
    <row r="186" spans="3:37" s="32" customFormat="1" ht="12.75" customHeight="1" x14ac:dyDescent="0.2">
      <c r="C186" s="1425"/>
      <c r="D186" s="1425"/>
      <c r="E186" s="1425"/>
      <c r="F186" s="1425"/>
      <c r="G186" s="1426"/>
      <c r="H186" s="1427"/>
      <c r="I186" s="522">
        <v>0</v>
      </c>
      <c r="J186" s="450">
        <f>J185/(1+$G182)</f>
        <v>0</v>
      </c>
      <c r="K186" s="1257">
        <f>K185/(1+G182)</f>
        <v>0</v>
      </c>
      <c r="L186" s="1258"/>
      <c r="M186" s="450">
        <f>M185/(1+G182)</f>
        <v>0</v>
      </c>
      <c r="N186" s="620"/>
      <c r="O186" s="951"/>
      <c r="P186" s="952"/>
      <c r="Q186" s="686"/>
      <c r="R186" s="686"/>
      <c r="S186" s="686"/>
      <c r="T186" s="686"/>
      <c r="U186" s="686"/>
      <c r="V186" s="686"/>
      <c r="W186" s="686"/>
      <c r="X186" s="687"/>
    </row>
    <row r="187" spans="3:37" s="32" customFormat="1" ht="12.75" customHeight="1" x14ac:dyDescent="0.2">
      <c r="C187" s="1425" t="s">
        <v>368</v>
      </c>
      <c r="D187" s="1425"/>
      <c r="E187" s="1425"/>
      <c r="F187" s="1425"/>
      <c r="G187" s="1426"/>
      <c r="H187" s="1427"/>
      <c r="I187" s="522">
        <v>0</v>
      </c>
      <c r="J187" s="453">
        <f>IF(J183=0,0,(J183/(1+$F182)-J186)/(J183/(1+$F182)))</f>
        <v>0</v>
      </c>
      <c r="K187" s="1220">
        <f t="shared" ref="K187:L187" si="33">IF(K183=0,0,(K183/(1+$F182)-K186)/(K183/(1+$F182)))</f>
        <v>0</v>
      </c>
      <c r="L187" s="1220">
        <f t="shared" si="33"/>
        <v>0</v>
      </c>
      <c r="M187" s="453">
        <f>IF(M183=0,0,(M183/(1+$F182)-M186)/(M183/(1+$F182)))</f>
        <v>0</v>
      </c>
      <c r="N187" s="610"/>
      <c r="O187" s="977"/>
      <c r="P187" s="952"/>
      <c r="Q187" s="686"/>
      <c r="R187" s="686"/>
      <c r="S187" s="686"/>
      <c r="T187" s="686"/>
      <c r="U187" s="686"/>
      <c r="V187" s="686"/>
      <c r="W187" s="686"/>
      <c r="X187" s="687"/>
    </row>
    <row r="188" spans="3:37" s="32" customFormat="1" ht="12.75" customHeight="1" x14ac:dyDescent="0.2">
      <c r="C188" s="1431" t="s">
        <v>369</v>
      </c>
      <c r="D188" s="1432"/>
      <c r="E188" s="1432"/>
      <c r="F188" s="1432"/>
      <c r="G188" s="1433"/>
      <c r="H188" s="1434"/>
      <c r="I188" s="522">
        <v>0</v>
      </c>
      <c r="J188" s="454">
        <f>J182*J187</f>
        <v>0</v>
      </c>
      <c r="K188" s="1223">
        <f>K182*K187</f>
        <v>0</v>
      </c>
      <c r="L188" s="1223"/>
      <c r="M188" s="454">
        <f>M182*M187</f>
        <v>0</v>
      </c>
      <c r="N188" s="620"/>
      <c r="O188" s="951"/>
      <c r="P188" s="952"/>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978"/>
      <c r="P189" s="979"/>
      <c r="Q189" s="691"/>
      <c r="R189" s="691"/>
      <c r="S189" s="691"/>
      <c r="T189" s="691"/>
      <c r="U189" s="691"/>
      <c r="V189" s="691"/>
      <c r="W189" s="691"/>
      <c r="X189" s="692"/>
    </row>
    <row r="190" spans="3:37" s="32" customFormat="1" ht="12" customHeight="1" x14ac:dyDescent="0.2">
      <c r="C190" s="1430"/>
      <c r="D190" s="1430"/>
      <c r="E190" s="1430"/>
      <c r="F190" s="765">
        <v>0</v>
      </c>
      <c r="G190" s="765">
        <v>0</v>
      </c>
      <c r="H190" s="455" t="s">
        <v>359</v>
      </c>
      <c r="I190" s="454">
        <f>J190/J$33</f>
        <v>0</v>
      </c>
      <c r="J190" s="447">
        <f>J191/(1+$F190)*J192</f>
        <v>0</v>
      </c>
      <c r="K190" s="1105">
        <f>K191/(1+F190)*K192</f>
        <v>0</v>
      </c>
      <c r="L190" s="1105"/>
      <c r="M190" s="447">
        <f>M192*M191/(1+F190)</f>
        <v>0</v>
      </c>
      <c r="N190" s="621"/>
      <c r="O190" s="977"/>
      <c r="P190" s="980"/>
      <c r="Q190" s="696"/>
      <c r="R190" s="686"/>
      <c r="S190" s="686"/>
      <c r="T190" s="686"/>
      <c r="U190" s="686"/>
      <c r="V190" s="686"/>
      <c r="W190" s="686"/>
      <c r="X190" s="687"/>
    </row>
    <row r="191" spans="3:37" s="32" customFormat="1" ht="12.75" customHeight="1" x14ac:dyDescent="0.2">
      <c r="C191" s="1407" t="s">
        <v>464</v>
      </c>
      <c r="D191" s="1407"/>
      <c r="E191" s="1407"/>
      <c r="F191" s="1407"/>
      <c r="G191" s="1408"/>
      <c r="H191" s="1409"/>
      <c r="I191" s="522">
        <v>0</v>
      </c>
      <c r="J191" s="791">
        <v>0</v>
      </c>
      <c r="K191" s="1394">
        <f>J191+J191*O191</f>
        <v>0</v>
      </c>
      <c r="L191" s="1394">
        <f>K191 +K191*O191</f>
        <v>0</v>
      </c>
      <c r="M191" s="791">
        <f>K191+K191*P191</f>
        <v>0</v>
      </c>
      <c r="N191" s="622"/>
      <c r="O191" s="770">
        <v>0.03</v>
      </c>
      <c r="P191" s="770">
        <f>O191</f>
        <v>0.03</v>
      </c>
      <c r="Q191" s="696"/>
      <c r="R191" s="686"/>
      <c r="S191" s="686"/>
      <c r="T191" s="686"/>
      <c r="U191" s="686"/>
      <c r="V191" s="686"/>
      <c r="W191" s="686"/>
      <c r="X191" s="687"/>
      <c r="AK191" s="623"/>
    </row>
    <row r="192" spans="3:37" s="32" customFormat="1" ht="12.75" customHeight="1" x14ac:dyDescent="0.2">
      <c r="C192" s="1425" t="s">
        <v>365</v>
      </c>
      <c r="D192" s="1425"/>
      <c r="E192" s="1425"/>
      <c r="F192" s="1425"/>
      <c r="G192" s="1426"/>
      <c r="H192" s="1427"/>
      <c r="I192" s="446">
        <f>J192/J$33</f>
        <v>0</v>
      </c>
      <c r="J192" s="790">
        <v>0</v>
      </c>
      <c r="K192" s="1392">
        <f>(J192+J192*O192)*12/J$33</f>
        <v>0</v>
      </c>
      <c r="L192" s="1392" t="e">
        <f>K192*12/K$11</f>
        <v>#VALUE!</v>
      </c>
      <c r="M192" s="790">
        <f>K192+K192*P192</f>
        <v>0</v>
      </c>
      <c r="N192" s="622"/>
      <c r="O192" s="770">
        <v>0</v>
      </c>
      <c r="P192" s="770">
        <f>O192</f>
        <v>0</v>
      </c>
      <c r="Q192" s="696"/>
      <c r="R192" s="686"/>
      <c r="S192" s="686"/>
      <c r="T192" s="686"/>
      <c r="U192" s="686"/>
      <c r="V192" s="686"/>
      <c r="W192" s="686"/>
      <c r="X192" s="687"/>
    </row>
    <row r="193" spans="2:24" s="32" customFormat="1" ht="12.75" customHeight="1" x14ac:dyDescent="0.2">
      <c r="C193" s="1425" t="s">
        <v>465</v>
      </c>
      <c r="D193" s="1425"/>
      <c r="E193" s="1425"/>
      <c r="F193" s="1425"/>
      <c r="G193" s="1426"/>
      <c r="H193" s="1427"/>
      <c r="I193" s="522">
        <v>0</v>
      </c>
      <c r="J193" s="791">
        <v>0</v>
      </c>
      <c r="K193" s="1394">
        <f>J193+J193*O193</f>
        <v>0</v>
      </c>
      <c r="L193" s="1394">
        <f>K193 +K193*O193</f>
        <v>0</v>
      </c>
      <c r="M193" s="791">
        <f>K193+K193*P193</f>
        <v>0</v>
      </c>
      <c r="N193" s="622"/>
      <c r="O193" s="770">
        <v>0.03</v>
      </c>
      <c r="P193" s="770">
        <f>O193</f>
        <v>0.03</v>
      </c>
      <c r="Q193" s="696"/>
      <c r="R193" s="686"/>
      <c r="S193" s="686"/>
      <c r="T193" s="686"/>
      <c r="U193" s="686"/>
      <c r="V193" s="686"/>
      <c r="W193" s="686"/>
      <c r="X193" s="687"/>
    </row>
    <row r="194" spans="2:24" s="32" customFormat="1" ht="12.75" customHeight="1" x14ac:dyDescent="0.2">
      <c r="C194" s="1425"/>
      <c r="D194" s="1425"/>
      <c r="E194" s="1425"/>
      <c r="F194" s="1425"/>
      <c r="G194" s="1426"/>
      <c r="H194" s="1427"/>
      <c r="I194" s="522">
        <v>0</v>
      </c>
      <c r="J194" s="450">
        <f>J193/(1+$G190)</f>
        <v>0</v>
      </c>
      <c r="K194" s="1156">
        <f>K193/(1+G190)</f>
        <v>0</v>
      </c>
      <c r="L194" s="1156"/>
      <c r="M194" s="450">
        <f>M193/(1+G190)</f>
        <v>0</v>
      </c>
      <c r="N194" s="622"/>
      <c r="O194" s="977"/>
      <c r="P194" s="980"/>
      <c r="Q194" s="696"/>
      <c r="R194" s="686"/>
      <c r="S194" s="686"/>
      <c r="T194" s="686"/>
      <c r="U194" s="686"/>
      <c r="V194" s="686"/>
      <c r="W194" s="686"/>
      <c r="X194" s="687"/>
    </row>
    <row r="195" spans="2:24" s="32" customFormat="1" ht="12.75" customHeight="1" x14ac:dyDescent="0.2">
      <c r="C195" s="1425" t="s">
        <v>368</v>
      </c>
      <c r="D195" s="1425"/>
      <c r="E195" s="1425"/>
      <c r="F195" s="1425"/>
      <c r="G195" s="1426"/>
      <c r="H195" s="1427"/>
      <c r="I195" s="522">
        <v>0</v>
      </c>
      <c r="J195" s="453">
        <f>IF(J191=0,0,(J191/(1+$F190)-J194)/(J191/(1+$F190)))</f>
        <v>0</v>
      </c>
      <c r="K195" s="1220">
        <f t="shared" ref="K195:L195" si="34">IF(K191=0,0,(K191/(1+$F190)-K194)/(K191/(1+$F190)))</f>
        <v>0</v>
      </c>
      <c r="L195" s="1220">
        <f t="shared" si="34"/>
        <v>0</v>
      </c>
      <c r="M195" s="453">
        <f>IF(M191=0,0,(M191/(1+$F190)-M194)/(M191/(1+$F190)))</f>
        <v>0</v>
      </c>
      <c r="N195" s="622"/>
      <c r="O195" s="977"/>
      <c r="P195" s="980"/>
      <c r="Q195" s="696"/>
      <c r="R195" s="686"/>
      <c r="S195" s="686"/>
      <c r="T195" s="686"/>
      <c r="U195" s="686"/>
      <c r="V195" s="686"/>
      <c r="W195" s="686"/>
      <c r="X195" s="687"/>
    </row>
    <row r="196" spans="2:24" s="32" customFormat="1" ht="12.75" customHeight="1" x14ac:dyDescent="0.2">
      <c r="C196" s="1431" t="s">
        <v>369</v>
      </c>
      <c r="D196" s="1432"/>
      <c r="E196" s="1432"/>
      <c r="F196" s="1432"/>
      <c r="G196" s="1433"/>
      <c r="H196" s="1434"/>
      <c r="I196" s="522">
        <v>0</v>
      </c>
      <c r="J196" s="454">
        <f>J190*J195</f>
        <v>0</v>
      </c>
      <c r="K196" s="1223">
        <f>K190*K195</f>
        <v>0</v>
      </c>
      <c r="L196" s="1223"/>
      <c r="M196" s="454">
        <f>M190*M195</f>
        <v>0</v>
      </c>
      <c r="N196" s="622"/>
      <c r="O196" s="977"/>
      <c r="P196" s="9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981"/>
      <c r="P197" s="979"/>
      <c r="Q197" s="691"/>
      <c r="R197" s="691"/>
      <c r="S197" s="691"/>
      <c r="T197" s="691"/>
      <c r="U197" s="691"/>
      <c r="V197" s="691"/>
      <c r="W197" s="691"/>
      <c r="X197" s="692"/>
    </row>
    <row r="198" spans="2:24" s="32" customFormat="1" ht="12" customHeight="1" x14ac:dyDescent="0.2">
      <c r="C198" s="1430" t="s">
        <v>466</v>
      </c>
      <c r="D198" s="1430"/>
      <c r="E198" s="1430"/>
      <c r="F198" s="1436">
        <v>0</v>
      </c>
      <c r="G198" s="1437"/>
      <c r="H198" s="455" t="s">
        <v>359</v>
      </c>
      <c r="I198" s="454">
        <f>J198/J$33</f>
        <v>0</v>
      </c>
      <c r="J198" s="447">
        <f>IF(J199=0,0,J199*J200)</f>
        <v>0</v>
      </c>
      <c r="K198" s="1105">
        <f>IF(K199=0,0,K199*K200)</f>
        <v>0</v>
      </c>
      <c r="L198" s="1105"/>
      <c r="M198" s="447">
        <f>IF(M199=0,0,M199*M200)</f>
        <v>0</v>
      </c>
      <c r="O198" s="951"/>
      <c r="P198" s="952"/>
      <c r="Q198" s="686"/>
      <c r="R198" s="686"/>
      <c r="S198" s="686"/>
      <c r="T198" s="686"/>
      <c r="U198" s="686"/>
      <c r="V198" s="686"/>
      <c r="W198" s="686"/>
      <c r="X198" s="687"/>
    </row>
    <row r="199" spans="2:24" s="32" customFormat="1" ht="12.75" customHeight="1" x14ac:dyDescent="0.2">
      <c r="C199" s="1407" t="s">
        <v>464</v>
      </c>
      <c r="D199" s="1407"/>
      <c r="E199" s="1407"/>
      <c r="F199" s="1407"/>
      <c r="G199" s="1408"/>
      <c r="H199" s="1409"/>
      <c r="I199" s="522">
        <v>0</v>
      </c>
      <c r="J199" s="791">
        <v>0</v>
      </c>
      <c r="K199" s="1394">
        <f>J199+J199*O199</f>
        <v>0</v>
      </c>
      <c r="L199" s="1394">
        <f>K199 +K199*O199</f>
        <v>0</v>
      </c>
      <c r="M199" s="791">
        <f>K199+K199*P199</f>
        <v>0</v>
      </c>
      <c r="O199" s="770">
        <v>0.03</v>
      </c>
      <c r="P199" s="770">
        <f>O199</f>
        <v>0.03</v>
      </c>
      <c r="Q199" s="686"/>
      <c r="R199" s="686"/>
      <c r="S199" s="686"/>
      <c r="T199" s="686"/>
      <c r="U199" s="686"/>
      <c r="V199" s="686"/>
      <c r="W199" s="686"/>
      <c r="X199" s="687"/>
    </row>
    <row r="200" spans="2:24" s="32" customFormat="1" ht="12.75" customHeight="1" x14ac:dyDescent="0.2">
      <c r="C200" s="1425" t="s">
        <v>365</v>
      </c>
      <c r="D200" s="1425"/>
      <c r="E200" s="1425"/>
      <c r="F200" s="1425"/>
      <c r="G200" s="1426"/>
      <c r="H200" s="1427"/>
      <c r="I200" s="446">
        <f>J200/J$33</f>
        <v>0</v>
      </c>
      <c r="J200" s="790">
        <v>0</v>
      </c>
      <c r="K200" s="1392">
        <f>(J200+J200*O200)*12/J$33</f>
        <v>0</v>
      </c>
      <c r="L200" s="1392" t="e">
        <f>K200*12/K$11</f>
        <v>#VALUE!</v>
      </c>
      <c r="M200" s="790">
        <f>K200+K200*P200</f>
        <v>0</v>
      </c>
      <c r="O200" s="770">
        <v>0</v>
      </c>
      <c r="P200" s="770">
        <f>O200</f>
        <v>0</v>
      </c>
      <c r="Q200" s="686"/>
      <c r="R200" s="686"/>
      <c r="S200" s="686"/>
      <c r="T200" s="686"/>
      <c r="U200" s="686"/>
      <c r="V200" s="686"/>
      <c r="W200" s="686"/>
      <c r="X200" s="687"/>
    </row>
    <row r="201" spans="2:24" s="32" customFormat="1" ht="12.75" customHeight="1" x14ac:dyDescent="0.2">
      <c r="C201" s="1435" t="s">
        <v>370</v>
      </c>
      <c r="D201" s="1425"/>
      <c r="E201" s="1425"/>
      <c r="F201" s="1425"/>
      <c r="G201" s="1426"/>
      <c r="H201" s="1427"/>
      <c r="I201" s="522">
        <v>0</v>
      </c>
      <c r="J201" s="791">
        <v>0</v>
      </c>
      <c r="K201" s="1394">
        <f>J201+J201*O201</f>
        <v>0</v>
      </c>
      <c r="L201" s="1394">
        <f>K201 +K201*O201</f>
        <v>0</v>
      </c>
      <c r="M201" s="791">
        <f>K201+K201*P201</f>
        <v>0</v>
      </c>
      <c r="O201" s="770">
        <v>0.03</v>
      </c>
      <c r="P201" s="770">
        <f>O201</f>
        <v>0.03</v>
      </c>
      <c r="Q201" s="686"/>
      <c r="R201" s="686"/>
      <c r="S201" s="686"/>
      <c r="T201" s="686"/>
      <c r="U201" s="686"/>
      <c r="V201" s="686"/>
      <c r="W201" s="686"/>
      <c r="X201" s="687"/>
    </row>
    <row r="202" spans="2:24" s="32" customFormat="1" ht="12.75" customHeight="1" x14ac:dyDescent="0.2">
      <c r="C202" s="1435" t="s">
        <v>368</v>
      </c>
      <c r="D202" s="1425"/>
      <c r="E202" s="1425"/>
      <c r="F202" s="1425"/>
      <c r="G202" s="1426"/>
      <c r="H202" s="1427"/>
      <c r="I202" s="522">
        <v>0</v>
      </c>
      <c r="J202" s="453">
        <f>IF(J201=0,0,(J198-J203)/J198)</f>
        <v>0</v>
      </c>
      <c r="K202" s="1220">
        <f t="shared" ref="K202:L202" si="35">IF(K201=0,0,(K198-K203)/K198)</f>
        <v>0</v>
      </c>
      <c r="L202" s="1220">
        <f t="shared" si="35"/>
        <v>0</v>
      </c>
      <c r="M202" s="453">
        <f>IF(M201=0,0,(M198-M203)/M198)</f>
        <v>0</v>
      </c>
      <c r="O202" s="658"/>
      <c r="P202" s="659"/>
      <c r="Q202" s="686"/>
      <c r="R202" s="686"/>
      <c r="S202" s="686"/>
      <c r="T202" s="686"/>
      <c r="U202" s="686"/>
      <c r="V202" s="686"/>
      <c r="W202" s="686"/>
      <c r="X202" s="687"/>
    </row>
    <row r="203" spans="2:24" s="32" customFormat="1" ht="12.75" customHeight="1" x14ac:dyDescent="0.2">
      <c r="C203" s="1441" t="s">
        <v>371</v>
      </c>
      <c r="D203" s="1442"/>
      <c r="E203" s="1442"/>
      <c r="F203" s="1442"/>
      <c r="G203" s="1443"/>
      <c r="H203" s="1444"/>
      <c r="I203" s="522">
        <v>0</v>
      </c>
      <c r="J203" s="454">
        <f>J200*J201</f>
        <v>0</v>
      </c>
      <c r="K203" s="1223">
        <f t="shared" ref="K203:L203" si="36">K200*K201</f>
        <v>0</v>
      </c>
      <c r="L203" s="1223" t="e">
        <f t="shared" si="36"/>
        <v>#VALUE!</v>
      </c>
      <c r="M203" s="454">
        <f>M200*M201</f>
        <v>0</v>
      </c>
      <c r="N203" s="609"/>
      <c r="O203" s="658"/>
      <c r="P203" s="659"/>
      <c r="Q203" s="686"/>
      <c r="R203" s="686"/>
      <c r="S203" s="686"/>
      <c r="T203" s="686"/>
      <c r="U203" s="686"/>
      <c r="V203" s="686"/>
      <c r="W203" s="686"/>
      <c r="X203" s="687"/>
    </row>
    <row r="204" spans="2:24" s="32" customFormat="1" ht="8.65" customHeight="1" x14ac:dyDescent="0.2">
      <c r="O204" s="684"/>
      <c r="P204" s="685"/>
      <c r="Q204" s="697"/>
      <c r="R204" s="697"/>
      <c r="S204" s="686"/>
      <c r="T204" s="697"/>
      <c r="U204" s="697"/>
      <c r="V204" s="697"/>
      <c r="W204" s="697"/>
      <c r="X204" s="698"/>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941" t="s">
        <v>156</v>
      </c>
      <c r="D207" s="942" t="s">
        <v>375</v>
      </c>
      <c r="E207" s="942"/>
      <c r="F207" s="943"/>
      <c r="G207" s="943"/>
      <c r="H207" s="943"/>
      <c r="I207" s="943"/>
      <c r="J207" s="944">
        <f>J205+J206</f>
        <v>0</v>
      </c>
      <c r="K207" s="1445">
        <f>K205+K206</f>
        <v>0</v>
      </c>
      <c r="L207" s="1446"/>
      <c r="M207" s="944">
        <f>M205+M206</f>
        <v>0</v>
      </c>
      <c r="O207" s="688"/>
      <c r="P207" s="686"/>
      <c r="Q207" s="686"/>
      <c r="R207" s="699"/>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949" t="s">
        <v>165</v>
      </c>
      <c r="E209" s="515"/>
      <c r="F209" s="466"/>
      <c r="G209" s="466"/>
      <c r="H209" s="466"/>
      <c r="I209" s="466"/>
      <c r="J209" s="472">
        <f>J38</f>
        <v>0</v>
      </c>
      <c r="K209" s="1219">
        <f>K38</f>
        <v>0</v>
      </c>
      <c r="L209" s="1219"/>
      <c r="M209" s="467">
        <f>M38</f>
        <v>0</v>
      </c>
      <c r="N209" s="625"/>
      <c r="O209" s="688"/>
      <c r="P209" s="686"/>
      <c r="Q209" s="686"/>
      <c r="R209" s="699"/>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-'5 AT Lainat, avustukset ei alv '!F9-'5 AT Lainat, avustukset ei alv '!F5</f>
        <v>0</v>
      </c>
      <c r="K211" s="1219">
        <f>-'5 AT Lainat, avustukset ei alv '!G9-'5 AT Lainat, avustukset ei alv '!G5</f>
        <v>0</v>
      </c>
      <c r="L211" s="1219"/>
      <c r="M211" s="467">
        <f>-'5 AT Lainat, avustukset ei alv '!H9-'5 AT Lainat, avustukset ei alv '!H5</f>
        <v>0</v>
      </c>
      <c r="O211" s="688"/>
      <c r="P211" s="686"/>
      <c r="Q211" s="686"/>
      <c r="R211" s="686"/>
      <c r="S211" s="686"/>
      <c r="T211" s="686"/>
      <c r="U211" s="686"/>
      <c r="V211" s="686"/>
      <c r="W211" s="686"/>
      <c r="X211" s="687"/>
    </row>
    <row r="212" spans="2:24" s="32" customFormat="1" ht="15" customHeight="1" x14ac:dyDescent="0.2">
      <c r="B212" s="25"/>
      <c r="C212" s="464" t="s">
        <v>159</v>
      </c>
      <c r="D212" s="1200" t="s">
        <v>467</v>
      </c>
      <c r="E212" s="1200"/>
      <c r="F212" s="1200"/>
      <c r="G212" s="1200"/>
      <c r="H212" s="1200"/>
      <c r="I212" s="1201"/>
      <c r="J212" s="983">
        <f>IF(J207=0,0,J207+'3. Calculation no VAT'!G27-'3. Calculation no VAT'!G19+J211)</f>
        <v>0</v>
      </c>
      <c r="K212" s="1438">
        <f>IF(K207=0,0,K207+'4 AT Lainat ja avustukset alv'!H37-'4 AT Lainat ja avustukset alv'!H19+K211)</f>
        <v>0</v>
      </c>
      <c r="L212" s="1439"/>
      <c r="M212" s="983">
        <f>IF(M207=0,0,M207+'4 AT Lainat ja avustukset alv'!I37-'4 AT Lainat ja avustukset alv'!I19+M211)</f>
        <v>0</v>
      </c>
      <c r="N212" s="626"/>
      <c r="O212" s="688"/>
      <c r="P212" s="686"/>
      <c r="Q212" s="686"/>
      <c r="R212" s="686"/>
      <c r="S212" s="686"/>
      <c r="T212" s="686"/>
      <c r="U212" s="686"/>
      <c r="V212" s="686"/>
      <c r="W212" s="686"/>
      <c r="X212" s="687"/>
    </row>
    <row r="213" spans="2:24" s="32" customFormat="1" ht="15" hidden="1" customHeight="1" x14ac:dyDescent="0.2">
      <c r="B213" s="25"/>
      <c r="C213" s="464" t="s">
        <v>160</v>
      </c>
      <c r="D213" s="1200" t="s">
        <v>240</v>
      </c>
      <c r="E213" s="1200"/>
      <c r="F213" s="1200"/>
      <c r="G213" s="1200"/>
      <c r="H213" s="1200"/>
      <c r="I213" s="1201"/>
      <c r="J213" s="766">
        <f>IF(J207=0,0,J207+'4 AT Lainat ja avustukset alv'!G30-'4 AT Lainat ja avustukset alv'!G22+J211)</f>
        <v>0</v>
      </c>
      <c r="K213" s="1440">
        <f>IF(K207=0,0,K207+'4 AT Lainat ja avustukset alv'!H30-'4 AT Lainat ja avustukset alv'!H22+K211)</f>
        <v>0</v>
      </c>
      <c r="L213" s="1440">
        <f>IF(L211=0,0,L207+'4 AT Lainat ja avustukset alv'!I30-'4 AT Lainat ja avustukset alv'!I22+L211)</f>
        <v>0</v>
      </c>
      <c r="M213" s="766">
        <f>IF(M207=0,0,M207+'4 AT Lainat ja avustukset alv'!I30-'4 AT Lainat ja avustukset alv'!I22+M211)</f>
        <v>0</v>
      </c>
      <c r="N213" s="626"/>
      <c r="O213" s="688"/>
      <c r="P213" s="686"/>
      <c r="Q213" s="686"/>
      <c r="R213" s="686"/>
      <c r="S213" s="686"/>
      <c r="T213" s="686"/>
      <c r="U213" s="686"/>
      <c r="V213" s="686"/>
      <c r="W213" s="686"/>
      <c r="X213" s="687"/>
    </row>
    <row r="214" spans="2:24" s="32" customFormat="1" ht="15" hidden="1" customHeight="1" x14ac:dyDescent="0.2">
      <c r="B214" s="25"/>
      <c r="C214" s="464" t="s">
        <v>161</v>
      </c>
      <c r="D214" s="1200" t="s">
        <v>242</v>
      </c>
      <c r="E214" s="1200"/>
      <c r="F214" s="1200"/>
      <c r="G214" s="1200"/>
      <c r="H214" s="1200"/>
      <c r="I214" s="1201"/>
      <c r="J214" s="766">
        <f>IF(J207=0,0,J207+'4 AT Lainat ja avustukset alv'!G30-'4 AT Lainat ja avustukset alv'!G22+J211)</f>
        <v>0</v>
      </c>
      <c r="K214" s="1440">
        <f>IF(K207=0,0,K207+'4 AT Lainat ja avustukset alv'!H30-'4 AT Lainat ja avustukset alv'!H22+K211)</f>
        <v>0</v>
      </c>
      <c r="L214" s="1440">
        <f>IF(L207=0,0,L207+'4 AT Lainat ja avustukset alv'!I30-'4 AT Lainat ja avustukset alv'!I22+L211)</f>
        <v>0</v>
      </c>
      <c r="M214" s="767">
        <f>IF(M207=0,0,M207+'4 AT Lainat ja avustukset alv'!I30-'4 AT Lainat ja avustukset alv'!I22+M211)</f>
        <v>0</v>
      </c>
      <c r="N214" s="626"/>
      <c r="O214" s="688"/>
      <c r="P214" s="686"/>
      <c r="Q214" s="686"/>
      <c r="R214" s="686"/>
      <c r="S214" s="686"/>
      <c r="T214" s="686"/>
      <c r="U214" s="686"/>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160</v>
      </c>
      <c r="D216" s="465" t="s">
        <v>468</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c r="D217" s="515"/>
      <c r="E217" s="465"/>
      <c r="F217" s="466"/>
      <c r="G217" s="466"/>
      <c r="H217" s="466"/>
      <c r="I217" s="466"/>
      <c r="J217" s="472"/>
      <c r="K217" s="1219"/>
      <c r="L217" s="1219"/>
      <c r="M217" s="467"/>
      <c r="O217" s="701"/>
      <c r="P217" s="695"/>
      <c r="Q217" s="695"/>
      <c r="R217" s="695"/>
      <c r="S217" s="695"/>
      <c r="T217" s="695"/>
      <c r="U217" s="695"/>
      <c r="V217" s="695"/>
      <c r="W217" s="695"/>
      <c r="X217" s="700"/>
    </row>
    <row r="218" spans="2:24" ht="15" customHeight="1" x14ac:dyDescent="0.2">
      <c r="B218" s="23"/>
      <c r="C218" s="464" t="s">
        <v>161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4"/>
      <c r="D219" s="945" t="s">
        <v>382</v>
      </c>
      <c r="E219" s="945"/>
      <c r="F219" s="946"/>
      <c r="G219" s="946"/>
      <c r="H219" s="946"/>
      <c r="I219" s="946"/>
      <c r="J219" s="947">
        <f>J199*J200</f>
        <v>0</v>
      </c>
      <c r="K219" s="1447">
        <f>K199*K200</f>
        <v>0</v>
      </c>
      <c r="L219" s="1447"/>
      <c r="M219" s="948">
        <f>M199*M200</f>
        <v>0</v>
      </c>
      <c r="O219" s="703"/>
      <c r="P219" s="689"/>
      <c r="Q219" s="689"/>
      <c r="R219" s="689"/>
      <c r="S219" s="689"/>
      <c r="T219" s="689"/>
      <c r="U219" s="689"/>
      <c r="V219" s="689"/>
      <c r="W219" s="689"/>
      <c r="X219" s="690"/>
    </row>
    <row r="220" spans="2:24" s="32" customFormat="1" ht="15" customHeight="1" x14ac:dyDescent="0.2">
      <c r="B220" s="256"/>
      <c r="C220" s="464"/>
      <c r="D220" s="465" t="s">
        <v>469</v>
      </c>
      <c r="E220" s="515"/>
      <c r="F220" s="572"/>
      <c r="G220" s="572"/>
      <c r="H220" s="572"/>
      <c r="I220" s="572"/>
      <c r="J220" s="771">
        <v>1</v>
      </c>
      <c r="K220" s="1299">
        <f>J220</f>
        <v>1</v>
      </c>
      <c r="L220" s="1299"/>
      <c r="M220" s="794">
        <f>K220</f>
        <v>1</v>
      </c>
    </row>
    <row r="221" spans="2:24" ht="14.1" customHeight="1" x14ac:dyDescent="0.2">
      <c r="B221" s="7"/>
      <c r="C221" s="464"/>
      <c r="D221" s="465" t="s">
        <v>470</v>
      </c>
      <c r="E221" s="515"/>
      <c r="F221" s="572"/>
      <c r="G221" s="572"/>
      <c r="H221" s="572"/>
      <c r="I221" s="572"/>
      <c r="J221" s="771">
        <v>52</v>
      </c>
      <c r="K221" s="1299">
        <f>J221</f>
        <v>52</v>
      </c>
      <c r="L221" s="1299"/>
      <c r="M221" s="794">
        <f>K221</f>
        <v>52</v>
      </c>
    </row>
    <row r="222" spans="2:24" ht="14.1" customHeight="1" x14ac:dyDescent="0.2">
      <c r="B222" s="7"/>
      <c r="C222" s="464" t="s">
        <v>0</v>
      </c>
      <c r="D222" s="465" t="s">
        <v>471</v>
      </c>
      <c r="E222" s="515"/>
      <c r="F222" s="572"/>
      <c r="G222" s="572"/>
      <c r="H222" s="572"/>
      <c r="I222" s="572"/>
      <c r="J222" s="771">
        <v>5</v>
      </c>
      <c r="K222" s="1299">
        <f>J222</f>
        <v>5</v>
      </c>
      <c r="L222" s="1299"/>
      <c r="M222" s="794">
        <f>K222</f>
        <v>5</v>
      </c>
    </row>
    <row r="223" spans="2:24" ht="14.1" customHeight="1" x14ac:dyDescent="0.2">
      <c r="B223" s="7"/>
      <c r="C223" s="464"/>
      <c r="D223" s="517" t="s">
        <v>472</v>
      </c>
      <c r="E223" s="945"/>
      <c r="F223" s="946"/>
      <c r="G223" s="946"/>
      <c r="H223" s="946"/>
      <c r="I223" s="946"/>
      <c r="J223" s="947">
        <f>J218/(J221*J222)</f>
        <v>0</v>
      </c>
      <c r="K223" s="1447">
        <f>K218/(K221*K222)</f>
        <v>0</v>
      </c>
      <c r="L223" s="1447" t="e">
        <f>L218/(L221*L222)</f>
        <v>#DIV/0!</v>
      </c>
      <c r="M223" s="948">
        <f>M218/(M221*M222)</f>
        <v>0</v>
      </c>
    </row>
    <row r="225" spans="3:13" x14ac:dyDescent="0.2">
      <c r="C225" s="560" t="s">
        <v>0</v>
      </c>
      <c r="D225" s="1173" t="str">
        <f>'Front page'!E40</f>
        <v>Business Kemijärvi</v>
      </c>
      <c r="E225" s="1173"/>
      <c r="F225" s="1173"/>
      <c r="G225" s="1173"/>
      <c r="H225" s="1173"/>
      <c r="I225" s="1173"/>
    </row>
    <row r="227" spans="3:13" ht="18" customHeight="1" x14ac:dyDescent="0.2">
      <c r="D227" s="2">
        <f>'1. Calculation'!D227</f>
        <v>0</v>
      </c>
    </row>
    <row r="228" spans="3:13" ht="19.350000000000001" customHeight="1" x14ac:dyDescent="0.2">
      <c r="D228" s="1173"/>
      <c r="E228" s="1173"/>
      <c r="F228" s="1173"/>
      <c r="G228" s="1173"/>
      <c r="H228" s="1173"/>
      <c r="I228" s="1173"/>
      <c r="J228" s="1173"/>
      <c r="K228" s="1173"/>
      <c r="L228" s="1173"/>
      <c r="M228" s="1173"/>
    </row>
    <row r="229" spans="3:13" x14ac:dyDescent="0.2">
      <c r="D229" s="1448" t="s">
        <v>389</v>
      </c>
      <c r="E229" s="1449"/>
      <c r="F229" s="1449"/>
      <c r="G229" s="1449"/>
      <c r="H229" s="1449"/>
      <c r="I229" s="1449"/>
      <c r="J229" s="1449"/>
      <c r="K229" s="1449"/>
      <c r="L229" s="1449"/>
      <c r="M229" s="1449"/>
    </row>
    <row r="230" spans="3:13" x14ac:dyDescent="0.2">
      <c r="D230" s="1448" t="s">
        <v>390</v>
      </c>
      <c r="E230" s="1449"/>
      <c r="F230" s="1449"/>
      <c r="G230" s="1449"/>
      <c r="H230" s="1449"/>
      <c r="I230" s="1449"/>
      <c r="J230" s="1449"/>
      <c r="K230" s="1449"/>
      <c r="L230" s="1449"/>
      <c r="M230" s="1449"/>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37">IF(K234=0,0,K235/K234)</f>
        <v>0</v>
      </c>
      <c r="L236" s="1245"/>
      <c r="M236" s="366">
        <f t="shared" si="37"/>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273</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38">SUM(K237:K238)</f>
        <v>0</v>
      </c>
      <c r="L239" s="1244"/>
      <c r="M239" s="9">
        <f t="shared" si="38"/>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ULfX/xJKzDM2xd+PGHts9vX+/jg7HWPKrX6RACmyZuwyN64ow/OQsXA+/b6Hr9OHLCn+l/1emMnkejIR1IRO1A==" saltValue="CQL2Aad2A6WMKLPyJ07PCQ==" spinCount="100000" sheet="1" objects="1" scenarios="1" selectLockedCells="1"/>
  <mergeCells count="385">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K90:L90"/>
    <mergeCell ref="D91:H91"/>
    <mergeCell ref="K91:L91"/>
    <mergeCell ref="K92:L92"/>
    <mergeCell ref="K93:L93"/>
    <mergeCell ref="D94:H94"/>
    <mergeCell ref="K94:L94"/>
    <mergeCell ref="K86:L86"/>
    <mergeCell ref="D87:H87"/>
    <mergeCell ref="K87:L87"/>
    <mergeCell ref="D88:H88"/>
    <mergeCell ref="K88:L88"/>
    <mergeCell ref="K89:L89"/>
    <mergeCell ref="K82:L82"/>
    <mergeCell ref="D83:H83"/>
    <mergeCell ref="K83:L83"/>
    <mergeCell ref="D84:H84"/>
    <mergeCell ref="K84:L84"/>
    <mergeCell ref="K85:L85"/>
    <mergeCell ref="K76:L76"/>
    <mergeCell ref="K77:L77"/>
    <mergeCell ref="K78:L78"/>
    <mergeCell ref="K79:L79"/>
    <mergeCell ref="K80:L80"/>
    <mergeCell ref="K81:L81"/>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K56:L56"/>
    <mergeCell ref="K57:L57"/>
    <mergeCell ref="K58:L58"/>
    <mergeCell ref="D59:H59"/>
    <mergeCell ref="K59:L59"/>
    <mergeCell ref="K60:L60"/>
    <mergeCell ref="K51:L51"/>
    <mergeCell ref="D52:H52"/>
    <mergeCell ref="K52:L52"/>
    <mergeCell ref="K53:L53"/>
    <mergeCell ref="K54:L54"/>
    <mergeCell ref="D55:H55"/>
    <mergeCell ref="K55:L55"/>
    <mergeCell ref="O46:P46"/>
    <mergeCell ref="D47:H47"/>
    <mergeCell ref="K47:L47"/>
    <mergeCell ref="K48:L48"/>
    <mergeCell ref="K49:L49"/>
    <mergeCell ref="K50:L50"/>
    <mergeCell ref="K43:L43"/>
    <mergeCell ref="K44:L44"/>
    <mergeCell ref="K45:L45"/>
    <mergeCell ref="D46:E46"/>
    <mergeCell ref="F46:G46"/>
    <mergeCell ref="K46:L46"/>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F18:G18"/>
    <mergeCell ref="H18:L18"/>
    <mergeCell ref="C19:D19"/>
    <mergeCell ref="F19:G19"/>
    <mergeCell ref="H19:L19"/>
    <mergeCell ref="K15:L15"/>
    <mergeCell ref="C16:D16"/>
    <mergeCell ref="F16:G16"/>
    <mergeCell ref="H16:I16"/>
    <mergeCell ref="K16:L16"/>
    <mergeCell ref="C17:D17"/>
    <mergeCell ref="F17:G17"/>
    <mergeCell ref="H17:L17"/>
    <mergeCell ref="C18:E18"/>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 (turnover under €20 000)</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6" sqref="G74:G76"/>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39" width="9.140625" hidden="1" customWidth="1"/>
    <col min="40" max="40" width="9.140625" customWidth="1"/>
  </cols>
  <sheetData>
    <row r="3" spans="1:24" x14ac:dyDescent="0.2">
      <c r="A3" s="1284"/>
    </row>
    <row r="4" spans="1:24" ht="11.65" customHeight="1" x14ac:dyDescent="0.2">
      <c r="A4" s="1284"/>
      <c r="B4" s="576"/>
    </row>
    <row r="5" spans="1:24" ht="17.100000000000001" customHeight="1" x14ac:dyDescent="0.2">
      <c r="B5" s="912" t="str">
        <f>'1. Calculation'!$C$5</f>
        <v xml:space="preserve">  </v>
      </c>
      <c r="C5" s="913"/>
      <c r="D5" s="913"/>
      <c r="E5" s="913"/>
      <c r="F5" s="985" t="s">
        <v>566</v>
      </c>
      <c r="G5" s="914"/>
      <c r="H5" s="914"/>
      <c r="I5" s="914"/>
      <c r="J5" s="914"/>
      <c r="K5" s="914"/>
      <c r="L5" s="914"/>
      <c r="M5" s="914"/>
      <c r="N5" s="914"/>
      <c r="O5" s="914"/>
      <c r="U5" s="1277" t="s">
        <v>171</v>
      </c>
    </row>
    <row r="6" spans="1:24" ht="10.15" customHeight="1" x14ac:dyDescent="0.2">
      <c r="B6" s="913"/>
      <c r="C6" s="913"/>
      <c r="D6" s="913"/>
      <c r="E6" s="913"/>
      <c r="U6" s="1277"/>
    </row>
    <row r="7" spans="1:24" ht="16.149999999999999" customHeight="1" x14ac:dyDescent="0.2">
      <c r="B7" s="639"/>
      <c r="C7" s="1285" t="s">
        <v>404</v>
      </c>
      <c r="D7" s="1285"/>
      <c r="E7" s="1285"/>
      <c r="F7" s="608">
        <v>0</v>
      </c>
      <c r="G7" s="1063" t="s">
        <v>391</v>
      </c>
      <c r="H7" s="1064" t="s">
        <v>392</v>
      </c>
      <c r="I7" s="1064" t="s">
        <v>393</v>
      </c>
      <c r="J7" s="1064" t="s">
        <v>394</v>
      </c>
      <c r="K7" s="1064" t="s">
        <v>395</v>
      </c>
      <c r="L7" s="1064" t="s">
        <v>396</v>
      </c>
      <c r="M7" s="1064" t="s">
        <v>473</v>
      </c>
      <c r="N7" s="1064" t="s">
        <v>398</v>
      </c>
      <c r="O7" s="1064" t="s">
        <v>399</v>
      </c>
      <c r="P7" s="1064" t="s">
        <v>400</v>
      </c>
      <c r="Q7" s="1064" t="s">
        <v>401</v>
      </c>
      <c r="R7" s="1064" t="s">
        <v>402</v>
      </c>
      <c r="S7" s="409" t="s">
        <v>403</v>
      </c>
      <c r="U7" s="1278"/>
      <c r="V7" s="586"/>
      <c r="W7" s="256"/>
      <c r="X7" s="256"/>
    </row>
    <row r="8" spans="1:24" ht="12.6" customHeight="1" x14ac:dyDescent="0.2">
      <c r="B8" s="640" t="s">
        <v>475</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t="s">
        <v>476</v>
      </c>
      <c r="C9" s="1269" t="s">
        <v>407</v>
      </c>
      <c r="D9" s="1269"/>
      <c r="E9" s="1271"/>
      <c r="F9" s="918">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919">
        <v>0.04</v>
      </c>
      <c r="H10" s="919">
        <v>0.06</v>
      </c>
      <c r="I10" s="919">
        <v>0.06</v>
      </c>
      <c r="J10" s="919">
        <v>7.0000000000000007E-2</v>
      </c>
      <c r="K10" s="919">
        <v>0.08</v>
      </c>
      <c r="L10" s="919">
        <v>0.09</v>
      </c>
      <c r="M10" s="919">
        <v>0.1</v>
      </c>
      <c r="N10" s="919">
        <v>0.1</v>
      </c>
      <c r="O10" s="919">
        <v>0.1</v>
      </c>
      <c r="P10" s="919">
        <v>0.1</v>
      </c>
      <c r="Q10" s="919">
        <v>0.1</v>
      </c>
      <c r="R10" s="919">
        <v>0.1</v>
      </c>
      <c r="S10" s="296">
        <f t="shared" si="2"/>
        <v>0.99999999999999989</v>
      </c>
      <c r="T10" s="554" t="str">
        <f>IF(F9=0," ",IF(S10=100%," ","VIRHE!"))</f>
        <v xml:space="preserve"> </v>
      </c>
      <c r="U10" s="589"/>
    </row>
    <row r="11" spans="1:24" ht="12.6" customHeight="1" x14ac:dyDescent="0.2">
      <c r="B11" s="641" t="s">
        <v>477</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919">
        <v>0.04</v>
      </c>
      <c r="H12" s="919">
        <v>0.06</v>
      </c>
      <c r="I12" s="919">
        <v>0.06</v>
      </c>
      <c r="J12" s="919">
        <v>7.0000000000000007E-2</v>
      </c>
      <c r="K12" s="919">
        <v>0.08</v>
      </c>
      <c r="L12" s="919">
        <v>0.09</v>
      </c>
      <c r="M12" s="919">
        <v>0.1</v>
      </c>
      <c r="N12" s="919">
        <v>0.1</v>
      </c>
      <c r="O12" s="919">
        <v>0.1</v>
      </c>
      <c r="P12" s="919">
        <v>0.1</v>
      </c>
      <c r="Q12" s="919">
        <v>0.1</v>
      </c>
      <c r="R12" s="919">
        <v>0.1</v>
      </c>
      <c r="S12" s="296">
        <f t="shared" si="2"/>
        <v>0.99999999999999989</v>
      </c>
      <c r="T12" s="554" t="str">
        <f>IF(F9=100%," ",IF(S12=100%," ","VIRHE!"))</f>
        <v xml:space="preserve"> </v>
      </c>
      <c r="U12" s="297">
        <f>12*'3. Calculation no VAT'!J218/'3. Calculation no VAT'!J33</f>
        <v>0</v>
      </c>
      <c r="V12" s="206" t="s">
        <v>217</v>
      </c>
      <c r="W12" s="272"/>
      <c r="X12" s="272"/>
    </row>
    <row r="13" spans="1:24" ht="12.6" customHeight="1" x14ac:dyDescent="0.2">
      <c r="B13" s="641"/>
      <c r="C13" s="367"/>
      <c r="D13" s="386" t="s">
        <v>410</v>
      </c>
      <c r="E13" s="920">
        <v>14</v>
      </c>
      <c r="F13" s="400" t="s">
        <v>411</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2"/>
        <v>0</v>
      </c>
      <c r="U13" s="589"/>
    </row>
    <row r="14" spans="1:24" ht="12.6" customHeight="1" x14ac:dyDescent="0.2">
      <c r="B14" s="641" t="s">
        <v>478</v>
      </c>
      <c r="C14" s="1269" t="s">
        <v>412</v>
      </c>
      <c r="D14" s="1270"/>
      <c r="E14" s="1270"/>
      <c r="F14" s="387"/>
      <c r="G14" s="921">
        <f>U14</f>
        <v>0</v>
      </c>
      <c r="H14" s="921">
        <v>0</v>
      </c>
      <c r="I14" s="921">
        <v>0</v>
      </c>
      <c r="J14" s="921">
        <v>0</v>
      </c>
      <c r="K14" s="921">
        <v>0</v>
      </c>
      <c r="L14" s="921">
        <v>0</v>
      </c>
      <c r="M14" s="921">
        <v>0</v>
      </c>
      <c r="N14" s="921">
        <v>0</v>
      </c>
      <c r="O14" s="921">
        <v>0</v>
      </c>
      <c r="P14" s="921">
        <v>0</v>
      </c>
      <c r="Q14" s="921">
        <v>0</v>
      </c>
      <c r="R14" s="921">
        <v>0</v>
      </c>
      <c r="S14" s="295">
        <f t="shared" si="2"/>
        <v>0</v>
      </c>
      <c r="U14" s="297">
        <f>'3. Calculation no VAT'!M10</f>
        <v>0</v>
      </c>
    </row>
    <row r="15" spans="1:24" ht="12.6" customHeight="1" thickBot="1" x14ac:dyDescent="0.25">
      <c r="B15" s="642" t="s">
        <v>479</v>
      </c>
      <c r="C15" s="1273" t="s">
        <v>413</v>
      </c>
      <c r="D15" s="1288"/>
      <c r="E15" s="1288"/>
      <c r="F15" s="391"/>
      <c r="G15" s="922">
        <v>0</v>
      </c>
      <c r="H15" s="922">
        <v>0</v>
      </c>
      <c r="I15" s="922">
        <v>0</v>
      </c>
      <c r="J15" s="922">
        <v>0</v>
      </c>
      <c r="K15" s="922">
        <v>0</v>
      </c>
      <c r="L15" s="922">
        <v>0</v>
      </c>
      <c r="M15" s="922">
        <v>0</v>
      </c>
      <c r="N15" s="922">
        <f>U15</f>
        <v>0</v>
      </c>
      <c r="O15" s="922">
        <v>0</v>
      </c>
      <c r="P15" s="922">
        <v>0</v>
      </c>
      <c r="Q15" s="922">
        <v>0</v>
      </c>
      <c r="R15" s="922">
        <v>0</v>
      </c>
      <c r="S15" s="298">
        <f t="shared" si="2"/>
        <v>0</v>
      </c>
      <c r="U15" s="297">
        <f>'3. Calculation no VAT'!M17</f>
        <v>0</v>
      </c>
    </row>
    <row r="16" spans="1:24" ht="16.149999999999999" customHeight="1" thickTop="1" thickBot="1" x14ac:dyDescent="0.25">
      <c r="B16" s="643"/>
      <c r="C16" s="1275" t="s">
        <v>474</v>
      </c>
      <c r="D16" s="1275"/>
      <c r="E16" s="1275"/>
      <c r="F16" s="1276"/>
      <c r="G16" s="404">
        <f t="shared" ref="G16:R16" si="4">G9+G13+G14+G15</f>
        <v>0</v>
      </c>
      <c r="H16" s="404">
        <f>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5"/>
      <c r="F18" s="984"/>
      <c r="G18" s="579" t="str">
        <f t="shared" ref="G18:H18" si="5">G7</f>
        <v>JAN</v>
      </c>
      <c r="H18" s="418" t="str">
        <f t="shared" si="5"/>
        <v>FEB</v>
      </c>
      <c r="I18" s="418" t="str">
        <f t="shared" ref="I18:R18" si="6">I7</f>
        <v>MARS</v>
      </c>
      <c r="J18" s="418" t="str">
        <f t="shared" si="6"/>
        <v>APR</v>
      </c>
      <c r="K18" s="418" t="str">
        <f t="shared" si="6"/>
        <v>MAY</v>
      </c>
      <c r="L18" s="418" t="str">
        <f t="shared" si="6"/>
        <v>JUNE</v>
      </c>
      <c r="M18" s="418" t="str">
        <f t="shared" si="6"/>
        <v>JULY</v>
      </c>
      <c r="N18" s="418" t="str">
        <f t="shared" si="6"/>
        <v>AUG</v>
      </c>
      <c r="O18" s="418" t="str">
        <f t="shared" si="6"/>
        <v>SEP</v>
      </c>
      <c r="P18" s="418" t="str">
        <f t="shared" si="6"/>
        <v>OCT</v>
      </c>
      <c r="Q18" s="418" t="str">
        <f t="shared" si="6"/>
        <v>NOV</v>
      </c>
      <c r="R18" s="418" t="str">
        <f t="shared" si="6"/>
        <v>DEC</v>
      </c>
      <c r="S18" s="577" t="s">
        <v>403</v>
      </c>
      <c r="U18" s="590" t="s">
        <v>169</v>
      </c>
      <c r="V18" s="591" t="s">
        <v>170</v>
      </c>
      <c r="W18" s="315"/>
      <c r="X18" s="315"/>
    </row>
    <row r="19" spans="2:25" ht="12.6" customHeight="1" x14ac:dyDescent="0.2">
      <c r="B19" s="1261" t="s">
        <v>480</v>
      </c>
      <c r="C19" s="1290" t="s">
        <v>415</v>
      </c>
      <c r="D19" s="1291"/>
      <c r="E19" s="1291"/>
      <c r="F19" s="478"/>
      <c r="G19" s="923">
        <f>0.5*' 6 AT Palkat, alv '!E16</f>
        <v>0</v>
      </c>
      <c r="H19" s="923">
        <f>0.5*(' 6 AT Palkat, alv '!E16+' 6 AT Palkat, alv '!F16)</f>
        <v>0</v>
      </c>
      <c r="I19" s="923">
        <f>0.5*(' 6 AT Palkat, alv '!F16+' 6 AT Palkat, alv '!G16)</f>
        <v>0</v>
      </c>
      <c r="J19" s="923">
        <f>0.5*(' 6 AT Palkat, alv '!G16+' 6 AT Palkat, alv '!H16)</f>
        <v>0</v>
      </c>
      <c r="K19" s="923">
        <f>0.5*(' 6 AT Palkat, alv '!H16+' 6 AT Palkat, alv '!I16)</f>
        <v>0</v>
      </c>
      <c r="L19" s="923">
        <f>0.5*(' 6 AT Palkat, alv '!I16+' 6 AT Palkat, alv '!J16)</f>
        <v>0</v>
      </c>
      <c r="M19" s="923">
        <f>0.5*(' 6 AT Palkat, alv '!J16+' 6 AT Palkat, alv '!K16)</f>
        <v>0</v>
      </c>
      <c r="N19" s="923">
        <f>0.5*(' 6 AT Palkat, alv '!K16+' 6 AT Palkat, alv '!L16)</f>
        <v>0</v>
      </c>
      <c r="O19" s="923">
        <f>0.5*(' 6 AT Palkat, alv '!L16+' 6 AT Palkat, alv '!M16)</f>
        <v>0</v>
      </c>
      <c r="P19" s="923">
        <f>0.5*(' 6 AT Palkat, alv '!M16+' 6 AT Palkat, alv '!N16)</f>
        <v>0</v>
      </c>
      <c r="Q19" s="923">
        <f>0.5*(' 6 AT Palkat, alv '!N16+' 6 AT Palkat, alv '!O16)</f>
        <v>0</v>
      </c>
      <c r="R19" s="923">
        <f>0.5*(' 6 AT Palkat, alv '!O16+' 6 AT Palkat, alv '!P16)</f>
        <v>0</v>
      </c>
      <c r="S19" s="295">
        <f>SUM(G19:R19)</f>
        <v>0</v>
      </c>
      <c r="U19" s="297">
        <v>0</v>
      </c>
      <c r="V19" s="297">
        <f>'3. Calculation no VAT'!J235</f>
        <v>0</v>
      </c>
      <c r="W19" s="305"/>
      <c r="X19" s="305"/>
      <c r="Y19" s="9"/>
    </row>
    <row r="20" spans="2:25" ht="12.6" customHeight="1" x14ac:dyDescent="0.2">
      <c r="B20" s="1262"/>
      <c r="C20" s="384" t="s">
        <v>416</v>
      </c>
      <c r="D20" s="385"/>
      <c r="E20" s="385"/>
      <c r="F20" s="478"/>
      <c r="G20" s="924">
        <f>IF($V20=0,0,$V20*(G9+G11)/$U12)</f>
        <v>0</v>
      </c>
      <c r="H20" s="924">
        <f>IF($V20=0,0,$V20*(H9+H11)/$U12)</f>
        <v>0</v>
      </c>
      <c r="I20" s="924">
        <f t="shared" ref="I20:R20" si="7">IF($V20=0,0,$V20*(I9+I11)/$U12)</f>
        <v>0</v>
      </c>
      <c r="J20" s="924">
        <f t="shared" si="7"/>
        <v>0</v>
      </c>
      <c r="K20" s="924">
        <f t="shared" si="7"/>
        <v>0</v>
      </c>
      <c r="L20" s="924">
        <f t="shared" si="7"/>
        <v>0</v>
      </c>
      <c r="M20" s="924">
        <f t="shared" si="7"/>
        <v>0</v>
      </c>
      <c r="N20" s="924">
        <f t="shared" si="7"/>
        <v>0</v>
      </c>
      <c r="O20" s="924">
        <f t="shared" si="7"/>
        <v>0</v>
      </c>
      <c r="P20" s="924">
        <f t="shared" si="7"/>
        <v>0</v>
      </c>
      <c r="Q20" s="924">
        <f t="shared" si="7"/>
        <v>0</v>
      </c>
      <c r="R20" s="924">
        <f t="shared" si="7"/>
        <v>0</v>
      </c>
      <c r="S20" s="392">
        <f>SUM(G20:R20)</f>
        <v>0</v>
      </c>
      <c r="U20" s="297"/>
      <c r="V20" s="297">
        <f>'3. Calculation no VAT'!J238</f>
        <v>0</v>
      </c>
      <c r="W20" s="305"/>
      <c r="X20" s="305"/>
      <c r="Y20" s="9"/>
    </row>
    <row r="21" spans="2:25" ht="12.6" customHeight="1" x14ac:dyDescent="0.2">
      <c r="B21" s="640" t="s">
        <v>481</v>
      </c>
      <c r="C21" s="1269" t="s">
        <v>417</v>
      </c>
      <c r="D21" s="1270"/>
      <c r="E21" s="1270"/>
      <c r="F21" s="760">
        <v>0</v>
      </c>
      <c r="G21" s="921">
        <f t="shared" ref="G21:R25" si="8">$V21/12*(1+$F21/100)</f>
        <v>0</v>
      </c>
      <c r="H21" s="921">
        <f t="shared" si="8"/>
        <v>0</v>
      </c>
      <c r="I21" s="921">
        <f t="shared" si="8"/>
        <v>0</v>
      </c>
      <c r="J21" s="921">
        <f t="shared" si="8"/>
        <v>0</v>
      </c>
      <c r="K21" s="921">
        <f t="shared" si="8"/>
        <v>0</v>
      </c>
      <c r="L21" s="921">
        <f t="shared" si="8"/>
        <v>0</v>
      </c>
      <c r="M21" s="921">
        <f t="shared" si="8"/>
        <v>0</v>
      </c>
      <c r="N21" s="921">
        <f t="shared" si="8"/>
        <v>0</v>
      </c>
      <c r="O21" s="921">
        <f t="shared" si="8"/>
        <v>0</v>
      </c>
      <c r="P21" s="921">
        <f t="shared" si="8"/>
        <v>0</v>
      </c>
      <c r="Q21" s="921">
        <f t="shared" si="8"/>
        <v>0</v>
      </c>
      <c r="R21" s="921">
        <f t="shared" si="8"/>
        <v>0</v>
      </c>
      <c r="S21" s="295">
        <f t="shared" ref="S21:S52" si="9">SUM(G21:R21)</f>
        <v>0</v>
      </c>
      <c r="U21" s="297">
        <f>V21*(1+F21/100)</f>
        <v>0</v>
      </c>
      <c r="V21" s="297">
        <f>'3. Calculation no VAT'!J61*'3. Calculation no VAT'!J62</f>
        <v>0</v>
      </c>
      <c r="W21" s="305"/>
      <c r="X21" s="305"/>
      <c r="Y21" s="9"/>
    </row>
    <row r="22" spans="2:25" ht="12.6" customHeight="1" x14ac:dyDescent="0.2">
      <c r="B22" s="640" t="s">
        <v>482</v>
      </c>
      <c r="C22" s="1269" t="s">
        <v>418</v>
      </c>
      <c r="D22" s="1270"/>
      <c r="E22" s="1270"/>
      <c r="F22" s="760">
        <v>0</v>
      </c>
      <c r="G22" s="921">
        <f t="shared" si="8"/>
        <v>0</v>
      </c>
      <c r="H22" s="921">
        <f t="shared" si="8"/>
        <v>0</v>
      </c>
      <c r="I22" s="921">
        <f t="shared" si="8"/>
        <v>0</v>
      </c>
      <c r="J22" s="921">
        <f t="shared" si="8"/>
        <v>0</v>
      </c>
      <c r="K22" s="921">
        <f t="shared" si="8"/>
        <v>0</v>
      </c>
      <c r="L22" s="921">
        <f t="shared" si="8"/>
        <v>0</v>
      </c>
      <c r="M22" s="921">
        <f t="shared" si="8"/>
        <v>0</v>
      </c>
      <c r="N22" s="921">
        <f t="shared" si="8"/>
        <v>0</v>
      </c>
      <c r="O22" s="921">
        <f t="shared" si="8"/>
        <v>0</v>
      </c>
      <c r="P22" s="921">
        <f t="shared" si="8"/>
        <v>0</v>
      </c>
      <c r="Q22" s="921">
        <f t="shared" si="8"/>
        <v>0</v>
      </c>
      <c r="R22" s="921">
        <f t="shared" si="8"/>
        <v>0</v>
      </c>
      <c r="S22" s="295">
        <f t="shared" si="9"/>
        <v>0</v>
      </c>
      <c r="U22" s="297">
        <f>V22*(1+F22/100)</f>
        <v>0</v>
      </c>
      <c r="V22" s="297">
        <f>IF('3. Calculation no VAT'!J33=12,'3. Calculation no VAT'!J74,IF('1. Calculation'!J33&lt;12,12*('3. Calculation no VAT'!J74+'3. Calculation no VAT'!K74)/('3. Calculation no VAT'!J33+'3. Calculation no VAT'!K33),12*'3. Calculation no VAT'!J74/'1. Calculation'!J33))</f>
        <v>0</v>
      </c>
      <c r="W22" s="305"/>
      <c r="X22" s="305"/>
    </row>
    <row r="23" spans="2:25" ht="12.6" customHeight="1" x14ac:dyDescent="0.2">
      <c r="B23" s="640" t="s">
        <v>483</v>
      </c>
      <c r="C23" s="1269" t="s">
        <v>419</v>
      </c>
      <c r="D23" s="1270"/>
      <c r="E23" s="1270"/>
      <c r="F23" s="760">
        <v>0</v>
      </c>
      <c r="G23" s="921">
        <f t="shared" si="8"/>
        <v>0</v>
      </c>
      <c r="H23" s="921">
        <f t="shared" si="8"/>
        <v>0</v>
      </c>
      <c r="I23" s="921">
        <f t="shared" si="8"/>
        <v>0</v>
      </c>
      <c r="J23" s="921">
        <f t="shared" si="8"/>
        <v>0</v>
      </c>
      <c r="K23" s="921">
        <f t="shared" si="8"/>
        <v>0</v>
      </c>
      <c r="L23" s="921">
        <f t="shared" si="8"/>
        <v>0</v>
      </c>
      <c r="M23" s="921">
        <f t="shared" si="8"/>
        <v>0</v>
      </c>
      <c r="N23" s="921">
        <f t="shared" si="8"/>
        <v>0</v>
      </c>
      <c r="O23" s="921">
        <f t="shared" si="8"/>
        <v>0</v>
      </c>
      <c r="P23" s="921">
        <f t="shared" si="8"/>
        <v>0</v>
      </c>
      <c r="Q23" s="921">
        <f t="shared" si="8"/>
        <v>0</v>
      </c>
      <c r="R23" s="921">
        <f t="shared" si="8"/>
        <v>0</v>
      </c>
      <c r="S23" s="295">
        <f t="shared" si="9"/>
        <v>0</v>
      </c>
      <c r="U23" s="297">
        <f>V23*(1+F23/100)</f>
        <v>0</v>
      </c>
      <c r="V23" s="297">
        <f>12*('3. Calculation no VAT'!J63+'3. Calculation no VAT'!J64+'3. Calculation no VAT'!J65)/'3. Calculation no VAT'!J33</f>
        <v>0</v>
      </c>
      <c r="W23" s="305"/>
      <c r="X23" s="305"/>
    </row>
    <row r="24" spans="2:25" ht="12.6" customHeight="1" x14ac:dyDescent="0.2">
      <c r="B24" s="640" t="s">
        <v>484</v>
      </c>
      <c r="C24" s="1269" t="s">
        <v>420</v>
      </c>
      <c r="D24" s="1270"/>
      <c r="E24" s="1270"/>
      <c r="F24" s="760">
        <v>0</v>
      </c>
      <c r="G24" s="921">
        <f t="shared" si="8"/>
        <v>0</v>
      </c>
      <c r="H24" s="921">
        <f t="shared" si="8"/>
        <v>0</v>
      </c>
      <c r="I24" s="921">
        <f t="shared" si="8"/>
        <v>0</v>
      </c>
      <c r="J24" s="921">
        <f t="shared" si="8"/>
        <v>0</v>
      </c>
      <c r="K24" s="921">
        <f t="shared" si="8"/>
        <v>0</v>
      </c>
      <c r="L24" s="921">
        <f t="shared" si="8"/>
        <v>0</v>
      </c>
      <c r="M24" s="921">
        <f t="shared" si="8"/>
        <v>0</v>
      </c>
      <c r="N24" s="921">
        <f t="shared" si="8"/>
        <v>0</v>
      </c>
      <c r="O24" s="921">
        <f t="shared" si="8"/>
        <v>0</v>
      </c>
      <c r="P24" s="921">
        <f t="shared" si="8"/>
        <v>0</v>
      </c>
      <c r="Q24" s="921">
        <f t="shared" si="8"/>
        <v>0</v>
      </c>
      <c r="R24" s="921">
        <f t="shared" si="8"/>
        <v>0</v>
      </c>
      <c r="S24" s="295">
        <f t="shared" si="9"/>
        <v>0</v>
      </c>
      <c r="U24" s="297">
        <f>V24*(1+F24/100)</f>
        <v>0</v>
      </c>
      <c r="V24" s="297">
        <f>12*('3. Calculation no VAT'!J109)/'3. Calculation no VAT'!J33</f>
        <v>0</v>
      </c>
      <c r="W24" s="305"/>
      <c r="X24" s="305"/>
    </row>
    <row r="25" spans="2:25" ht="12.6" customHeight="1" x14ac:dyDescent="0.2">
      <c r="B25" s="640" t="s">
        <v>485</v>
      </c>
      <c r="C25" s="1269" t="s">
        <v>421</v>
      </c>
      <c r="D25" s="1269"/>
      <c r="E25" s="1269"/>
      <c r="F25" s="760">
        <v>0</v>
      </c>
      <c r="G25" s="921">
        <f t="shared" si="8"/>
        <v>0</v>
      </c>
      <c r="H25" s="921">
        <f t="shared" si="8"/>
        <v>0</v>
      </c>
      <c r="I25" s="921">
        <f t="shared" si="8"/>
        <v>0</v>
      </c>
      <c r="J25" s="921">
        <f t="shared" si="8"/>
        <v>0</v>
      </c>
      <c r="K25" s="921">
        <f t="shared" si="8"/>
        <v>0</v>
      </c>
      <c r="L25" s="921">
        <f t="shared" si="8"/>
        <v>0</v>
      </c>
      <c r="M25" s="921">
        <f t="shared" si="8"/>
        <v>0</v>
      </c>
      <c r="N25" s="921">
        <f t="shared" si="8"/>
        <v>0</v>
      </c>
      <c r="O25" s="921">
        <f t="shared" si="8"/>
        <v>0</v>
      </c>
      <c r="P25" s="921">
        <f t="shared" si="8"/>
        <v>0</v>
      </c>
      <c r="Q25" s="921">
        <f t="shared" si="8"/>
        <v>0</v>
      </c>
      <c r="R25" s="921">
        <f t="shared" si="8"/>
        <v>0</v>
      </c>
      <c r="S25" s="295">
        <f t="shared" si="9"/>
        <v>0</v>
      </c>
      <c r="U25" s="297">
        <f>V25*(1+F25/100)</f>
        <v>0</v>
      </c>
      <c r="V25" s="297">
        <f>12*'3. Calculation no VAT'!J98/'3. Calculation no VAT'!J33</f>
        <v>0</v>
      </c>
      <c r="W25" s="305"/>
      <c r="X25" s="305"/>
    </row>
    <row r="26" spans="2:25" ht="12.6" customHeight="1" x14ac:dyDescent="0.2">
      <c r="B26" s="640" t="s">
        <v>486</v>
      </c>
      <c r="C26" s="1269" t="s">
        <v>422</v>
      </c>
      <c r="D26" s="1270"/>
      <c r="E26" s="1270"/>
      <c r="F26" s="760">
        <v>0</v>
      </c>
      <c r="G26" s="925">
        <f>U26</f>
        <v>0</v>
      </c>
      <c r="H26" s="921">
        <v>0</v>
      </c>
      <c r="I26" s="921">
        <v>0</v>
      </c>
      <c r="J26" s="921">
        <v>0</v>
      </c>
      <c r="K26" s="921">
        <v>0</v>
      </c>
      <c r="L26" s="921">
        <v>0</v>
      </c>
      <c r="M26" s="921">
        <v>0</v>
      </c>
      <c r="N26" s="921">
        <v>0</v>
      </c>
      <c r="O26" s="921">
        <v>0</v>
      </c>
      <c r="P26" s="921">
        <v>0</v>
      </c>
      <c r="Q26" s="921">
        <v>0</v>
      </c>
      <c r="R26" s="921">
        <v>0</v>
      </c>
      <c r="S26" s="295">
        <f>ROUND(SUM(G26:R26),0)</f>
        <v>0</v>
      </c>
      <c r="T26" s="605"/>
      <c r="U26" s="369">
        <f>ROUND(('3. Calculation no VAT'!F10+'3. Calculation no VAT'!F15+'3. Calculation no VAT'!F16+'3. Calculation no VAT'!F17+'3. Calculation no VAT'!F20+'3. Calculation no VAT'!F21+'3. Calculation no VAT'!F25),0)</f>
        <v>0</v>
      </c>
      <c r="V26" s="297"/>
      <c r="W26" s="305"/>
      <c r="X26" s="305"/>
    </row>
    <row r="27" spans="2:25" ht="12.6" customHeight="1" x14ac:dyDescent="0.2">
      <c r="B27" s="640" t="s">
        <v>131</v>
      </c>
      <c r="C27" s="386" t="s">
        <v>423</v>
      </c>
      <c r="D27" s="386"/>
      <c r="E27" s="389"/>
      <c r="F27" s="760">
        <v>0</v>
      </c>
      <c r="G27" s="921">
        <f t="shared" ref="G27:R31" si="10">$V27/12*(1+$F27/100)</f>
        <v>0</v>
      </c>
      <c r="H27" s="921">
        <f t="shared" si="10"/>
        <v>0</v>
      </c>
      <c r="I27" s="921">
        <f t="shared" si="10"/>
        <v>0</v>
      </c>
      <c r="J27" s="921">
        <f t="shared" si="10"/>
        <v>0</v>
      </c>
      <c r="K27" s="921">
        <f t="shared" si="10"/>
        <v>0</v>
      </c>
      <c r="L27" s="921">
        <f t="shared" si="10"/>
        <v>0</v>
      </c>
      <c r="M27" s="921">
        <f t="shared" si="10"/>
        <v>0</v>
      </c>
      <c r="N27" s="921">
        <f t="shared" si="10"/>
        <v>0</v>
      </c>
      <c r="O27" s="921">
        <f t="shared" si="10"/>
        <v>0</v>
      </c>
      <c r="P27" s="921">
        <f t="shared" si="10"/>
        <v>0</v>
      </c>
      <c r="Q27" s="921">
        <f t="shared" si="10"/>
        <v>0</v>
      </c>
      <c r="R27" s="921">
        <f t="shared" si="10"/>
        <v>0</v>
      </c>
      <c r="S27" s="295">
        <f t="shared" si="9"/>
        <v>0</v>
      </c>
      <c r="U27" s="297">
        <f>V27*(1+F27/100)</f>
        <v>0</v>
      </c>
      <c r="V27" s="297">
        <f>'3. Calculation no VAT'!J75+'3. Calculation no VAT'!J81-'3. Calculation no VAT'!J80</f>
        <v>0</v>
      </c>
      <c r="W27" s="305"/>
      <c r="X27" s="305"/>
    </row>
    <row r="28" spans="2:25" ht="12.6" customHeight="1" x14ac:dyDescent="0.2">
      <c r="B28" s="640" t="s">
        <v>132</v>
      </c>
      <c r="C28" s="386" t="s">
        <v>424</v>
      </c>
      <c r="D28" s="393"/>
      <c r="E28" s="393"/>
      <c r="F28" s="760">
        <v>0</v>
      </c>
      <c r="G28" s="921">
        <f t="shared" si="10"/>
        <v>0</v>
      </c>
      <c r="H28" s="921">
        <f t="shared" si="10"/>
        <v>0</v>
      </c>
      <c r="I28" s="921">
        <f t="shared" si="10"/>
        <v>0</v>
      </c>
      <c r="J28" s="921">
        <f t="shared" si="10"/>
        <v>0</v>
      </c>
      <c r="K28" s="921">
        <f t="shared" si="10"/>
        <v>0</v>
      </c>
      <c r="L28" s="921">
        <f t="shared" si="10"/>
        <v>0</v>
      </c>
      <c r="M28" s="921">
        <f t="shared" si="10"/>
        <v>0</v>
      </c>
      <c r="N28" s="921">
        <f t="shared" si="10"/>
        <v>0</v>
      </c>
      <c r="O28" s="921">
        <f t="shared" si="10"/>
        <v>0</v>
      </c>
      <c r="P28" s="921">
        <f t="shared" si="10"/>
        <v>0</v>
      </c>
      <c r="Q28" s="921">
        <f t="shared" si="10"/>
        <v>0</v>
      </c>
      <c r="R28" s="921">
        <f t="shared" si="10"/>
        <v>0</v>
      </c>
      <c r="S28" s="295">
        <f t="shared" si="9"/>
        <v>0</v>
      </c>
      <c r="U28" s="297">
        <f>V28*(1+F28/100)</f>
        <v>0</v>
      </c>
      <c r="V28" s="297">
        <f>('3. Calculation no VAT'!J66+'3. Calculation no VAT'!J67+'3. Calculation no VAT'!J68)</f>
        <v>0</v>
      </c>
      <c r="W28" s="305"/>
      <c r="X28" s="305"/>
    </row>
    <row r="29" spans="2:25" ht="12.6" customHeight="1" x14ac:dyDescent="0.2">
      <c r="B29" s="640" t="s">
        <v>133</v>
      </c>
      <c r="C29" s="1269" t="s">
        <v>425</v>
      </c>
      <c r="D29" s="1270"/>
      <c r="E29" s="1270"/>
      <c r="F29" s="760">
        <v>0</v>
      </c>
      <c r="G29" s="921">
        <f t="shared" si="10"/>
        <v>0</v>
      </c>
      <c r="H29" s="921">
        <f t="shared" si="10"/>
        <v>0</v>
      </c>
      <c r="I29" s="921">
        <f t="shared" si="10"/>
        <v>0</v>
      </c>
      <c r="J29" s="921">
        <f t="shared" si="10"/>
        <v>0</v>
      </c>
      <c r="K29" s="921">
        <f t="shared" si="10"/>
        <v>0</v>
      </c>
      <c r="L29" s="921">
        <f t="shared" si="10"/>
        <v>0</v>
      </c>
      <c r="M29" s="921">
        <f t="shared" si="10"/>
        <v>0</v>
      </c>
      <c r="N29" s="921">
        <f t="shared" si="10"/>
        <v>0</v>
      </c>
      <c r="O29" s="921">
        <f t="shared" si="10"/>
        <v>0</v>
      </c>
      <c r="P29" s="921">
        <f t="shared" si="10"/>
        <v>0</v>
      </c>
      <c r="Q29" s="921">
        <f t="shared" si="10"/>
        <v>0</v>
      </c>
      <c r="R29" s="921">
        <f t="shared" si="10"/>
        <v>0</v>
      </c>
      <c r="S29" s="295">
        <f t="shared" si="9"/>
        <v>0</v>
      </c>
      <c r="U29" s="297">
        <f>V29*(1+F29/100)</f>
        <v>0</v>
      </c>
      <c r="V29" s="297">
        <f>12*'3. Calculation no VAT'!J87/'3. Calculation no VAT'!J33</f>
        <v>0</v>
      </c>
      <c r="W29" s="305"/>
      <c r="X29" s="305"/>
    </row>
    <row r="30" spans="2:25" ht="12.6" customHeight="1" x14ac:dyDescent="0.2">
      <c r="B30" s="640" t="s">
        <v>134</v>
      </c>
      <c r="C30" s="1269" t="s">
        <v>426</v>
      </c>
      <c r="D30" s="1269"/>
      <c r="E30" s="1269"/>
      <c r="F30" s="760">
        <v>0</v>
      </c>
      <c r="G30" s="921">
        <f t="shared" si="10"/>
        <v>0</v>
      </c>
      <c r="H30" s="921">
        <f t="shared" si="10"/>
        <v>0</v>
      </c>
      <c r="I30" s="921">
        <f t="shared" si="10"/>
        <v>0</v>
      </c>
      <c r="J30" s="921">
        <f t="shared" si="10"/>
        <v>0</v>
      </c>
      <c r="K30" s="921">
        <f t="shared" si="10"/>
        <v>0</v>
      </c>
      <c r="L30" s="921">
        <f t="shared" si="10"/>
        <v>0</v>
      </c>
      <c r="M30" s="921">
        <f t="shared" si="10"/>
        <v>0</v>
      </c>
      <c r="N30" s="921">
        <f t="shared" si="10"/>
        <v>0</v>
      </c>
      <c r="O30" s="921">
        <f t="shared" si="10"/>
        <v>0</v>
      </c>
      <c r="P30" s="921">
        <f t="shared" si="10"/>
        <v>0</v>
      </c>
      <c r="Q30" s="921">
        <f t="shared" si="10"/>
        <v>0</v>
      </c>
      <c r="R30" s="921">
        <f t="shared" si="10"/>
        <v>0</v>
      </c>
      <c r="S30" s="295">
        <f t="shared" si="9"/>
        <v>0</v>
      </c>
      <c r="U30" s="297">
        <f>V30*(1+F30/100)</f>
        <v>0</v>
      </c>
      <c r="V30" s="297">
        <f>12*'3. Calculation no VAT'!J83/'3. Calculation no VAT'!J33</f>
        <v>0</v>
      </c>
      <c r="W30" s="305"/>
      <c r="X30" s="305"/>
    </row>
    <row r="31" spans="2:25" ht="12.6" customHeight="1" x14ac:dyDescent="0.2">
      <c r="B31" s="640" t="s">
        <v>135</v>
      </c>
      <c r="C31" s="1269" t="s">
        <v>490</v>
      </c>
      <c r="D31" s="1270"/>
      <c r="E31" s="1270"/>
      <c r="F31" s="760">
        <v>0</v>
      </c>
      <c r="G31" s="921">
        <f t="shared" si="10"/>
        <v>0</v>
      </c>
      <c r="H31" s="921">
        <f t="shared" si="10"/>
        <v>0</v>
      </c>
      <c r="I31" s="921">
        <f t="shared" si="10"/>
        <v>0</v>
      </c>
      <c r="J31" s="921">
        <f t="shared" si="10"/>
        <v>0</v>
      </c>
      <c r="K31" s="921">
        <f t="shared" si="10"/>
        <v>0</v>
      </c>
      <c r="L31" s="921">
        <f t="shared" si="10"/>
        <v>0</v>
      </c>
      <c r="M31" s="921">
        <f t="shared" si="10"/>
        <v>0</v>
      </c>
      <c r="N31" s="921">
        <f t="shared" si="10"/>
        <v>0</v>
      </c>
      <c r="O31" s="921">
        <f t="shared" si="10"/>
        <v>0</v>
      </c>
      <c r="P31" s="921">
        <f t="shared" si="10"/>
        <v>0</v>
      </c>
      <c r="Q31" s="921">
        <f t="shared" si="10"/>
        <v>0</v>
      </c>
      <c r="R31" s="921">
        <f t="shared" si="10"/>
        <v>0</v>
      </c>
      <c r="S31" s="295">
        <f t="shared" si="9"/>
        <v>0</v>
      </c>
      <c r="U31" s="917">
        <f>V31*(1+F31/100)</f>
        <v>0</v>
      </c>
      <c r="V31" s="592">
        <f>12*' 6 AT Palkat, alv '!Q38/'3. Calculation no VAT'!J33</f>
        <v>0</v>
      </c>
      <c r="W31" s="305"/>
      <c r="X31" s="305"/>
    </row>
    <row r="32" spans="2:25" ht="12.6" hidden="1" customHeight="1" x14ac:dyDescent="0.2">
      <c r="B32" s="640" t="e">
        <f t="shared" ref="B32" si="11">B31+1</f>
        <v>#VALUE!</v>
      </c>
      <c r="C32" s="1269" t="s">
        <v>428</v>
      </c>
      <c r="D32" s="1270"/>
      <c r="E32" s="1270"/>
      <c r="F32" s="387"/>
      <c r="G32" s="403"/>
      <c r="H32" s="403">
        <v>0</v>
      </c>
      <c r="I32" s="297">
        <v>0</v>
      </c>
      <c r="J32" s="297">
        <v>0</v>
      </c>
      <c r="K32" s="297">
        <v>0</v>
      </c>
      <c r="L32" s="297">
        <v>0</v>
      </c>
      <c r="M32" s="297">
        <v>0</v>
      </c>
      <c r="N32" s="297">
        <v>0</v>
      </c>
      <c r="O32" s="297">
        <v>0</v>
      </c>
      <c r="P32" s="297">
        <v>0</v>
      </c>
      <c r="Q32" s="297">
        <v>0</v>
      </c>
      <c r="R32" s="297">
        <v>0</v>
      </c>
      <c r="S32" s="295">
        <f t="shared" si="9"/>
        <v>0</v>
      </c>
      <c r="U32" s="276"/>
      <c r="V32" s="593"/>
      <c r="W32" s="305"/>
    </row>
    <row r="33" spans="2:40" ht="12.6" customHeight="1" x14ac:dyDescent="0.2">
      <c r="B33" s="640" t="s">
        <v>136</v>
      </c>
      <c r="C33" s="1269" t="s">
        <v>429</v>
      </c>
      <c r="D33" s="1270"/>
      <c r="E33" s="127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2" t="s">
        <v>0</v>
      </c>
      <c r="Y33" s="257" t="s">
        <v>205</v>
      </c>
      <c r="Z33" s="632" t="str">
        <f t="shared" ref="Z33:AK33" si="13">G7</f>
        <v>JAN</v>
      </c>
      <c r="AA33" s="632" t="str">
        <f t="shared" si="13"/>
        <v>FEB</v>
      </c>
      <c r="AB33" s="632" t="str">
        <f t="shared" si="13"/>
        <v>MARS</v>
      </c>
      <c r="AC33" s="632" t="str">
        <f t="shared" si="13"/>
        <v>APR</v>
      </c>
      <c r="AD33" s="632" t="str">
        <f t="shared" si="13"/>
        <v>MAY</v>
      </c>
      <c r="AE33" s="632" t="str">
        <f t="shared" si="13"/>
        <v>JUNE</v>
      </c>
      <c r="AF33" s="632" t="str">
        <f t="shared" si="13"/>
        <v>JULY</v>
      </c>
      <c r="AG33" s="632" t="str">
        <f t="shared" si="13"/>
        <v>AUG</v>
      </c>
      <c r="AH33" s="632" t="str">
        <f t="shared" si="13"/>
        <v>SEP</v>
      </c>
      <c r="AI33" s="632" t="str">
        <f t="shared" si="13"/>
        <v>OCT</v>
      </c>
      <c r="AJ33" s="632" t="str">
        <f t="shared" si="13"/>
        <v>NOV</v>
      </c>
      <c r="AK33" s="632" t="str">
        <f t="shared" si="13"/>
        <v>DEC</v>
      </c>
      <c r="AL33" s="361"/>
    </row>
    <row r="34" spans="2:40" ht="12" hidden="1" customHeight="1" x14ac:dyDescent="0.2">
      <c r="B34" s="645"/>
      <c r="C34" s="1282" t="s">
        <v>218</v>
      </c>
      <c r="D34" s="1282"/>
      <c r="E34" s="1283"/>
      <c r="F34" s="415">
        <v>0.28999999999999998</v>
      </c>
      <c r="G34" s="401">
        <f t="shared" ref="G34:R37" si="14">$V34/12</f>
        <v>0</v>
      </c>
      <c r="H34" s="401">
        <f t="shared" si="14"/>
        <v>0</v>
      </c>
      <c r="I34" s="401">
        <f t="shared" si="14"/>
        <v>0</v>
      </c>
      <c r="J34" s="401">
        <f t="shared" si="14"/>
        <v>0</v>
      </c>
      <c r="K34" s="401">
        <f t="shared" si="14"/>
        <v>0</v>
      </c>
      <c r="L34" s="401">
        <f t="shared" si="14"/>
        <v>0</v>
      </c>
      <c r="M34" s="401">
        <f t="shared" si="14"/>
        <v>0</v>
      </c>
      <c r="N34" s="401">
        <f t="shared" si="14"/>
        <v>0</v>
      </c>
      <c r="O34" s="401">
        <f t="shared" si="14"/>
        <v>0</v>
      </c>
      <c r="P34" s="401">
        <f t="shared" si="14"/>
        <v>0</v>
      </c>
      <c r="Q34" s="401">
        <f t="shared" si="14"/>
        <v>0</v>
      </c>
      <c r="R34" s="401">
        <f t="shared" si="14"/>
        <v>0</v>
      </c>
      <c r="S34" s="394">
        <f t="shared" si="9"/>
        <v>0</v>
      </c>
      <c r="T34" s="22"/>
      <c r="U34" s="284"/>
      <c r="V34" s="594">
        <v>0</v>
      </c>
      <c r="W34" s="305"/>
      <c r="X34" s="360" t="s">
        <v>214</v>
      </c>
      <c r="Y34" s="359"/>
      <c r="Z34" s="634">
        <f t="shared" ref="Z34:AK34" si="15">G34+G35</f>
        <v>0</v>
      </c>
      <c r="AA34" s="634">
        <f t="shared" si="15"/>
        <v>0</v>
      </c>
      <c r="AB34" s="634">
        <f t="shared" si="15"/>
        <v>0</v>
      </c>
      <c r="AC34" s="634">
        <f t="shared" si="15"/>
        <v>0</v>
      </c>
      <c r="AD34" s="634">
        <f t="shared" si="15"/>
        <v>0</v>
      </c>
      <c r="AE34" s="634">
        <f t="shared" si="15"/>
        <v>0</v>
      </c>
      <c r="AF34" s="634">
        <f t="shared" si="15"/>
        <v>0</v>
      </c>
      <c r="AG34" s="634">
        <f t="shared" si="15"/>
        <v>0</v>
      </c>
      <c r="AH34" s="634">
        <f t="shared" si="15"/>
        <v>0</v>
      </c>
      <c r="AI34" s="634">
        <f t="shared" si="15"/>
        <v>0</v>
      </c>
      <c r="AJ34" s="634">
        <f t="shared" si="15"/>
        <v>0</v>
      </c>
      <c r="AK34" s="634">
        <f t="shared" si="15"/>
        <v>0</v>
      </c>
      <c r="AL34" s="634">
        <f>SUM(Z34:AK34)</f>
        <v>0</v>
      </c>
    </row>
    <row r="35" spans="2:40" ht="12" hidden="1" customHeight="1" x14ac:dyDescent="0.2">
      <c r="B35" s="645"/>
      <c r="C35" s="395" t="s">
        <v>219</v>
      </c>
      <c r="D35" s="388"/>
      <c r="E35" s="388"/>
      <c r="F35" s="381"/>
      <c r="G35" s="401">
        <f t="shared" si="14"/>
        <v>0</v>
      </c>
      <c r="H35" s="401">
        <f t="shared" si="14"/>
        <v>0</v>
      </c>
      <c r="I35" s="401">
        <f t="shared" si="14"/>
        <v>0</v>
      </c>
      <c r="J35" s="401">
        <f t="shared" si="14"/>
        <v>0</v>
      </c>
      <c r="K35" s="401">
        <f t="shared" si="14"/>
        <v>0</v>
      </c>
      <c r="L35" s="401">
        <f t="shared" si="14"/>
        <v>0</v>
      </c>
      <c r="M35" s="401">
        <f t="shared" si="14"/>
        <v>0</v>
      </c>
      <c r="N35" s="401">
        <f t="shared" si="14"/>
        <v>0</v>
      </c>
      <c r="O35" s="401">
        <f t="shared" si="14"/>
        <v>0</v>
      </c>
      <c r="P35" s="401">
        <f t="shared" si="14"/>
        <v>0</v>
      </c>
      <c r="Q35" s="401">
        <f t="shared" si="14"/>
        <v>0</v>
      </c>
      <c r="R35" s="401">
        <f t="shared" si="14"/>
        <v>0</v>
      </c>
      <c r="S35" s="394">
        <f t="shared" si="9"/>
        <v>0</v>
      </c>
      <c r="T35" s="22"/>
      <c r="U35" s="284"/>
      <c r="V35" s="594">
        <v>0</v>
      </c>
      <c r="W35" s="305"/>
      <c r="X35" s="360" t="s">
        <v>172</v>
      </c>
      <c r="Y35" s="435">
        <f>F34+1.16%</f>
        <v>0.30159999999999998</v>
      </c>
      <c r="Z35" s="635">
        <f>Z34*$Y35</f>
        <v>0</v>
      </c>
      <c r="AA35" s="635">
        <f t="shared" ref="AA35:AK35" si="16">AA34*$Y35</f>
        <v>0</v>
      </c>
      <c r="AB35" s="635">
        <f t="shared" si="16"/>
        <v>0</v>
      </c>
      <c r="AC35" s="635">
        <f t="shared" si="16"/>
        <v>0</v>
      </c>
      <c r="AD35" s="635">
        <f t="shared" si="16"/>
        <v>0</v>
      </c>
      <c r="AE35" s="635">
        <f t="shared" si="16"/>
        <v>0</v>
      </c>
      <c r="AF35" s="635">
        <f t="shared" si="16"/>
        <v>0</v>
      </c>
      <c r="AG35" s="635">
        <f t="shared" si="16"/>
        <v>0</v>
      </c>
      <c r="AH35" s="635">
        <f t="shared" si="16"/>
        <v>0</v>
      </c>
      <c r="AI35" s="635">
        <f t="shared" si="16"/>
        <v>0</v>
      </c>
      <c r="AJ35" s="635">
        <f t="shared" si="16"/>
        <v>0</v>
      </c>
      <c r="AK35" s="635">
        <f t="shared" si="16"/>
        <v>0</v>
      </c>
      <c r="AL35" s="634">
        <f t="shared" ref="AL35:AL38" si="17">SUM(Z35:AK35)</f>
        <v>0</v>
      </c>
      <c r="AN35" s="257"/>
    </row>
    <row r="36" spans="2:40" ht="12" customHeight="1" x14ac:dyDescent="0.2">
      <c r="B36" s="645"/>
      <c r="C36" s="1282" t="s">
        <v>487</v>
      </c>
      <c r="D36" s="1282"/>
      <c r="E36" s="1283"/>
      <c r="F36" s="926">
        <v>0.25</v>
      </c>
      <c r="G36" s="927">
        <f t="shared" si="14"/>
        <v>0</v>
      </c>
      <c r="H36" s="927">
        <f t="shared" si="14"/>
        <v>0</v>
      </c>
      <c r="I36" s="927">
        <f t="shared" si="14"/>
        <v>0</v>
      </c>
      <c r="J36" s="927">
        <f t="shared" si="14"/>
        <v>0</v>
      </c>
      <c r="K36" s="927">
        <f t="shared" si="14"/>
        <v>0</v>
      </c>
      <c r="L36" s="927">
        <f t="shared" si="14"/>
        <v>0</v>
      </c>
      <c r="M36" s="927">
        <f t="shared" si="14"/>
        <v>0</v>
      </c>
      <c r="N36" s="927">
        <f t="shared" si="14"/>
        <v>0</v>
      </c>
      <c r="O36" s="927">
        <f t="shared" si="14"/>
        <v>0</v>
      </c>
      <c r="P36" s="927">
        <f t="shared" si="14"/>
        <v>0</v>
      </c>
      <c r="Q36" s="927">
        <f t="shared" si="14"/>
        <v>0</v>
      </c>
      <c r="R36" s="927">
        <f t="shared" si="14"/>
        <v>0</v>
      </c>
      <c r="S36" s="394">
        <f t="shared" si="9"/>
        <v>0</v>
      </c>
      <c r="T36" s="22"/>
      <c r="U36" s="284"/>
      <c r="V36" s="431">
        <f>'3. Calculation no VAT'!J43*'3. Calculation no VAT'!J45</f>
        <v>0</v>
      </c>
      <c r="W36" s="305"/>
      <c r="X36" s="360" t="s">
        <v>213</v>
      </c>
      <c r="Y36" s="362"/>
      <c r="Z36" s="634">
        <f t="shared" ref="Z36:AK36" si="18">G36+G37</f>
        <v>0</v>
      </c>
      <c r="AA36" s="634">
        <f t="shared" si="18"/>
        <v>0</v>
      </c>
      <c r="AB36" s="634">
        <f t="shared" si="18"/>
        <v>0</v>
      </c>
      <c r="AC36" s="634">
        <f t="shared" si="18"/>
        <v>0</v>
      </c>
      <c r="AD36" s="634">
        <f t="shared" si="18"/>
        <v>0</v>
      </c>
      <c r="AE36" s="634">
        <f t="shared" si="18"/>
        <v>0</v>
      </c>
      <c r="AF36" s="634">
        <f t="shared" si="18"/>
        <v>0</v>
      </c>
      <c r="AG36" s="634">
        <f t="shared" si="18"/>
        <v>0</v>
      </c>
      <c r="AH36" s="634">
        <f t="shared" si="18"/>
        <v>0</v>
      </c>
      <c r="AI36" s="634">
        <f t="shared" si="18"/>
        <v>0</v>
      </c>
      <c r="AJ36" s="634">
        <f t="shared" si="18"/>
        <v>0</v>
      </c>
      <c r="AK36" s="634">
        <f t="shared" si="18"/>
        <v>0</v>
      </c>
      <c r="AL36" s="634">
        <f t="shared" si="17"/>
        <v>0</v>
      </c>
    </row>
    <row r="37" spans="2:40" ht="12" customHeight="1" x14ac:dyDescent="0.2">
      <c r="B37" s="645"/>
      <c r="C37" s="1282" t="s">
        <v>488</v>
      </c>
      <c r="D37" s="1282"/>
      <c r="E37" s="1282"/>
      <c r="F37" s="381"/>
      <c r="G37" s="927">
        <f t="shared" si="14"/>
        <v>0</v>
      </c>
      <c r="H37" s="927">
        <f t="shared" si="14"/>
        <v>0</v>
      </c>
      <c r="I37" s="927">
        <f t="shared" si="14"/>
        <v>0</v>
      </c>
      <c r="J37" s="927">
        <f t="shared" si="14"/>
        <v>0</v>
      </c>
      <c r="K37" s="927">
        <f t="shared" si="14"/>
        <v>0</v>
      </c>
      <c r="L37" s="927">
        <f t="shared" si="14"/>
        <v>0</v>
      </c>
      <c r="M37" s="927">
        <f t="shared" si="14"/>
        <v>0</v>
      </c>
      <c r="N37" s="927">
        <f t="shared" si="14"/>
        <v>0</v>
      </c>
      <c r="O37" s="927">
        <f t="shared" si="14"/>
        <v>0</v>
      </c>
      <c r="P37" s="927">
        <f t="shared" si="14"/>
        <v>0</v>
      </c>
      <c r="Q37" s="927">
        <f t="shared" si="14"/>
        <v>0</v>
      </c>
      <c r="R37" s="927">
        <f t="shared" si="14"/>
        <v>0</v>
      </c>
      <c r="S37" s="394">
        <f t="shared" si="9"/>
        <v>0</v>
      </c>
      <c r="T37" s="22"/>
      <c r="U37" s="284"/>
      <c r="V37" s="431">
        <f>'3. Calculation no VAT'!J44*12</f>
        <v>0</v>
      </c>
      <c r="W37" s="305"/>
      <c r="X37" s="360" t="s">
        <v>172</v>
      </c>
      <c r="Y37" s="435">
        <f>F36+1.91%</f>
        <v>0.26910000000000001</v>
      </c>
      <c r="Z37" s="635">
        <f>Z36*$Y37</f>
        <v>0</v>
      </c>
      <c r="AA37" s="635">
        <f t="shared" ref="AA37:AK37" si="19">AA36*$Y37</f>
        <v>0</v>
      </c>
      <c r="AB37" s="635">
        <f t="shared" si="19"/>
        <v>0</v>
      </c>
      <c r="AC37" s="635">
        <f t="shared" si="19"/>
        <v>0</v>
      </c>
      <c r="AD37" s="635">
        <f t="shared" si="19"/>
        <v>0</v>
      </c>
      <c r="AE37" s="635">
        <f t="shared" si="19"/>
        <v>0</v>
      </c>
      <c r="AF37" s="635">
        <f t="shared" si="19"/>
        <v>0</v>
      </c>
      <c r="AG37" s="635">
        <f t="shared" si="19"/>
        <v>0</v>
      </c>
      <c r="AH37" s="635">
        <f t="shared" si="19"/>
        <v>0</v>
      </c>
      <c r="AI37" s="635">
        <f t="shared" si="19"/>
        <v>0</v>
      </c>
      <c r="AJ37" s="635">
        <f t="shared" si="19"/>
        <v>0</v>
      </c>
      <c r="AK37" s="635">
        <f t="shared" si="19"/>
        <v>0</v>
      </c>
      <c r="AL37" s="634">
        <f t="shared" si="17"/>
        <v>0</v>
      </c>
    </row>
    <row r="38" spans="2:40" ht="12" customHeight="1" x14ac:dyDescent="0.2">
      <c r="B38" s="645"/>
      <c r="C38" s="395" t="s">
        <v>489</v>
      </c>
      <c r="D38" s="396"/>
      <c r="E38" s="396"/>
      <c r="F38" s="928">
        <v>8.1900000000000001E-2</v>
      </c>
      <c r="G38" s="431">
        <f>(G36+G37)*$F38</f>
        <v>0</v>
      </c>
      <c r="H38" s="431">
        <f t="shared" ref="H38:R38" si="20">(H36+H37)*$F38</f>
        <v>0</v>
      </c>
      <c r="I38" s="431">
        <f t="shared" si="20"/>
        <v>0</v>
      </c>
      <c r="J38" s="431">
        <f t="shared" si="20"/>
        <v>0</v>
      </c>
      <c r="K38" s="431">
        <f t="shared" si="20"/>
        <v>0</v>
      </c>
      <c r="L38" s="431">
        <f t="shared" si="20"/>
        <v>0</v>
      </c>
      <c r="M38" s="431">
        <f t="shared" si="20"/>
        <v>0</v>
      </c>
      <c r="N38" s="431">
        <f t="shared" si="20"/>
        <v>0</v>
      </c>
      <c r="O38" s="431">
        <f t="shared" si="20"/>
        <v>0</v>
      </c>
      <c r="P38" s="431">
        <f t="shared" si="20"/>
        <v>0</v>
      </c>
      <c r="Q38" s="431">
        <f t="shared" si="20"/>
        <v>0</v>
      </c>
      <c r="R38" s="431">
        <f t="shared" si="20"/>
        <v>0</v>
      </c>
      <c r="S38" s="394">
        <f t="shared" si="9"/>
        <v>0</v>
      </c>
      <c r="T38" s="22"/>
      <c r="U38" s="284"/>
      <c r="V38" s="595"/>
      <c r="W38" s="305"/>
      <c r="X38" s="631" t="s">
        <v>251</v>
      </c>
      <c r="Y38" s="630"/>
      <c r="Z38" s="636">
        <f>Z35+Z37</f>
        <v>0</v>
      </c>
      <c r="AA38" s="636">
        <f t="shared" ref="AA38:AK38" si="21">AA35+AA37</f>
        <v>0</v>
      </c>
      <c r="AB38" s="636">
        <f t="shared" si="21"/>
        <v>0</v>
      </c>
      <c r="AC38" s="636">
        <f t="shared" si="21"/>
        <v>0</v>
      </c>
      <c r="AD38" s="636">
        <f t="shared" si="21"/>
        <v>0</v>
      </c>
      <c r="AE38" s="636">
        <f t="shared" si="21"/>
        <v>0</v>
      </c>
      <c r="AF38" s="636">
        <f t="shared" si="21"/>
        <v>0</v>
      </c>
      <c r="AG38" s="636">
        <f t="shared" si="21"/>
        <v>0</v>
      </c>
      <c r="AH38" s="636">
        <f t="shared" si="21"/>
        <v>0</v>
      </c>
      <c r="AI38" s="636">
        <f t="shared" si="21"/>
        <v>0</v>
      </c>
      <c r="AJ38" s="636">
        <f t="shared" si="21"/>
        <v>0</v>
      </c>
      <c r="AK38" s="636">
        <f t="shared" si="21"/>
        <v>0</v>
      </c>
      <c r="AL38" s="637">
        <f t="shared" si="17"/>
        <v>0</v>
      </c>
    </row>
    <row r="39" spans="2:40" ht="12.6" customHeight="1" x14ac:dyDescent="0.2">
      <c r="B39" s="640" t="s">
        <v>137</v>
      </c>
      <c r="C39" s="384" t="s">
        <v>435</v>
      </c>
      <c r="D39" s="385"/>
      <c r="E39" s="385"/>
      <c r="F39" s="397"/>
      <c r="G39" s="297">
        <v>0</v>
      </c>
      <c r="H39" s="921">
        <f>Z38</f>
        <v>0</v>
      </c>
      <c r="I39" s="921">
        <f t="shared" ref="I39:R39" si="22">AA38</f>
        <v>0</v>
      </c>
      <c r="J39" s="921">
        <f t="shared" si="22"/>
        <v>0</v>
      </c>
      <c r="K39" s="921">
        <f t="shared" si="22"/>
        <v>0</v>
      </c>
      <c r="L39" s="921">
        <f t="shared" si="22"/>
        <v>0</v>
      </c>
      <c r="M39" s="921">
        <f t="shared" si="22"/>
        <v>0</v>
      </c>
      <c r="N39" s="921">
        <f t="shared" si="22"/>
        <v>0</v>
      </c>
      <c r="O39" s="921">
        <f t="shared" si="22"/>
        <v>0</v>
      </c>
      <c r="P39" s="921">
        <f t="shared" si="22"/>
        <v>0</v>
      </c>
      <c r="Q39" s="921">
        <f t="shared" si="22"/>
        <v>0</v>
      </c>
      <c r="R39" s="921">
        <f t="shared" si="22"/>
        <v>0</v>
      </c>
      <c r="S39" s="295">
        <f t="shared" si="9"/>
        <v>0</v>
      </c>
      <c r="U39" s="276"/>
      <c r="V39" s="596"/>
      <c r="W39" s="305"/>
      <c r="X39" s="432" t="s">
        <v>246</v>
      </c>
      <c r="Y39" s="628">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4">
        <f>SUM(Z39:AK39)</f>
        <v>0</v>
      </c>
    </row>
    <row r="40" spans="2:40" ht="12.6" customHeight="1" x14ac:dyDescent="0.2">
      <c r="B40" s="641" t="s">
        <v>138</v>
      </c>
      <c r="C40" s="1269" t="s">
        <v>436</v>
      </c>
      <c r="D40" s="1269"/>
      <c r="E40" s="1269"/>
      <c r="F40" s="1271"/>
      <c r="G40" s="921">
        <f t="shared" ref="G40:R40" si="24">$V40/12</f>
        <v>0</v>
      </c>
      <c r="H40" s="921">
        <f t="shared" si="24"/>
        <v>0</v>
      </c>
      <c r="I40" s="921">
        <f t="shared" si="24"/>
        <v>0</v>
      </c>
      <c r="J40" s="921">
        <f t="shared" si="24"/>
        <v>0</v>
      </c>
      <c r="K40" s="921">
        <f t="shared" si="24"/>
        <v>0</v>
      </c>
      <c r="L40" s="921">
        <f t="shared" si="24"/>
        <v>0</v>
      </c>
      <c r="M40" s="921">
        <f t="shared" si="24"/>
        <v>0</v>
      </c>
      <c r="N40" s="921">
        <f t="shared" si="24"/>
        <v>0</v>
      </c>
      <c r="O40" s="921">
        <f t="shared" si="24"/>
        <v>0</v>
      </c>
      <c r="P40" s="921">
        <f t="shared" si="24"/>
        <v>0</v>
      </c>
      <c r="Q40" s="921">
        <f t="shared" si="24"/>
        <v>0</v>
      </c>
      <c r="R40" s="921">
        <f t="shared" si="24"/>
        <v>0</v>
      </c>
      <c r="S40" s="295">
        <f t="shared" si="9"/>
        <v>0</v>
      </c>
      <c r="U40" s="276"/>
      <c r="V40" s="390">
        <f>'3. Calculation no VAT'!J47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t="s">
        <v>139</v>
      </c>
      <c r="C41" s="1269" t="s">
        <v>437</v>
      </c>
      <c r="D41" s="1270"/>
      <c r="E41" s="1270"/>
      <c r="F41" s="928">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9"/>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t="s">
        <v>140</v>
      </c>
      <c r="C42" s="386" t="s">
        <v>438</v>
      </c>
      <c r="D42" s="389"/>
      <c r="E42" s="389"/>
      <c r="F42" s="398"/>
      <c r="G42" s="921">
        <f t="shared" ref="G42:R42" si="29">$V42/12</f>
        <v>0</v>
      </c>
      <c r="H42" s="921">
        <f t="shared" si="29"/>
        <v>0</v>
      </c>
      <c r="I42" s="921">
        <f t="shared" si="29"/>
        <v>0</v>
      </c>
      <c r="J42" s="921">
        <f t="shared" si="29"/>
        <v>0</v>
      </c>
      <c r="K42" s="921">
        <f t="shared" si="29"/>
        <v>0</v>
      </c>
      <c r="L42" s="921">
        <f t="shared" si="29"/>
        <v>0</v>
      </c>
      <c r="M42" s="921">
        <f t="shared" si="29"/>
        <v>0</v>
      </c>
      <c r="N42" s="921">
        <f t="shared" si="29"/>
        <v>0</v>
      </c>
      <c r="O42" s="921">
        <f t="shared" si="29"/>
        <v>0</v>
      </c>
      <c r="P42" s="921">
        <f t="shared" si="29"/>
        <v>0</v>
      </c>
      <c r="Q42" s="921">
        <f t="shared" si="29"/>
        <v>0</v>
      </c>
      <c r="R42" s="921">
        <f t="shared" si="29"/>
        <v>0</v>
      </c>
      <c r="S42" s="392">
        <f t="shared" si="9"/>
        <v>0</v>
      </c>
      <c r="U42" s="276"/>
      <c r="V42" s="297">
        <f>12*'3. Calculation no VAT'!J53/'3. Calculation no VAT'!J33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t="s">
        <v>141</v>
      </c>
      <c r="C43" s="1269" t="s">
        <v>439</v>
      </c>
      <c r="D43" s="1270"/>
      <c r="E43" s="1270"/>
      <c r="F43" s="399"/>
      <c r="G43" s="921"/>
      <c r="H43" s="921">
        <f>V43</f>
        <v>0</v>
      </c>
      <c r="I43" s="921"/>
      <c r="J43" s="921"/>
      <c r="K43" s="921"/>
      <c r="L43" s="921"/>
      <c r="M43" s="921"/>
      <c r="N43" s="921"/>
      <c r="O43" s="921"/>
      <c r="P43" s="921"/>
      <c r="Q43" s="921"/>
      <c r="R43" s="921"/>
      <c r="S43" s="295">
        <f t="shared" si="9"/>
        <v>0</v>
      </c>
      <c r="U43" s="276"/>
      <c r="V43" s="297">
        <f>12*('3. Calculation no VAT'!J112+0.003*'3. Calculation no VAT'!J69)/'3. Calculation no VAT'!J33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t="s">
        <v>142</v>
      </c>
      <c r="C44" s="1269" t="s">
        <v>440</v>
      </c>
      <c r="D44" s="1269"/>
      <c r="E44" s="1269"/>
      <c r="F44" s="1271"/>
      <c r="G44" s="921">
        <f t="shared" ref="G44:R44" si="32">$V44/12</f>
        <v>0</v>
      </c>
      <c r="H44" s="921">
        <f t="shared" si="32"/>
        <v>0</v>
      </c>
      <c r="I44" s="921">
        <f t="shared" si="32"/>
        <v>0</v>
      </c>
      <c r="J44" s="921">
        <f t="shared" si="32"/>
        <v>0</v>
      </c>
      <c r="K44" s="921">
        <f t="shared" si="32"/>
        <v>0</v>
      </c>
      <c r="L44" s="921">
        <f t="shared" si="32"/>
        <v>0</v>
      </c>
      <c r="M44" s="921">
        <f t="shared" si="32"/>
        <v>0</v>
      </c>
      <c r="N44" s="921">
        <f t="shared" si="32"/>
        <v>0</v>
      </c>
      <c r="O44" s="921">
        <f t="shared" si="32"/>
        <v>0</v>
      </c>
      <c r="P44" s="921">
        <f t="shared" si="32"/>
        <v>0</v>
      </c>
      <c r="Q44" s="921">
        <f t="shared" si="32"/>
        <v>0</v>
      </c>
      <c r="R44" s="921">
        <f t="shared" si="32"/>
        <v>0</v>
      </c>
      <c r="S44" s="295">
        <f t="shared" si="9"/>
        <v>0</v>
      </c>
      <c r="U44" s="276"/>
      <c r="V44" s="297">
        <f>' 6 AT Palkat, alv '!T60</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t="s">
        <v>143</v>
      </c>
      <c r="C45" s="1269" t="s">
        <v>441</v>
      </c>
      <c r="D45" s="1269"/>
      <c r="E45" s="1269"/>
      <c r="F45" s="1271"/>
      <c r="G45" s="921"/>
      <c r="H45" s="921"/>
      <c r="I45" s="921"/>
      <c r="J45" s="921"/>
      <c r="K45" s="921"/>
      <c r="L45" s="921">
        <f>$V45/2</f>
        <v>0</v>
      </c>
      <c r="M45" s="921"/>
      <c r="N45" s="921"/>
      <c r="O45" s="921">
        <v>0</v>
      </c>
      <c r="P45" s="921"/>
      <c r="Q45" s="921"/>
      <c r="R45" s="921">
        <f>$V45/2</f>
        <v>0</v>
      </c>
      <c r="S45" s="295">
        <f t="shared" si="9"/>
        <v>0</v>
      </c>
      <c r="U45" s="276"/>
      <c r="V45" s="297">
        <f>12*'3. Calculation no VAT'!J35/'3. Calculation no VAT'!J33</f>
        <v>0</v>
      </c>
      <c r="W45" s="305"/>
      <c r="X45" s="305"/>
    </row>
    <row r="46" spans="2:40" ht="12.6" hidden="1" customHeight="1" x14ac:dyDescent="0.2">
      <c r="B46" s="641" t="e">
        <f t="shared" ref="B46:B51" si="34">B45+1</f>
        <v>#VALUE!</v>
      </c>
      <c r="C46" s="1269" t="s">
        <v>442</v>
      </c>
      <c r="D46" s="1269"/>
      <c r="E46" s="1269"/>
      <c r="F46" s="1271"/>
      <c r="G46" s="921"/>
      <c r="H46" s="921"/>
      <c r="I46" s="921"/>
      <c r="J46" s="921"/>
      <c r="K46" s="921"/>
      <c r="L46" s="921"/>
      <c r="M46" s="921"/>
      <c r="N46" s="921"/>
      <c r="O46" s="921"/>
      <c r="P46" s="921"/>
      <c r="Q46" s="921"/>
      <c r="R46" s="921"/>
      <c r="S46" s="295">
        <f t="shared" si="9"/>
        <v>0</v>
      </c>
      <c r="U46" s="276"/>
      <c r="V46" s="297"/>
      <c r="W46" s="305"/>
      <c r="X46" s="305"/>
    </row>
    <row r="47" spans="2:40" ht="12.6" customHeight="1" x14ac:dyDescent="0.2">
      <c r="B47" s="641" t="s">
        <v>144</v>
      </c>
      <c r="C47" s="1269" t="s">
        <v>443</v>
      </c>
      <c r="D47" s="1269"/>
      <c r="E47" s="1269"/>
      <c r="F47" s="1271"/>
      <c r="G47" s="921">
        <f t="shared" ref="G47:R48" si="35">$V47/12</f>
        <v>0</v>
      </c>
      <c r="H47" s="921">
        <f t="shared" si="35"/>
        <v>0</v>
      </c>
      <c r="I47" s="921">
        <f t="shared" si="35"/>
        <v>0</v>
      </c>
      <c r="J47" s="921">
        <f t="shared" si="35"/>
        <v>0</v>
      </c>
      <c r="K47" s="921">
        <f t="shared" si="35"/>
        <v>0</v>
      </c>
      <c r="L47" s="921">
        <f t="shared" si="35"/>
        <v>0</v>
      </c>
      <c r="M47" s="921">
        <f t="shared" si="35"/>
        <v>0</v>
      </c>
      <c r="N47" s="921">
        <f t="shared" si="35"/>
        <v>0</v>
      </c>
      <c r="O47" s="921">
        <f t="shared" si="35"/>
        <v>0</v>
      </c>
      <c r="P47" s="921">
        <f t="shared" si="35"/>
        <v>0</v>
      </c>
      <c r="Q47" s="921">
        <f t="shared" si="35"/>
        <v>0</v>
      </c>
      <c r="R47" s="921">
        <f t="shared" si="35"/>
        <v>0</v>
      </c>
      <c r="S47" s="295">
        <f t="shared" si="9"/>
        <v>0</v>
      </c>
      <c r="U47" s="276"/>
      <c r="V47" s="297">
        <f>12*('3. Calculation no VAT'!J92+'3. Calculation no VAT'!J93)/'3. Calculation no VAT'!J33</f>
        <v>0</v>
      </c>
      <c r="W47" s="305"/>
      <c r="X47" s="305"/>
    </row>
    <row r="48" spans="2:40" ht="12.6" customHeight="1" x14ac:dyDescent="0.2">
      <c r="B48" s="641" t="s">
        <v>145</v>
      </c>
      <c r="C48" s="1269" t="s">
        <v>444</v>
      </c>
      <c r="D48" s="1269"/>
      <c r="E48" s="1269"/>
      <c r="F48" s="1271"/>
      <c r="G48" s="921">
        <f>$V48/12</f>
        <v>0</v>
      </c>
      <c r="H48" s="921">
        <f t="shared" si="35"/>
        <v>0</v>
      </c>
      <c r="I48" s="921">
        <f t="shared" si="35"/>
        <v>0</v>
      </c>
      <c r="J48" s="921">
        <f t="shared" si="35"/>
        <v>0</v>
      </c>
      <c r="K48" s="921">
        <f t="shared" si="35"/>
        <v>0</v>
      </c>
      <c r="L48" s="921">
        <f t="shared" si="35"/>
        <v>0</v>
      </c>
      <c r="M48" s="921">
        <f t="shared" si="35"/>
        <v>0</v>
      </c>
      <c r="N48" s="921">
        <f t="shared" si="35"/>
        <v>0</v>
      </c>
      <c r="O48" s="921">
        <f t="shared" si="35"/>
        <v>0</v>
      </c>
      <c r="P48" s="921">
        <f t="shared" si="35"/>
        <v>0</v>
      </c>
      <c r="Q48" s="921">
        <f t="shared" si="35"/>
        <v>0</v>
      </c>
      <c r="R48" s="921">
        <f t="shared" si="35"/>
        <v>0</v>
      </c>
      <c r="S48" s="295">
        <f t="shared" si="9"/>
        <v>0</v>
      </c>
      <c r="U48" s="276"/>
      <c r="V48" s="592">
        <f>12*'3. Calculation no VAT'!J115/'3. Calculation no VAT'!J33</f>
        <v>0</v>
      </c>
      <c r="W48" s="305"/>
      <c r="X48" s="305">
        <v>0</v>
      </c>
    </row>
    <row r="49" spans="2:24" ht="12.6" customHeight="1" x14ac:dyDescent="0.2">
      <c r="B49" s="641" t="s">
        <v>146</v>
      </c>
      <c r="C49" s="1269" t="s">
        <v>445</v>
      </c>
      <c r="D49" s="1269"/>
      <c r="E49" s="1269"/>
      <c r="F49" s="1271"/>
      <c r="G49" s="921"/>
      <c r="H49" s="921"/>
      <c r="I49" s="921"/>
      <c r="J49" s="921"/>
      <c r="K49" s="921"/>
      <c r="L49" s="921">
        <f>V49/2</f>
        <v>0</v>
      </c>
      <c r="M49" s="921"/>
      <c r="N49" s="921"/>
      <c r="O49" s="921">
        <v>0</v>
      </c>
      <c r="P49" s="921"/>
      <c r="Q49" s="921"/>
      <c r="R49" s="921">
        <f>V49/2</f>
        <v>0</v>
      </c>
      <c r="S49" s="295">
        <f t="shared" si="9"/>
        <v>0</v>
      </c>
      <c r="U49" s="276"/>
      <c r="V49" s="297">
        <f>12*('3. Calculation no VAT'!M10-'3. Calculation no VAT'!J36)/'3. Calculation no VAT'!J33</f>
        <v>0</v>
      </c>
      <c r="W49" s="305"/>
      <c r="X49" s="305"/>
    </row>
    <row r="50" spans="2:24" ht="12.6" customHeight="1" x14ac:dyDescent="0.2">
      <c r="B50" s="641" t="s">
        <v>147</v>
      </c>
      <c r="C50" s="1269" t="s">
        <v>446</v>
      </c>
      <c r="D50" s="1270"/>
      <c r="E50" s="1270"/>
      <c r="F50" s="387"/>
      <c r="G50" s="921">
        <f t="shared" ref="G50:R50" si="36">$V50/12</f>
        <v>0</v>
      </c>
      <c r="H50" s="921">
        <f t="shared" si="36"/>
        <v>0</v>
      </c>
      <c r="I50" s="921">
        <f t="shared" si="36"/>
        <v>0</v>
      </c>
      <c r="J50" s="921">
        <f t="shared" si="36"/>
        <v>0</v>
      </c>
      <c r="K50" s="921">
        <f t="shared" si="36"/>
        <v>0</v>
      </c>
      <c r="L50" s="921">
        <f t="shared" si="36"/>
        <v>0</v>
      </c>
      <c r="M50" s="921">
        <f t="shared" si="36"/>
        <v>0</v>
      </c>
      <c r="N50" s="921">
        <f t="shared" si="36"/>
        <v>0</v>
      </c>
      <c r="O50" s="921">
        <f t="shared" si="36"/>
        <v>0</v>
      </c>
      <c r="P50" s="921">
        <f t="shared" si="36"/>
        <v>0</v>
      </c>
      <c r="Q50" s="921">
        <f t="shared" si="36"/>
        <v>0</v>
      </c>
      <c r="R50" s="921">
        <f t="shared" si="36"/>
        <v>0</v>
      </c>
      <c r="S50" s="295">
        <f t="shared" si="9"/>
        <v>0</v>
      </c>
      <c r="T50" s="210"/>
      <c r="U50" s="276"/>
      <c r="V50" s="297">
        <f>12*'3. Calculation no VAT'!J37/'3. Calculation no VAT'!J33</f>
        <v>0</v>
      </c>
      <c r="W50" s="305"/>
      <c r="X50" s="305"/>
    </row>
    <row r="51" spans="2:24" ht="12.6" hidden="1" customHeight="1" x14ac:dyDescent="0.2">
      <c r="B51" s="641" t="e">
        <f t="shared" si="34"/>
        <v>#VALUE!</v>
      </c>
      <c r="C51" s="1269" t="s">
        <v>447</v>
      </c>
      <c r="D51" s="1269"/>
      <c r="E51" s="1269"/>
      <c r="F51" s="1271"/>
      <c r="G51" s="921">
        <f>V51</f>
        <v>0</v>
      </c>
      <c r="H51" s="921"/>
      <c r="I51" s="921"/>
      <c r="J51" s="921">
        <v>0</v>
      </c>
      <c r="K51" s="921"/>
      <c r="L51" s="921"/>
      <c r="M51" s="921"/>
      <c r="N51" s="921"/>
      <c r="O51" s="921"/>
      <c r="P51" s="921"/>
      <c r="Q51" s="921"/>
      <c r="R51" s="921"/>
      <c r="S51" s="295">
        <f>ROUND(SUM(G51:R51),0)</f>
        <v>0</v>
      </c>
      <c r="T51" s="606"/>
      <c r="U51" s="276"/>
      <c r="V51" s="369">
        <v>0</v>
      </c>
      <c r="W51" s="305"/>
      <c r="X51" s="305"/>
    </row>
    <row r="52" spans="2:24" ht="12.6" customHeight="1" thickBot="1" x14ac:dyDescent="0.25">
      <c r="B52" s="641" t="s">
        <v>148</v>
      </c>
      <c r="C52" s="1273" t="s">
        <v>448</v>
      </c>
      <c r="D52" s="1273"/>
      <c r="E52" s="1273"/>
      <c r="F52" s="1450"/>
      <c r="G52" s="924">
        <v>0</v>
      </c>
      <c r="H52" s="924"/>
      <c r="I52" s="924"/>
      <c r="J52" s="924"/>
      <c r="K52" s="924"/>
      <c r="L52" s="924">
        <v>0</v>
      </c>
      <c r="M52" s="924"/>
      <c r="N52" s="924"/>
      <c r="O52" s="924"/>
      <c r="P52" s="924">
        <v>0</v>
      </c>
      <c r="Q52" s="924"/>
      <c r="R52" s="924"/>
      <c r="S52" s="295">
        <f t="shared" si="9"/>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t="s">
        <v>149</v>
      </c>
      <c r="C55" s="1451" t="s">
        <v>491</v>
      </c>
      <c r="D55" s="1452"/>
      <c r="E55" s="1452"/>
      <c r="F55" s="1452"/>
      <c r="G55" s="304">
        <f t="shared" ref="G55:R55" si="38">G16-G53</f>
        <v>0</v>
      </c>
      <c r="H55" s="304">
        <f t="shared" si="38"/>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t="s">
        <v>150</v>
      </c>
      <c r="C56" s="1451" t="s">
        <v>492</v>
      </c>
      <c r="D56" s="1452"/>
      <c r="E56" s="1452"/>
      <c r="F56" s="1452"/>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Business Kemijärvi</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D8VLdUpJHBzTUe9yY5z8MXWUhsdx8NMya2OfHJSny5otmAb2X9BdapzgBHiNmW5CbCdsl6d0vssWS/vWbDIapw==" saltValue="eSon8hboZpouQZrdmdplXQ==" spinCount="100000" sheet="1" objects="1" scenarios="1" selectLockedCells="1"/>
  <mergeCells count="46">
    <mergeCell ref="K58:S58"/>
    <mergeCell ref="C51:F51"/>
    <mergeCell ref="C53:E53"/>
    <mergeCell ref="C55:F55"/>
    <mergeCell ref="S55:S56"/>
    <mergeCell ref="C56:F56"/>
    <mergeCell ref="C46:F46"/>
    <mergeCell ref="C47:F47"/>
    <mergeCell ref="C48:F48"/>
    <mergeCell ref="C49:F49"/>
    <mergeCell ref="C50:E50"/>
    <mergeCell ref="C40:F40"/>
    <mergeCell ref="C41:E41"/>
    <mergeCell ref="C43:E43"/>
    <mergeCell ref="C44:F44"/>
    <mergeCell ref="C45:F45"/>
    <mergeCell ref="B19:B20"/>
    <mergeCell ref="C19:E19"/>
    <mergeCell ref="C36:E36"/>
    <mergeCell ref="C22:E22"/>
    <mergeCell ref="C23:E23"/>
    <mergeCell ref="C24:E24"/>
    <mergeCell ref="C25:E25"/>
    <mergeCell ref="C26:E26"/>
    <mergeCell ref="C29:E29"/>
    <mergeCell ref="C30:E30"/>
    <mergeCell ref="C31:E31"/>
    <mergeCell ref="C32:E32"/>
    <mergeCell ref="C33:E33"/>
    <mergeCell ref="C34:E34"/>
    <mergeCell ref="C37:E37"/>
    <mergeCell ref="C52:F52"/>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t="str">
        <f>'2. Cash budget'!G7</f>
        <v>JAN</v>
      </c>
      <c r="D2" s="308" t="str">
        <f>'2. Cash budget'!H7</f>
        <v>FEB</v>
      </c>
      <c r="E2" s="308" t="str">
        <f>'2. Cash budget'!I7</f>
        <v>MARS</v>
      </c>
      <c r="F2" s="308" t="str">
        <f>'2. Cash budget'!J7</f>
        <v>APR</v>
      </c>
      <c r="G2" s="308" t="str">
        <f>'2. Cash budget'!K7</f>
        <v>MAY</v>
      </c>
      <c r="H2" s="308" t="str">
        <f>'2. Cash budget'!L7</f>
        <v>JUNE</v>
      </c>
      <c r="I2" s="308" t="str">
        <f>'2. Cash budget'!M7</f>
        <v>JYLY</v>
      </c>
      <c r="J2" s="308" t="str">
        <f>'2. Cash budget'!N7</f>
        <v>AUG</v>
      </c>
      <c r="K2" s="308" t="str">
        <f>'2. Cash budget'!O7</f>
        <v>SEP</v>
      </c>
      <c r="L2" s="308" t="str">
        <f>'2. Cash budget'!P7</f>
        <v>OCT</v>
      </c>
      <c r="M2" s="308" t="str">
        <f>'2. Cash budget'!Q7</f>
        <v>NOV</v>
      </c>
      <c r="N2" s="308" t="str">
        <f>'2. Cash budget'!R7</f>
        <v>DEC</v>
      </c>
    </row>
    <row r="3" spans="1:14" x14ac:dyDescent="0.2">
      <c r="B3" s="307" t="s">
        <v>173</v>
      </c>
      <c r="C3" s="309">
        <f>'2. Cash budget'!E13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'2. Cash budget'!G11</f>
        <v>0</v>
      </c>
      <c r="D4" s="310">
        <f>'2. Cash budget'!H11</f>
        <v>0</v>
      </c>
      <c r="E4" s="310">
        <f>'2. Cash budget'!I11</f>
        <v>0</v>
      </c>
      <c r="F4" s="310">
        <f>'2. Cash budget'!J11</f>
        <v>0</v>
      </c>
      <c r="G4" s="310">
        <f>'2. Cash budget'!K11</f>
        <v>0</v>
      </c>
      <c r="H4" s="310">
        <f>'2. Cash budget'!L11</f>
        <v>0</v>
      </c>
      <c r="I4" s="310">
        <f>'2. Cash budget'!M11</f>
        <v>0</v>
      </c>
      <c r="J4" s="310">
        <f>'2. Cash budget'!N11</f>
        <v>0</v>
      </c>
      <c r="K4" s="310">
        <f>'2. Cash budget'!O11</f>
        <v>0</v>
      </c>
      <c r="L4" s="310">
        <f>'2. Cash budget'!P11</f>
        <v>0</v>
      </c>
      <c r="M4" s="310">
        <f>'2. Cash budget'!Q11</f>
        <v>0</v>
      </c>
      <c r="N4" s="310">
        <f>'2. Cash budget'!R11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179</v>
      </c>
      <c r="B9" s="311" t="s">
        <v>180</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181</v>
      </c>
      <c r="B10" s="2" t="s">
        <v>182</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181</v>
      </c>
      <c r="B11" s="311" t="s">
        <v>182</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183</v>
      </c>
      <c r="B12" s="2" t="s">
        <v>184</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183</v>
      </c>
      <c r="B13" s="311" t="s">
        <v>184</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185</v>
      </c>
      <c r="B14" s="2" t="s">
        <v>186</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185</v>
      </c>
      <c r="B15" s="311" t="s">
        <v>186</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187</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188</v>
      </c>
      <c r="C17" s="308" t="str">
        <f>C2</f>
        <v>JAN</v>
      </c>
      <c r="D17" s="308" t="str">
        <f t="shared" ref="D17:N17" si="13">D2</f>
        <v>FEB</v>
      </c>
      <c r="E17" s="308" t="str">
        <f t="shared" si="13"/>
        <v>MARS</v>
      </c>
      <c r="F17" s="308" t="str">
        <f t="shared" si="13"/>
        <v>APR</v>
      </c>
      <c r="G17" s="308" t="str">
        <f t="shared" si="13"/>
        <v>MAY</v>
      </c>
      <c r="H17" s="308" t="str">
        <f t="shared" si="13"/>
        <v>JUNE</v>
      </c>
      <c r="I17" s="308" t="str">
        <f t="shared" si="13"/>
        <v>JYLY</v>
      </c>
      <c r="J17" s="308" t="str">
        <f t="shared" si="13"/>
        <v>AUG</v>
      </c>
      <c r="K17" s="308" t="str">
        <f t="shared" si="13"/>
        <v>SEP</v>
      </c>
      <c r="L17" s="308" t="str">
        <f t="shared" si="13"/>
        <v>OCT</v>
      </c>
      <c r="M17" s="308" t="str">
        <f t="shared" si="13"/>
        <v>NOV</v>
      </c>
      <c r="N17" s="308" t="str">
        <f t="shared" si="13"/>
        <v>DEC</v>
      </c>
    </row>
    <row r="18" spans="1:14" x14ac:dyDescent="0.2">
      <c r="A18" s="2"/>
      <c r="B18" s="2" t="s">
        <v>189</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178</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180</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182</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184</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186</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187</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190</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Od4bBiEjIpz9CI9fYrr6f0abIsddIRed9bo1Jnt1+KXvnw9tJh8vUZdsGjqdeVRvoJ7fMnAuND7KluXNy+kuyA==" saltValue="1IG/qIX7o5CAlD3zh2M4Q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V12" sqref="V12"/>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f>'2 Myynnin ALV'!B24</f>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4">F5</f>
        <v>FEB</v>
      </c>
      <c r="G15" s="341" t="str">
        <f t="shared" si="4"/>
        <v>MARS</v>
      </c>
      <c r="H15" s="341" t="str">
        <f t="shared" si="4"/>
        <v>APR</v>
      </c>
      <c r="I15" s="341" t="str">
        <f t="shared" si="4"/>
        <v>MAY</v>
      </c>
      <c r="J15" s="341" t="str">
        <f t="shared" si="4"/>
        <v>JUNE</v>
      </c>
      <c r="K15" s="341" t="str">
        <f t="shared" si="4"/>
        <v>JYLY</v>
      </c>
      <c r="L15" s="341" t="str">
        <f t="shared" si="4"/>
        <v>AUG</v>
      </c>
      <c r="M15" s="341" t="str">
        <f t="shared" si="4"/>
        <v>SEP</v>
      </c>
      <c r="N15" s="341" t="str">
        <f t="shared" si="4"/>
        <v>OCT</v>
      </c>
      <c r="O15" s="341" t="str">
        <f t="shared" si="4"/>
        <v>NOV</v>
      </c>
      <c r="P15" s="341" t="str">
        <f t="shared" si="4"/>
        <v>DEC</v>
      </c>
      <c r="Q15" s="342" t="s">
        <v>166</v>
      </c>
    </row>
    <row r="16" spans="2:17" x14ac:dyDescent="0.2">
      <c r="B16" s="279">
        <v>6</v>
      </c>
      <c r="C16" s="343" t="s">
        <v>234</v>
      </c>
      <c r="D16" s="441">
        <f>'2 Myynnin ALV'!B37*100</f>
        <v>0</v>
      </c>
      <c r="E16" s="553">
        <f>IF('2. Cash budget'!$U12=0,0,(('2. Cash budget'!G9+'2. Cash budget'!G11)/'2. Cash budget'!$U12)*'1. Calculation'!$J237)</f>
        <v>0</v>
      </c>
      <c r="F16" s="553">
        <f>IF('2. Cash budget'!$U12=0,0,(('2. Cash budget'!H9+'2. Cash budget'!H11)/'2. Cash budget'!$U12)*'1. Calculation'!$J237)</f>
        <v>0</v>
      </c>
      <c r="G16" s="553">
        <f>IF('2. Cash budget'!$U12=0,0,(('2. Cash budget'!I9+'2. Cash budget'!I11)/'2. Cash budget'!$U12)*'1. Calculation'!$J237)</f>
        <v>0</v>
      </c>
      <c r="H16" s="553">
        <f>IF('2. Cash budget'!$U12=0,0,(('2. Cash budget'!J9+'2. Cash budget'!J11)/'2. Cash budget'!$U12)*'1. Calculation'!$J237)</f>
        <v>0</v>
      </c>
      <c r="I16" s="553">
        <f>IF('2. Cash budget'!$U12=0,0,(('2. Cash budget'!K9+'2. Cash budget'!K11)/'2. Cash budget'!$U12)*'1. Calculation'!$J237)</f>
        <v>0</v>
      </c>
      <c r="J16" s="553">
        <f>IF('2. Cash budget'!$U12=0,0,(('2. Cash budget'!L9+'2. Cash budget'!L11)/'2. Cash budget'!$U12)*'1. Calculation'!$J237)</f>
        <v>0</v>
      </c>
      <c r="K16" s="553">
        <f>IF('2. Cash budget'!$U12=0,0,(('2. Cash budget'!M9+'2. Cash budget'!M11)/'2. Cash budget'!$U12)*'1. Calculation'!$J237)</f>
        <v>0</v>
      </c>
      <c r="L16" s="553">
        <f>IF('2. Cash budget'!$U12=0,0,(('2. Cash budget'!N9+'2. Cash budget'!N11)/'2. Cash budget'!$U12)*'1. Calculation'!$J237)</f>
        <v>0</v>
      </c>
      <c r="M16" s="553">
        <f>IF('2. Cash budget'!$U12=0,0,(('2. Cash budget'!O9+'2. Cash budget'!O11)/'2. Cash budget'!$U12)*'1. Calculation'!$J237)</f>
        <v>0</v>
      </c>
      <c r="N16" s="553">
        <f>IF('2. Cash budget'!$U12=0,0,(('2. Cash budget'!P9+'2. Cash budget'!P11)/'2. Cash budget'!$U12)*'1. Calculation'!$J237)</f>
        <v>0</v>
      </c>
      <c r="O16" s="553">
        <f>IF('2. Cash budget'!$U12=0,0,(('2. Cash budget'!Q9+'2. Cash budget'!Q11)/'2. Cash budget'!$U12)*'1. Calculation'!$J237)</f>
        <v>0</v>
      </c>
      <c r="P16" s="553">
        <f>IF('2. Cash budget'!$U12=0,0,(('2. Cash budget'!R9+'2. Cash budget'!R11)/'2. Cash budget'!$U12)*'1. Calculation'!$J237)</f>
        <v>0</v>
      </c>
      <c r="Q16" s="331">
        <f>SUM(E16:P16)</f>
        <v>0</v>
      </c>
    </row>
    <row r="17" spans="2:21" x14ac:dyDescent="0.2">
      <c r="C17" s="348" t="s">
        <v>197</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Cash budget'!B21</f>
        <v>7</v>
      </c>
      <c r="C18" s="348" t="str">
        <f>'2. Cash budget'!C21</f>
        <v xml:space="preserve"> Rent of business premises</v>
      </c>
      <c r="D18" s="371">
        <f>'2. Cash budget'!F21</f>
        <v>25.5</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Cash budget'!B22</f>
        <v>8</v>
      </c>
      <c r="C20" s="343" t="str">
        <f>'2. Cash budget'!C22</f>
        <v xml:space="preserve">Rents of leasings, other machinery and equipment </v>
      </c>
      <c r="D20" s="371">
        <f>'2. Cash budget'!F22</f>
        <v>25.5</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Cash budget'!B23</f>
        <v>9</v>
      </c>
      <c r="C22" s="348" t="str">
        <f>'2. Cash budget'!C23</f>
        <v xml:space="preserve">Electricity, water and heating costs </v>
      </c>
      <c r="D22" s="372">
        <f>'2. Cash budget'!F23</f>
        <v>25.5</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Cash budget'!B24</f>
        <v>10</v>
      </c>
      <c r="C24" s="343" t="str">
        <f>'2. Cash budget'!C24</f>
        <v>Telecommunication</v>
      </c>
      <c r="D24" s="371">
        <f>'2. Cash budget'!F24</f>
        <v>25.5</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Cash budget'!B25</f>
        <v>11</v>
      </c>
      <c r="C26" s="348" t="str">
        <f>'2. Cash budget'!C25</f>
        <v xml:space="preserve">Marketing and advertising </v>
      </c>
      <c r="D26" s="372">
        <f>'2. Cash budget'!F25</f>
        <v>25.5</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Cash budget'!B26</f>
        <v>12</v>
      </c>
      <c r="C28" s="348" t="str">
        <f>'2. Cash budget'!C26</f>
        <v xml:space="preserve">Investments including VAT </v>
      </c>
      <c r="D28" s="371">
        <f>'2. Cash budget'!F26</f>
        <v>25.5</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Cash budget'!B27</f>
        <v>13</v>
      </c>
      <c r="C30" s="348" t="str">
        <f>'2. Cash budget'!C27</f>
        <v xml:space="preserve">Vehicle / work equipment costs (VAT deductible) </v>
      </c>
      <c r="D30" s="371">
        <f>'2. Cash budget'!F27</f>
        <v>25.5</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Cash budget'!B28</f>
        <v>14</v>
      </c>
      <c r="C32" s="348" t="str">
        <f>'2. Cash budget'!C28</f>
        <v xml:space="preserve">Cleaning, repair, security, other expenses </v>
      </c>
      <c r="D32" s="372">
        <f>'2. Cash budget'!F28</f>
        <v>25.5</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Cash budget'!B29</f>
        <v>15</v>
      </c>
      <c r="C34" s="348" t="str">
        <f>'2. Cash budget'!C29</f>
        <v>Machinery and equipment purchases</v>
      </c>
      <c r="D34" s="371">
        <f>'2. Cash budget'!F29</f>
        <v>25.5</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Cash budget'!B30</f>
        <v>16</v>
      </c>
      <c r="C36" s="348" t="str">
        <f>'2. Cash budget'!C30</f>
        <v xml:space="preserve">Computer hardware and software costs </v>
      </c>
      <c r="D36" s="350">
        <f>'2. Cash budget'!F30</f>
        <v>25.5</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Cash budget'!B31</f>
        <v>17</v>
      </c>
      <c r="C38" s="343" t="s">
        <v>263</v>
      </c>
      <c r="D38" s="566"/>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197</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198</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5" t="s">
        <v>264</v>
      </c>
      <c r="D45" s="746">
        <v>25.5</v>
      </c>
      <c r="E45" s="747">
        <f>SUM(E47:E50)</f>
        <v>0</v>
      </c>
      <c r="F45" s="747">
        <f t="shared" ref="F45:P45" si="17">SUM(F47:F50)</f>
        <v>0</v>
      </c>
      <c r="G45" s="747">
        <f t="shared" si="17"/>
        <v>0</v>
      </c>
      <c r="H45" s="747">
        <f t="shared" si="17"/>
        <v>0</v>
      </c>
      <c r="I45" s="747">
        <f t="shared" si="17"/>
        <v>0</v>
      </c>
      <c r="J45" s="747">
        <f t="shared" si="17"/>
        <v>0</v>
      </c>
      <c r="K45" s="747">
        <f t="shared" si="17"/>
        <v>0</v>
      </c>
      <c r="L45" s="747">
        <f t="shared" si="17"/>
        <v>0</v>
      </c>
      <c r="M45" s="747">
        <f t="shared" si="17"/>
        <v>0</v>
      </c>
      <c r="N45" s="747">
        <f t="shared" si="17"/>
        <v>0</v>
      </c>
      <c r="O45" s="747">
        <f t="shared" si="17"/>
        <v>0</v>
      </c>
      <c r="P45" s="747">
        <f t="shared" si="17"/>
        <v>0</v>
      </c>
      <c r="Q45" s="748">
        <f t="shared" ref="Q45:Q50" si="18">SUM(E45:P45)</f>
        <v>0</v>
      </c>
      <c r="S45" s="732" t="s">
        <v>207</v>
      </c>
      <c r="T45" s="732" t="s">
        <v>170</v>
      </c>
      <c r="U45" s="352"/>
    </row>
    <row r="46" spans="2:22" ht="13.5" thickBot="1" x14ac:dyDescent="0.25">
      <c r="C46" s="749" t="s">
        <v>197</v>
      </c>
      <c r="D46" s="750"/>
      <c r="E46" s="751">
        <f>E45-E45/(1+$D45/100)</f>
        <v>0</v>
      </c>
      <c r="F46" s="751">
        <f t="shared" ref="F46:P46" si="19">F45-F45/(1+$D45/100)</f>
        <v>0</v>
      </c>
      <c r="G46" s="751">
        <f t="shared" si="19"/>
        <v>0</v>
      </c>
      <c r="H46" s="751">
        <f t="shared" si="19"/>
        <v>0</v>
      </c>
      <c r="I46" s="751">
        <f t="shared" si="19"/>
        <v>0</v>
      </c>
      <c r="J46" s="751">
        <f t="shared" si="19"/>
        <v>0</v>
      </c>
      <c r="K46" s="751">
        <f t="shared" si="19"/>
        <v>0</v>
      </c>
      <c r="L46" s="751">
        <f t="shared" si="19"/>
        <v>0</v>
      </c>
      <c r="M46" s="751">
        <f t="shared" si="19"/>
        <v>0</v>
      </c>
      <c r="N46" s="751">
        <f t="shared" si="19"/>
        <v>0</v>
      </c>
      <c r="O46" s="751">
        <f t="shared" si="19"/>
        <v>0</v>
      </c>
      <c r="P46" s="751">
        <f t="shared" si="19"/>
        <v>0</v>
      </c>
      <c r="Q46" s="752">
        <f t="shared" si="18"/>
        <v>0</v>
      </c>
      <c r="S46" s="732">
        <f>SUM(S47:S50)</f>
        <v>0</v>
      </c>
      <c r="T46" s="732">
        <f>SUM(T47:T50)</f>
        <v>0</v>
      </c>
      <c r="U46" s="352"/>
    </row>
    <row r="47" spans="2:22" x14ac:dyDescent="0.2">
      <c r="C47" s="743" t="s">
        <v>200</v>
      </c>
      <c r="D47" s="746">
        <v>25.5</v>
      </c>
      <c r="E47" s="744">
        <f>$T47/12*(1+$D47/100)</f>
        <v>0</v>
      </c>
      <c r="F47" s="744">
        <f t="shared" ref="F47:P48" si="20">$T47/12*(1+$D47/100)</f>
        <v>0</v>
      </c>
      <c r="G47" s="744">
        <f t="shared" si="20"/>
        <v>0</v>
      </c>
      <c r="H47" s="744">
        <f t="shared" si="20"/>
        <v>0</v>
      </c>
      <c r="I47" s="744">
        <f t="shared" si="20"/>
        <v>0</v>
      </c>
      <c r="J47" s="744">
        <f t="shared" si="20"/>
        <v>0</v>
      </c>
      <c r="K47" s="744">
        <f t="shared" si="20"/>
        <v>0</v>
      </c>
      <c r="L47" s="744">
        <f t="shared" si="20"/>
        <v>0</v>
      </c>
      <c r="M47" s="744">
        <f t="shared" si="20"/>
        <v>0</v>
      </c>
      <c r="N47" s="744">
        <f t="shared" si="20"/>
        <v>0</v>
      </c>
      <c r="O47" s="744">
        <f t="shared" si="20"/>
        <v>0</v>
      </c>
      <c r="P47" s="744">
        <f t="shared" si="20"/>
        <v>0</v>
      </c>
      <c r="Q47" s="319">
        <f t="shared" si="18"/>
        <v>0</v>
      </c>
      <c r="R47" s="714"/>
      <c r="S47" s="733">
        <f>T47*(1+' 3 AT Palkat, alv'!D47/100)</f>
        <v>0</v>
      </c>
      <c r="T47" s="753">
        <f>'1. Calculation'!J57</f>
        <v>0</v>
      </c>
      <c r="V47" s="280"/>
    </row>
    <row r="48" spans="2:22" x14ac:dyDescent="0.2">
      <c r="C48" s="355" t="s">
        <v>259</v>
      </c>
      <c r="D48" s="354">
        <f>D47</f>
        <v>25.5</v>
      </c>
      <c r="E48" s="740">
        <f>$T48/12*(1+$D48/100)</f>
        <v>0</v>
      </c>
      <c r="F48" s="740">
        <f t="shared" si="20"/>
        <v>0</v>
      </c>
      <c r="G48" s="741">
        <f t="shared" si="20"/>
        <v>0</v>
      </c>
      <c r="H48" s="741">
        <f t="shared" si="20"/>
        <v>0</v>
      </c>
      <c r="I48" s="741">
        <f t="shared" si="20"/>
        <v>0</v>
      </c>
      <c r="J48" s="741">
        <f t="shared" si="20"/>
        <v>0</v>
      </c>
      <c r="K48" s="741">
        <f t="shared" si="20"/>
        <v>0</v>
      </c>
      <c r="L48" s="741">
        <f t="shared" si="20"/>
        <v>0</v>
      </c>
      <c r="M48" s="741">
        <f t="shared" si="20"/>
        <v>0</v>
      </c>
      <c r="N48" s="741">
        <f t="shared" si="20"/>
        <v>0</v>
      </c>
      <c r="O48" s="741">
        <f t="shared" si="20"/>
        <v>0</v>
      </c>
      <c r="P48" s="741">
        <f t="shared" si="20"/>
        <v>0</v>
      </c>
      <c r="Q48" s="713">
        <f t="shared" si="18"/>
        <v>0</v>
      </c>
      <c r="R48" s="714"/>
      <c r="S48" s="733">
        <f>T48*(1+' 3 AT Palkat, alv'!D48/100)</f>
        <v>0</v>
      </c>
      <c r="T48" s="753">
        <f>'1. Calculation'!J113</f>
        <v>0</v>
      </c>
      <c r="V48" s="280"/>
    </row>
    <row r="49" spans="3:24" x14ac:dyDescent="0.2">
      <c r="C49" s="363" t="s">
        <v>206</v>
      </c>
      <c r="D49" s="354">
        <f>D48</f>
        <v>25.5</v>
      </c>
      <c r="E49" s="740">
        <f>$T49/12*(1+$D49/100)</f>
        <v>0</v>
      </c>
      <c r="F49" s="740">
        <f t="shared" ref="F49:P50" si="21">$T49/12*(1+$D49/100)</f>
        <v>0</v>
      </c>
      <c r="G49" s="740">
        <f t="shared" si="21"/>
        <v>0</v>
      </c>
      <c r="H49" s="740">
        <f t="shared" si="21"/>
        <v>0</v>
      </c>
      <c r="I49" s="740">
        <f t="shared" si="21"/>
        <v>0</v>
      </c>
      <c r="J49" s="740">
        <f t="shared" si="21"/>
        <v>0</v>
      </c>
      <c r="K49" s="740">
        <f t="shared" si="21"/>
        <v>0</v>
      </c>
      <c r="L49" s="740">
        <f t="shared" si="21"/>
        <v>0</v>
      </c>
      <c r="M49" s="740">
        <f t="shared" si="21"/>
        <v>0</v>
      </c>
      <c r="N49" s="740">
        <f t="shared" si="21"/>
        <v>0</v>
      </c>
      <c r="O49" s="740">
        <f t="shared" si="21"/>
        <v>0</v>
      </c>
      <c r="P49" s="740">
        <f t="shared" si="21"/>
        <v>0</v>
      </c>
      <c r="Q49" s="331">
        <f t="shared" si="18"/>
        <v>0</v>
      </c>
      <c r="R49" s="714"/>
      <c r="S49" s="733">
        <f>T49*(1+' 3 AT Palkat, alv'!D49/100)</f>
        <v>0</v>
      </c>
      <c r="T49" s="753">
        <f>'1. Calculation'!J114</f>
        <v>0</v>
      </c>
      <c r="V49" s="280"/>
    </row>
    <row r="50" spans="3:24" x14ac:dyDescent="0.2">
      <c r="C50" s="355" t="s">
        <v>201</v>
      </c>
      <c r="D50" s="354">
        <f>D49</f>
        <v>25.5</v>
      </c>
      <c r="E50" s="740">
        <f>$T50/12*(1+$D50/100)</f>
        <v>0</v>
      </c>
      <c r="F50" s="740">
        <f t="shared" si="21"/>
        <v>0</v>
      </c>
      <c r="G50" s="740">
        <f t="shared" si="21"/>
        <v>0</v>
      </c>
      <c r="H50" s="740">
        <f t="shared" si="21"/>
        <v>0</v>
      </c>
      <c r="I50" s="740">
        <f t="shared" si="21"/>
        <v>0</v>
      </c>
      <c r="J50" s="740">
        <f t="shared" si="21"/>
        <v>0</v>
      </c>
      <c r="K50" s="740">
        <f t="shared" si="21"/>
        <v>0</v>
      </c>
      <c r="L50" s="740">
        <f t="shared" si="21"/>
        <v>0</v>
      </c>
      <c r="M50" s="740">
        <f t="shared" si="21"/>
        <v>0</v>
      </c>
      <c r="N50" s="740">
        <f t="shared" si="21"/>
        <v>0</v>
      </c>
      <c r="O50" s="740">
        <f t="shared" si="21"/>
        <v>0</v>
      </c>
      <c r="P50" s="740">
        <f t="shared" si="21"/>
        <v>0</v>
      </c>
      <c r="Q50" s="331">
        <f t="shared" si="18"/>
        <v>0</v>
      </c>
      <c r="R50" s="714"/>
      <c r="S50" s="733">
        <f>T50*(1+' 3 AT Palkat, alv'!D50/100)</f>
        <v>0</v>
      </c>
      <c r="T50" s="753">
        <f>'1. Calculation'!J102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10</v>
      </c>
      <c r="E53" s="742">
        <f t="shared" ref="E53:P53" si="22">$T53/12*(1+$D53/100)</f>
        <v>0</v>
      </c>
      <c r="F53" s="742">
        <f t="shared" si="22"/>
        <v>0</v>
      </c>
      <c r="G53" s="742">
        <f t="shared" si="22"/>
        <v>0</v>
      </c>
      <c r="H53" s="742">
        <f t="shared" si="22"/>
        <v>0</v>
      </c>
      <c r="I53" s="742">
        <f t="shared" si="22"/>
        <v>0</v>
      </c>
      <c r="J53" s="742">
        <f t="shared" si="22"/>
        <v>0</v>
      </c>
      <c r="K53" s="742">
        <f t="shared" si="22"/>
        <v>0</v>
      </c>
      <c r="L53" s="742">
        <f t="shared" si="22"/>
        <v>0</v>
      </c>
      <c r="M53" s="742">
        <f t="shared" si="22"/>
        <v>0</v>
      </c>
      <c r="N53" s="742">
        <f t="shared" si="22"/>
        <v>0</v>
      </c>
      <c r="O53" s="742">
        <f t="shared" si="22"/>
        <v>0</v>
      </c>
      <c r="P53" s="742">
        <f t="shared" si="22"/>
        <v>0</v>
      </c>
      <c r="Q53" s="331">
        <f>SUM(E53:P53)</f>
        <v>0</v>
      </c>
      <c r="R53" s="714"/>
      <c r="S53" s="733">
        <f>T53*(1+' 3 AT Palkat, alv'!D53/100)</f>
        <v>0</v>
      </c>
      <c r="T53" s="753">
        <f>'1. Calculation'!J105</f>
        <v>0</v>
      </c>
    </row>
    <row r="54" spans="3:24" x14ac:dyDescent="0.2">
      <c r="C54" s="712" t="s">
        <v>197</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9"/>
      <c r="S54" s="738"/>
      <c r="T54" s="739"/>
    </row>
    <row r="55" spans="3:24" x14ac:dyDescent="0.2">
      <c r="S55" s="732" t="s">
        <v>207</v>
      </c>
      <c r="T55" s="732" t="s">
        <v>170</v>
      </c>
    </row>
    <row r="56" spans="3:24" x14ac:dyDescent="0.2">
      <c r="C56" s="711" t="s">
        <v>257</v>
      </c>
      <c r="D56" s="354">
        <v>13.5</v>
      </c>
      <c r="E56" s="710">
        <f t="shared" ref="E56:P56" si="24">$T56/12*(1+$D56/100)</f>
        <v>0</v>
      </c>
      <c r="F56" s="710">
        <f t="shared" si="24"/>
        <v>0</v>
      </c>
      <c r="G56" s="710">
        <f t="shared" si="24"/>
        <v>0</v>
      </c>
      <c r="H56" s="710">
        <f t="shared" si="24"/>
        <v>0</v>
      </c>
      <c r="I56" s="710">
        <f t="shared" si="24"/>
        <v>0</v>
      </c>
      <c r="J56" s="710">
        <f t="shared" si="24"/>
        <v>0</v>
      </c>
      <c r="K56" s="710">
        <f t="shared" si="24"/>
        <v>0</v>
      </c>
      <c r="L56" s="710">
        <f t="shared" si="24"/>
        <v>0</v>
      </c>
      <c r="M56" s="710">
        <f t="shared" si="24"/>
        <v>0</v>
      </c>
      <c r="N56" s="710">
        <f t="shared" si="24"/>
        <v>0</v>
      </c>
      <c r="O56" s="710">
        <f t="shared" si="24"/>
        <v>0</v>
      </c>
      <c r="P56" s="710">
        <f t="shared" si="24"/>
        <v>0</v>
      </c>
      <c r="Q56" s="331">
        <f>SUM(E56:P56)</f>
        <v>0</v>
      </c>
      <c r="R56" s="714"/>
      <c r="S56" s="733">
        <f>T56*(1+' 3 AT Palkat, alv'!D56/100)</f>
        <v>0</v>
      </c>
      <c r="T56" s="734">
        <f>'1. Calculation'!J106</f>
        <v>0</v>
      </c>
    </row>
    <row r="57" spans="3:24" x14ac:dyDescent="0.2">
      <c r="C57" s="712" t="s">
        <v>197</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 t="shared" ref="E60:P60" si="26">SUM(E61:E66)</f>
        <v>0</v>
      </c>
      <c r="F60" s="758">
        <f t="shared" si="26"/>
        <v>0</v>
      </c>
      <c r="G60" s="758">
        <f t="shared" si="26"/>
        <v>0</v>
      </c>
      <c r="H60" s="758">
        <f t="shared" si="26"/>
        <v>0</v>
      </c>
      <c r="I60" s="758">
        <f t="shared" si="26"/>
        <v>0</v>
      </c>
      <c r="J60" s="758">
        <f t="shared" si="26"/>
        <v>0</v>
      </c>
      <c r="K60" s="758">
        <f t="shared" si="26"/>
        <v>0</v>
      </c>
      <c r="L60" s="758">
        <f t="shared" si="26"/>
        <v>0</v>
      </c>
      <c r="M60" s="758">
        <f t="shared" si="26"/>
        <v>0</v>
      </c>
      <c r="N60" s="758">
        <f t="shared" si="26"/>
        <v>0</v>
      </c>
      <c r="O60" s="758">
        <f t="shared" si="26"/>
        <v>0</v>
      </c>
      <c r="P60" s="758">
        <f t="shared" si="26"/>
        <v>0</v>
      </c>
      <c r="Q60" s="352">
        <f>SUM(E60:P60)</f>
        <v>0</v>
      </c>
      <c r="R60" s="352" t="s">
        <v>0</v>
      </c>
      <c r="S60" s="759"/>
      <c r="T60" s="732">
        <f>SUM(T61:T67)</f>
        <v>0</v>
      </c>
      <c r="U60" s="352"/>
    </row>
    <row r="61" spans="3:24" x14ac:dyDescent="0.2">
      <c r="C61" s="353" t="s">
        <v>203</v>
      </c>
      <c r="D61" s="721"/>
      <c r="E61" s="742">
        <f t="shared" ref="E61:E67" si="27">$T61/12*(1+$D61/100)</f>
        <v>0</v>
      </c>
      <c r="F61" s="742">
        <f t="shared" ref="F61:P67" si="28">$T61/12*(1+$D61/100)</f>
        <v>0</v>
      </c>
      <c r="G61" s="742">
        <f t="shared" si="28"/>
        <v>0</v>
      </c>
      <c r="H61" s="742">
        <f t="shared" si="28"/>
        <v>0</v>
      </c>
      <c r="I61" s="742">
        <f t="shared" si="28"/>
        <v>0</v>
      </c>
      <c r="J61" s="742">
        <f t="shared" si="28"/>
        <v>0</v>
      </c>
      <c r="K61" s="742">
        <f t="shared" si="28"/>
        <v>0</v>
      </c>
      <c r="L61" s="742">
        <f t="shared" si="28"/>
        <v>0</v>
      </c>
      <c r="M61" s="742">
        <f t="shared" si="28"/>
        <v>0</v>
      </c>
      <c r="N61" s="742">
        <f t="shared" si="28"/>
        <v>0</v>
      </c>
      <c r="O61" s="742">
        <f t="shared" si="28"/>
        <v>0</v>
      </c>
      <c r="P61" s="742">
        <f t="shared" si="28"/>
        <v>0</v>
      </c>
      <c r="Q61" s="320">
        <f t="shared" ref="Q61:Q66" si="29">SUM(E61:P61)</f>
        <v>0</v>
      </c>
      <c r="R61" s="357"/>
      <c r="S61" s="754"/>
      <c r="T61" s="753">
        <f>'1. Calculation'!J56+'1. Calculation'!J58</f>
        <v>0</v>
      </c>
      <c r="U61" s="368"/>
      <c r="V61" s="280"/>
    </row>
    <row r="62" spans="3:24" x14ac:dyDescent="0.2">
      <c r="C62" s="724" t="s">
        <v>261</v>
      </c>
      <c r="D62" s="721"/>
      <c r="E62" s="742">
        <f t="shared" si="27"/>
        <v>0</v>
      </c>
      <c r="F62" s="742">
        <f t="shared" si="28"/>
        <v>0</v>
      </c>
      <c r="G62" s="742">
        <f t="shared" si="28"/>
        <v>0</v>
      </c>
      <c r="H62" s="742">
        <f t="shared" si="28"/>
        <v>0</v>
      </c>
      <c r="I62" s="742">
        <f t="shared" si="28"/>
        <v>0</v>
      </c>
      <c r="J62" s="742">
        <f t="shared" si="28"/>
        <v>0</v>
      </c>
      <c r="K62" s="742">
        <f t="shared" si="28"/>
        <v>0</v>
      </c>
      <c r="L62" s="742">
        <f t="shared" si="28"/>
        <v>0</v>
      </c>
      <c r="M62" s="742">
        <f t="shared" si="28"/>
        <v>0</v>
      </c>
      <c r="N62" s="742">
        <f t="shared" si="28"/>
        <v>0</v>
      </c>
      <c r="O62" s="742">
        <f t="shared" si="28"/>
        <v>0</v>
      </c>
      <c r="P62" s="742">
        <f t="shared" si="28"/>
        <v>0</v>
      </c>
      <c r="Q62" s="320">
        <f t="shared" si="29"/>
        <v>0</v>
      </c>
      <c r="S62" s="754"/>
      <c r="T62" s="753">
        <f>'1. Calculation'!J80</f>
        <v>0</v>
      </c>
    </row>
    <row r="63" spans="3:24" x14ac:dyDescent="0.2">
      <c r="C63" s="720" t="s">
        <v>254</v>
      </c>
      <c r="D63" s="721"/>
      <c r="E63" s="742">
        <f t="shared" si="27"/>
        <v>0</v>
      </c>
      <c r="F63" s="742">
        <f t="shared" si="28"/>
        <v>0</v>
      </c>
      <c r="G63" s="742">
        <f t="shared" si="28"/>
        <v>0</v>
      </c>
      <c r="H63" s="742">
        <f t="shared" si="28"/>
        <v>0</v>
      </c>
      <c r="I63" s="742">
        <f t="shared" si="28"/>
        <v>0</v>
      </c>
      <c r="J63" s="742">
        <f t="shared" si="28"/>
        <v>0</v>
      </c>
      <c r="K63" s="742">
        <f t="shared" si="28"/>
        <v>0</v>
      </c>
      <c r="L63" s="742">
        <f t="shared" si="28"/>
        <v>0</v>
      </c>
      <c r="M63" s="742">
        <f t="shared" si="28"/>
        <v>0</v>
      </c>
      <c r="N63" s="742">
        <f t="shared" si="28"/>
        <v>0</v>
      </c>
      <c r="O63" s="742">
        <f t="shared" si="28"/>
        <v>0</v>
      </c>
      <c r="P63" s="742">
        <f t="shared" si="28"/>
        <v>0</v>
      </c>
      <c r="Q63" s="320">
        <f t="shared" si="29"/>
        <v>0</v>
      </c>
      <c r="S63" s="754"/>
      <c r="T63" s="753">
        <f>'1. Calculation'!J103</f>
        <v>0</v>
      </c>
    </row>
    <row r="64" spans="3:24" x14ac:dyDescent="0.2">
      <c r="C64" s="723" t="s">
        <v>255</v>
      </c>
      <c r="D64" s="722"/>
      <c r="E64" s="742">
        <f t="shared" si="27"/>
        <v>0</v>
      </c>
      <c r="F64" s="742">
        <f t="shared" si="28"/>
        <v>0</v>
      </c>
      <c r="G64" s="742">
        <f t="shared" si="28"/>
        <v>0</v>
      </c>
      <c r="H64" s="742">
        <f t="shared" si="28"/>
        <v>0</v>
      </c>
      <c r="I64" s="742">
        <f t="shared" si="28"/>
        <v>0</v>
      </c>
      <c r="J64" s="742">
        <f t="shared" si="28"/>
        <v>0</v>
      </c>
      <c r="K64" s="742">
        <f t="shared" si="28"/>
        <v>0</v>
      </c>
      <c r="L64" s="742">
        <f t="shared" si="28"/>
        <v>0</v>
      </c>
      <c r="M64" s="742">
        <f t="shared" si="28"/>
        <v>0</v>
      </c>
      <c r="N64" s="742">
        <f t="shared" si="28"/>
        <v>0</v>
      </c>
      <c r="O64" s="742">
        <f t="shared" si="28"/>
        <v>0</v>
      </c>
      <c r="P64" s="742">
        <f t="shared" si="28"/>
        <v>0</v>
      </c>
      <c r="Q64" s="320">
        <f t="shared" si="29"/>
        <v>0</v>
      </c>
      <c r="S64" s="754"/>
      <c r="T64" s="753">
        <f>'1. Calculation'!J110</f>
        <v>0</v>
      </c>
    </row>
    <row r="65" spans="3:20" x14ac:dyDescent="0.2">
      <c r="C65" s="724" t="s">
        <v>256</v>
      </c>
      <c r="D65" s="722"/>
      <c r="E65" s="742">
        <f t="shared" si="27"/>
        <v>0</v>
      </c>
      <c r="F65" s="742">
        <f t="shared" si="28"/>
        <v>0</v>
      </c>
      <c r="G65" s="742">
        <f t="shared" si="28"/>
        <v>0</v>
      </c>
      <c r="H65" s="742">
        <f t="shared" si="28"/>
        <v>0</v>
      </c>
      <c r="I65" s="742">
        <f t="shared" si="28"/>
        <v>0</v>
      </c>
      <c r="J65" s="742">
        <f t="shared" si="28"/>
        <v>0</v>
      </c>
      <c r="K65" s="742">
        <f t="shared" si="28"/>
        <v>0</v>
      </c>
      <c r="L65" s="742">
        <f t="shared" si="28"/>
        <v>0</v>
      </c>
      <c r="M65" s="742">
        <f t="shared" si="28"/>
        <v>0</v>
      </c>
      <c r="N65" s="742">
        <f t="shared" si="28"/>
        <v>0</v>
      </c>
      <c r="O65" s="742">
        <f t="shared" si="28"/>
        <v>0</v>
      </c>
      <c r="P65" s="742">
        <f t="shared" si="28"/>
        <v>0</v>
      </c>
      <c r="Q65" s="320">
        <f t="shared" si="29"/>
        <v>0</v>
      </c>
      <c r="S65" s="755"/>
      <c r="T65" s="737">
        <f>'1. Calculation'!J107</f>
        <v>0</v>
      </c>
    </row>
    <row r="66" spans="3:20" x14ac:dyDescent="0.2">
      <c r="C66" s="720" t="s">
        <v>260</v>
      </c>
      <c r="D66" s="722"/>
      <c r="E66" s="742">
        <f t="shared" si="27"/>
        <v>0</v>
      </c>
      <c r="F66" s="742">
        <f t="shared" si="28"/>
        <v>0</v>
      </c>
      <c r="G66" s="742">
        <f t="shared" si="28"/>
        <v>0</v>
      </c>
      <c r="H66" s="742">
        <f t="shared" si="28"/>
        <v>0</v>
      </c>
      <c r="I66" s="742">
        <f t="shared" si="28"/>
        <v>0</v>
      </c>
      <c r="J66" s="742">
        <f t="shared" si="28"/>
        <v>0</v>
      </c>
      <c r="K66" s="742">
        <f t="shared" si="28"/>
        <v>0</v>
      </c>
      <c r="L66" s="742">
        <f t="shared" si="28"/>
        <v>0</v>
      </c>
      <c r="M66" s="742">
        <f t="shared" si="28"/>
        <v>0</v>
      </c>
      <c r="N66" s="742">
        <f t="shared" si="28"/>
        <v>0</v>
      </c>
      <c r="O66" s="742">
        <f t="shared" si="28"/>
        <v>0</v>
      </c>
      <c r="P66" s="742">
        <f t="shared" si="28"/>
        <v>0</v>
      </c>
      <c r="Q66" s="320">
        <f t="shared" si="29"/>
        <v>0</v>
      </c>
      <c r="S66" s="755"/>
      <c r="T66" s="737">
        <f>'1. Calculation'!J111</f>
        <v>0</v>
      </c>
    </row>
    <row r="67" spans="3:20" x14ac:dyDescent="0.2">
      <c r="C67" s="1453" t="s">
        <v>265</v>
      </c>
      <c r="D67" s="1454"/>
      <c r="E67" s="742">
        <f t="shared" si="27"/>
        <v>0</v>
      </c>
      <c r="F67" s="742">
        <f t="shared" si="28"/>
        <v>0</v>
      </c>
      <c r="G67" s="742">
        <f t="shared" si="28"/>
        <v>0</v>
      </c>
      <c r="H67" s="742">
        <f t="shared" si="28"/>
        <v>0</v>
      </c>
      <c r="I67" s="742">
        <f t="shared" si="28"/>
        <v>0</v>
      </c>
      <c r="J67" s="742">
        <f t="shared" si="28"/>
        <v>0</v>
      </c>
      <c r="K67" s="742">
        <f t="shared" si="28"/>
        <v>0</v>
      </c>
      <c r="L67" s="742">
        <f t="shared" si="28"/>
        <v>0</v>
      </c>
      <c r="M67" s="742">
        <f t="shared" si="28"/>
        <v>0</v>
      </c>
      <c r="N67" s="742">
        <f t="shared" si="28"/>
        <v>0</v>
      </c>
      <c r="O67" s="742">
        <f t="shared" si="28"/>
        <v>0</v>
      </c>
      <c r="P67" s="742">
        <f t="shared" si="28"/>
        <v>0</v>
      </c>
      <c r="Q67" s="320">
        <f t="shared" ref="Q67" si="30">SUM(E67:P67)</f>
        <v>0</v>
      </c>
      <c r="S67" s="755"/>
      <c r="T67" s="737">
        <f>'1. Calculation'!J116</f>
        <v>0</v>
      </c>
    </row>
    <row r="68" spans="3:20" x14ac:dyDescent="0.2">
      <c r="C68" s="719"/>
    </row>
  </sheetData>
  <sheetProtection algorithmName="SHA-512" hashValue="Oc3ne3y2qML+VpIwXpxPovPyK7Cvyu2HCkZw4eu9AUyWimHf1Z9RnYFQz1WwRKeFVF0Ic6bfxGxHI0Dn0CsCJQ==" saltValue="U21vi+JakfQxl8IXCV59J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5</v>
      </c>
      <c r="D3" s="49"/>
      <c r="E3" s="50"/>
      <c r="F3" s="51">
        <f>G43+G44</f>
        <v>0</v>
      </c>
      <c r="G3" s="51">
        <f>F3-F5</f>
        <v>0</v>
      </c>
      <c r="H3" s="51">
        <f>G3-G5</f>
        <v>0</v>
      </c>
      <c r="I3" s="52"/>
    </row>
    <row r="4" spans="1:16" s="22" customFormat="1" ht="11.25" x14ac:dyDescent="0.2">
      <c r="A4" s="46"/>
      <c r="B4" s="47"/>
      <c r="C4" s="48" t="s">
        <v>272</v>
      </c>
      <c r="D4" s="49"/>
      <c r="E4" s="50"/>
      <c r="F4" s="260">
        <v>7.0000000000000007E-2</v>
      </c>
      <c r="G4" s="260">
        <v>7.0000000000000007E-2</v>
      </c>
      <c r="H4" s="260">
        <v>7.0000000000000007E-2</v>
      </c>
      <c r="I4" s="261"/>
    </row>
    <row r="5" spans="1:16" s="22" customFormat="1" ht="11.25" x14ac:dyDescent="0.2">
      <c r="A5" s="46"/>
      <c r="B5" s="47"/>
      <c r="C5" s="48" t="s">
        <v>12</v>
      </c>
      <c r="D5" s="49"/>
      <c r="E5" s="50"/>
      <c r="F5" s="51">
        <f>F3*F4</f>
        <v>0</v>
      </c>
      <c r="G5" s="51">
        <f>G3*G4</f>
        <v>0</v>
      </c>
      <c r="H5" s="51">
        <f>H3*H4</f>
        <v>0</v>
      </c>
      <c r="I5" s="52"/>
    </row>
    <row r="6" spans="1:16" s="22" customFormat="1" ht="11.25" x14ac:dyDescent="0.2">
      <c r="A6" s="46"/>
      <c r="B6" s="47"/>
      <c r="C6" s="48" t="s">
        <v>10</v>
      </c>
      <c r="D6" s="49"/>
      <c r="E6" s="50"/>
      <c r="F6" s="51">
        <f>F3-F5</f>
        <v>0</v>
      </c>
      <c r="G6" s="51">
        <f>G3-G5</f>
        <v>0</v>
      </c>
      <c r="H6" s="51">
        <f>H3-H5</f>
        <v>0</v>
      </c>
      <c r="I6" s="52"/>
    </row>
    <row r="7" spans="1:16" s="22" customFormat="1" ht="11.25" x14ac:dyDescent="0.2">
      <c r="A7" s="46"/>
      <c r="B7" s="47"/>
      <c r="C7" s="48" t="s">
        <v>7</v>
      </c>
      <c r="D7" s="49"/>
      <c r="E7" s="50"/>
      <c r="F7" s="51">
        <f>IF(G54&lt;0,0,G54)</f>
        <v>0</v>
      </c>
      <c r="G7" s="51">
        <f>F7-F9</f>
        <v>0</v>
      </c>
      <c r="H7" s="51">
        <f>G7-G9</f>
        <v>0</v>
      </c>
      <c r="I7" s="52"/>
    </row>
    <row r="8" spans="1:16" s="22" customFormat="1" ht="11.25" x14ac:dyDescent="0.2">
      <c r="A8" s="46"/>
      <c r="B8" s="47"/>
      <c r="C8" s="48" t="s">
        <v>8</v>
      </c>
      <c r="D8" s="49"/>
      <c r="E8" s="50"/>
      <c r="F8" s="260">
        <v>0.25</v>
      </c>
      <c r="G8" s="260">
        <v>0.25</v>
      </c>
      <c r="H8" s="260">
        <v>0.25</v>
      </c>
      <c r="I8" s="261"/>
    </row>
    <row r="9" spans="1:16" s="22" customFormat="1" ht="11.25" x14ac:dyDescent="0.2">
      <c r="A9" s="46"/>
      <c r="B9" s="47"/>
      <c r="C9" s="48" t="s">
        <v>13</v>
      </c>
      <c r="D9" s="49"/>
      <c r="E9" s="50"/>
      <c r="F9" s="51">
        <f>F7*F8</f>
        <v>0</v>
      </c>
      <c r="G9" s="51">
        <f>G7*G8</f>
        <v>0</v>
      </c>
      <c r="H9" s="51">
        <f>H7*H8</f>
        <v>0</v>
      </c>
      <c r="I9" s="52"/>
    </row>
    <row r="10" spans="1:16" s="22" customFormat="1" ht="11.25" x14ac:dyDescent="0.2">
      <c r="A10" s="46"/>
      <c r="B10" s="47"/>
      <c r="C10" s="48" t="s">
        <v>11</v>
      </c>
      <c r="D10" s="49"/>
      <c r="E10" s="50"/>
      <c r="F10" s="51">
        <f>F7-F9</f>
        <v>0</v>
      </c>
      <c r="G10" s="51">
        <f>G7-G9</f>
        <v>0</v>
      </c>
      <c r="H10" s="51">
        <f>H7-H9</f>
        <v>0</v>
      </c>
      <c r="I10" s="52"/>
    </row>
    <row r="11" spans="1:16" s="22" customFormat="1" ht="12" x14ac:dyDescent="0.2">
      <c r="A11" s="46"/>
      <c r="B11" s="46"/>
      <c r="C11" s="1333" t="s">
        <v>269</v>
      </c>
      <c r="D11" s="1333"/>
      <c r="E11" s="1333"/>
      <c r="F11" s="52">
        <f>'1. Calculation'!F25</f>
        <v>0</v>
      </c>
      <c r="G11" s="51">
        <f>F11-F13</f>
        <v>0</v>
      </c>
      <c r="H11" s="51">
        <f>G11-G13</f>
        <v>0</v>
      </c>
      <c r="I11" s="52"/>
    </row>
    <row r="12" spans="1:16" s="22" customFormat="1" ht="11.25" x14ac:dyDescent="0.2">
      <c r="A12" s="46"/>
      <c r="B12" s="47"/>
      <c r="C12" s="48" t="s">
        <v>270</v>
      </c>
      <c r="D12" s="49"/>
      <c r="E12" s="50"/>
      <c r="F12" s="260">
        <v>0.25</v>
      </c>
      <c r="G12" s="260">
        <v>0.25</v>
      </c>
      <c r="H12" s="260">
        <v>0.25</v>
      </c>
      <c r="I12" s="261"/>
    </row>
    <row r="13" spans="1:16" s="22" customFormat="1" ht="11.25" x14ac:dyDescent="0.2">
      <c r="A13" s="46"/>
      <c r="B13" s="47"/>
      <c r="C13" s="48" t="s">
        <v>271</v>
      </c>
      <c r="D13" s="49"/>
      <c r="E13" s="50"/>
      <c r="F13" s="51">
        <f>F11*F12</f>
        <v>0</v>
      </c>
      <c r="G13" s="51">
        <f>G11*G12</f>
        <v>0</v>
      </c>
      <c r="H13" s="51">
        <f>H11*H12</f>
        <v>0</v>
      </c>
      <c r="I13" s="52"/>
    </row>
    <row r="14" spans="1:16" s="22" customFormat="1" ht="11.25" x14ac:dyDescent="0.2">
      <c r="A14" s="46"/>
      <c r="B14" s="46"/>
      <c r="C14" s="48" t="s">
        <v>268</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455" t="s">
        <v>20</v>
      </c>
      <c r="H16" s="1455"/>
      <c r="I16" s="1455"/>
      <c r="J16" s="36"/>
      <c r="K16" s="37" t="s">
        <v>43</v>
      </c>
      <c r="L16" s="38"/>
      <c r="M16" s="38"/>
      <c r="N16" s="38"/>
      <c r="O16" s="38"/>
      <c r="P16" s="39"/>
    </row>
    <row r="17" spans="1:23" s="22" customFormat="1" ht="11.25" x14ac:dyDescent="0.2">
      <c r="C17" s="35"/>
      <c r="D17" s="35"/>
      <c r="E17" s="35"/>
      <c r="F17" s="53" t="s">
        <v>19</v>
      </c>
      <c r="G17" s="54" t="s">
        <v>1</v>
      </c>
      <c r="H17" s="54" t="s">
        <v>21</v>
      </c>
      <c r="I17" s="54" t="s">
        <v>4</v>
      </c>
      <c r="J17" s="40"/>
      <c r="K17" s="35" t="s">
        <v>44</v>
      </c>
      <c r="L17" s="41">
        <f>'1. Calculation'!J16/12</f>
        <v>0</v>
      </c>
      <c r="P17" s="42"/>
    </row>
    <row r="18" spans="1:23" s="22" customFormat="1" ht="11.25" x14ac:dyDescent="0.2">
      <c r="C18" s="55"/>
      <c r="D18" s="55"/>
      <c r="E18" s="55"/>
      <c r="F18" s="53" t="str">
        <f>A26</f>
        <v xml:space="preserve"> Bank</v>
      </c>
      <c r="G18" s="56">
        <f>IF('1. Calculation'!$K12=2,'1. Calculation'!$M12*'1. Calculation'!$J12,IF('1. Calculation'!$K12=1,'1. Calculation'!$M12*'1. Calculation'!$J12,('4 AT Lainat ja avustukset alv'!$B26-0.5*'4 AT Lainat ja avustukset alv'!$E26)*'1. Calculation'!$J12))</f>
        <v>0</v>
      </c>
      <c r="H18" s="56">
        <f>IF('1. Calculation'!$K12=2,'1. Calculation'!$M12*'1. Calculation'!$J12,IF('1. Calculation'!$K12=1,('1. Calculation'!$M12-0.5*B26)*'1. Calculation'!$J12,('4 AT Lainat ja avustukset alv'!$B26-1.5*'4 AT Lainat ja avustukset alv'!$E26)*'1. Calculation'!$J12))</f>
        <v>0</v>
      </c>
      <c r="I18" s="56">
        <f>IF('1. Calculation'!$K12=2,('1. Calculation'!$M12-0.5*D26)*'1. Calculation'!$J12,IF('1. Calculation'!$K12=1,('1. Calculation'!$M12-1.5*C26)*'1. Calculation'!$J12,('4 AT Lainat ja avustukset alv'!$B26-2.5*'4 AT Lainat ja avustukset alv'!$E26)*'1. Calculation'!$J12))</f>
        <v>0</v>
      </c>
      <c r="J18" s="40"/>
      <c r="K18" s="22" t="s">
        <v>45</v>
      </c>
      <c r="L18" s="22">
        <f>'1. Calculation'!K16*12</f>
        <v>0</v>
      </c>
      <c r="P18" s="42"/>
    </row>
    <row r="19" spans="1:23" s="22" customFormat="1" ht="11.25" x14ac:dyDescent="0.2">
      <c r="C19" s="55"/>
      <c r="D19" s="55"/>
      <c r="E19" s="55"/>
      <c r="F19" s="53" t="str">
        <f t="shared" ref="F19:F20" si="0">A27</f>
        <v xml:space="preserve"> Finnvera</v>
      </c>
      <c r="G19" s="56">
        <f>IF('1. Calculation'!$K13=2,'1. Calculation'!$M13*'1. Calculation'!$J13,IF('1. Calculation'!$K13=1,'1. Calculation'!$M13*'1. Calculation'!$J13,('4 AT Lainat ja avustukset alv'!$B27-0.5*'4 AT Lainat ja avustukset alv'!$E27)*'1. Calculation'!$J13))</f>
        <v>0</v>
      </c>
      <c r="H19" s="56">
        <f>IF('1. Calculation'!$K13=2,'1. Calculation'!$M13*'1. Calculation'!$J13,IF('1. Calculation'!$K13=1,('1. Calculation'!$M13-0.5*B27)*'1. Calculation'!$J13,('4 AT Lainat ja avustukset alv'!$B27-1.5*'4 AT Lainat ja avustukset alv'!$E27)*'1. Calculation'!$J13))</f>
        <v>0</v>
      </c>
      <c r="I19" s="56">
        <f>IF('1. Calculation'!$K13=2,('1. Calculation'!$M13-0.5*D27)*'1. Calculation'!$J13,IF('1. Calculation'!$K13=1,('1. Calculation'!$M13-1.5*C27)*'1. Calculation'!$J13,('4 AT Lainat ja avustukset alv'!$B27-2.5*'4 AT Lainat ja avustukset alv'!$E27)*'1. Calculation'!$J13))</f>
        <v>0</v>
      </c>
      <c r="J19" s="40"/>
      <c r="K19" s="22" t="s">
        <v>17</v>
      </c>
      <c r="L19" s="43">
        <f>'1. Calculation'!M16</f>
        <v>0</v>
      </c>
      <c r="P19" s="42"/>
    </row>
    <row r="20" spans="1:23" s="22" customFormat="1" ht="11.25" x14ac:dyDescent="0.2">
      <c r="C20" s="55"/>
      <c r="D20" s="55"/>
      <c r="E20" s="55"/>
      <c r="F20" s="53">
        <f t="shared" si="0"/>
        <v>0</v>
      </c>
      <c r="G20" s="56">
        <f>IF('1. Calculation'!$K14=2,'1. Calculation'!$M14*'1. Calculation'!$J14,IF('1. Calculation'!$K14=1,'1. Calculation'!$M14*'1. Calculation'!$J14,('4 AT Lainat ja avustukset alv'!$B28-0.5*'4 AT Lainat ja avustukset alv'!$E28)*'1. Calculation'!$J14))</f>
        <v>0</v>
      </c>
      <c r="H20" s="56">
        <f>IF('1. Calculation'!$K14=2,'1. Calculation'!$M14*'1. Calculation'!$J14,IF('1. Calculation'!$K14=1,('1. Calculation'!$M14-0.5*B28)*'1. Calculation'!$J14,('4 AT Lainat ja avustukset alv'!$B28-1.5*'4 AT Lainat ja avustukset alv'!$E28)*'1. Calculation'!$J14))</f>
        <v>0</v>
      </c>
      <c r="I20" s="56">
        <f>IF('1. Calculation'!$K14=2,('1. Calculation'!$M14-0.5*D28)*'1. Calculation'!$J14,IF('1. Calculation'!$K14=1,('1. Calculation'!$M14-1.5*C28)*'1. Calculation'!$J14,('4 AT Lainat ja avustukset alv'!$B28-2.5*'4 AT Lainat ja avustukset alv'!$E28)*'1. Calculation'!$J14))</f>
        <v>0</v>
      </c>
      <c r="J20" s="40"/>
      <c r="K20" s="22" t="s">
        <v>46</v>
      </c>
      <c r="L20" s="44">
        <f>IF(L17=0,0,-PMT(L17,L18,L19)*12)</f>
        <v>0</v>
      </c>
      <c r="P20" s="42"/>
    </row>
    <row r="21" spans="1:23" s="22" customFormat="1" ht="11.25" x14ac:dyDescent="0.2">
      <c r="C21" s="57"/>
      <c r="D21" s="57"/>
      <c r="E21" s="57"/>
      <c r="F21" s="53" t="s">
        <v>0</v>
      </c>
      <c r="G21" s="56">
        <v>0</v>
      </c>
      <c r="H21" s="56">
        <v>0</v>
      </c>
      <c r="I21" s="56">
        <v>0</v>
      </c>
      <c r="K21" s="22" t="s">
        <v>94</v>
      </c>
      <c r="L21" s="44">
        <f>L20/4</f>
        <v>0</v>
      </c>
    </row>
    <row r="22" spans="1:23" s="22" customFormat="1" ht="11.25" x14ac:dyDescent="0.2">
      <c r="C22" s="57"/>
      <c r="D22" s="57"/>
      <c r="E22" s="57"/>
      <c r="F22" s="53" t="s">
        <v>9</v>
      </c>
      <c r="G22" s="56">
        <f>SUM(G18:G21)</f>
        <v>0</v>
      </c>
      <c r="H22" s="56">
        <f>SUM(H18:H21)</f>
        <v>0</v>
      </c>
      <c r="I22" s="56">
        <f>SUM(I18:I21)</f>
        <v>0</v>
      </c>
      <c r="J22" s="40"/>
      <c r="K22" s="14" t="s">
        <v>78</v>
      </c>
      <c r="L22" s="14" t="s">
        <v>79</v>
      </c>
      <c r="M22" s="14" t="s">
        <v>80</v>
      </c>
      <c r="N22" s="14" t="s">
        <v>81</v>
      </c>
      <c r="O22" s="14" t="s">
        <v>82</v>
      </c>
      <c r="P22" s="58" t="s">
        <v>83</v>
      </c>
      <c r="Q22" s="14" t="s">
        <v>84</v>
      </c>
      <c r="R22" s="14" t="s">
        <v>85</v>
      </c>
      <c r="S22" s="14" t="s">
        <v>86</v>
      </c>
      <c r="T22" s="14" t="s">
        <v>87</v>
      </c>
      <c r="U22" s="14" t="s">
        <v>88</v>
      </c>
      <c r="V22" s="14" t="s">
        <v>89</v>
      </c>
      <c r="W22" s="14" t="s">
        <v>90</v>
      </c>
    </row>
    <row r="23" spans="1:23" s="22" customFormat="1" ht="11.25" x14ac:dyDescent="0.2">
      <c r="A23" s="46"/>
      <c r="B23" s="46"/>
      <c r="C23" s="46"/>
      <c r="D23" s="46"/>
      <c r="E23" s="46"/>
      <c r="F23" s="46"/>
      <c r="G23" s="46"/>
      <c r="H23" s="46"/>
      <c r="I23" s="46"/>
      <c r="J23" s="40" t="s">
        <v>47</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456" t="s">
        <v>25</v>
      </c>
      <c r="D24" s="1456"/>
      <c r="E24" s="1456"/>
      <c r="G24" s="1456" t="s">
        <v>243</v>
      </c>
      <c r="H24" s="1456"/>
      <c r="I24" s="1456"/>
      <c r="J24" s="40" t="s">
        <v>91</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19</v>
      </c>
      <c r="B25" s="60" t="s">
        <v>17</v>
      </c>
      <c r="C25" s="54" t="s">
        <v>22</v>
      </c>
      <c r="D25" s="54" t="s">
        <v>23</v>
      </c>
      <c r="E25" s="54" t="s">
        <v>24</v>
      </c>
      <c r="F25" s="53" t="s">
        <v>19</v>
      </c>
      <c r="G25" s="54" t="s">
        <v>1</v>
      </c>
      <c r="H25" s="54" t="s">
        <v>21</v>
      </c>
      <c r="I25" s="54" t="s">
        <v>4</v>
      </c>
      <c r="J25" s="40" t="s">
        <v>92</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Calculation'!H12</f>
        <v xml:space="preserve"> Bank</v>
      </c>
      <c r="B26" s="61">
        <f>'1. Calculation'!M12</f>
        <v>0</v>
      </c>
      <c r="C26" s="62">
        <f>IF('1. Calculation'!$L12=0,0,$B26/('1. Calculation'!$L12-1))</f>
        <v>0</v>
      </c>
      <c r="D26" s="62">
        <f>IF('1. Calculation'!$L12=0,0,$B26/('1. Calculation'!$L12-2))</f>
        <v>0</v>
      </c>
      <c r="E26" s="62">
        <f>IF('1. Calculation'!$L12=0,0,$B26/'1. Calculation'!$L12)</f>
        <v>0</v>
      </c>
      <c r="F26" s="53" t="str">
        <f>A26</f>
        <v xml:space="preserve"> Bank</v>
      </c>
      <c r="G26" s="63">
        <f>IF('1. Calculation'!$K12=2,'4 AT Lainat ja avustukset alv'!G18,IF('1. Calculation'!$K12=1,'4 AT Lainat ja avustukset alv'!$G18,'4 AT Lainat ja avustukset alv'!$E26+$G18))</f>
        <v>0</v>
      </c>
      <c r="H26" s="63">
        <f>IF('1. Calculation'!$K12=2,'4 AT Lainat ja avustukset alv'!H18,IF('1. Calculation'!$K12=1,H18+C26,'4 AT Lainat ja avustukset alv'!$E26+H18))</f>
        <v>0</v>
      </c>
      <c r="I26" s="63">
        <f>IF('1. Calculation'!$K12=2,'4 AT Lainat ja avustukset alv'!I18+D26,IF('1. Calculation'!$K12=1,I18+C26,'4 AT Lainat ja avustukset alv'!$E26+I18))</f>
        <v>0</v>
      </c>
      <c r="J26" s="45" t="s">
        <v>93</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Calculation'!H13</f>
        <v xml:space="preserve"> Finnvera</v>
      </c>
      <c r="B27" s="61">
        <f>'1. Calculation'!M13</f>
        <v>0</v>
      </c>
      <c r="C27" s="62">
        <f>IF('1. Calculation'!$L13=0,0,$B27/('1. Calculation'!$L13-1))</f>
        <v>0</v>
      </c>
      <c r="D27" s="62">
        <f>IF('1. Calculation'!$L13=0,0,$B27/('1. Calculation'!$L13-2))</f>
        <v>0</v>
      </c>
      <c r="E27" s="62">
        <f>IF('1. Calculation'!$L13=0,0,$B27/'1. Calculation'!$L13)</f>
        <v>0</v>
      </c>
      <c r="F27" s="53" t="str">
        <f t="shared" ref="F27:F28" si="4">A27</f>
        <v xml:space="preserve"> Finnvera</v>
      </c>
      <c r="G27" s="63">
        <f>IF('1. Calculation'!$K13=2,'4 AT Lainat ja avustukset alv'!G19,IF('1. Calculation'!$K13=1,'4 AT Lainat ja avustukset alv'!$G19,'4 AT Lainat ja avustukset alv'!$E27+$G19))</f>
        <v>0</v>
      </c>
      <c r="H27" s="63">
        <f>IF('1. Calculation'!$K13=2,'4 AT Lainat ja avustukset alv'!H19,IF('1. Calculation'!$K13=1,H19+C27,'4 AT Lainat ja avustukset alv'!$E27+H19))</f>
        <v>0</v>
      </c>
      <c r="I27" s="63">
        <f>IF('1. Calculation'!$K13=2,'4 AT Lainat ja avustukset alv'!I19+D27,IF('1. Calculation'!$K13=1,I19+C27,'4 AT Lainat ja avustukset alv'!$E27+I19))</f>
        <v>0</v>
      </c>
      <c r="J27" s="40"/>
      <c r="P27" s="42"/>
    </row>
    <row r="28" spans="1:23" s="22" customFormat="1" ht="11.25" x14ac:dyDescent="0.2">
      <c r="A28" s="53">
        <f>'1. Calculation'!H14</f>
        <v>0</v>
      </c>
      <c r="B28" s="61">
        <f>'1. Calculation'!M14</f>
        <v>0</v>
      </c>
      <c r="C28" s="62">
        <f>IF('1. Calculation'!$L14=0,0,$B28/('1. Calculation'!$L14-1))</f>
        <v>0</v>
      </c>
      <c r="D28" s="62">
        <f>IF('1. Calculation'!$L14=0,0,$B28/('1. Calculation'!$L14-2))</f>
        <v>0</v>
      </c>
      <c r="E28" s="62">
        <f>IF('1. Calculation'!$L14=0,0,$B28/'1. Calculation'!$L14)</f>
        <v>0</v>
      </c>
      <c r="F28" s="53">
        <f t="shared" si="4"/>
        <v>0</v>
      </c>
      <c r="G28" s="63">
        <f>IF('1. Calculation'!$K14=2,'4 AT Lainat ja avustukset alv'!G20,IF('1. Calculation'!$K14=1,'4 AT Lainat ja avustukset alv'!$G20,'4 AT Lainat ja avustukset alv'!$E28+$G20))</f>
        <v>0</v>
      </c>
      <c r="H28" s="63">
        <f>IF('1. Calculation'!$K14=2,'4 AT Lainat ja avustukset alv'!H20,IF('1. Calculation'!$K14=1,H20+C28,'4 AT Lainat ja avustukset alv'!$E28+H20))</f>
        <v>0</v>
      </c>
      <c r="I28" s="63">
        <f>IF('1. Calculation'!$K14=2,'4 AT Lainat ja avustukset alv'!I20+D28,IF('1. Calculation'!$K14=1,I20+C28,'4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9</v>
      </c>
      <c r="B30" s="64">
        <f>SUM(B26:B29)</f>
        <v>0</v>
      </c>
      <c r="C30" s="62">
        <f>SUM(C26:C29)</f>
        <v>0</v>
      </c>
      <c r="D30" s="62">
        <f>SUM(D26:D29)</f>
        <v>0</v>
      </c>
      <c r="E30" s="62">
        <f>SUM(E26:E29)</f>
        <v>0</v>
      </c>
      <c r="F30" s="65" t="s">
        <v>9</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455" t="s">
        <v>26</v>
      </c>
      <c r="H33" s="1455"/>
      <c r="I33" s="1455"/>
    </row>
    <row r="34" spans="2:12" s="22" customFormat="1" ht="12" x14ac:dyDescent="0.2">
      <c r="B34" s="2"/>
      <c r="C34" s="2"/>
      <c r="D34" s="2"/>
      <c r="E34" s="2"/>
      <c r="F34" s="6" t="s">
        <v>19</v>
      </c>
      <c r="G34" s="798" t="s">
        <v>1</v>
      </c>
      <c r="H34" s="798" t="s">
        <v>21</v>
      </c>
      <c r="I34" s="798" t="s">
        <v>4</v>
      </c>
      <c r="J34" s="2"/>
      <c r="K34" s="2"/>
      <c r="L34" s="2"/>
    </row>
    <row r="35" spans="2:12" s="22" customFormat="1" ht="12" x14ac:dyDescent="0.2">
      <c r="B35" s="2"/>
      <c r="C35" s="2"/>
      <c r="D35" s="2"/>
      <c r="E35" s="2"/>
      <c r="F35" s="6" t="str">
        <f>A26</f>
        <v xml:space="preserve"> Bank</v>
      </c>
      <c r="G35" s="313">
        <f>IF('1. Calculation'!$K12=2,'4 AT Lainat ja avustukset alv'!$B26,IF('1. Calculation'!$K12=1,'4 AT Lainat ja avustukset alv'!$B26,'4 AT Lainat ja avustukset alv'!$B26-'4 AT Lainat ja avustukset alv'!$E26))</f>
        <v>0</v>
      </c>
      <c r="H35" s="313">
        <f>IF('1. Calculation'!$K12=2,'4 AT Lainat ja avustukset alv'!$B26,IF('1. Calculation'!$K12=1,'4 AT Lainat ja avustukset alv'!$B26-$C26,'4 AT Lainat ja avustukset alv'!$B26-2*'4 AT Lainat ja avustukset alv'!$E26))</f>
        <v>0</v>
      </c>
      <c r="I35" s="313">
        <f>IF('1. Calculation'!$K12=2,'4 AT Lainat ja avustukset alv'!$B26-D26,IF('1. Calculation'!$K12=1,'4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Calculation'!$K13=2,'4 AT Lainat ja avustukset alv'!$B27,IF('1. Calculation'!$K13=1,'4 AT Lainat ja avustukset alv'!$B27,'4 AT Lainat ja avustukset alv'!$B27-'4 AT Lainat ja avustukset alv'!$E27))</f>
        <v>0</v>
      </c>
      <c r="H36" s="313">
        <f>IF('1. Calculation'!$K13=2,'4 AT Lainat ja avustukset alv'!$B27,IF('1. Calculation'!$K13=1,'4 AT Lainat ja avustukset alv'!$B27-$C27,'4 AT Lainat ja avustukset alv'!$B27-2*'4 AT Lainat ja avustukset alv'!$E27))</f>
        <v>0</v>
      </c>
      <c r="I36" s="313">
        <f>IF('1. Calculation'!$K13=2,'4 AT Lainat ja avustukset alv'!$B27-D27,IF('1. Calculation'!$K13=1,'4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Calculation'!$K14=2,'4 AT Lainat ja avustukset alv'!$B28,IF('1. Calculation'!$K14=1,'4 AT Lainat ja avustukset alv'!$B28,'4 AT Lainat ja avustukset alv'!$B28-'4 AT Lainat ja avustukset alv'!$E28))</f>
        <v>0</v>
      </c>
      <c r="H37" s="313">
        <f>IF('1. Calculation'!$K14=2,'4 AT Lainat ja avustukset alv'!$B28,IF('1. Calculation'!$K14=1,'4 AT Lainat ja avustukset alv'!$B28-$C28,'4 AT Lainat ja avustukset alv'!$B28-2*'4 AT Lainat ja avustukset alv'!$E28))</f>
        <v>0</v>
      </c>
      <c r="I37" s="313">
        <f>IF('1. Calculation'!$K14=2,'4 AT Lainat ja avustukset alv'!$B28-D28,IF('1. Calculation'!$K14=1,'4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9" t="s">
        <v>9</v>
      </c>
      <c r="G39" s="800">
        <f>SUM(G35:G38)</f>
        <v>0</v>
      </c>
      <c r="H39" s="800">
        <f>SUM(H35:H38)</f>
        <v>0</v>
      </c>
      <c r="I39" s="800">
        <f>SUM(I35:I38)</f>
        <v>0</v>
      </c>
      <c r="J39" s="2"/>
      <c r="K39" s="2"/>
      <c r="L39" s="2"/>
    </row>
    <row r="40" spans="2:12" s="22" customFormat="1" ht="12" x14ac:dyDescent="0.2">
      <c r="B40" s="801" t="s">
        <v>48</v>
      </c>
      <c r="C40" s="2"/>
      <c r="D40" s="2"/>
      <c r="E40" s="2"/>
      <c r="F40" s="802"/>
      <c r="G40" s="803" t="s">
        <v>49</v>
      </c>
      <c r="H40" s="803"/>
      <c r="I40" s="804">
        <f>IF($I38=6,B127,IF($I38=7,F144,IF($F32=8,G145,IF($F32=9,H146,IF($F32=10,I147,IF($F32=11,J148,IF($F32=12,K149,IF($F32=13,L150,IF($F32=14,M151,IF($F32=15,N152,IF($F32=16,O153,IF($F32=17,P154,Q155))))))))))))</f>
        <v>0</v>
      </c>
      <c r="J40" s="2"/>
      <c r="K40" s="2"/>
      <c r="L40" s="2"/>
    </row>
    <row r="41" spans="2:12" s="22" customFormat="1" ht="12" x14ac:dyDescent="0.2">
      <c r="B41" s="307" t="s">
        <v>42</v>
      </c>
      <c r="C41" s="7" t="s">
        <v>27</v>
      </c>
      <c r="D41" s="7" t="s">
        <v>17</v>
      </c>
      <c r="E41" s="2" t="s">
        <v>29</v>
      </c>
      <c r="F41" s="805"/>
      <c r="G41" s="313" t="s">
        <v>49</v>
      </c>
      <c r="H41" s="313"/>
      <c r="I41" s="806"/>
      <c r="J41" s="2"/>
      <c r="K41" s="2"/>
      <c r="L41" s="2"/>
    </row>
    <row r="42" spans="2:12" s="22" customFormat="1" ht="12" x14ac:dyDescent="0.2">
      <c r="B42" s="807" t="s">
        <v>14</v>
      </c>
      <c r="C42" s="808">
        <f>'1. Calculation'!E11</f>
        <v>0</v>
      </c>
      <c r="D42" s="809">
        <f>'1. Calculation'!F11</f>
        <v>0</v>
      </c>
      <c r="E42" s="810">
        <f>C42*D42</f>
        <v>0</v>
      </c>
      <c r="F42" s="843"/>
      <c r="G42" s="809">
        <f>D42-E42</f>
        <v>0</v>
      </c>
      <c r="H42" s="313"/>
      <c r="I42" s="806"/>
      <c r="J42" s="2"/>
      <c r="K42" s="2"/>
      <c r="L42" s="2"/>
    </row>
    <row r="43" spans="2:12" s="22" customFormat="1" ht="12" x14ac:dyDescent="0.2">
      <c r="B43" s="807" t="s">
        <v>15</v>
      </c>
      <c r="C43" s="808">
        <f>'1. Calculation'!E12</f>
        <v>0</v>
      </c>
      <c r="D43" s="809">
        <f>'1. Calculation'!F12</f>
        <v>0</v>
      </c>
      <c r="E43" s="810">
        <f>C43*D43</f>
        <v>0</v>
      </c>
      <c r="F43" s="843"/>
      <c r="G43" s="809">
        <f>D43-E43</f>
        <v>0</v>
      </c>
      <c r="H43" s="313"/>
      <c r="I43" s="806"/>
      <c r="J43" s="2"/>
      <c r="K43" s="2"/>
      <c r="L43" s="2"/>
    </row>
    <row r="44" spans="2:12" s="22" customFormat="1" ht="12" x14ac:dyDescent="0.2">
      <c r="B44" s="807" t="s">
        <v>41</v>
      </c>
      <c r="C44" s="808">
        <f>'1. Calculation'!E13</f>
        <v>0</v>
      </c>
      <c r="D44" s="809">
        <f>'1. Calculation'!F13</f>
        <v>0</v>
      </c>
      <c r="E44" s="811">
        <f>C44*D44/1.255</f>
        <v>0</v>
      </c>
      <c r="F44" s="842"/>
      <c r="G44" s="812">
        <f>D44/1.255-E44</f>
        <v>0</v>
      </c>
      <c r="H44" s="2"/>
      <c r="I44" s="813"/>
      <c r="J44" s="2"/>
      <c r="K44" s="2"/>
      <c r="L44" s="2"/>
    </row>
    <row r="45" spans="2:12" s="22" customFormat="1" ht="12" x14ac:dyDescent="0.2">
      <c r="B45" s="307"/>
      <c r="C45" s="307"/>
      <c r="D45" s="307" t="s">
        <v>9</v>
      </c>
      <c r="E45" s="309">
        <f>SUM(E42:E44)</f>
        <v>0</v>
      </c>
      <c r="F45" s="814"/>
      <c r="G45" s="2"/>
      <c r="H45" s="2"/>
      <c r="I45" s="813"/>
      <c r="J45" s="2"/>
      <c r="K45" s="2"/>
      <c r="L45" s="2"/>
    </row>
    <row r="46" spans="2:12" s="22" customFormat="1" ht="12" x14ac:dyDescent="0.2">
      <c r="B46" s="2"/>
      <c r="C46" s="2"/>
      <c r="D46" s="2"/>
      <c r="E46" s="2"/>
      <c r="F46" s="2"/>
      <c r="G46" s="2"/>
      <c r="H46" s="2"/>
      <c r="I46" s="813"/>
      <c r="J46" s="2"/>
      <c r="K46" s="2"/>
      <c r="L46" s="2"/>
    </row>
    <row r="47" spans="2:12" s="22" customFormat="1" ht="12" x14ac:dyDescent="0.2">
      <c r="B47" s="307" t="s">
        <v>28</v>
      </c>
      <c r="C47" s="815" t="s">
        <v>27</v>
      </c>
      <c r="D47" s="815" t="s">
        <v>267</v>
      </c>
      <c r="E47" s="815" t="s">
        <v>29</v>
      </c>
      <c r="F47" s="814"/>
      <c r="G47" s="815" t="s">
        <v>50</v>
      </c>
      <c r="H47" s="2"/>
      <c r="I47" s="813"/>
      <c r="J47" s="2"/>
      <c r="K47" s="2"/>
      <c r="L47" s="2"/>
    </row>
    <row r="48" spans="2:12" s="22" customFormat="1" ht="12" x14ac:dyDescent="0.2">
      <c r="B48" s="810">
        <f>'1. Calculation'!C15</f>
        <v>0</v>
      </c>
      <c r="C48" s="816">
        <f>'1. Calculation'!E15</f>
        <v>0</v>
      </c>
      <c r="D48" s="809">
        <f>'1. Calculation'!F15</f>
        <v>0</v>
      </c>
      <c r="E48" s="811">
        <f>C48*D48/1.255</f>
        <v>0</v>
      </c>
      <c r="F48" s="842"/>
      <c r="G48" s="811">
        <f>D48/1.255-E48</f>
        <v>0</v>
      </c>
      <c r="H48" s="2"/>
      <c r="I48" s="813"/>
      <c r="J48" s="2"/>
      <c r="K48" s="2"/>
      <c r="L48" s="2"/>
    </row>
    <row r="49" spans="2:12" s="22" customFormat="1" ht="12" x14ac:dyDescent="0.2">
      <c r="B49" s="810">
        <f>'1. Calculation'!C16</f>
        <v>0</v>
      </c>
      <c r="C49" s="816">
        <f>'1. Calculation'!E16</f>
        <v>0</v>
      </c>
      <c r="D49" s="809">
        <f>'1. Calculation'!F16</f>
        <v>0</v>
      </c>
      <c r="E49" s="811">
        <f>C49*D49/1.255</f>
        <v>0</v>
      </c>
      <c r="F49" s="842"/>
      <c r="G49" s="811">
        <f>D49/1.255-E49</f>
        <v>0</v>
      </c>
      <c r="H49" s="2"/>
      <c r="I49" s="813"/>
      <c r="J49" s="2"/>
      <c r="K49" s="2"/>
      <c r="L49" s="2"/>
    </row>
    <row r="50" spans="2:12" s="22" customFormat="1" ht="12" x14ac:dyDescent="0.2">
      <c r="B50" s="810">
        <f>'1. Calculation'!C17</f>
        <v>0</v>
      </c>
      <c r="C50" s="816">
        <f>'1. Calculation'!E17</f>
        <v>0</v>
      </c>
      <c r="D50" s="809">
        <f>'1. Calculation'!F17</f>
        <v>0</v>
      </c>
      <c r="E50" s="811">
        <f>C50*D50/1.255</f>
        <v>0</v>
      </c>
      <c r="F50" s="842"/>
      <c r="G50" s="811">
        <f>D50/1.255-E50</f>
        <v>0</v>
      </c>
      <c r="H50" s="2"/>
      <c r="I50" s="813"/>
      <c r="J50" s="2"/>
      <c r="K50" s="2"/>
      <c r="L50" s="2"/>
    </row>
    <row r="51" spans="2:12" s="22" customFormat="1" ht="12" x14ac:dyDescent="0.2">
      <c r="B51" s="825" t="s">
        <v>40</v>
      </c>
      <c r="C51" s="832">
        <f>IF(D51=0,0,1.255*(E51/D51))</f>
        <v>0</v>
      </c>
      <c r="D51" s="833">
        <f>SUM(D47:D50)</f>
        <v>0</v>
      </c>
      <c r="E51" s="834">
        <f>SUM(E47:E50)</f>
        <v>0</v>
      </c>
      <c r="F51" s="842"/>
      <c r="G51" s="822"/>
      <c r="H51" s="2"/>
      <c r="I51" s="813"/>
      <c r="J51" s="2"/>
      <c r="K51" s="2"/>
      <c r="L51" s="2"/>
    </row>
    <row r="52" spans="2:12" s="22" customFormat="1" ht="18" customHeight="1" x14ac:dyDescent="0.2">
      <c r="B52" s="810" t="s">
        <v>31</v>
      </c>
      <c r="C52" s="810"/>
      <c r="D52" s="809">
        <f>B58</f>
        <v>0</v>
      </c>
      <c r="E52" s="841">
        <v>0</v>
      </c>
      <c r="F52" s="842"/>
      <c r="G52" s="811">
        <f>-(D52/1.255+E52)</f>
        <v>0</v>
      </c>
      <c r="H52" s="2"/>
      <c r="I52" s="813"/>
      <c r="J52" s="2"/>
      <c r="K52" s="2"/>
      <c r="L52" s="2"/>
    </row>
    <row r="53" spans="2:12" s="22" customFormat="1" ht="12" x14ac:dyDescent="0.2">
      <c r="B53" s="810" t="s">
        <v>53</v>
      </c>
      <c r="C53" s="821">
        <f>'1. Calculation'!E20</f>
        <v>0</v>
      </c>
      <c r="D53" s="809">
        <f>'1. Calculation'!F20</f>
        <v>0</v>
      </c>
      <c r="E53" s="810">
        <f>C53*D53</f>
        <v>0</v>
      </c>
      <c r="F53" s="842"/>
      <c r="G53" s="822">
        <f>D53-E53</f>
        <v>0</v>
      </c>
      <c r="H53" s="2"/>
      <c r="I53" s="813"/>
      <c r="J53" s="2"/>
      <c r="K53" s="2"/>
      <c r="L53" s="2"/>
    </row>
    <row r="54" spans="2:12" s="22" customFormat="1" ht="12" x14ac:dyDescent="0.2">
      <c r="B54" s="810" t="s">
        <v>32</v>
      </c>
      <c r="C54" s="823" t="s">
        <v>30</v>
      </c>
      <c r="D54" s="810"/>
      <c r="E54" s="824">
        <f>E45+E51+E52+E53</f>
        <v>0</v>
      </c>
      <c r="F54" s="825" t="s">
        <v>9</v>
      </c>
      <c r="G54" s="824">
        <f>SUM(G48:G53)</f>
        <v>0</v>
      </c>
      <c r="H54" s="2"/>
      <c r="I54" s="813"/>
      <c r="J54" s="2"/>
      <c r="K54" s="2"/>
      <c r="L54" s="2"/>
    </row>
    <row r="55" spans="2:12" s="22" customFormat="1" ht="12" x14ac:dyDescent="0.2">
      <c r="B55" s="2"/>
      <c r="C55" s="2"/>
      <c r="D55" s="2"/>
      <c r="E55" s="2"/>
      <c r="F55" s="817"/>
      <c r="G55" s="818"/>
      <c r="H55" s="818"/>
      <c r="I55" s="819"/>
      <c r="J55" s="2"/>
      <c r="K55" s="2"/>
      <c r="L55" s="2"/>
    </row>
    <row r="56" spans="2:12" s="22" customFormat="1" ht="12" x14ac:dyDescent="0.2">
      <c r="B56" s="307" t="s">
        <v>34</v>
      </c>
      <c r="C56" s="2"/>
      <c r="D56" s="2"/>
      <c r="E56" s="2"/>
      <c r="F56" s="2"/>
      <c r="G56" s="2"/>
      <c r="H56" s="2"/>
      <c r="I56" s="2"/>
      <c r="J56" s="2"/>
      <c r="K56" s="2"/>
      <c r="L56" s="2"/>
    </row>
    <row r="57" spans="2:12" s="22" customFormat="1" ht="12" x14ac:dyDescent="0.2">
      <c r="B57" s="826" t="s">
        <v>17</v>
      </c>
      <c r="C57" s="826" t="s">
        <v>16</v>
      </c>
      <c r="D57" s="826" t="s">
        <v>33</v>
      </c>
      <c r="E57" s="826" t="s">
        <v>36</v>
      </c>
      <c r="F57" s="810" t="s">
        <v>35</v>
      </c>
      <c r="G57" s="826" t="s">
        <v>38</v>
      </c>
      <c r="H57" s="2"/>
      <c r="I57" s="2"/>
      <c r="J57" s="2"/>
      <c r="K57" s="2" t="s">
        <v>64</v>
      </c>
      <c r="L57" s="2"/>
    </row>
    <row r="58" spans="2:12" s="22" customFormat="1" ht="12" x14ac:dyDescent="0.2">
      <c r="B58" s="809">
        <f>'1. Calculation'!M15</f>
        <v>0</v>
      </c>
      <c r="C58" s="821">
        <f>'1. Calculation'!J15</f>
        <v>0</v>
      </c>
      <c r="D58" s="827">
        <f>'1. Calculation'!K15</f>
        <v>0</v>
      </c>
      <c r="E58" s="828">
        <f>'1. Calculation'!H74</f>
        <v>0.3</v>
      </c>
      <c r="F58" s="809">
        <f>B58*E58</f>
        <v>0</v>
      </c>
      <c r="G58" s="829">
        <f>IF(B58=0,0,-PMT(C58,D58,B58-F58)+12*K58)</f>
        <v>0</v>
      </c>
      <c r="H58" s="2" t="s">
        <v>65</v>
      </c>
      <c r="I58" s="2"/>
      <c r="J58" s="2"/>
      <c r="K58" s="820">
        <v>15</v>
      </c>
      <c r="L58" s="2"/>
    </row>
    <row r="59" spans="2:12" s="22" customFormat="1" ht="12" x14ac:dyDescent="0.2">
      <c r="B59" s="809">
        <f>B58</f>
        <v>0</v>
      </c>
      <c r="C59" s="821">
        <f>C58</f>
        <v>0</v>
      </c>
      <c r="D59" s="827">
        <f>D58</f>
        <v>0</v>
      </c>
      <c r="E59" s="821">
        <f>E58</f>
        <v>0.3</v>
      </c>
      <c r="F59" s="809">
        <f>F58</f>
        <v>0</v>
      </c>
      <c r="G59" s="830">
        <f>IF(D59=0,0,(C59*F59))</f>
        <v>0</v>
      </c>
      <c r="H59" s="2" t="s">
        <v>66</v>
      </c>
      <c r="I59" s="2"/>
      <c r="J59" s="2"/>
      <c r="K59" s="2"/>
      <c r="L59" s="2"/>
    </row>
    <row r="60" spans="2:12" s="22" customFormat="1" ht="12" x14ac:dyDescent="0.2">
      <c r="B60" s="810"/>
      <c r="C60" s="809"/>
      <c r="D60" s="821"/>
      <c r="E60" s="810"/>
      <c r="F60" s="831" t="s">
        <v>37</v>
      </c>
      <c r="G60" s="844"/>
      <c r="H60" s="2"/>
      <c r="I60" s="2"/>
      <c r="J60" s="2"/>
      <c r="K60" s="2"/>
      <c r="L60" s="2"/>
    </row>
    <row r="61" spans="2:12" s="22" customFormat="1" ht="12" x14ac:dyDescent="0.2">
      <c r="B61" s="810"/>
      <c r="C61" s="810"/>
      <c r="D61" s="810"/>
      <c r="E61" s="810"/>
      <c r="F61" s="826" t="s">
        <v>39</v>
      </c>
      <c r="G61" s="809">
        <f>G58+G59</f>
        <v>0</v>
      </c>
      <c r="H61" s="2" t="s">
        <v>67</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'1. Calculation'!M13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97</v>
      </c>
      <c r="B71" s="6">
        <f>IF(B70=0,0,IF('1. Calculation'!$K13=2,0,IF('1. Calculation'!$K13=1,0,'1. Calculation'!$M13/(2*'1. Calculation'!$L13))))</f>
        <v>0</v>
      </c>
      <c r="C71" s="103"/>
      <c r="D71" s="104"/>
      <c r="E71" s="104"/>
      <c r="F71" s="104"/>
      <c r="G71" s="104"/>
      <c r="H71" s="6">
        <f>IF(H70=0,0,IF('1. Calculation'!$K13=2,0,IF('1. Calculation'!$K13=1,0,'1. Calculation'!$M13/(2*'1. Calculation'!$L13))))</f>
        <v>0</v>
      </c>
      <c r="I71" s="104"/>
      <c r="J71" s="104"/>
      <c r="K71" s="104"/>
      <c r="L71" s="104"/>
      <c r="M71" s="104"/>
      <c r="N71" s="6">
        <f>IF(N70=0,0,IF('1. Calculation'!$K13=2,0,IF('1. Calculation'!$K13=1,0,'1. Calculation'!$M13/(2*'1. Calculation'!$L13))))</f>
        <v>0</v>
      </c>
      <c r="O71" s="104"/>
      <c r="P71" s="105"/>
      <c r="Q71" s="2"/>
      <c r="R71" s="2"/>
      <c r="S71" s="2"/>
      <c r="T71" s="6">
        <f>IF(T70=0,0,IF('1. Calculation'!$K13=2,0,IF('1. Calculation'!$K13=1,0,'1. Calculation'!$M13/(2*'1. Calculation'!$L13))))</f>
        <v>0</v>
      </c>
      <c r="U71" s="2"/>
      <c r="V71" s="2"/>
      <c r="W71" s="2"/>
      <c r="X71" s="2"/>
      <c r="Y71" s="2"/>
      <c r="Z71" s="6">
        <f>IF(Z70=0,0,IF('1. Calculation'!$K13=2,0,IF('1. Calculation'!$K13=1,0,'1. Calculation'!$M13/(2*'1. Calculation'!$L13))))</f>
        <v>0</v>
      </c>
      <c r="AA71" s="2"/>
      <c r="AB71" s="2"/>
      <c r="AC71" s="2"/>
      <c r="AD71" s="2"/>
      <c r="AE71" s="2"/>
      <c r="AF71" s="6">
        <f>IF(AF70=0,0,IF('1. Calculation'!$K13=2,0,IF('1. Calculation'!$K13=1,0,'1. Calculation'!$M13/(2*'1. Calculation'!$L13))))</f>
        <v>0</v>
      </c>
      <c r="AG71" s="2"/>
      <c r="AH71" s="2"/>
      <c r="AI71" s="2"/>
      <c r="AJ71" s="2"/>
      <c r="AK71" s="2"/>
      <c r="AL71" s="6">
        <f>IF(AL70=0,0,IF('1. Calculation'!$K13=2,0,IF('1. Calculation'!$K13=1,0,'1. Calculation'!$M13/(2*'1. Calculation'!$L13))))</f>
        <v>0</v>
      </c>
    </row>
    <row r="72" spans="1:38" s="22" customFormat="1" ht="12" x14ac:dyDescent="0.2">
      <c r="A72" s="106" t="s">
        <v>116</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16</v>
      </c>
      <c r="B73" s="108">
        <f>'1. Calculation'!J12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98</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877">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'1. Calculation'!M12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97</v>
      </c>
      <c r="B89" s="6">
        <f>IF(B88=0,0,IF('1. Calculation'!$K12=2,0,IF('1. Calculation'!$K12=1,0,'1. Calculation'!$M12/(2*'1. Calculation'!$L12))))</f>
        <v>0</v>
      </c>
      <c r="C89" s="103"/>
      <c r="D89" s="104"/>
      <c r="E89" s="104"/>
      <c r="F89" s="104"/>
      <c r="G89" s="104"/>
      <c r="H89" s="6">
        <f>IF(H88=0,0,IF('1. Calculation'!$K12=2,0,IF('1. Calculation'!$K12=1,0,'1. Calculation'!$M12/(2*'1. Calculation'!$L12))))</f>
        <v>0</v>
      </c>
      <c r="I89" s="104"/>
      <c r="J89" s="104"/>
      <c r="K89" s="104"/>
      <c r="L89" s="104"/>
      <c r="M89" s="104"/>
      <c r="N89" s="6">
        <f>IF(N88=0,0,IF('1. Calculation'!$K12=2,0,IF('1. Calculation'!$K12=1,0,'1. Calculation'!$M12/(2*'1. Calculation'!$L12))))</f>
        <v>0</v>
      </c>
      <c r="O89" s="104"/>
      <c r="P89" s="105"/>
      <c r="T89" s="6">
        <f>IF(T88=0,0,IF('1. Calculation'!$K12=2,0,IF('1. Calculation'!$K12=1,0,'1. Calculation'!$M12/(2*'1. Calculation'!$L12))))</f>
        <v>0</v>
      </c>
      <c r="Z89" s="6">
        <f>IF(Z88=0,0,IF('1. Calculation'!$K12=2,0,IF('1. Calculation'!$K12=1,0,'1. Calculation'!$M12/(2*'1. Calculation'!$L12))))</f>
        <v>0</v>
      </c>
      <c r="AF89" s="6">
        <f>IF(AF88=0,0,IF('1. Calculation'!$K12=2,0,IF('1. Calculation'!$K12=1,0,'1. Calculation'!$M12/(2*'1. Calculation'!$L12))))</f>
        <v>0</v>
      </c>
      <c r="AL89" s="6">
        <f>IF(AL88=0,0,IF('1. Calculation'!$K12=2,0,IF('1. Calculation'!$K12=1,0,'1. Calculation'!$M12/(2*'1. Calculation'!$L12))))</f>
        <v>0</v>
      </c>
    </row>
    <row r="90" spans="1:38" s="2" customFormat="1" ht="12" x14ac:dyDescent="0.2">
      <c r="A90" s="106" t="s">
        <v>116</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16</v>
      </c>
      <c r="B91" s="108">
        <f>'1. Calculation'!J13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98</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105</v>
      </c>
      <c r="B99" s="6"/>
      <c r="C99" s="103"/>
      <c r="D99" s="105"/>
      <c r="E99" s="105"/>
      <c r="F99" s="105"/>
      <c r="G99" s="105"/>
      <c r="H99" s="874">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'1. Calculation'!M14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97</v>
      </c>
      <c r="B107" s="6">
        <f>IF(B106=0,0,IF('1. Calculation'!$K14=2,0,IF('1. Calculation'!$K14=1,0,'1. Calculation'!$M14/(2*'1. Calculation'!$L14))))</f>
        <v>0</v>
      </c>
      <c r="C107" s="103"/>
      <c r="D107" s="104"/>
      <c r="E107" s="104"/>
      <c r="F107" s="104"/>
      <c r="G107" s="104"/>
      <c r="H107" s="6">
        <f>IF(H106=0,0,IF('1. Calculation'!$K14=2,0,IF('1. Calculation'!$K14=1,0,'1. Calculation'!$M14/(2*'1. Calculation'!$L14))))</f>
        <v>0</v>
      </c>
      <c r="I107" s="104"/>
      <c r="J107" s="104"/>
      <c r="K107" s="104"/>
      <c r="L107" s="104"/>
      <c r="M107" s="104"/>
      <c r="N107" s="6">
        <f>IF(N106=0,0,IF('1. Calculation'!$K14=2,0,IF('1. Calculation'!$K14=1,'1. Calculation'!$M14/(2*('1. Calculation'!$L14-'1. Calculation'!$K14)),'1. Calculation'!$M14/(2*'1. Calculation'!$L14))))</f>
        <v>0</v>
      </c>
      <c r="O107" s="104"/>
      <c r="P107" s="105"/>
      <c r="T107" s="6">
        <f>IF(T106=0,0,IF('1. Calculation'!$K14=2,0,IF('1. Calculation'!$K14=1,'1. Calculation'!$M14/(2*('1. Calculation'!$L14-'1. Calculation'!$K14)),'1. Calculation'!$M14/(2*'1. Calculation'!$L14))))</f>
        <v>0</v>
      </c>
      <c r="Z107" s="6">
        <f>IF(Z106=0,0,IF('1. Calculation'!$K14=2,'1. Calculation'!$M14/(2*('1. Calculation'!$L14-'1. Calculation'!$K14)),IF('1. Calculation'!$K14=1,'1. Calculation'!$M14/(2*('1. Calculation'!$L14-'1. Calculation'!$K14)),'1. Calculation'!$M14/(2*'1. Calculation'!$L14))))</f>
        <v>0</v>
      </c>
      <c r="AF107" s="6">
        <f>IF(AF106=0,0,IF('1. Calculation'!$K14=2,'1. Calculation'!$M14/(2*('1. Calculation'!$L14-'1. Calculation'!$K14)),IF('1. Calculation'!$K14=1,'1. Calculation'!$M14/(2*('1. Calculation'!$L14-'1. Calculation'!$K14)),'1. Calculation'!$M14/(2*'1. Calculation'!$L14))))</f>
        <v>0</v>
      </c>
      <c r="AL107" s="6">
        <f>IF(AL106=0,0,IF('1. Calculation'!$K14=2,'1. Calculation'!$M14/(2*('1. Calculation'!$L14-'1. Calculation'!$K14)),IF('1. Calculation'!$K14=1,'1. Calculation'!$M14/(2*('1. Calculation'!$L14-'1. Calculation'!$K14)),'1. Calculation'!$M14/(2*'1. Calculation'!$L14))))</f>
        <v>0</v>
      </c>
    </row>
    <row r="108" spans="1:38" s="2" customFormat="1" ht="12" x14ac:dyDescent="0.2">
      <c r="A108" s="106" t="s">
        <v>116</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16</v>
      </c>
      <c r="B109" s="108">
        <f>'1. Calculation'!J14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98</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105</v>
      </c>
      <c r="B117" s="6"/>
      <c r="C117" s="103"/>
      <c r="D117" s="105"/>
      <c r="E117" s="105"/>
      <c r="F117" s="105"/>
      <c r="G117" s="105"/>
      <c r="H117" s="874">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119</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120</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121</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122</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97</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98</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99</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113</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AUwYlx8X5atsjzjRIXxCUHn1Xu1Xm1J1eLxvEZk12JTVY5zUEi9EpLXSZRiDeBElLHR7cbD8Y4BRwSHBp/Yvig==" saltValue="vCF/U+xZL3AMKINf4EfbCg=="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3</v>
      </c>
    </row>
    <row r="5" spans="1:16384" ht="13.5" thickBot="1" x14ac:dyDescent="0.25">
      <c r="A5" t="s">
        <v>0</v>
      </c>
    </row>
    <row r="6" spans="1:16384" x14ac:dyDescent="0.2">
      <c r="B6" s="3" t="s">
        <v>1</v>
      </c>
      <c r="C6" s="4" t="s">
        <v>2</v>
      </c>
      <c r="D6" s="4" t="s">
        <v>4</v>
      </c>
      <c r="H6" s="16"/>
      <c r="I6" s="16"/>
      <c r="J6" s="16"/>
    </row>
    <row r="7" spans="1:16384" x14ac:dyDescent="0.2">
      <c r="A7" s="15" t="str">
        <f>'1. Calculation'!C123</f>
        <v xml:space="preserve">Work Performance (Good or Service Produced) </v>
      </c>
      <c r="B7" s="21">
        <f>'1. Calculation'!$F123*'1. Calculation'!J123</f>
        <v>0</v>
      </c>
      <c r="C7" s="21">
        <f>'1. Calculation'!$F123*'1. Calculation'!K123</f>
        <v>0</v>
      </c>
      <c r="D7" s="21">
        <f>'1. Calculation'!$F123*'1. Calculation'!M123</f>
        <v>0</v>
      </c>
      <c r="G7" s="5"/>
      <c r="H7" s="10"/>
      <c r="I7" s="10"/>
      <c r="J7" s="10"/>
    </row>
    <row r="8" spans="1:16384" x14ac:dyDescent="0.2">
      <c r="A8" s="15" t="str">
        <f>'1. Calculation'!C128</f>
        <v xml:space="preserve">Work Performance (Good or Service Produced) </v>
      </c>
      <c r="B8" s="21">
        <f>'1. Calculation'!$F128*'1. Calculation'!J128</f>
        <v>0</v>
      </c>
      <c r="C8" s="21">
        <f>'1. Calculation'!$F128*'1. Calculation'!K128</f>
        <v>0</v>
      </c>
      <c r="D8" s="21">
        <f>'1. Calculation'!$F128*'1. Calculation'!M128</f>
        <v>0</v>
      </c>
      <c r="G8" s="5"/>
      <c r="H8" s="10"/>
      <c r="I8" s="10"/>
      <c r="J8" s="10"/>
    </row>
    <row r="9" spans="1:16384" ht="13.5" thickBot="1" x14ac:dyDescent="0.25">
      <c r="A9" s="15" t="str">
        <f>'1. Calculation'!C133</f>
        <v xml:space="preserve">Work Performance (Good or Service Produced) </v>
      </c>
      <c r="B9" s="21">
        <f>'1. Calculation'!$F133*'1. Calculation'!J133</f>
        <v>0</v>
      </c>
      <c r="C9" s="21">
        <f>'1. Calculation'!$F133*'1. Calculation'!K133</f>
        <v>0</v>
      </c>
      <c r="D9" s="21">
        <f>'1. Calculation'!$F133*'1. Calculation'!M133</f>
        <v>0</v>
      </c>
      <c r="G9" s="5"/>
      <c r="H9" s="10"/>
      <c r="I9" s="10"/>
      <c r="J9" s="10"/>
    </row>
    <row r="10" spans="1:16384" ht="13.5" thickBot="1" x14ac:dyDescent="0.25">
      <c r="A10" s="15" t="str">
        <f>'1. Calculation'!C138</f>
        <v xml:space="preserve">Work Performance (Good or Service Produced) </v>
      </c>
      <c r="B10" s="21">
        <f>'1. Calculation'!$F138*'1. Calculation'!J138</f>
        <v>0</v>
      </c>
      <c r="C10" s="21">
        <f>'1. Calculation'!$F138*'1. Calculation'!K138</f>
        <v>0</v>
      </c>
      <c r="D10" s="21">
        <f>'1. Calculation'!$F138*'1. Calculation'!M138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t="str">
        <f>'1. Calculation'!C143</f>
        <v xml:space="preserve">Work Performance (Good or Service Produced) </v>
      </c>
      <c r="B11" s="21">
        <f>'1. Calculation'!$F143*'1. Calculation'!J143</f>
        <v>0</v>
      </c>
      <c r="C11" s="21">
        <f>'1. Calculation'!$F143*'1. Calculation'!K143</f>
        <v>0</v>
      </c>
      <c r="D11" s="21">
        <f>'1. Calculation'!$F143*'1. Calculation'!M143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t="str">
        <f>'1. Calculation'!C148</f>
        <v xml:space="preserve">Work Performance (Good or Service Produced) </v>
      </c>
      <c r="B12" s="21">
        <f>'1. Calculation'!$F148*'1. Calculation'!J148</f>
        <v>0</v>
      </c>
      <c r="C12" s="21">
        <f>'1. Calculation'!$F148*'1. Calculation'!K148</f>
        <v>0</v>
      </c>
      <c r="D12" s="21">
        <f>'1. Calculation'!$F148*'1. Calculation'!M148</f>
        <v>0</v>
      </c>
      <c r="G12" s="5"/>
      <c r="H12" s="10"/>
      <c r="I12" s="10"/>
      <c r="J12" s="10"/>
    </row>
    <row r="13" spans="1:16384" x14ac:dyDescent="0.2">
      <c r="A13" s="15" t="str">
        <f>'1. Calculation'!C158</f>
        <v xml:space="preserve"> Marketing Product </v>
      </c>
      <c r="B13" s="21">
        <f>'1. Calculation'!$F158*'1. Calculation'!J158</f>
        <v>0</v>
      </c>
      <c r="C13" s="21">
        <f>'1. Calculation'!$F158*'1. Calculation'!K158</f>
        <v>0</v>
      </c>
      <c r="D13" s="21">
        <f>'1. Calculation'!$F158*'1. Calculation'!M158</f>
        <v>0</v>
      </c>
      <c r="G13" s="5"/>
      <c r="H13" s="10"/>
      <c r="I13" s="10"/>
      <c r="J13" s="10"/>
    </row>
    <row r="14" spans="1:16384" x14ac:dyDescent="0.2">
      <c r="A14" s="15" t="str">
        <f>'1. Calculation'!C166</f>
        <v xml:space="preserve"> Marketing Product </v>
      </c>
      <c r="B14" s="21">
        <f>'1. Calculation'!$F166*'1. Calculation'!J166</f>
        <v>0</v>
      </c>
      <c r="C14" s="21">
        <f>'1. Calculation'!$F166*'1. Calculation'!K166</f>
        <v>0</v>
      </c>
      <c r="D14" s="21">
        <f>'1. Calculation'!$F166*'1. Calculation'!M166</f>
        <v>0</v>
      </c>
      <c r="G14" s="5"/>
      <c r="H14" s="10"/>
      <c r="I14" s="10"/>
      <c r="J14" s="10"/>
    </row>
    <row r="15" spans="1:16384" ht="13.5" thickBot="1" x14ac:dyDescent="0.25">
      <c r="A15" s="15" t="str">
        <f>'1. Calculation'!C174</f>
        <v xml:space="preserve"> Marketing Product </v>
      </c>
      <c r="B15" s="21">
        <f>'1. Calculation'!$F174*'1. Calculation'!J174</f>
        <v>0</v>
      </c>
      <c r="C15" s="21">
        <f>'1. Calculation'!$F174*'1. Calculation'!K174</f>
        <v>0</v>
      </c>
      <c r="D15" s="21">
        <f>'1. Calculation'!$F174*'1. Calculation'!M174</f>
        <v>0</v>
      </c>
      <c r="G15" s="5"/>
      <c r="H15" s="10"/>
      <c r="I15" s="10"/>
      <c r="J15" s="10"/>
    </row>
    <row r="16" spans="1:16384" x14ac:dyDescent="0.2">
      <c r="A16" s="15" t="str">
        <f>'1. Calculation'!C182</f>
        <v xml:space="preserve"> Marketing Product </v>
      </c>
      <c r="B16" s="21">
        <f>'1. Calculation'!$F182*'1. Calculation'!J182</f>
        <v>0</v>
      </c>
      <c r="C16" s="21">
        <f>'1. Calculation'!$F182*'1. Calculation'!K182</f>
        <v>0</v>
      </c>
      <c r="D16" s="21">
        <f>'1. Calculation'!$F182*'1. Calculation'!M182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t="str">
        <f>'1. Calculation'!C190</f>
        <v xml:space="preserve"> Marketing Product </v>
      </c>
      <c r="B17" s="21">
        <f>'1. Calculation'!$F190*'1. Calculation'!J190</f>
        <v>0</v>
      </c>
      <c r="C17" s="21">
        <f>'1. Calculation'!$F190*'1. Calculation'!K190</f>
        <v>0</v>
      </c>
      <c r="D17" s="21">
        <f>'1. Calculation'!$F190*'1. Calculation'!M190</f>
        <v>0</v>
      </c>
    </row>
    <row r="18" spans="1:10" ht="13.5" thickBot="1" x14ac:dyDescent="0.25">
      <c r="A18" s="15" t="str">
        <f>'1. Calculation'!C198</f>
        <v xml:space="preserve"> Marginal VAT calculation</v>
      </c>
      <c r="B18" s="21">
        <f>'1. Calculation'!$F198*B21</f>
        <v>0</v>
      </c>
      <c r="C18" s="21">
        <f>'1. Calculation'!$F198*C21</f>
        <v>0</v>
      </c>
      <c r="D18" s="21">
        <f>'1. Calculation'!$F198*D21</f>
        <v>0</v>
      </c>
      <c r="G18" s="5"/>
      <c r="H18" s="10"/>
      <c r="I18" s="10"/>
      <c r="J18" s="10"/>
    </row>
    <row r="19" spans="1:10" ht="13.5" thickBot="1" x14ac:dyDescent="0.25">
      <c r="A19" s="8" t="s">
        <v>51</v>
      </c>
      <c r="B19" s="20">
        <f>SUM(B7:B18)</f>
        <v>0</v>
      </c>
      <c r="C19" s="20">
        <f>SUM(C7:C18)</f>
        <v>0</v>
      </c>
      <c r="D19" s="20">
        <f>SUM(D7:D18)</f>
        <v>0</v>
      </c>
      <c r="G19" s="5"/>
      <c r="H19" s="10"/>
      <c r="I19" s="10"/>
      <c r="J19" s="10"/>
    </row>
    <row r="20" spans="1:10" x14ac:dyDescent="0.2">
      <c r="A20" s="5" t="s">
        <v>227</v>
      </c>
      <c r="B20" s="10">
        <f>('1. Calculation'!J199-'1. Calculation'!J201)*'1. Calculation'!J200</f>
        <v>0</v>
      </c>
      <c r="C20" s="10">
        <f>('1. Calculation'!K199-'1. Calculation'!K201)*'1. Calculation'!K200</f>
        <v>0</v>
      </c>
      <c r="D20" s="10">
        <f>('1. Calculation'!M199-'1. Calculation'!M201)*'1. Calculation'!M200</f>
        <v>0</v>
      </c>
      <c r="G20" s="5"/>
      <c r="H20" s="10"/>
      <c r="I20" s="10"/>
      <c r="J20" s="10"/>
    </row>
    <row r="21" spans="1:10" x14ac:dyDescent="0.2">
      <c r="A21" s="5" t="s">
        <v>226</v>
      </c>
      <c r="B21" s="21">
        <f>B20-B20*('1. Calculation'!$F198*100/(100+'1. Calculation'!$F198*100))</f>
        <v>0</v>
      </c>
      <c r="C21" s="21">
        <f>C20-C20*('1. Calculation'!$F198*100/(100+'1. Calculation'!$F198*100))</f>
        <v>0</v>
      </c>
      <c r="D21" s="21">
        <f>D20-D20*('1. Calculation'!$F198*100/(100+'1. Calculation'!$F198*100))</f>
        <v>0</v>
      </c>
      <c r="G21" s="5"/>
      <c r="H21" s="10"/>
      <c r="I21" s="10"/>
      <c r="J21" s="10"/>
    </row>
    <row r="22" spans="1:10" x14ac:dyDescent="0.2">
      <c r="A22" s="5" t="s">
        <v>235</v>
      </c>
      <c r="B22" s="9">
        <f>'1. Calculation'!J218</f>
        <v>0</v>
      </c>
      <c r="C22" s="9">
        <f>'1. Calculation'!K218</f>
        <v>0</v>
      </c>
      <c r="D22" s="9">
        <f>'1. Calculation'!M218</f>
        <v>0</v>
      </c>
      <c r="G22" s="5"/>
      <c r="H22" s="10"/>
      <c r="I22" s="10"/>
      <c r="J22" s="10"/>
    </row>
    <row r="23" spans="1:10" x14ac:dyDescent="0.2">
      <c r="A23" s="5" t="s">
        <v>230</v>
      </c>
      <c r="B23" s="9">
        <f>'1. Calculation'!J233</f>
        <v>0</v>
      </c>
      <c r="C23" s="9">
        <f>'1. Calculation'!K233</f>
        <v>0</v>
      </c>
      <c r="D23" s="9">
        <f>'1. Calculation'!M233</f>
        <v>0</v>
      </c>
      <c r="G23" s="5"/>
      <c r="H23" s="10"/>
      <c r="I23" s="10"/>
      <c r="J23" s="10"/>
    </row>
    <row r="24" spans="1:10" x14ac:dyDescent="0.2">
      <c r="A24" s="5" t="s">
        <v>231</v>
      </c>
      <c r="B24" s="358">
        <f>IF(B19=0,0,B19/'1. Calculation'!J218)</f>
        <v>0</v>
      </c>
      <c r="C24" s="358">
        <f>IF(C19=0,0,C19/'1. Calculation'!K218)</f>
        <v>0</v>
      </c>
      <c r="D24" s="358">
        <f>IF(D19=0,0,D19/'1. Calculation'!M218)</f>
        <v>0</v>
      </c>
      <c r="G24" s="17"/>
      <c r="H24" s="10"/>
      <c r="I24" s="10"/>
      <c r="J24" s="10"/>
    </row>
    <row r="25" spans="1:10" x14ac:dyDescent="0.2">
      <c r="G25" s="18"/>
      <c r="H25" s="10"/>
      <c r="I25" s="10"/>
      <c r="J25" s="10"/>
    </row>
    <row r="26" spans="1:10" ht="13.5" thickBot="1" x14ac:dyDescent="0.25">
      <c r="A26" s="436" t="s">
        <v>221</v>
      </c>
      <c r="G26" s="5"/>
      <c r="H26" s="9"/>
      <c r="I26" s="9"/>
      <c r="J26" s="9"/>
    </row>
    <row r="27" spans="1:10" x14ac:dyDescent="0.2">
      <c r="B27" s="3" t="s">
        <v>1</v>
      </c>
      <c r="C27" s="4" t="s">
        <v>2</v>
      </c>
      <c r="D27" s="4" t="s">
        <v>4</v>
      </c>
      <c r="G27" s="5"/>
      <c r="H27" s="9"/>
      <c r="I27" s="9"/>
      <c r="J27" s="9"/>
    </row>
    <row r="28" spans="1:10" x14ac:dyDescent="0.2">
      <c r="A28" s="15" t="s">
        <v>54</v>
      </c>
      <c r="B28" s="361">
        <f>'1. Calculation'!$G158*'1. Calculation'!J162*'1. Calculation'!J160</f>
        <v>0</v>
      </c>
      <c r="C28" s="361">
        <f>'1. Calculation'!$G158*'1. Calculation'!K162*'1. Calculation'!K160</f>
        <v>0</v>
      </c>
      <c r="D28" s="361">
        <f>'1. Calculation'!$G158*'1. Calculation'!M162*'1. Calculation'!M160</f>
        <v>0</v>
      </c>
      <c r="G28" s="5"/>
      <c r="H28" s="9"/>
      <c r="I28" s="9"/>
      <c r="J28" s="9"/>
    </row>
    <row r="29" spans="1:10" x14ac:dyDescent="0.2">
      <c r="A29" s="15" t="s">
        <v>163</v>
      </c>
      <c r="B29" s="361">
        <f>'1. Calculation'!$G166*'1. Calculation'!J168*'1. Calculation'!J170</f>
        <v>0</v>
      </c>
      <c r="C29" s="361">
        <f>'1. Calculation'!$G166*'1. Calculation'!K168*'1. Calculation'!K170</f>
        <v>0</v>
      </c>
      <c r="D29" s="361">
        <f>'1. Calculation'!$G166*'1. Calculation'!M168*'1. Calculation'!M170</f>
        <v>0</v>
      </c>
      <c r="G29" s="5"/>
      <c r="H29" s="9"/>
      <c r="I29" s="9"/>
      <c r="J29" s="9"/>
    </row>
    <row r="30" spans="1:10" x14ac:dyDescent="0.2">
      <c r="A30" s="15" t="s">
        <v>52</v>
      </c>
      <c r="B30" s="361">
        <f>'1. Calculation'!$F174*'1. Calculation'!J176*'1. Calculation'!J178</f>
        <v>0</v>
      </c>
      <c r="C30" s="361">
        <f>'1. Calculation'!$F174*'1. Calculation'!K176*'1. Calculation'!K178</f>
        <v>0</v>
      </c>
      <c r="D30" s="361">
        <f>'1. Calculation'!$F174*'1. Calculation'!M176*'1. Calculation'!M178</f>
        <v>0</v>
      </c>
      <c r="G30" s="5"/>
      <c r="H30" s="9"/>
      <c r="I30" s="9"/>
      <c r="J30" s="9"/>
    </row>
    <row r="31" spans="1:10" x14ac:dyDescent="0.2">
      <c r="A31" s="15" t="s">
        <v>130</v>
      </c>
      <c r="B31" s="361">
        <f>'1. Calculation'!$G182*'1. Calculation'!J186*'1. Calculation'!J184</f>
        <v>0</v>
      </c>
      <c r="C31" s="361">
        <f>'1. Calculation'!$G182*'1. Calculation'!K186*'1. Calculation'!K184</f>
        <v>0</v>
      </c>
      <c r="D31" s="361">
        <f>'1. Calculation'!$G182*'1. Calculation'!M186*'1. Calculation'!M184</f>
        <v>0</v>
      </c>
      <c r="G31" s="5"/>
      <c r="H31" s="9"/>
      <c r="I31" s="9"/>
      <c r="J31" s="9"/>
    </row>
    <row r="32" spans="1:10" x14ac:dyDescent="0.2">
      <c r="A32" s="15" t="s">
        <v>164</v>
      </c>
      <c r="B32" s="361">
        <f>'1. Calculation'!$G190*'1. Calculation'!J194*'1. Calculation'!J192</f>
        <v>0</v>
      </c>
      <c r="C32" s="361">
        <f>'1. Calculation'!$G190*'1. Calculation'!M194*'1. Calculation'!M192</f>
        <v>0</v>
      </c>
      <c r="D32" s="361">
        <f>'1. Calculation'!$G190*'1. Calculation'!M194*'1. Calculation'!M192</f>
        <v>0</v>
      </c>
      <c r="G32" s="5"/>
      <c r="H32" s="9"/>
      <c r="I32" s="9"/>
      <c r="J32" s="9"/>
    </row>
    <row r="33" spans="1:10" ht="13.5" thickBot="1" x14ac:dyDescent="0.25">
      <c r="A33" s="15"/>
      <c r="B33" s="437"/>
      <c r="C33" s="361"/>
      <c r="D33" s="361"/>
      <c r="G33" s="5"/>
      <c r="H33" s="9"/>
      <c r="I33" s="9"/>
      <c r="J33" s="9"/>
    </row>
    <row r="34" spans="1:10" ht="13.5" thickBot="1" x14ac:dyDescent="0.25">
      <c r="A34" s="8" t="s">
        <v>233</v>
      </c>
      <c r="B34" s="438">
        <f>SUM(B28:B33)</f>
        <v>0</v>
      </c>
      <c r="C34" s="438">
        <f>SUM(C28:C33)</f>
        <v>0</v>
      </c>
      <c r="D34" s="438">
        <f>SUM(D28:D33)</f>
        <v>0</v>
      </c>
      <c r="G34" s="5"/>
      <c r="H34" s="9"/>
      <c r="I34" s="9"/>
      <c r="J34" s="9"/>
    </row>
    <row r="35" spans="1:10" x14ac:dyDescent="0.2">
      <c r="A35" s="5" t="s">
        <v>0</v>
      </c>
      <c r="G35" s="5"/>
      <c r="H35" s="9"/>
      <c r="I35" s="9"/>
      <c r="J35" s="9"/>
    </row>
    <row r="36" spans="1:10" x14ac:dyDescent="0.2">
      <c r="A36" s="5" t="s">
        <v>232</v>
      </c>
      <c r="B36" s="439">
        <f>'1. Calculation'!J237</f>
        <v>0</v>
      </c>
      <c r="C36" s="439">
        <f>'1. Calculation'!K237</f>
        <v>0</v>
      </c>
      <c r="D36" s="439">
        <f>'1. Calculation'!M237</f>
        <v>0</v>
      </c>
      <c r="G36" s="5"/>
      <c r="H36" s="9"/>
      <c r="I36" s="9"/>
      <c r="J36" s="9"/>
    </row>
    <row r="37" spans="1:10" x14ac:dyDescent="0.2">
      <c r="A37" s="5" t="s">
        <v>204</v>
      </c>
      <c r="B37" s="440">
        <f>IF(B34=0,0,B34/B36)</f>
        <v>0</v>
      </c>
      <c r="C37" s="440">
        <f t="shared" ref="C37:D37" si="0">IF(C34=0,0,C34/C36)</f>
        <v>0</v>
      </c>
      <c r="D37" s="440">
        <f t="shared" si="0"/>
        <v>0</v>
      </c>
      <c r="G37" s="5"/>
      <c r="H37" s="9"/>
      <c r="I37" s="9"/>
      <c r="J37" s="9"/>
    </row>
    <row r="38" spans="1:10" x14ac:dyDescent="0.2">
      <c r="G38" s="19"/>
      <c r="H38" s="10"/>
      <c r="I38" s="10"/>
      <c r="J38" s="10"/>
    </row>
  </sheetData>
  <sheetProtection algorithmName="SHA-512" hashValue="74n23KpBMF5359fjXupIN+KJqL1HxYtdbmbkUzY2gKEbDecYjFgSO7oyjp3Jm3bANaB/hKfunhYgkPXWcGYYig==" saltValue="8ZXNGaaeuzOEcvCYuTPH+Q==" spinCount="100000" sheet="1" objects="1" scenarios="1" selectLockedCells="1" selectUnlockedCells="1"/>
  <phoneticPr fontId="17"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Front page</vt:lpstr>
      <vt:lpstr>1. Calculation</vt:lpstr>
      <vt:lpstr>2. Cash budget</vt:lpstr>
      <vt:lpstr>3. Calculation no VAT</vt:lpstr>
      <vt:lpstr>Cash budget no VAT</vt:lpstr>
      <vt:lpstr>1 AT Kassatulot</vt:lpstr>
      <vt:lpstr> 3 AT Palkat, alv</vt:lpstr>
      <vt:lpstr>4 AT Lainat ja avustukset alv</vt:lpstr>
      <vt:lpstr>2 Myynnin ALV</vt:lpstr>
      <vt:lpstr>5 AT Lainat, avustukset ei alv </vt:lpstr>
      <vt:lpstr> 6 AT Palkat, alv </vt:lpstr>
      <vt:lpstr>7 AT Kassatulot ei-alv</vt:lpstr>
      <vt:lpstr>'1. Calculation'!Tulostusalue</vt:lpstr>
      <vt:lpstr>'2. Cash budget'!Tulostusalue</vt:lpstr>
      <vt:lpstr>'3. Calculation no VAT'!Tulostusalue</vt:lpstr>
      <vt:lpstr>'Cash budget no VAT'!Tulostusalue</vt:lpstr>
      <vt:lpstr>'1. Calculation'!YT</vt:lpstr>
      <vt:lpstr>'3. Calculation no VAT'!YT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BP4 Financial Calculations</dc:title>
  <dc:creator>BusinessPilot</dc:creator>
  <cp:keywords>Starting a business</cp:keywords>
  <cp:lastModifiedBy>Henri Järvinen</cp:lastModifiedBy>
  <cp:lastPrinted>2025-12-08T07:53:09Z</cp:lastPrinted>
  <dcterms:created xsi:type="dcterms:W3CDTF">2006-08-01T10:09:48Z</dcterms:created>
  <dcterms:modified xsi:type="dcterms:W3CDTF">2026-03-10T13:32:11Z</dcterms:modified>
</cp:coreProperties>
</file>