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Henri\Dropbox\BusinessPilot\Vaihdetut 2026\BP6 TOUKO 260216\"/>
    </mc:Choice>
  </mc:AlternateContent>
  <xr:revisionPtr revIDLastSave="0" documentId="13_ncr:1_{E5E6697F-0E2C-4EB0-ADF7-CB051A3D9413}" xr6:coauthVersionLast="47" xr6:coauthVersionMax="47" xr10:uidLastSave="{00000000-0000-0000-0000-000000000000}"/>
  <workbookProtection workbookAlgorithmName="SHA-512" workbookHashValue="nzrXuZzRySw1qK0O3jbVdEbXhz3ZlnbdNuPCzjjqeGfBsu2tMTnON2NfgvRHR6mx+GXY7ARagK4uMGnWo0YEfA==" workbookSaltValue="87hkgVF8hG6yJYhvjrsRbQ==" workbookSpinCount="100000" lockStructure="1"/>
  <bookViews>
    <workbookView xWindow="-105" yWindow="0" windowWidth="19410" windowHeight="17385" tabRatio="849" xr2:uid="{AAC73C03-FFDC-4DAF-AFAE-6D2751798E04}"/>
  </bookViews>
  <sheets>
    <sheet name="Front Page" sheetId="31" r:id="rId1"/>
    <sheet name="1. T1 INVESTMENT PLAN" sheetId="26" r:id="rId2"/>
    <sheet name="2. T7 LOANS" sheetId="28" r:id="rId3"/>
    <sheet name="3. E1 OPERATING COSTS" sheetId="1" r:id="rId4"/>
    <sheet name="4. E2 TURNOVER" sheetId="2" r:id="rId5"/>
    <sheet name="AT Kassa" sheetId="33" state="hidden" r:id="rId6"/>
    <sheet name="AT1 Avustus, alv" sheetId="22" state="hidden" r:id="rId7"/>
    <sheet name="AT2 Lainat, alv" sheetId="29" state="hidden" r:id="rId8"/>
    <sheet name="5. T4 FINANCING PLAN" sheetId="36" r:id="rId9"/>
    <sheet name="6. T3 BALANCE SHEET " sheetId="32" r:id="rId10"/>
    <sheet name="7. T2 RESULT BUDGET " sheetId="20" r:id="rId11"/>
    <sheet name="8. T5 CASH BUDGET" sheetId="30" r:id="rId12"/>
    <sheet name="PRINT" sheetId="37" r:id="rId13"/>
    <sheet name="Tulostussivu" sheetId="34" r:id="rId14"/>
    <sheet name="Kaaviot" sheetId="35" state="hidden" r:id="rId15"/>
  </sheets>
  <externalReferences>
    <externalReference r:id="rId16"/>
  </externalReferences>
  <definedNames>
    <definedName name="_3_2010" localSheetId="8">'[1]3. E1 KUSTANNUKSET'!#REF!</definedName>
    <definedName name="_3_2010">'3. E1 OPERATING COSTS'!#REF!</definedName>
    <definedName name="_3_2012">'3. E1 OPERATING COSTS'!$F$8</definedName>
    <definedName name="Rahapalkat__TyEL_työntekijät" localSheetId="8">'[1]3. E1 KUSTANNUKSET'!#REF!</definedName>
    <definedName name="Rahapalkat__TyEL_työntekijät">'3. E1 OPERATING COSTS'!#REF!</definedName>
    <definedName name="Teksti37" localSheetId="3">'3. E1 OPERATING COSTS'!$D$6</definedName>
    <definedName name="Teksti38" localSheetId="3">'3. E1 OPERATING COSTS'!$D$8</definedName>
    <definedName name="Teksti39" localSheetId="3">'3. E1 OPERATING COSTS'!$F$8</definedName>
    <definedName name="Teksti39">#REF!</definedName>
    <definedName name="_xlnm.Print_Area" localSheetId="1">'1. T1 INVESTMENT PLAN'!$B$3:$S$67</definedName>
    <definedName name="_xlnm.Print_Area" localSheetId="2">'2. T7 LOANS'!$B$2:$Q$51</definedName>
    <definedName name="_xlnm.Print_Area" localSheetId="3">'3. E1 OPERATING COSTS'!$B$2:$X$132</definedName>
    <definedName name="_xlnm.Print_Area" localSheetId="4">'4. E2 TURNOVER'!$B$2:$V$80</definedName>
    <definedName name="_xlnm.Print_Area" localSheetId="8">'5. T4 FINANCING PLAN'!$B$2:$T$63</definedName>
    <definedName name="_xlnm.Print_Area" localSheetId="9">'6. T3 BALANCE SHEET '!$B$2:$S$101</definedName>
    <definedName name="_xlnm.Print_Area" localSheetId="10">'7. T2 RESULT BUDGET '!$B$2:$AD$36</definedName>
    <definedName name="_xlnm.Print_Area" localSheetId="11">'8. T5 CASH BUDGET'!$B$6:$BQ$119</definedName>
    <definedName name="_xlnm.Print_Area" localSheetId="0">'Front Page'!$A$2:$F$22</definedName>
    <definedName name="_xlnm.Print_Area" localSheetId="12">PRINT!$B$1:$R$337</definedName>
    <definedName name="_xlnm.Print_Area" localSheetId="13">Tulostussivu!$B$2:$R$324</definedName>
    <definedName name="_xlnm.Print_Titles" localSheetId="3">'3. E1 OPERATING COSTS'!$2:$9</definedName>
    <definedName name="_xlnm.Print_Titles" localSheetId="9">'6. T3 BALANCE SHEET '!$2:$9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28" l="1"/>
  <c r="M13" i="28" s="1"/>
  <c r="P13" i="28" s="1"/>
  <c r="F14" i="1"/>
  <c r="AA27" i="30" s="1"/>
  <c r="P19" i="28"/>
  <c r="P20" i="28"/>
  <c r="P21" i="28"/>
  <c r="P24" i="28"/>
  <c r="P25" i="28"/>
  <c r="P26" i="28"/>
  <c r="P23" i="28"/>
  <c r="P18" i="28"/>
  <c r="M19" i="28"/>
  <c r="M20" i="28"/>
  <c r="M21" i="28"/>
  <c r="M18" i="28"/>
  <c r="M15" i="28"/>
  <c r="M16" i="28"/>
  <c r="J14" i="28"/>
  <c r="M14" i="28" s="1"/>
  <c r="P14" i="28" s="1"/>
  <c r="J15" i="28"/>
  <c r="J16" i="28"/>
  <c r="P15" i="28"/>
  <c r="P16" i="28"/>
  <c r="S93" i="30"/>
  <c r="S36" i="30"/>
  <c r="AN26" i="30"/>
  <c r="AG26" i="30"/>
  <c r="Z26" i="30"/>
  <c r="D24" i="1"/>
  <c r="D17" i="1"/>
  <c r="D12" i="1"/>
  <c r="J53" i="34" l="1"/>
  <c r="I53" i="34"/>
  <c r="H53" i="34"/>
  <c r="G53" i="34"/>
  <c r="K52" i="26"/>
  <c r="C47" i="37" l="1"/>
  <c r="G27" i="30"/>
  <c r="G84" i="30"/>
  <c r="G43" i="30"/>
  <c r="G100" i="30"/>
  <c r="C30" i="37"/>
  <c r="C28" i="37"/>
  <c r="C20" i="37"/>
  <c r="C22" i="37" s="1"/>
  <c r="C24" i="37" s="1"/>
  <c r="C26" i="37" s="1"/>
  <c r="Q209" i="37" l="1"/>
  <c r="N209" i="37"/>
  <c r="K209" i="37"/>
  <c r="K204" i="37"/>
  <c r="N204" i="37"/>
  <c r="Q204" i="37"/>
  <c r="Q199" i="37"/>
  <c r="N199" i="37"/>
  <c r="K199" i="37"/>
  <c r="H209" i="37"/>
  <c r="H204" i="37"/>
  <c r="H199" i="37"/>
  <c r="J10" i="36"/>
  <c r="G16" i="36"/>
  <c r="B36" i="20"/>
  <c r="B11" i="34"/>
  <c r="B13" i="37"/>
  <c r="B12" i="37"/>
  <c r="B11" i="37"/>
  <c r="C41" i="20"/>
  <c r="C40" i="20"/>
  <c r="B84" i="2"/>
  <c r="B83" i="2"/>
  <c r="C139" i="1"/>
  <c r="C140" i="1"/>
  <c r="B56" i="28"/>
  <c r="B55" i="28"/>
  <c r="F79" i="30" l="1"/>
  <c r="O3" i="26" l="1"/>
  <c r="G33" i="31"/>
  <c r="R337" i="37"/>
  <c r="R251" i="37"/>
  <c r="R165" i="37"/>
  <c r="R82" i="37"/>
  <c r="T106" i="30"/>
  <c r="T79" i="30"/>
  <c r="U104" i="30"/>
  <c r="U79" i="30"/>
  <c r="T49" i="30"/>
  <c r="AZ108" i="30" l="1"/>
  <c r="AZ107" i="30"/>
  <c r="AZ45" i="30"/>
  <c r="AZ44" i="30"/>
  <c r="U47" i="30"/>
  <c r="BA7" i="30"/>
  <c r="BA67" i="30"/>
  <c r="S106" i="30"/>
  <c r="S67" i="30"/>
  <c r="S49" i="30"/>
  <c r="B63" i="30"/>
  <c r="H63" i="30"/>
  <c r="C116" i="30"/>
  <c r="C115" i="30"/>
  <c r="C113" i="30"/>
  <c r="C104" i="30"/>
  <c r="C79" i="30"/>
  <c r="C77" i="30"/>
  <c r="C76" i="30"/>
  <c r="C75" i="30"/>
  <c r="D74" i="30"/>
  <c r="D73" i="30"/>
  <c r="C72" i="30"/>
  <c r="D71" i="30"/>
  <c r="C70" i="30"/>
  <c r="C69" i="30"/>
  <c r="C67" i="30"/>
  <c r="C81" i="30"/>
  <c r="C80" i="30"/>
  <c r="C106" i="30"/>
  <c r="M7" i="20" l="1"/>
  <c r="K7" i="20"/>
  <c r="I7" i="20"/>
  <c r="G4" i="20"/>
  <c r="B4" i="20"/>
  <c r="P2" i="20"/>
  <c r="J10" i="32"/>
  <c r="L10" i="32"/>
  <c r="L31" i="32"/>
  <c r="L23" i="32"/>
  <c r="L27" i="32" s="1"/>
  <c r="F5" i="32"/>
  <c r="B5" i="32"/>
  <c r="B105" i="32"/>
  <c r="B104" i="32"/>
  <c r="C36" i="32"/>
  <c r="C35" i="32"/>
  <c r="C33" i="32"/>
  <c r="C32" i="32"/>
  <c r="C31" i="32"/>
  <c r="C29" i="32"/>
  <c r="C28" i="32"/>
  <c r="C27" i="32"/>
  <c r="C24" i="32"/>
  <c r="C23" i="32"/>
  <c r="C21" i="32"/>
  <c r="C20" i="32"/>
  <c r="B67" i="36"/>
  <c r="B66" i="36"/>
  <c r="L2" i="36"/>
  <c r="Q5" i="36"/>
  <c r="L7" i="36"/>
  <c r="L5" i="36"/>
  <c r="G5" i="36"/>
  <c r="B7" i="36"/>
  <c r="B5" i="36"/>
  <c r="D72" i="2"/>
  <c r="D65" i="2"/>
  <c r="D58" i="2"/>
  <c r="D51" i="2"/>
  <c r="D44" i="2"/>
  <c r="D37" i="2"/>
  <c r="D30" i="2"/>
  <c r="D23" i="2"/>
  <c r="B4" i="2"/>
  <c r="H7" i="2"/>
  <c r="G7" i="2"/>
  <c r="F7" i="2"/>
  <c r="D9" i="2"/>
  <c r="S3" i="1"/>
  <c r="J7" i="1"/>
  <c r="H7" i="1"/>
  <c r="F7" i="1"/>
  <c r="B7" i="1"/>
  <c r="B4" i="1" l="1"/>
  <c r="B101" i="32"/>
  <c r="B80" i="2"/>
  <c r="B135" i="1"/>
  <c r="B51" i="28"/>
  <c r="H17" i="28"/>
  <c r="H22" i="28" s="1"/>
  <c r="H27" i="28" s="1"/>
  <c r="G17" i="28"/>
  <c r="G22" i="28" s="1"/>
  <c r="G27" i="28" s="1"/>
  <c r="F17" i="28"/>
  <c r="F22" i="28" s="1"/>
  <c r="F27" i="28" s="1"/>
  <c r="K17" i="28"/>
  <c r="K22" i="28" s="1"/>
  <c r="K27" i="28" s="1"/>
  <c r="O5" i="28"/>
  <c r="B5" i="28"/>
  <c r="O9" i="28"/>
  <c r="I44" i="26"/>
  <c r="H44" i="26"/>
  <c r="G44" i="26"/>
  <c r="F44" i="26"/>
  <c r="G60" i="29"/>
  <c r="I60" i="29"/>
  <c r="K60" i="29"/>
  <c r="F85" i="30"/>
  <c r="E74" i="30"/>
  <c r="E70" i="30"/>
  <c r="E58" i="29"/>
  <c r="N17" i="28" l="1"/>
  <c r="N22" i="28" s="1"/>
  <c r="N27" i="28" s="1"/>
  <c r="Q17" i="28"/>
  <c r="Q22" i="28" s="1"/>
  <c r="Q27" i="28" s="1"/>
  <c r="I17" i="28"/>
  <c r="I22" i="28" s="1"/>
  <c r="I27" i="28" s="1"/>
  <c r="J17" i="28"/>
  <c r="J22" i="28" s="1"/>
  <c r="J27" i="28" s="1"/>
  <c r="L17" i="28" l="1"/>
  <c r="L22" i="28" s="1"/>
  <c r="L27" i="28" s="1"/>
  <c r="O17" i="28"/>
  <c r="O22" i="28" s="1"/>
  <c r="O27" i="28" s="1"/>
  <c r="M17" i="28"/>
  <c r="M22" i="28" s="1"/>
  <c r="M27" i="28" s="1"/>
  <c r="P17" i="28"/>
  <c r="P22" i="28" s="1"/>
  <c r="P27" i="28" s="1"/>
  <c r="F16" i="2"/>
  <c r="M19" i="2"/>
  <c r="N19" i="2" s="1"/>
  <c r="M25" i="2"/>
  <c r="N25" i="2" s="1"/>
  <c r="N113" i="1"/>
  <c r="O113" i="1"/>
  <c r="F113" i="1"/>
  <c r="H113" i="1" s="1"/>
  <c r="E60" i="29"/>
  <c r="E61" i="29" s="1"/>
  <c r="E59" i="29"/>
  <c r="D111" i="1"/>
  <c r="T62" i="36"/>
  <c r="X62" i="36"/>
  <c r="H76" i="30"/>
  <c r="I76" i="30"/>
  <c r="J76" i="30"/>
  <c r="K76" i="30"/>
  <c r="L76" i="30"/>
  <c r="N76" i="30"/>
  <c r="O76" i="30"/>
  <c r="P76" i="30"/>
  <c r="Q76" i="30"/>
  <c r="R76" i="30"/>
  <c r="G76" i="30"/>
  <c r="H19" i="30"/>
  <c r="I19" i="30"/>
  <c r="J19" i="30"/>
  <c r="K19" i="30"/>
  <c r="L19" i="30"/>
  <c r="N19" i="30"/>
  <c r="O19" i="30"/>
  <c r="P19" i="30"/>
  <c r="Q19" i="30"/>
  <c r="R19" i="30"/>
  <c r="G19" i="30"/>
  <c r="G61" i="29" l="1"/>
  <c r="I61" i="29"/>
  <c r="J113" i="1"/>
  <c r="K61" i="29" s="1"/>
  <c r="I12" i="20"/>
  <c r="B336" i="37" l="1"/>
  <c r="B250" i="37"/>
  <c r="B164" i="37"/>
  <c r="Q87" i="37"/>
  <c r="O87" i="37"/>
  <c r="M87" i="37"/>
  <c r="K87" i="37"/>
  <c r="C46" i="37"/>
  <c r="H32" i="34" l="1"/>
  <c r="I32" i="34"/>
  <c r="J32" i="34"/>
  <c r="G32" i="34"/>
  <c r="H32" i="37" l="1"/>
  <c r="I32" i="37"/>
  <c r="J32" i="37"/>
  <c r="G32" i="37"/>
  <c r="B337" i="37"/>
  <c r="B251" i="37"/>
  <c r="R227" i="37"/>
  <c r="O227" i="37"/>
  <c r="L227" i="37"/>
  <c r="I227" i="37"/>
  <c r="F227" i="37"/>
  <c r="R226" i="37"/>
  <c r="O226" i="37"/>
  <c r="L226" i="37"/>
  <c r="I226" i="37"/>
  <c r="F226" i="37"/>
  <c r="D226" i="37"/>
  <c r="F224" i="37"/>
  <c r="R222" i="37"/>
  <c r="O222" i="37"/>
  <c r="L222" i="37"/>
  <c r="I222" i="37"/>
  <c r="F222" i="37"/>
  <c r="D222" i="37"/>
  <c r="O219" i="37"/>
  <c r="N219" i="37"/>
  <c r="M219" i="37"/>
  <c r="L219" i="37"/>
  <c r="K219" i="37"/>
  <c r="J219" i="37"/>
  <c r="I219" i="37"/>
  <c r="H219" i="37"/>
  <c r="G219" i="37"/>
  <c r="F219" i="37"/>
  <c r="E219" i="37"/>
  <c r="D219" i="37"/>
  <c r="B219" i="37"/>
  <c r="P218" i="37"/>
  <c r="L218" i="37"/>
  <c r="K218" i="37"/>
  <c r="J218" i="37"/>
  <c r="I218" i="37"/>
  <c r="H218" i="37"/>
  <c r="G218" i="37"/>
  <c r="F218" i="37"/>
  <c r="E218" i="37"/>
  <c r="D218" i="37"/>
  <c r="B218" i="37"/>
  <c r="P217" i="37"/>
  <c r="M217" i="37"/>
  <c r="I217" i="37"/>
  <c r="H217" i="37"/>
  <c r="G217" i="37"/>
  <c r="F217" i="37"/>
  <c r="E217" i="37"/>
  <c r="D217" i="37"/>
  <c r="B217" i="37"/>
  <c r="P216" i="37"/>
  <c r="M216" i="37"/>
  <c r="J216" i="37"/>
  <c r="F216" i="37"/>
  <c r="E216" i="37"/>
  <c r="D216" i="37"/>
  <c r="B216" i="37"/>
  <c r="Q213" i="37"/>
  <c r="O213" i="37"/>
  <c r="N213" i="37"/>
  <c r="M213" i="37"/>
  <c r="L213" i="37"/>
  <c r="K213" i="37"/>
  <c r="J213" i="37"/>
  <c r="I213" i="37"/>
  <c r="H213" i="37"/>
  <c r="G213" i="37"/>
  <c r="F213" i="37"/>
  <c r="E213" i="37"/>
  <c r="D213" i="37"/>
  <c r="B213" i="37"/>
  <c r="Q212" i="37"/>
  <c r="P212" i="37"/>
  <c r="O212" i="37"/>
  <c r="N212" i="37"/>
  <c r="M212" i="37"/>
  <c r="L212" i="37"/>
  <c r="K212" i="37"/>
  <c r="J212" i="37"/>
  <c r="I212" i="37"/>
  <c r="H212" i="37"/>
  <c r="G212" i="37"/>
  <c r="F212" i="37"/>
  <c r="E212" i="37"/>
  <c r="D212" i="37"/>
  <c r="B212" i="37"/>
  <c r="Q211" i="37"/>
  <c r="P211" i="37"/>
  <c r="O211" i="37"/>
  <c r="N211" i="37"/>
  <c r="M211" i="37"/>
  <c r="L211" i="37"/>
  <c r="K211" i="37"/>
  <c r="J211" i="37"/>
  <c r="I211" i="37"/>
  <c r="H211" i="37"/>
  <c r="G211" i="37"/>
  <c r="F211" i="37"/>
  <c r="E211" i="37"/>
  <c r="D211" i="37"/>
  <c r="B211" i="37"/>
  <c r="Q210" i="37"/>
  <c r="O210" i="37"/>
  <c r="N210" i="37"/>
  <c r="M210" i="37"/>
  <c r="L210" i="37"/>
  <c r="K210" i="37"/>
  <c r="J210" i="37"/>
  <c r="I210" i="37"/>
  <c r="H210" i="37"/>
  <c r="G210" i="37"/>
  <c r="F210" i="37"/>
  <c r="E210" i="37"/>
  <c r="D210" i="37"/>
  <c r="B210" i="37"/>
  <c r="P208" i="37"/>
  <c r="N208" i="37"/>
  <c r="M208" i="37"/>
  <c r="L208" i="37"/>
  <c r="K208" i="37"/>
  <c r="J208" i="37"/>
  <c r="I208" i="37"/>
  <c r="H208" i="37"/>
  <c r="G208" i="37"/>
  <c r="F208" i="37"/>
  <c r="E208" i="37"/>
  <c r="D208" i="37"/>
  <c r="B208" i="37"/>
  <c r="Q207" i="37"/>
  <c r="P207" i="37"/>
  <c r="N207" i="37"/>
  <c r="M207" i="37"/>
  <c r="L207" i="37"/>
  <c r="K207" i="37"/>
  <c r="J207" i="37"/>
  <c r="I207" i="37"/>
  <c r="H207" i="37"/>
  <c r="G207" i="37"/>
  <c r="F207" i="37"/>
  <c r="E207" i="37"/>
  <c r="D207" i="37"/>
  <c r="B207" i="37"/>
  <c r="Q206" i="37"/>
  <c r="P206" i="37"/>
  <c r="N206" i="37"/>
  <c r="M206" i="37"/>
  <c r="L206" i="37"/>
  <c r="K206" i="37"/>
  <c r="J206" i="37"/>
  <c r="I206" i="37"/>
  <c r="H206" i="37"/>
  <c r="G206" i="37"/>
  <c r="F206" i="37"/>
  <c r="E206" i="37"/>
  <c r="D206" i="37"/>
  <c r="B206" i="37"/>
  <c r="Q205" i="37"/>
  <c r="P205" i="37"/>
  <c r="N205" i="37"/>
  <c r="L205" i="37"/>
  <c r="K205" i="37"/>
  <c r="J205" i="37"/>
  <c r="I205" i="37"/>
  <c r="H205" i="37"/>
  <c r="G205" i="37"/>
  <c r="F205" i="37"/>
  <c r="E205" i="37"/>
  <c r="D205" i="37"/>
  <c r="B205" i="37"/>
  <c r="P203" i="37"/>
  <c r="M203" i="37"/>
  <c r="K203" i="37"/>
  <c r="J203" i="37"/>
  <c r="I203" i="37"/>
  <c r="H203" i="37"/>
  <c r="G203" i="37"/>
  <c r="F203" i="37"/>
  <c r="E203" i="37"/>
  <c r="D203" i="37"/>
  <c r="B203" i="37"/>
  <c r="P202" i="37"/>
  <c r="N202" i="37"/>
  <c r="M202" i="37"/>
  <c r="K202" i="37"/>
  <c r="J202" i="37"/>
  <c r="I202" i="37"/>
  <c r="H202" i="37"/>
  <c r="G202" i="37"/>
  <c r="F202" i="37"/>
  <c r="E202" i="37"/>
  <c r="D202" i="37"/>
  <c r="B202" i="37"/>
  <c r="P201" i="37"/>
  <c r="N201" i="37"/>
  <c r="M201" i="37"/>
  <c r="K201" i="37"/>
  <c r="J201" i="37"/>
  <c r="I201" i="37"/>
  <c r="H201" i="37"/>
  <c r="G201" i="37"/>
  <c r="F201" i="37"/>
  <c r="E201" i="37"/>
  <c r="D201" i="37"/>
  <c r="B201" i="37"/>
  <c r="P200" i="37"/>
  <c r="N200" i="37"/>
  <c r="M200" i="37"/>
  <c r="K200" i="37"/>
  <c r="I200" i="37"/>
  <c r="H200" i="37"/>
  <c r="G200" i="37"/>
  <c r="F200" i="37"/>
  <c r="E200" i="37"/>
  <c r="D200" i="37"/>
  <c r="B200" i="37"/>
  <c r="P198" i="37"/>
  <c r="M198" i="37"/>
  <c r="J198" i="37"/>
  <c r="H198" i="37"/>
  <c r="F198" i="37"/>
  <c r="E198" i="37"/>
  <c r="D198" i="37"/>
  <c r="B198" i="37"/>
  <c r="P197" i="37"/>
  <c r="M197" i="37"/>
  <c r="J197" i="37"/>
  <c r="H197" i="37"/>
  <c r="F197" i="37"/>
  <c r="E197" i="37"/>
  <c r="D197" i="37"/>
  <c r="B197" i="37"/>
  <c r="P196" i="37"/>
  <c r="M196" i="37"/>
  <c r="J196" i="37"/>
  <c r="H196" i="37"/>
  <c r="F196" i="37"/>
  <c r="E196" i="37"/>
  <c r="D196" i="37"/>
  <c r="B196" i="37"/>
  <c r="P195" i="37"/>
  <c r="M195" i="37"/>
  <c r="J195" i="37"/>
  <c r="H195" i="37"/>
  <c r="F195" i="37"/>
  <c r="E195" i="37"/>
  <c r="D195" i="37"/>
  <c r="B195" i="37"/>
  <c r="Q184" i="37"/>
  <c r="O184" i="37"/>
  <c r="M184" i="37"/>
  <c r="K184" i="37"/>
  <c r="K182" i="37"/>
  <c r="Q180" i="37"/>
  <c r="O180" i="37"/>
  <c r="M180" i="37"/>
  <c r="K180" i="37"/>
  <c r="Q177" i="37"/>
  <c r="O177" i="37"/>
  <c r="M177" i="37"/>
  <c r="K177" i="37"/>
  <c r="K176" i="37"/>
  <c r="B165" i="37"/>
  <c r="Q159" i="37"/>
  <c r="O159" i="37"/>
  <c r="M159" i="37"/>
  <c r="K158" i="37"/>
  <c r="Q157" i="37"/>
  <c r="O157" i="37"/>
  <c r="M157" i="37"/>
  <c r="K157" i="37"/>
  <c r="Q154" i="37"/>
  <c r="O154" i="37"/>
  <c r="M154" i="37"/>
  <c r="K154" i="37"/>
  <c r="Q153" i="37"/>
  <c r="O153" i="37"/>
  <c r="M153" i="37"/>
  <c r="K153" i="37"/>
  <c r="Q152" i="37"/>
  <c r="O152" i="37"/>
  <c r="M152" i="37"/>
  <c r="K152" i="37"/>
  <c r="K151" i="37"/>
  <c r="Q150" i="37"/>
  <c r="O150" i="37"/>
  <c r="M150" i="37"/>
  <c r="K150" i="37"/>
  <c r="Q148" i="37"/>
  <c r="O148" i="37"/>
  <c r="M148" i="37"/>
  <c r="K148" i="37"/>
  <c r="Q146" i="37"/>
  <c r="O146" i="37"/>
  <c r="Q141" i="37"/>
  <c r="O141" i="37"/>
  <c r="M141" i="37"/>
  <c r="K141" i="37"/>
  <c r="K138" i="37"/>
  <c r="Q126" i="37"/>
  <c r="O126" i="37"/>
  <c r="M126" i="37"/>
  <c r="K126" i="37"/>
  <c r="Q123" i="37"/>
  <c r="O123" i="37"/>
  <c r="M123" i="37"/>
  <c r="K123" i="37"/>
  <c r="Q118" i="37"/>
  <c r="O118" i="37"/>
  <c r="M118" i="37"/>
  <c r="K118" i="37"/>
  <c r="Q116" i="37"/>
  <c r="O116" i="37"/>
  <c r="M116" i="37"/>
  <c r="K116" i="37"/>
  <c r="K113" i="37"/>
  <c r="Q109" i="37"/>
  <c r="Q134" i="37" s="1"/>
  <c r="Q171" i="37" s="1"/>
  <c r="O109" i="37"/>
  <c r="O134" i="37" s="1"/>
  <c r="O171" i="37" s="1"/>
  <c r="M109" i="37"/>
  <c r="M134" i="37" s="1"/>
  <c r="M171" i="37" s="1"/>
  <c r="K109" i="37"/>
  <c r="K134" i="37" s="1"/>
  <c r="K171" i="37" s="1"/>
  <c r="Q106" i="37"/>
  <c r="O106" i="37"/>
  <c r="M106" i="37"/>
  <c r="K106" i="37"/>
  <c r="M93" i="37"/>
  <c r="K93" i="37"/>
  <c r="Q92" i="37"/>
  <c r="O92" i="37"/>
  <c r="M92" i="37"/>
  <c r="K92" i="37"/>
  <c r="B82" i="37"/>
  <c r="Q78" i="37"/>
  <c r="O78" i="37"/>
  <c r="M78" i="37"/>
  <c r="K78" i="37"/>
  <c r="R76" i="37"/>
  <c r="P76" i="37"/>
  <c r="N76" i="37"/>
  <c r="L76" i="37"/>
  <c r="R75" i="37"/>
  <c r="Q75" i="37"/>
  <c r="P75" i="37"/>
  <c r="O75" i="37"/>
  <c r="N75" i="37"/>
  <c r="M75" i="37"/>
  <c r="L75" i="37"/>
  <c r="K75" i="37"/>
  <c r="Q71" i="37"/>
  <c r="O71" i="37"/>
  <c r="M71" i="37"/>
  <c r="K71" i="37"/>
  <c r="Q70" i="37"/>
  <c r="O70" i="37"/>
  <c r="M70" i="37"/>
  <c r="K70" i="37"/>
  <c r="K63" i="37"/>
  <c r="Q60" i="37"/>
  <c r="O60" i="37"/>
  <c r="M60" i="37"/>
  <c r="K60" i="37"/>
  <c r="K59" i="37"/>
  <c r="K57" i="37"/>
  <c r="J52" i="37"/>
  <c r="J49" i="37"/>
  <c r="I49" i="37"/>
  <c r="H49" i="37"/>
  <c r="G49" i="37"/>
  <c r="J48" i="37"/>
  <c r="I48" i="37"/>
  <c r="H48" i="37"/>
  <c r="G48" i="37"/>
  <c r="K47" i="37"/>
  <c r="J47" i="37"/>
  <c r="I47" i="37"/>
  <c r="H47" i="37"/>
  <c r="G47" i="37"/>
  <c r="K46" i="37"/>
  <c r="J46" i="37"/>
  <c r="I46" i="37"/>
  <c r="H46" i="37"/>
  <c r="G46" i="37"/>
  <c r="K45" i="37"/>
  <c r="J45" i="37"/>
  <c r="I45" i="37"/>
  <c r="H45" i="37"/>
  <c r="G45" i="37"/>
  <c r="C45" i="37"/>
  <c r="J43" i="37"/>
  <c r="I43" i="37"/>
  <c r="H43" i="37"/>
  <c r="G43" i="37"/>
  <c r="J42" i="37"/>
  <c r="I42" i="37"/>
  <c r="H42" i="37"/>
  <c r="G42" i="37"/>
  <c r="K40" i="37"/>
  <c r="J40" i="37"/>
  <c r="I40" i="37"/>
  <c r="H40" i="37"/>
  <c r="G40" i="37"/>
  <c r="J39" i="37"/>
  <c r="I39" i="37"/>
  <c r="H39" i="37"/>
  <c r="G39" i="37"/>
  <c r="L34" i="37"/>
  <c r="J34" i="37"/>
  <c r="K33" i="37"/>
  <c r="G33" i="37"/>
  <c r="L32" i="37"/>
  <c r="L31" i="37"/>
  <c r="J31" i="37"/>
  <c r="I31" i="37"/>
  <c r="H31" i="37"/>
  <c r="G31" i="37"/>
  <c r="J30" i="37"/>
  <c r="I30" i="37"/>
  <c r="H30" i="37"/>
  <c r="G30" i="37"/>
  <c r="L29" i="37"/>
  <c r="J29" i="37"/>
  <c r="I29" i="37"/>
  <c r="H29" i="37"/>
  <c r="G29" i="37"/>
  <c r="J28" i="37"/>
  <c r="I28" i="37"/>
  <c r="H28" i="37"/>
  <c r="G28" i="37"/>
  <c r="L27" i="37"/>
  <c r="J27" i="37"/>
  <c r="I27" i="37"/>
  <c r="H27" i="37"/>
  <c r="G27" i="37"/>
  <c r="J26" i="37"/>
  <c r="I26" i="37"/>
  <c r="H26" i="37"/>
  <c r="G26" i="37"/>
  <c r="L25" i="37"/>
  <c r="K25" i="37"/>
  <c r="J25" i="37"/>
  <c r="I25" i="37"/>
  <c r="H25" i="37"/>
  <c r="G25" i="37"/>
  <c r="J24" i="37"/>
  <c r="I24" i="37"/>
  <c r="H24" i="37"/>
  <c r="G24" i="37"/>
  <c r="L23" i="37"/>
  <c r="J23" i="37"/>
  <c r="I23" i="37"/>
  <c r="H23" i="37"/>
  <c r="G23" i="37"/>
  <c r="J22" i="37"/>
  <c r="I22" i="37"/>
  <c r="H22" i="37"/>
  <c r="G22" i="37"/>
  <c r="L21" i="37"/>
  <c r="J21" i="37"/>
  <c r="I21" i="37"/>
  <c r="H21" i="37"/>
  <c r="G21" i="37"/>
  <c r="J20" i="37"/>
  <c r="I20" i="37"/>
  <c r="H20" i="37"/>
  <c r="G20" i="37"/>
  <c r="L19" i="37"/>
  <c r="K19" i="37"/>
  <c r="J19" i="37"/>
  <c r="I19" i="37"/>
  <c r="H19" i="37"/>
  <c r="G19" i="37"/>
  <c r="J18" i="37"/>
  <c r="I18" i="37"/>
  <c r="H18" i="37"/>
  <c r="G18" i="37"/>
  <c r="K17" i="37"/>
  <c r="J17" i="37"/>
  <c r="I17" i="37"/>
  <c r="H17" i="37"/>
  <c r="G17" i="37"/>
  <c r="G16" i="37"/>
  <c r="G36" i="37" s="1"/>
  <c r="K55" i="37" s="1"/>
  <c r="L13" i="37"/>
  <c r="L11" i="37"/>
  <c r="L9" i="37"/>
  <c r="B9" i="37"/>
  <c r="L7" i="37"/>
  <c r="B7" i="37"/>
  <c r="L3" i="37"/>
  <c r="K6" i="30"/>
  <c r="BG7" i="30" s="1"/>
  <c r="J234" i="37" l="1"/>
  <c r="L234" i="37"/>
  <c r="B168" i="37"/>
  <c r="G193" i="37"/>
  <c r="N234" i="37"/>
  <c r="P234" i="37"/>
  <c r="B85" i="37"/>
  <c r="G11" i="30"/>
  <c r="F68" i="1"/>
  <c r="H68" i="1" s="1"/>
  <c r="J68" i="1" s="1"/>
  <c r="H16" i="36"/>
  <c r="M138" i="37" s="1"/>
  <c r="I16" i="36"/>
  <c r="O138" i="37" s="1"/>
  <c r="J16" i="36"/>
  <c r="Q138" i="37" s="1"/>
  <c r="C4" i="33" l="1"/>
  <c r="U39" i="30"/>
  <c r="N46" i="22"/>
  <c r="O46" i="22"/>
  <c r="P46" i="22"/>
  <c r="Q46" i="22"/>
  <c r="R46" i="22"/>
  <c r="S46" i="22"/>
  <c r="T46" i="22"/>
  <c r="U46" i="22"/>
  <c r="V46" i="22"/>
  <c r="W46" i="22"/>
  <c r="X46" i="22"/>
  <c r="M46" i="22"/>
  <c r="B2" i="33"/>
  <c r="N130" i="1"/>
  <c r="O130" i="1" s="1"/>
  <c r="F130" i="1"/>
  <c r="F128" i="1"/>
  <c r="H128" i="1" s="1"/>
  <c r="J128" i="1" s="1"/>
  <c r="L25" i="28" l="1"/>
  <c r="L26" i="28"/>
  <c r="O31" i="28" l="1"/>
  <c r="P213" i="37" s="1"/>
  <c r="O29" i="28"/>
  <c r="O30" i="28"/>
  <c r="O28" i="28"/>
  <c r="P210" i="37" s="1"/>
  <c r="L24" i="28"/>
  <c r="L23" i="28"/>
  <c r="F14" i="28"/>
  <c r="G196" i="37" s="1"/>
  <c r="F15" i="28"/>
  <c r="G197" i="37" s="1"/>
  <c r="F16" i="28"/>
  <c r="G198" i="37" s="1"/>
  <c r="F13" i="28"/>
  <c r="G195" i="37" s="1"/>
  <c r="I19" i="28"/>
  <c r="I20" i="28"/>
  <c r="I21" i="28"/>
  <c r="I18" i="28"/>
  <c r="J200" i="37" s="1"/>
  <c r="N46" i="28" l="1"/>
  <c r="O229" i="37" s="1"/>
  <c r="M205" i="37"/>
  <c r="K46" i="28"/>
  <c r="L229" i="37" s="1"/>
  <c r="H46" i="28"/>
  <c r="I229" i="37" s="1"/>
  <c r="Q46" i="28"/>
  <c r="R229" i="37" s="1"/>
  <c r="BP111" i="30"/>
  <c r="BP110" i="30"/>
  <c r="B65" i="30"/>
  <c r="B8" i="30" s="1"/>
  <c r="BA70" i="30"/>
  <c r="U112" i="30"/>
  <c r="U111" i="30"/>
  <c r="U44" i="30"/>
  <c r="S119" i="30"/>
  <c r="S118" i="30"/>
  <c r="AZ111" i="30"/>
  <c r="U101" i="30"/>
  <c r="U26" i="30"/>
  <c r="L52" i="22" l="1"/>
  <c r="L48" i="22"/>
  <c r="L46" i="22"/>
  <c r="L44" i="22"/>
  <c r="L42" i="22"/>
  <c r="L40" i="22"/>
  <c r="L37" i="22"/>
  <c r="L35" i="22"/>
  <c r="L33" i="22"/>
  <c r="K54" i="22"/>
  <c r="K52" i="22"/>
  <c r="K48" i="22"/>
  <c r="K46" i="22"/>
  <c r="K44" i="22"/>
  <c r="J40" i="22"/>
  <c r="K42" i="22"/>
  <c r="K40" i="22"/>
  <c r="J37" i="22"/>
  <c r="J35" i="22"/>
  <c r="J33" i="22"/>
  <c r="K37" i="22"/>
  <c r="K35" i="22"/>
  <c r="K33" i="22"/>
  <c r="X42" i="22"/>
  <c r="W42" i="22"/>
  <c r="V42" i="22"/>
  <c r="U42" i="22"/>
  <c r="T42" i="22"/>
  <c r="S42" i="22"/>
  <c r="R42" i="22"/>
  <c r="Q42" i="22"/>
  <c r="P42" i="22"/>
  <c r="O42" i="22"/>
  <c r="N42" i="22"/>
  <c r="M42" i="22"/>
  <c r="BF67" i="30"/>
  <c r="B108" i="30"/>
  <c r="B109" i="30" s="1"/>
  <c r="B110" i="30" s="1"/>
  <c r="B111" i="30" s="1"/>
  <c r="B112" i="30" s="1"/>
  <c r="S103" i="30"/>
  <c r="S102" i="30"/>
  <c r="Q101" i="30"/>
  <c r="R101" i="30"/>
  <c r="J101" i="30"/>
  <c r="S100" i="30"/>
  <c r="S84" i="30"/>
  <c r="G82" i="30"/>
  <c r="S82" i="30" s="1"/>
  <c r="B82" i="30"/>
  <c r="B83" i="30" s="1"/>
  <c r="B84" i="30" s="1"/>
  <c r="B85" i="30" s="1"/>
  <c r="B86" i="30" s="1"/>
  <c r="B87" i="30" s="1"/>
  <c r="B88" i="30" s="1"/>
  <c r="B89" i="30" s="1"/>
  <c r="B96" i="30" s="1"/>
  <c r="B97" i="30" s="1"/>
  <c r="B98" i="30" s="1"/>
  <c r="B99" i="30" s="1"/>
  <c r="B100" i="30" s="1"/>
  <c r="B101" i="30" s="1"/>
  <c r="B102" i="30" s="1"/>
  <c r="B103" i="30" s="1"/>
  <c r="S79" i="30"/>
  <c r="S73" i="30"/>
  <c r="T73" i="30" s="1"/>
  <c r="S71" i="30"/>
  <c r="T71" i="30" s="1"/>
  <c r="BA10" i="30"/>
  <c r="Q43" i="22" l="1"/>
  <c r="S43" i="22"/>
  <c r="Y42" i="22"/>
  <c r="R43" i="22"/>
  <c r="U43" i="22"/>
  <c r="T43" i="22"/>
  <c r="M43" i="22"/>
  <c r="N43" i="22"/>
  <c r="V43" i="22"/>
  <c r="O43" i="22"/>
  <c r="W43" i="22"/>
  <c r="P43" i="22"/>
  <c r="X43" i="22"/>
  <c r="M101" i="30"/>
  <c r="G111" i="30"/>
  <c r="S111" i="30" s="1"/>
  <c r="T111" i="30" s="1"/>
  <c r="K101" i="30"/>
  <c r="L101" i="30"/>
  <c r="N101" i="30"/>
  <c r="G101" i="30"/>
  <c r="O101" i="30"/>
  <c r="G112" i="30"/>
  <c r="S112" i="30" s="1"/>
  <c r="T112" i="30" s="1"/>
  <c r="H101" i="30"/>
  <c r="P101" i="30"/>
  <c r="I101" i="30"/>
  <c r="Q37" i="33"/>
  <c r="Q41" i="33" l="1"/>
  <c r="R41" i="33" s="1"/>
  <c r="R37" i="33"/>
  <c r="S101" i="30"/>
  <c r="T101" i="30" s="1"/>
  <c r="Y43" i="22"/>
  <c r="S37" i="33" l="1"/>
  <c r="S41" i="33" s="1"/>
  <c r="G24" i="30"/>
  <c r="H24" i="30"/>
  <c r="I24" i="30" l="1"/>
  <c r="H33" i="34"/>
  <c r="I33" i="34"/>
  <c r="J33" i="34"/>
  <c r="G33" i="34"/>
  <c r="K33" i="34"/>
  <c r="F42" i="26" l="1"/>
  <c r="H34" i="37" s="1"/>
  <c r="G42" i="26"/>
  <c r="I34" i="37" s="1"/>
  <c r="H42" i="26"/>
  <c r="E42" i="26"/>
  <c r="G34" i="37" s="1"/>
  <c r="I39" i="26"/>
  <c r="H41" i="26"/>
  <c r="K58" i="34"/>
  <c r="G25" i="30"/>
  <c r="K32" i="37" l="1"/>
  <c r="K32" i="34"/>
  <c r="I42" i="26"/>
  <c r="K34" i="37" s="1"/>
  <c r="K195" i="37"/>
  <c r="G73" i="32"/>
  <c r="J44" i="28"/>
  <c r="M44" i="28" s="1"/>
  <c r="H40" i="28"/>
  <c r="Q44" i="28" l="1"/>
  <c r="P44" i="28"/>
  <c r="K44" i="28"/>
  <c r="N44" i="28"/>
  <c r="H73" i="32"/>
  <c r="I73" i="32" s="1"/>
  <c r="J73" i="32" s="1"/>
  <c r="F20" i="2"/>
  <c r="K58" i="26"/>
  <c r="B166" i="34"/>
  <c r="B83" i="34"/>
  <c r="B252" i="34"/>
  <c r="B324" i="34"/>
  <c r="B323" i="34"/>
  <c r="B251" i="34"/>
  <c r="B165" i="34"/>
  <c r="B82" i="34"/>
  <c r="F23" i="1"/>
  <c r="L7" i="34" l="1"/>
  <c r="B9" i="34"/>
  <c r="B7" i="34"/>
  <c r="B220" i="34"/>
  <c r="B219" i="34"/>
  <c r="B218" i="34"/>
  <c r="B217" i="34"/>
  <c r="B214" i="34"/>
  <c r="B213" i="34"/>
  <c r="B212" i="34"/>
  <c r="B211" i="34"/>
  <c r="B209" i="34"/>
  <c r="B208" i="34"/>
  <c r="B207" i="34"/>
  <c r="B206" i="34"/>
  <c r="B204" i="34"/>
  <c r="B203" i="34"/>
  <c r="B202" i="34"/>
  <c r="B201" i="34"/>
  <c r="B199" i="34"/>
  <c r="B198" i="34"/>
  <c r="B197" i="34"/>
  <c r="B196" i="34"/>
  <c r="B86" i="34" l="1"/>
  <c r="B169" i="34"/>
  <c r="B257" i="34"/>
  <c r="I26" i="34"/>
  <c r="J26" i="34"/>
  <c r="H26" i="34"/>
  <c r="G26" i="34"/>
  <c r="C26" i="34"/>
  <c r="J22" i="34"/>
  <c r="I22" i="34"/>
  <c r="H22" i="34"/>
  <c r="H24" i="34"/>
  <c r="I24" i="34"/>
  <c r="J24" i="34"/>
  <c r="G22" i="34"/>
  <c r="S61" i="30"/>
  <c r="N35" i="20"/>
  <c r="J62" i="36"/>
  <c r="H79" i="2"/>
  <c r="K134" i="1"/>
  <c r="Q50" i="28"/>
  <c r="I66" i="26"/>
  <c r="AK25" i="30"/>
  <c r="E34" i="22"/>
  <c r="K158" i="34"/>
  <c r="Q155" i="34"/>
  <c r="O155" i="34"/>
  <c r="M155" i="34"/>
  <c r="K155" i="34"/>
  <c r="K154" i="34"/>
  <c r="K151" i="34"/>
  <c r="Q153" i="34"/>
  <c r="O153" i="34"/>
  <c r="M153" i="34"/>
  <c r="K153" i="34"/>
  <c r="K152" i="34"/>
  <c r="C158" i="34"/>
  <c r="C157" i="34"/>
  <c r="C156" i="34"/>
  <c r="C155" i="34"/>
  <c r="C154" i="34"/>
  <c r="C153" i="34"/>
  <c r="C152" i="34"/>
  <c r="C151" i="34"/>
  <c r="C150" i="34"/>
  <c r="C149" i="34"/>
  <c r="C148" i="34"/>
  <c r="H44" i="28" l="1"/>
  <c r="BD43" i="30"/>
  <c r="AR25" i="30" l="1"/>
  <c r="AS25" i="30"/>
  <c r="AQ26" i="30"/>
  <c r="AJ27" i="30"/>
  <c r="AJ26" i="30"/>
  <c r="AC26" i="30"/>
  <c r="AO26" i="30"/>
  <c r="AH26" i="30"/>
  <c r="AA26" i="30"/>
  <c r="G6" i="36" l="1"/>
  <c r="B8" i="36"/>
  <c r="H10" i="36"/>
  <c r="I10" i="36"/>
  <c r="G10" i="36"/>
  <c r="D65" i="1"/>
  <c r="U29" i="30" s="1"/>
  <c r="C181" i="34" l="1"/>
  <c r="C179" i="34"/>
  <c r="C183" i="34"/>
  <c r="C187" i="34"/>
  <c r="C186" i="34"/>
  <c r="C185" i="34"/>
  <c r="C184" i="34"/>
  <c r="C182" i="34"/>
  <c r="C180" i="34" a="1"/>
  <c r="C180" i="34" s="1"/>
  <c r="C177" i="34"/>
  <c r="C178" i="34"/>
  <c r="C176" i="34"/>
  <c r="C175" i="34"/>
  <c r="C174" i="34"/>
  <c r="K183" i="34" l="1"/>
  <c r="K181" i="34"/>
  <c r="Q178" i="34"/>
  <c r="O178" i="34"/>
  <c r="M178" i="34"/>
  <c r="K177" i="34"/>
  <c r="K178" i="34"/>
  <c r="K159" i="34"/>
  <c r="G81" i="32"/>
  <c r="K128" i="37" s="1"/>
  <c r="G59" i="32"/>
  <c r="K114" i="37" s="1"/>
  <c r="H46" i="32"/>
  <c r="M104" i="37" s="1"/>
  <c r="I46" i="32"/>
  <c r="O104" i="37" s="1"/>
  <c r="J46" i="32"/>
  <c r="Q104" i="37" s="1"/>
  <c r="G46" i="32"/>
  <c r="K104" i="37" s="1"/>
  <c r="G45" i="32"/>
  <c r="G43" i="32"/>
  <c r="K102" i="37" s="1"/>
  <c r="Q6" i="36"/>
  <c r="T15" i="36"/>
  <c r="S15" i="36"/>
  <c r="R15" i="36"/>
  <c r="Q15" i="36"/>
  <c r="B63" i="36"/>
  <c r="B62" i="36"/>
  <c r="H40" i="36"/>
  <c r="M160" i="34" s="1"/>
  <c r="I40" i="36"/>
  <c r="O160" i="34" s="1"/>
  <c r="J40" i="36"/>
  <c r="Q160" i="34" s="1"/>
  <c r="G40" i="36"/>
  <c r="G29" i="36"/>
  <c r="K149" i="34" s="1"/>
  <c r="M139" i="34"/>
  <c r="O139" i="34"/>
  <c r="Q139" i="34"/>
  <c r="K139" i="34"/>
  <c r="H56" i="36"/>
  <c r="M182" i="37" s="1"/>
  <c r="H45" i="32"/>
  <c r="H50" i="36"/>
  <c r="Q49" i="36"/>
  <c r="J45" i="36"/>
  <c r="S10" i="36"/>
  <c r="R10" i="36"/>
  <c r="G45" i="36"/>
  <c r="L8" i="36"/>
  <c r="K160" i="34" l="1"/>
  <c r="K159" i="37"/>
  <c r="C37" i="33"/>
  <c r="M176" i="37"/>
  <c r="M183" i="34"/>
  <c r="E81" i="30"/>
  <c r="I50" i="36"/>
  <c r="H43" i="32"/>
  <c r="M102" i="37" s="1"/>
  <c r="M177" i="34"/>
  <c r="J50" i="36"/>
  <c r="Q176" i="37" s="1"/>
  <c r="H81" i="32"/>
  <c r="M128" i="37" s="1"/>
  <c r="I56" i="36"/>
  <c r="O182" i="37" s="1"/>
  <c r="M181" i="34"/>
  <c r="H45" i="36"/>
  <c r="Q10" i="36"/>
  <c r="I45" i="36"/>
  <c r="C49" i="33" l="1"/>
  <c r="C50" i="33" s="1"/>
  <c r="D37" i="33"/>
  <c r="C52" i="33"/>
  <c r="C58" i="33"/>
  <c r="C57" i="33"/>
  <c r="C54" i="33"/>
  <c r="C55" i="33"/>
  <c r="C51" i="33"/>
  <c r="O177" i="34"/>
  <c r="O176" i="37"/>
  <c r="C56" i="33"/>
  <c r="I43" i="32"/>
  <c r="O102" i="37" s="1"/>
  <c r="J43" i="32"/>
  <c r="Q102" i="37" s="1"/>
  <c r="Q177" i="34"/>
  <c r="I81" i="32"/>
  <c r="O128" i="37" s="1"/>
  <c r="O183" i="34"/>
  <c r="J56" i="36"/>
  <c r="Q182" i="37" s="1"/>
  <c r="O181" i="34"/>
  <c r="I45" i="32"/>
  <c r="S53" i="30"/>
  <c r="D57" i="33" l="1"/>
  <c r="D55" i="33"/>
  <c r="D58" i="33"/>
  <c r="D52" i="33"/>
  <c r="D51" i="33"/>
  <c r="D49" i="33"/>
  <c r="D50" i="33" s="1"/>
  <c r="D56" i="33"/>
  <c r="D54" i="33"/>
  <c r="E37" i="33"/>
  <c r="J81" i="32"/>
  <c r="Q128" i="37" s="1"/>
  <c r="Q183" i="34"/>
  <c r="J45" i="32"/>
  <c r="Q181" i="34"/>
  <c r="F29" i="1"/>
  <c r="H23" i="1"/>
  <c r="J23" i="1" s="1"/>
  <c r="F16" i="1"/>
  <c r="E57" i="33" l="1"/>
  <c r="E49" i="33"/>
  <c r="E50" i="33" s="1"/>
  <c r="E56" i="33"/>
  <c r="E54" i="33"/>
  <c r="F37" i="33"/>
  <c r="E55" i="33"/>
  <c r="E51" i="33"/>
  <c r="E58" i="33"/>
  <c r="E52" i="33"/>
  <c r="H29" i="1"/>
  <c r="J29" i="1" s="1"/>
  <c r="AQ27" i="30"/>
  <c r="H16" i="1"/>
  <c r="J16" i="1" s="1"/>
  <c r="AC27" i="30"/>
  <c r="S27" i="30"/>
  <c r="S43" i="30"/>
  <c r="S45" i="30"/>
  <c r="S46" i="30"/>
  <c r="S25" i="30"/>
  <c r="F52" i="33" l="1"/>
  <c r="F56" i="33"/>
  <c r="F55" i="33"/>
  <c r="F51" i="33"/>
  <c r="F49" i="33"/>
  <c r="F58" i="33"/>
  <c r="F57" i="33"/>
  <c r="F50" i="33"/>
  <c r="G37" i="33"/>
  <c r="F54" i="33"/>
  <c r="G51" i="33"/>
  <c r="G49" i="33"/>
  <c r="G50" i="33" s="1"/>
  <c r="F13" i="1"/>
  <c r="Z27" i="30" l="1"/>
  <c r="F12" i="1"/>
  <c r="G56" i="33"/>
  <c r="H37" i="33"/>
  <c r="G55" i="33"/>
  <c r="G54" i="33"/>
  <c r="G58" i="33"/>
  <c r="G57" i="33"/>
  <c r="G52" i="33"/>
  <c r="G43" i="33"/>
  <c r="S55" i="30"/>
  <c r="T55" i="30" s="1"/>
  <c r="S54" i="30"/>
  <c r="T54" i="30" s="1"/>
  <c r="H56" i="33" l="1"/>
  <c r="H54" i="33"/>
  <c r="H58" i="33"/>
  <c r="H57" i="33"/>
  <c r="H52" i="33"/>
  <c r="H51" i="33"/>
  <c r="H49" i="33"/>
  <c r="H50" i="33" s="1"/>
  <c r="H55" i="33"/>
  <c r="I37" i="33"/>
  <c r="J37" i="33"/>
  <c r="I58" i="33"/>
  <c r="I52" i="33"/>
  <c r="I49" i="33"/>
  <c r="I50" i="33" s="1"/>
  <c r="I56" i="33"/>
  <c r="I54" i="33"/>
  <c r="I57" i="33"/>
  <c r="I51" i="33"/>
  <c r="I55" i="33"/>
  <c r="G69" i="32"/>
  <c r="K121" i="37" s="1"/>
  <c r="G77" i="32"/>
  <c r="G19" i="36" s="1"/>
  <c r="K142" i="34" s="1"/>
  <c r="N65" i="33" l="1"/>
  <c r="K37" i="33"/>
  <c r="J56" i="33"/>
  <c r="J55" i="33"/>
  <c r="J54" i="33"/>
  <c r="J58" i="33"/>
  <c r="J52" i="33"/>
  <c r="J57" i="33"/>
  <c r="J51" i="33"/>
  <c r="J49" i="33"/>
  <c r="J50" i="33" s="1"/>
  <c r="C42" i="28"/>
  <c r="D224" i="37" s="1"/>
  <c r="F225" i="34"/>
  <c r="H78" i="32"/>
  <c r="L37" i="33" l="1"/>
  <c r="K58" i="33"/>
  <c r="K57" i="33"/>
  <c r="K52" i="33"/>
  <c r="K51" i="33"/>
  <c r="K49" i="33"/>
  <c r="K50" i="33" s="1"/>
  <c r="K56" i="33"/>
  <c r="K55" i="33"/>
  <c r="K54" i="33"/>
  <c r="H42" i="28"/>
  <c r="I224" i="37" s="1"/>
  <c r="D225" i="34"/>
  <c r="C32" i="28"/>
  <c r="D215" i="34" l="1"/>
  <c r="D214" i="37"/>
  <c r="M37" i="33"/>
  <c r="L55" i="33"/>
  <c r="L58" i="33"/>
  <c r="L57" i="33"/>
  <c r="L52" i="33"/>
  <c r="L51" i="33"/>
  <c r="L49" i="33"/>
  <c r="L50" i="33" s="1"/>
  <c r="L56" i="33"/>
  <c r="L54" i="33"/>
  <c r="I225" i="34"/>
  <c r="N37" i="33" l="1"/>
  <c r="M57" i="33"/>
  <c r="M51" i="33"/>
  <c r="M55" i="33"/>
  <c r="M58" i="33"/>
  <c r="M52" i="33"/>
  <c r="M49" i="33"/>
  <c r="M50" i="33" s="1"/>
  <c r="M56" i="33"/>
  <c r="M54" i="33"/>
  <c r="O6" i="28"/>
  <c r="F10" i="28"/>
  <c r="L9" i="28"/>
  <c r="I9" i="28"/>
  <c r="N56" i="33" l="1"/>
  <c r="N55" i="33"/>
  <c r="N54" i="33"/>
  <c r="N57" i="33"/>
  <c r="N51" i="33"/>
  <c r="N49" i="33"/>
  <c r="N50" i="33" s="1"/>
  <c r="N58" i="33"/>
  <c r="N52" i="33"/>
  <c r="D223" i="34"/>
  <c r="AC19" i="29" l="1"/>
  <c r="AC18" i="29"/>
  <c r="W15" i="29"/>
  <c r="R230" i="34" l="1"/>
  <c r="O230" i="34"/>
  <c r="L230" i="34"/>
  <c r="I230" i="34"/>
  <c r="I228" i="34"/>
  <c r="R228" i="34"/>
  <c r="O228" i="34"/>
  <c r="L228" i="34"/>
  <c r="I223" i="34"/>
  <c r="F228" i="34"/>
  <c r="F227" i="34"/>
  <c r="F223" i="34"/>
  <c r="P219" i="34"/>
  <c r="P218" i="34"/>
  <c r="P217" i="34"/>
  <c r="O220" i="34"/>
  <c r="N220" i="34"/>
  <c r="M220" i="34"/>
  <c r="M218" i="34"/>
  <c r="M217" i="34"/>
  <c r="L220" i="34"/>
  <c r="K220" i="34"/>
  <c r="J220" i="34"/>
  <c r="L219" i="34"/>
  <c r="K219" i="34"/>
  <c r="J219" i="34"/>
  <c r="J217" i="34"/>
  <c r="Q214" i="34"/>
  <c r="Q213" i="34"/>
  <c r="Q212" i="34"/>
  <c r="Q211" i="34"/>
  <c r="O214" i="34"/>
  <c r="N214" i="34"/>
  <c r="M214" i="34"/>
  <c r="O213" i="34"/>
  <c r="N213" i="34"/>
  <c r="M213" i="34"/>
  <c r="O212" i="34"/>
  <c r="N212" i="34"/>
  <c r="M212" i="34"/>
  <c r="O211" i="34"/>
  <c r="N211" i="34"/>
  <c r="M211" i="34"/>
  <c r="L214" i="34"/>
  <c r="K214" i="34"/>
  <c r="J214" i="34"/>
  <c r="L213" i="34"/>
  <c r="K213" i="34"/>
  <c r="J213" i="34"/>
  <c r="L212" i="34"/>
  <c r="K212" i="34"/>
  <c r="J212" i="34"/>
  <c r="L211" i="34"/>
  <c r="K211" i="34"/>
  <c r="J211" i="34"/>
  <c r="P209" i="34"/>
  <c r="P208" i="34"/>
  <c r="P207" i="34"/>
  <c r="P206" i="34"/>
  <c r="N209" i="34"/>
  <c r="N208" i="34"/>
  <c r="N207" i="34"/>
  <c r="N206" i="34"/>
  <c r="L209" i="34"/>
  <c r="K209" i="34"/>
  <c r="J209" i="34"/>
  <c r="L208" i="34"/>
  <c r="K208" i="34"/>
  <c r="J208" i="34"/>
  <c r="L207" i="34"/>
  <c r="K207" i="34"/>
  <c r="J207" i="34"/>
  <c r="L206" i="34"/>
  <c r="K206" i="34"/>
  <c r="J206" i="34"/>
  <c r="P204" i="34"/>
  <c r="P203" i="34"/>
  <c r="P202" i="34"/>
  <c r="P201" i="34"/>
  <c r="M204" i="34"/>
  <c r="M203" i="34"/>
  <c r="M202" i="34"/>
  <c r="M201" i="34"/>
  <c r="K204" i="34"/>
  <c r="K203" i="34"/>
  <c r="K202" i="34"/>
  <c r="K201" i="34"/>
  <c r="P199" i="34"/>
  <c r="P198" i="34"/>
  <c r="P197" i="34"/>
  <c r="P196" i="34"/>
  <c r="M199" i="34"/>
  <c r="M198" i="34"/>
  <c r="M197" i="34"/>
  <c r="M196" i="34"/>
  <c r="J199" i="34"/>
  <c r="J198" i="34"/>
  <c r="J197" i="34"/>
  <c r="J196" i="34"/>
  <c r="I220" i="34"/>
  <c r="H220" i="34"/>
  <c r="G220" i="34"/>
  <c r="I219" i="34"/>
  <c r="H219" i="34"/>
  <c r="G219" i="34"/>
  <c r="I218" i="34"/>
  <c r="H218" i="34"/>
  <c r="G218" i="34"/>
  <c r="I214" i="34"/>
  <c r="H214" i="34"/>
  <c r="G214" i="34"/>
  <c r="I213" i="34"/>
  <c r="H213" i="34"/>
  <c r="G213" i="34"/>
  <c r="I212" i="34"/>
  <c r="H212" i="34"/>
  <c r="G212" i="34"/>
  <c r="I211" i="34"/>
  <c r="H211" i="34"/>
  <c r="G211" i="34"/>
  <c r="I209" i="34"/>
  <c r="H209" i="34"/>
  <c r="G209" i="34"/>
  <c r="I208" i="34"/>
  <c r="H208" i="34"/>
  <c r="G208" i="34"/>
  <c r="I207" i="34"/>
  <c r="H207" i="34"/>
  <c r="G207" i="34"/>
  <c r="I206" i="34"/>
  <c r="H206" i="34"/>
  <c r="G206" i="34"/>
  <c r="I204" i="34"/>
  <c r="H204" i="34"/>
  <c r="G204" i="34"/>
  <c r="I203" i="34"/>
  <c r="H203" i="34"/>
  <c r="G203" i="34"/>
  <c r="I202" i="34"/>
  <c r="H202" i="34"/>
  <c r="G202" i="34"/>
  <c r="I201" i="34"/>
  <c r="H201" i="34"/>
  <c r="G201" i="34"/>
  <c r="H199" i="34"/>
  <c r="H198" i="34"/>
  <c r="H197" i="34"/>
  <c r="H196" i="34"/>
  <c r="F220" i="34"/>
  <c r="E220" i="34"/>
  <c r="F219" i="34"/>
  <c r="E219" i="34"/>
  <c r="F218" i="34"/>
  <c r="E218" i="34"/>
  <c r="E217" i="34"/>
  <c r="F217" i="34"/>
  <c r="F214" i="34"/>
  <c r="E214" i="34"/>
  <c r="F213" i="34"/>
  <c r="E213" i="34"/>
  <c r="F212" i="34"/>
  <c r="E212" i="34"/>
  <c r="F211" i="34"/>
  <c r="E211" i="34"/>
  <c r="F209" i="34"/>
  <c r="E209" i="34"/>
  <c r="F208" i="34"/>
  <c r="E208" i="34"/>
  <c r="F207" i="34"/>
  <c r="E207" i="34"/>
  <c r="F206" i="34"/>
  <c r="E206" i="34"/>
  <c r="F204" i="34"/>
  <c r="E204" i="34"/>
  <c r="F203" i="34"/>
  <c r="E203" i="34"/>
  <c r="F202" i="34"/>
  <c r="E202" i="34"/>
  <c r="F201" i="34"/>
  <c r="E201" i="34"/>
  <c r="F199" i="34"/>
  <c r="E199" i="34"/>
  <c r="F198" i="34"/>
  <c r="E198" i="34"/>
  <c r="F197" i="34"/>
  <c r="E197" i="34"/>
  <c r="F196" i="34"/>
  <c r="E196" i="34"/>
  <c r="D220" i="34"/>
  <c r="D219" i="34"/>
  <c r="D218" i="34"/>
  <c r="D217" i="34"/>
  <c r="D214" i="34"/>
  <c r="D213" i="34"/>
  <c r="D212" i="34"/>
  <c r="D211" i="34"/>
  <c r="D209" i="34"/>
  <c r="D208" i="34"/>
  <c r="D207" i="34"/>
  <c r="D206" i="34"/>
  <c r="D204" i="34"/>
  <c r="D203" i="34"/>
  <c r="D202" i="34"/>
  <c r="D201" i="34"/>
  <c r="D199" i="34"/>
  <c r="D198" i="34"/>
  <c r="D197" i="34"/>
  <c r="D196" i="34"/>
  <c r="L227" i="34" l="1"/>
  <c r="H34" i="36"/>
  <c r="M154" i="34" s="1"/>
  <c r="P211" i="34"/>
  <c r="D46" i="1" l="1"/>
  <c r="B5" i="20" l="1"/>
  <c r="G5" i="20"/>
  <c r="F6" i="32"/>
  <c r="B6" i="28"/>
  <c r="B6" i="32" l="1"/>
  <c r="B6" i="36"/>
  <c r="L6" i="36" s="1"/>
  <c r="G49" i="34"/>
  <c r="H49" i="34"/>
  <c r="I49" i="34"/>
  <c r="J49" i="34"/>
  <c r="I33" i="20" l="1"/>
  <c r="K33" i="20" s="1"/>
  <c r="M33" i="20" s="1"/>
  <c r="F31" i="22" l="1"/>
  <c r="G31" i="22"/>
  <c r="H31" i="22"/>
  <c r="E31" i="22"/>
  <c r="C31" i="22"/>
  <c r="H16" i="22"/>
  <c r="G16" i="22"/>
  <c r="F16" i="22"/>
  <c r="E16" i="22"/>
  <c r="C16" i="22"/>
  <c r="Q79" i="34" l="1"/>
  <c r="O79" i="34"/>
  <c r="M79" i="34"/>
  <c r="H77" i="32" l="1"/>
  <c r="K40" i="28" l="1"/>
  <c r="L223" i="34" s="1"/>
  <c r="H19" i="36"/>
  <c r="M142" i="34" s="1"/>
  <c r="H38" i="36"/>
  <c r="M158" i="34" s="1"/>
  <c r="AI24" i="29"/>
  <c r="L19" i="34" l="1"/>
  <c r="L21" i="34"/>
  <c r="L23" i="34"/>
  <c r="L25" i="34"/>
  <c r="L27" i="34"/>
  <c r="L29" i="34"/>
  <c r="L31" i="34"/>
  <c r="L32" i="34"/>
  <c r="L34" i="34"/>
  <c r="E62" i="26" l="1"/>
  <c r="G52" i="37" s="1"/>
  <c r="I59" i="26"/>
  <c r="K49" i="34" l="1"/>
  <c r="K49" i="37"/>
  <c r="I34" i="36"/>
  <c r="O154" i="34" s="1"/>
  <c r="F54" i="1"/>
  <c r="R227" i="34" l="1"/>
  <c r="J34" i="36"/>
  <c r="Q154" i="34" s="1"/>
  <c r="O227" i="34"/>
  <c r="H71" i="32" l="1"/>
  <c r="I71" i="32" l="1"/>
  <c r="H33" i="36"/>
  <c r="K59" i="26"/>
  <c r="I77" i="32"/>
  <c r="J71" i="32" l="1"/>
  <c r="J33" i="36" s="1"/>
  <c r="I33" i="36"/>
  <c r="I19" i="36"/>
  <c r="O142" i="34" s="1"/>
  <c r="I38" i="36"/>
  <c r="O158" i="34" s="1"/>
  <c r="J77" i="32"/>
  <c r="N40" i="28"/>
  <c r="O223" i="34" s="1"/>
  <c r="D227" i="34"/>
  <c r="D50" i="22"/>
  <c r="D49" i="22"/>
  <c r="F29" i="22"/>
  <c r="G29" i="22"/>
  <c r="H29" i="22"/>
  <c r="E29" i="22"/>
  <c r="I44" i="30"/>
  <c r="Q40" i="28" l="1"/>
  <c r="R223" i="34" s="1"/>
  <c r="J19" i="36"/>
  <c r="Q142" i="34" s="1"/>
  <c r="J38" i="36"/>
  <c r="Q158" i="34" s="1"/>
  <c r="I227" i="34"/>
  <c r="P44" i="30"/>
  <c r="L44" i="30"/>
  <c r="H44" i="30"/>
  <c r="G44" i="30"/>
  <c r="O44" i="30"/>
  <c r="K44" i="30"/>
  <c r="R44" i="30"/>
  <c r="N44" i="30"/>
  <c r="J44" i="30"/>
  <c r="Q44" i="30"/>
  <c r="M44" i="30"/>
  <c r="S44" i="30" l="1"/>
  <c r="T44" i="30" s="1"/>
  <c r="K127" i="34"/>
  <c r="K124" i="34"/>
  <c r="Q119" i="34"/>
  <c r="O119" i="34"/>
  <c r="M119" i="34"/>
  <c r="K119" i="34"/>
  <c r="Q110" i="34"/>
  <c r="Q135" i="34" s="1"/>
  <c r="Q172" i="34" s="1"/>
  <c r="O110" i="34"/>
  <c r="N235" i="34" s="1"/>
  <c r="M110" i="34"/>
  <c r="L235" i="34" s="1"/>
  <c r="K110" i="34"/>
  <c r="J235" i="34" s="1"/>
  <c r="K107" i="34"/>
  <c r="Q105" i="34"/>
  <c r="O105" i="34"/>
  <c r="K105" i="34"/>
  <c r="K79" i="34"/>
  <c r="R76" i="34"/>
  <c r="P76" i="34"/>
  <c r="N76" i="34"/>
  <c r="L76" i="34"/>
  <c r="K76" i="34"/>
  <c r="Q72" i="34"/>
  <c r="O72" i="34"/>
  <c r="M72" i="34"/>
  <c r="K72" i="34"/>
  <c r="Q71" i="34"/>
  <c r="O71" i="34"/>
  <c r="M71" i="34"/>
  <c r="K71" i="34"/>
  <c r="K64" i="34"/>
  <c r="Q61" i="34"/>
  <c r="O61" i="34"/>
  <c r="M61" i="34"/>
  <c r="K61" i="34"/>
  <c r="K60" i="34"/>
  <c r="J48" i="34"/>
  <c r="I48" i="34"/>
  <c r="H48" i="34"/>
  <c r="G48" i="34"/>
  <c r="J47" i="34"/>
  <c r="I47" i="34"/>
  <c r="H47" i="34"/>
  <c r="G47" i="34"/>
  <c r="C47" i="34"/>
  <c r="J46" i="34"/>
  <c r="I46" i="34"/>
  <c r="H46" i="34"/>
  <c r="G46" i="34"/>
  <c r="C46" i="34"/>
  <c r="J45" i="34"/>
  <c r="I45" i="34"/>
  <c r="H45" i="34"/>
  <c r="G45" i="34"/>
  <c r="C45" i="34"/>
  <c r="J43" i="34"/>
  <c r="I43" i="34"/>
  <c r="H43" i="34"/>
  <c r="G43" i="34"/>
  <c r="J42" i="34"/>
  <c r="I42" i="34"/>
  <c r="H42" i="34"/>
  <c r="G42" i="34"/>
  <c r="J40" i="34"/>
  <c r="I40" i="34"/>
  <c r="H40" i="34"/>
  <c r="G40" i="34"/>
  <c r="J39" i="34"/>
  <c r="I39" i="34"/>
  <c r="H39" i="34"/>
  <c r="G39" i="34"/>
  <c r="J31" i="34"/>
  <c r="I31" i="34"/>
  <c r="H31" i="34"/>
  <c r="G31" i="34"/>
  <c r="J30" i="34"/>
  <c r="I30" i="34"/>
  <c r="H30" i="34"/>
  <c r="G30" i="34"/>
  <c r="J29" i="34"/>
  <c r="I29" i="34"/>
  <c r="H29" i="34"/>
  <c r="G29" i="34"/>
  <c r="J28" i="34"/>
  <c r="I28" i="34"/>
  <c r="H28" i="34"/>
  <c r="G28" i="34"/>
  <c r="J27" i="34"/>
  <c r="I27" i="34"/>
  <c r="H27" i="34"/>
  <c r="G27" i="34"/>
  <c r="J25" i="34"/>
  <c r="I25" i="34"/>
  <c r="H25" i="34"/>
  <c r="G25" i="34"/>
  <c r="G24" i="34"/>
  <c r="J23" i="34"/>
  <c r="I23" i="34"/>
  <c r="H23" i="34"/>
  <c r="G23" i="34"/>
  <c r="J21" i="34"/>
  <c r="I21" i="34"/>
  <c r="H21" i="34"/>
  <c r="G21" i="34"/>
  <c r="J20" i="34"/>
  <c r="I20" i="34"/>
  <c r="H20" i="34"/>
  <c r="G20" i="34"/>
  <c r="J19" i="34"/>
  <c r="I19" i="34"/>
  <c r="H19" i="34"/>
  <c r="G19" i="34"/>
  <c r="J18" i="34"/>
  <c r="I18" i="34"/>
  <c r="H18" i="34"/>
  <c r="G18" i="34"/>
  <c r="J17" i="34"/>
  <c r="I17" i="34"/>
  <c r="H17" i="34"/>
  <c r="G17" i="34"/>
  <c r="G16" i="34"/>
  <c r="L13" i="34"/>
  <c r="B13" i="34"/>
  <c r="B12" i="34"/>
  <c r="L11" i="34"/>
  <c r="L9" i="34"/>
  <c r="L3" i="34"/>
  <c r="AL51" i="29"/>
  <c r="AM50" i="29"/>
  <c r="AI50" i="29"/>
  <c r="AK50" i="29" s="1"/>
  <c r="Z50" i="29"/>
  <c r="T50" i="29"/>
  <c r="Q50" i="29"/>
  <c r="S50" i="29" s="1"/>
  <c r="N50" i="29"/>
  <c r="AM49" i="29"/>
  <c r="AI49" i="29"/>
  <c r="AK49" i="29" s="1"/>
  <c r="AC49" i="29"/>
  <c r="AE49" i="29" s="1"/>
  <c r="Z49" i="29"/>
  <c r="T49" i="29"/>
  <c r="Q49" i="29"/>
  <c r="S49" i="29" s="1"/>
  <c r="N49" i="29"/>
  <c r="AM48" i="29"/>
  <c r="AI48" i="29"/>
  <c r="AK48" i="29" s="1"/>
  <c r="AC48" i="29"/>
  <c r="AE48" i="29" s="1"/>
  <c r="W48" i="29"/>
  <c r="Y48" i="29" s="1"/>
  <c r="T48" i="29"/>
  <c r="N48" i="29"/>
  <c r="AM47" i="29"/>
  <c r="AI47" i="29"/>
  <c r="AK47" i="29" s="1"/>
  <c r="AC47" i="29"/>
  <c r="W47" i="29"/>
  <c r="Y47" i="29" s="1"/>
  <c r="Q47" i="29"/>
  <c r="O51" i="29"/>
  <c r="AI41" i="29"/>
  <c r="W38" i="29"/>
  <c r="W50" i="29" s="1"/>
  <c r="Y50" i="29" s="1"/>
  <c r="E38" i="29"/>
  <c r="Y38" i="29" s="1"/>
  <c r="D38" i="29"/>
  <c r="C38" i="29"/>
  <c r="E35" i="29"/>
  <c r="D35" i="29"/>
  <c r="C35" i="29"/>
  <c r="K32" i="29"/>
  <c r="E32" i="29"/>
  <c r="M32" i="29" s="1"/>
  <c r="D32" i="29"/>
  <c r="C32" i="29"/>
  <c r="E29" i="29"/>
  <c r="D29" i="29"/>
  <c r="C29" i="29"/>
  <c r="AE23" i="29"/>
  <c r="E23" i="29"/>
  <c r="D23" i="29"/>
  <c r="C23" i="29"/>
  <c r="B23" i="29"/>
  <c r="AE22" i="29"/>
  <c r="E22" i="29"/>
  <c r="D22" i="29"/>
  <c r="AD22" i="29" s="1"/>
  <c r="AJ22" i="29" s="1"/>
  <c r="C22" i="29"/>
  <c r="B22" i="29"/>
  <c r="AE21" i="29"/>
  <c r="E21" i="29"/>
  <c r="D21" i="29"/>
  <c r="C21" i="29"/>
  <c r="B21" i="29"/>
  <c r="AE20" i="29"/>
  <c r="E20" i="29"/>
  <c r="D20" i="29"/>
  <c r="C20" i="29"/>
  <c r="B20" i="29"/>
  <c r="Y19" i="29"/>
  <c r="E19" i="29"/>
  <c r="D19" i="29"/>
  <c r="X19" i="29" s="1"/>
  <c r="AD19" i="29" s="1"/>
  <c r="AJ19" i="29" s="1"/>
  <c r="C19" i="29"/>
  <c r="B19" i="29"/>
  <c r="Y18" i="29"/>
  <c r="E18" i="29"/>
  <c r="D18" i="29"/>
  <c r="X18" i="29" s="1"/>
  <c r="AD18" i="29" s="1"/>
  <c r="AJ18" i="29" s="1"/>
  <c r="C18" i="29"/>
  <c r="B18" i="29"/>
  <c r="AC17" i="29"/>
  <c r="Y17" i="29"/>
  <c r="E17" i="29"/>
  <c r="D17" i="29"/>
  <c r="C17" i="29"/>
  <c r="B17" i="29"/>
  <c r="AC16" i="29"/>
  <c r="Y16" i="29"/>
  <c r="R16" i="29"/>
  <c r="E16" i="29"/>
  <c r="D16" i="29"/>
  <c r="C16" i="29"/>
  <c r="B16" i="29"/>
  <c r="AC15" i="29"/>
  <c r="S15" i="29"/>
  <c r="E15" i="29"/>
  <c r="D15" i="29"/>
  <c r="R15" i="29" s="1"/>
  <c r="X15" i="29" s="1"/>
  <c r="AD15" i="29" s="1"/>
  <c r="AJ15" i="29" s="1"/>
  <c r="C15" i="29"/>
  <c r="B15" i="29"/>
  <c r="AC14" i="29"/>
  <c r="W14" i="29"/>
  <c r="S14" i="29"/>
  <c r="E14" i="29"/>
  <c r="D14" i="29"/>
  <c r="C14" i="29"/>
  <c r="B14" i="29"/>
  <c r="AC13" i="29"/>
  <c r="W13" i="29"/>
  <c r="S13" i="29"/>
  <c r="E13" i="29"/>
  <c r="D13" i="29"/>
  <c r="R13" i="29" s="1"/>
  <c r="X13" i="29" s="1"/>
  <c r="AD13" i="29" s="1"/>
  <c r="AJ13" i="29" s="1"/>
  <c r="C13" i="29"/>
  <c r="B13" i="29"/>
  <c r="AC12" i="29"/>
  <c r="W12" i="29"/>
  <c r="S12" i="29"/>
  <c r="E12" i="29"/>
  <c r="D12" i="29"/>
  <c r="C12" i="29"/>
  <c r="B12" i="29"/>
  <c r="AC11" i="29"/>
  <c r="W11" i="29"/>
  <c r="Q11" i="29"/>
  <c r="M11" i="29"/>
  <c r="E11" i="29"/>
  <c r="D11" i="29"/>
  <c r="C11" i="29"/>
  <c r="B11" i="29"/>
  <c r="AC10" i="29"/>
  <c r="W10" i="29"/>
  <c r="Q10" i="29"/>
  <c r="M10" i="29"/>
  <c r="E10" i="29"/>
  <c r="D10" i="29"/>
  <c r="C10" i="29"/>
  <c r="B10" i="29"/>
  <c r="AC9" i="29"/>
  <c r="W9" i="29"/>
  <c r="Q9" i="29"/>
  <c r="M9" i="29"/>
  <c r="E9" i="29"/>
  <c r="D9" i="29"/>
  <c r="C9" i="29"/>
  <c r="B9" i="29"/>
  <c r="AC8" i="29"/>
  <c r="W8" i="29"/>
  <c r="Q8" i="29"/>
  <c r="M8" i="29"/>
  <c r="E8" i="29"/>
  <c r="D8" i="29"/>
  <c r="C8" i="29"/>
  <c r="B8" i="29"/>
  <c r="H45" i="22"/>
  <c r="G45" i="22"/>
  <c r="F45" i="22"/>
  <c r="E45" i="22"/>
  <c r="E42" i="22"/>
  <c r="C42" i="22"/>
  <c r="H41" i="22"/>
  <c r="G41" i="22"/>
  <c r="F41" i="22"/>
  <c r="E41" i="22"/>
  <c r="C41" i="22"/>
  <c r="B41" i="22"/>
  <c r="H38" i="22"/>
  <c r="G38" i="22"/>
  <c r="F38" i="22"/>
  <c r="E38" i="22"/>
  <c r="C38" i="22"/>
  <c r="E35" i="22"/>
  <c r="C35" i="22"/>
  <c r="H34" i="22"/>
  <c r="G34" i="22"/>
  <c r="F34" i="22"/>
  <c r="C34" i="22"/>
  <c r="B34" i="22"/>
  <c r="H28" i="22"/>
  <c r="H30" i="22" s="1"/>
  <c r="G28" i="22"/>
  <c r="G30" i="22" s="1"/>
  <c r="F28" i="22"/>
  <c r="F30" i="22" s="1"/>
  <c r="E28" i="22"/>
  <c r="E30" i="22" s="1"/>
  <c r="C28" i="22"/>
  <c r="B28" i="22"/>
  <c r="H25" i="22"/>
  <c r="G25" i="22"/>
  <c r="F25" i="22"/>
  <c r="E25" i="22"/>
  <c r="C25" i="22"/>
  <c r="K24" i="22"/>
  <c r="L22" i="22"/>
  <c r="K22" i="22"/>
  <c r="E22" i="22"/>
  <c r="C22" i="22"/>
  <c r="H20" i="22"/>
  <c r="G20" i="22"/>
  <c r="F20" i="22"/>
  <c r="E20" i="22"/>
  <c r="H19" i="22"/>
  <c r="G19" i="22"/>
  <c r="F19" i="22"/>
  <c r="E19" i="22"/>
  <c r="C19" i="22"/>
  <c r="B19" i="22"/>
  <c r="L18" i="22"/>
  <c r="K18" i="22"/>
  <c r="X16" i="22"/>
  <c r="W16" i="22"/>
  <c r="V16" i="22"/>
  <c r="U16" i="22"/>
  <c r="T16" i="22"/>
  <c r="S16" i="22"/>
  <c r="R16" i="22"/>
  <c r="Q16" i="22"/>
  <c r="P16" i="22"/>
  <c r="O16" i="22"/>
  <c r="N16" i="22"/>
  <c r="L16" i="22"/>
  <c r="K16" i="22"/>
  <c r="H15" i="22"/>
  <c r="H17" i="22" s="1"/>
  <c r="G15" i="22"/>
  <c r="G17" i="22" s="1"/>
  <c r="F15" i="22"/>
  <c r="F17" i="22" s="1"/>
  <c r="E15" i="22"/>
  <c r="E17" i="22" s="1"/>
  <c r="C15" i="22"/>
  <c r="B15" i="22"/>
  <c r="L14" i="22"/>
  <c r="K14" i="22"/>
  <c r="X12" i="22"/>
  <c r="W12" i="22"/>
  <c r="V12" i="22"/>
  <c r="U12" i="22"/>
  <c r="T12" i="22"/>
  <c r="S12" i="22"/>
  <c r="R12" i="22"/>
  <c r="Q12" i="22"/>
  <c r="P12" i="22"/>
  <c r="O12" i="22"/>
  <c r="N12" i="22"/>
  <c r="M12" i="22"/>
  <c r="L12" i="22"/>
  <c r="K12" i="22"/>
  <c r="H12" i="22"/>
  <c r="G12" i="22"/>
  <c r="F12" i="22"/>
  <c r="E12" i="22"/>
  <c r="C12" i="22"/>
  <c r="L10" i="22"/>
  <c r="K10" i="22"/>
  <c r="J10" i="22"/>
  <c r="E9" i="22"/>
  <c r="C9" i="22"/>
  <c r="H8" i="22"/>
  <c r="G8" i="22"/>
  <c r="F8" i="22"/>
  <c r="E8" i="22"/>
  <c r="C8" i="22"/>
  <c r="B8" i="22"/>
  <c r="L7" i="22"/>
  <c r="K7" i="22"/>
  <c r="J7" i="22"/>
  <c r="L5" i="22"/>
  <c r="K5" i="22"/>
  <c r="J5" i="22"/>
  <c r="H5" i="22"/>
  <c r="G5" i="22"/>
  <c r="F5" i="22"/>
  <c r="E5" i="22"/>
  <c r="C5" i="22"/>
  <c r="H4" i="22"/>
  <c r="G4" i="22"/>
  <c r="F4" i="22"/>
  <c r="E4" i="22"/>
  <c r="G24" i="36" s="1"/>
  <c r="C4" i="22"/>
  <c r="B4" i="22"/>
  <c r="L3" i="22"/>
  <c r="K3" i="22"/>
  <c r="J3" i="22"/>
  <c r="E3" i="22"/>
  <c r="D3" i="22"/>
  <c r="M2" i="22"/>
  <c r="F76" i="2"/>
  <c r="M75" i="2"/>
  <c r="N75" i="2" s="1"/>
  <c r="F75" i="2"/>
  <c r="M74" i="2"/>
  <c r="N74" i="2" s="1"/>
  <c r="F74" i="2"/>
  <c r="E73" i="2"/>
  <c r="E77" i="2" s="1"/>
  <c r="F72" i="2"/>
  <c r="G72" i="2" s="1"/>
  <c r="H72" i="2" s="1"/>
  <c r="F69" i="2"/>
  <c r="M68" i="2"/>
  <c r="N68" i="2" s="1"/>
  <c r="F68" i="2"/>
  <c r="M67" i="2"/>
  <c r="N67" i="2" s="1"/>
  <c r="F67" i="2"/>
  <c r="E66" i="2"/>
  <c r="E70" i="2" s="1"/>
  <c r="F65" i="2"/>
  <c r="G65" i="2" s="1"/>
  <c r="H65" i="2" s="1"/>
  <c r="F62" i="2"/>
  <c r="M61" i="2"/>
  <c r="N61" i="2" s="1"/>
  <c r="F61" i="2"/>
  <c r="M60" i="2"/>
  <c r="N60" i="2" s="1"/>
  <c r="F60" i="2"/>
  <c r="E59" i="2"/>
  <c r="E63" i="2" s="1"/>
  <c r="F58" i="2"/>
  <c r="G58" i="2" s="1"/>
  <c r="H58" i="2" s="1"/>
  <c r="F55" i="2"/>
  <c r="M54" i="2"/>
  <c r="F54" i="2"/>
  <c r="M53" i="2"/>
  <c r="N53" i="2" s="1"/>
  <c r="F53" i="2"/>
  <c r="E52" i="2"/>
  <c r="E56" i="2" s="1"/>
  <c r="F51" i="2"/>
  <c r="G51" i="2" s="1"/>
  <c r="H51" i="2" s="1"/>
  <c r="F48" i="2"/>
  <c r="M47" i="2"/>
  <c r="N47" i="2" s="1"/>
  <c r="F47" i="2"/>
  <c r="M46" i="2"/>
  <c r="F46" i="2"/>
  <c r="E45" i="2"/>
  <c r="E49" i="2" s="1"/>
  <c r="F44" i="2"/>
  <c r="G44" i="2" s="1"/>
  <c r="H44" i="2" s="1"/>
  <c r="F41" i="2"/>
  <c r="G41" i="2" s="1"/>
  <c r="H41" i="2" s="1"/>
  <c r="M40" i="2"/>
  <c r="N40" i="2" s="1"/>
  <c r="F40" i="2"/>
  <c r="M39" i="2"/>
  <c r="N39" i="2" s="1"/>
  <c r="F39" i="2"/>
  <c r="E38" i="2"/>
  <c r="E42" i="2" s="1"/>
  <c r="F37" i="2"/>
  <c r="G37" i="2" s="1"/>
  <c r="H37" i="2" s="1"/>
  <c r="F34" i="2"/>
  <c r="M33" i="2"/>
  <c r="N33" i="2" s="1"/>
  <c r="F33" i="2"/>
  <c r="M32" i="2"/>
  <c r="N32" i="2" s="1"/>
  <c r="F32" i="2"/>
  <c r="E31" i="2"/>
  <c r="E35" i="2" s="1"/>
  <c r="F30" i="2"/>
  <c r="G30" i="2" s="1"/>
  <c r="H30" i="2" s="1"/>
  <c r="F27" i="2"/>
  <c r="G27" i="2" s="1"/>
  <c r="M26" i="2"/>
  <c r="N26" i="2" s="1"/>
  <c r="F26" i="2"/>
  <c r="F25" i="2"/>
  <c r="E24" i="2"/>
  <c r="E28" i="2" s="1"/>
  <c r="F23" i="2"/>
  <c r="G23" i="2" s="1"/>
  <c r="H23" i="2" s="1"/>
  <c r="F19" i="2"/>
  <c r="M18" i="2"/>
  <c r="N18" i="2" s="1"/>
  <c r="F18" i="2"/>
  <c r="E17" i="2"/>
  <c r="G16" i="2"/>
  <c r="H9" i="2"/>
  <c r="G9" i="2"/>
  <c r="F9" i="2"/>
  <c r="E7" i="2"/>
  <c r="J2" i="2"/>
  <c r="N131" i="1"/>
  <c r="F131" i="1"/>
  <c r="N129" i="1"/>
  <c r="O129" i="1" s="1"/>
  <c r="F129" i="1"/>
  <c r="N127" i="1"/>
  <c r="F127" i="1"/>
  <c r="N126" i="1"/>
  <c r="O126" i="1" s="1"/>
  <c r="F126" i="1"/>
  <c r="N125" i="1"/>
  <c r="O125" i="1" s="1"/>
  <c r="F125" i="1"/>
  <c r="N124" i="1"/>
  <c r="O124" i="1" s="1"/>
  <c r="F124" i="1"/>
  <c r="N123" i="1"/>
  <c r="O123" i="1" s="1"/>
  <c r="F123" i="1"/>
  <c r="N122" i="1"/>
  <c r="O122" i="1" s="1"/>
  <c r="F122" i="1"/>
  <c r="N121" i="1"/>
  <c r="O121" i="1" s="1"/>
  <c r="F121" i="1"/>
  <c r="D120" i="1"/>
  <c r="G52" i="36" s="1"/>
  <c r="K178" i="37" s="1"/>
  <c r="N119" i="1"/>
  <c r="O119" i="1" s="1"/>
  <c r="F119" i="1"/>
  <c r="N118" i="1"/>
  <c r="O118" i="1" s="1"/>
  <c r="F118" i="1"/>
  <c r="N117" i="1"/>
  <c r="F117" i="1"/>
  <c r="N116" i="1"/>
  <c r="O116" i="1" s="1"/>
  <c r="F116" i="1"/>
  <c r="D115" i="1"/>
  <c r="N114" i="1"/>
  <c r="O114" i="1" s="1"/>
  <c r="F114" i="1"/>
  <c r="N112" i="1"/>
  <c r="O112" i="1" s="1"/>
  <c r="F112" i="1"/>
  <c r="N110" i="1"/>
  <c r="O110" i="1" s="1"/>
  <c r="F110" i="1"/>
  <c r="N109" i="1"/>
  <c r="O109" i="1" s="1"/>
  <c r="F109" i="1"/>
  <c r="N108" i="1"/>
  <c r="O108" i="1" s="1"/>
  <c r="F108" i="1"/>
  <c r="N107" i="1"/>
  <c r="O107" i="1" s="1"/>
  <c r="F107" i="1"/>
  <c r="D106" i="1"/>
  <c r="N105" i="1"/>
  <c r="F105" i="1"/>
  <c r="N104" i="1"/>
  <c r="O104" i="1" s="1"/>
  <c r="F104" i="1"/>
  <c r="N103" i="1"/>
  <c r="O103" i="1" s="1"/>
  <c r="F103" i="1"/>
  <c r="N102" i="1"/>
  <c r="O102" i="1" s="1"/>
  <c r="F102" i="1"/>
  <c r="D101" i="1"/>
  <c r="N100" i="1"/>
  <c r="O100" i="1" s="1"/>
  <c r="F100" i="1"/>
  <c r="N99" i="1"/>
  <c r="O99" i="1" s="1"/>
  <c r="F99" i="1"/>
  <c r="N98" i="1"/>
  <c r="O98" i="1" s="1"/>
  <c r="F98" i="1"/>
  <c r="N97" i="1"/>
  <c r="O97" i="1" s="1"/>
  <c r="F97" i="1"/>
  <c r="N96" i="1"/>
  <c r="F96" i="1"/>
  <c r="D95" i="1"/>
  <c r="N94" i="1"/>
  <c r="O94" i="1" s="1"/>
  <c r="F94" i="1"/>
  <c r="N93" i="1"/>
  <c r="O93" i="1" s="1"/>
  <c r="F93" i="1"/>
  <c r="N92" i="1"/>
  <c r="O92" i="1" s="1"/>
  <c r="F92" i="1"/>
  <c r="N91" i="1"/>
  <c r="O91" i="1" s="1"/>
  <c r="F91" i="1"/>
  <c r="D90" i="1"/>
  <c r="N89" i="1"/>
  <c r="O89" i="1" s="1"/>
  <c r="F89" i="1"/>
  <c r="N88" i="1"/>
  <c r="O88" i="1" s="1"/>
  <c r="F88" i="1"/>
  <c r="G67" i="29" s="1"/>
  <c r="N87" i="1"/>
  <c r="O87" i="1" s="1"/>
  <c r="F87" i="1"/>
  <c r="G58" i="29" s="1"/>
  <c r="D86" i="1"/>
  <c r="N85" i="1"/>
  <c r="O85" i="1" s="1"/>
  <c r="F85" i="1"/>
  <c r="N84" i="1"/>
  <c r="O84" i="1" s="1"/>
  <c r="F84" i="1"/>
  <c r="N83" i="1"/>
  <c r="O83" i="1" s="1"/>
  <c r="F83" i="1"/>
  <c r="D82" i="1"/>
  <c r="N81" i="1"/>
  <c r="O81" i="1" s="1"/>
  <c r="F81" i="1"/>
  <c r="N80" i="1"/>
  <c r="O80" i="1" s="1"/>
  <c r="F80" i="1"/>
  <c r="N79" i="1"/>
  <c r="O79" i="1" s="1"/>
  <c r="F79" i="1"/>
  <c r="N78" i="1"/>
  <c r="O78" i="1" s="1"/>
  <c r="F78" i="1"/>
  <c r="N77" i="1"/>
  <c r="O77" i="1" s="1"/>
  <c r="F77" i="1"/>
  <c r="D76" i="1"/>
  <c r="N75" i="1"/>
  <c r="O75" i="1" s="1"/>
  <c r="F75" i="1"/>
  <c r="N74" i="1"/>
  <c r="O74" i="1" s="1"/>
  <c r="F74" i="1"/>
  <c r="N73" i="1"/>
  <c r="O73" i="1" s="1"/>
  <c r="F73" i="1"/>
  <c r="N72" i="1"/>
  <c r="O72" i="1" s="1"/>
  <c r="F72" i="1"/>
  <c r="D71" i="1"/>
  <c r="F70" i="1"/>
  <c r="H70" i="1" s="1"/>
  <c r="J70" i="1" s="1"/>
  <c r="F69" i="1"/>
  <c r="F67" i="1"/>
  <c r="H67" i="1" s="1"/>
  <c r="J67" i="1" s="1"/>
  <c r="N64" i="1"/>
  <c r="O64" i="1" s="1"/>
  <c r="F64" i="1"/>
  <c r="N63" i="1"/>
  <c r="O63" i="1" s="1"/>
  <c r="F63" i="1"/>
  <c r="N62" i="1"/>
  <c r="O62" i="1" s="1"/>
  <c r="F62" i="1"/>
  <c r="N61" i="1"/>
  <c r="O61" i="1" s="1"/>
  <c r="F61" i="1"/>
  <c r="N60" i="1"/>
  <c r="O60" i="1" s="1"/>
  <c r="F60" i="1"/>
  <c r="N59" i="1"/>
  <c r="O59" i="1" s="1"/>
  <c r="F59" i="1"/>
  <c r="N58" i="1"/>
  <c r="O58" i="1" s="1"/>
  <c r="F58" i="1"/>
  <c r="N57" i="1"/>
  <c r="O57" i="1" s="1"/>
  <c r="F57" i="1"/>
  <c r="N56" i="1"/>
  <c r="O56" i="1" s="1"/>
  <c r="F56" i="1"/>
  <c r="D53" i="1"/>
  <c r="U28" i="30" s="1"/>
  <c r="N53" i="1"/>
  <c r="O53" i="1" s="1"/>
  <c r="N51" i="1"/>
  <c r="O51" i="1" s="1"/>
  <c r="F51" i="1"/>
  <c r="N50" i="1"/>
  <c r="O50" i="1" s="1"/>
  <c r="F50" i="1"/>
  <c r="N49" i="1"/>
  <c r="F49" i="1"/>
  <c r="N48" i="1"/>
  <c r="O48" i="1" s="1"/>
  <c r="F48" i="1"/>
  <c r="N47" i="1"/>
  <c r="O47" i="1" s="1"/>
  <c r="F47" i="1"/>
  <c r="N43" i="1"/>
  <c r="O43" i="1" s="1"/>
  <c r="F43" i="1"/>
  <c r="N42" i="1"/>
  <c r="O42" i="1" s="1"/>
  <c r="F40" i="1"/>
  <c r="H40" i="1" s="1"/>
  <c r="J40" i="1" s="1"/>
  <c r="F38" i="1"/>
  <c r="F36" i="1"/>
  <c r="H36" i="1" s="1"/>
  <c r="J36" i="1" s="1"/>
  <c r="N35" i="1"/>
  <c r="O35" i="1" s="1"/>
  <c r="F33" i="1"/>
  <c r="H33" i="1" s="1"/>
  <c r="N28" i="1"/>
  <c r="O28" i="1" s="1"/>
  <c r="F28" i="1"/>
  <c r="H27" i="1"/>
  <c r="J27" i="1" s="1"/>
  <c r="F26" i="1"/>
  <c r="H26" i="1" s="1"/>
  <c r="J26" i="1" s="1"/>
  <c r="N25" i="1"/>
  <c r="F25" i="1"/>
  <c r="AN27" i="30" s="1"/>
  <c r="N22" i="1"/>
  <c r="O22" i="1" s="1"/>
  <c r="F22" i="1"/>
  <c r="H21" i="1"/>
  <c r="J21" i="1" s="1"/>
  <c r="F20" i="1"/>
  <c r="H20" i="1" s="1"/>
  <c r="J20" i="1" s="1"/>
  <c r="F19" i="1"/>
  <c r="H19" i="1" s="1"/>
  <c r="J19" i="1" s="1"/>
  <c r="N18" i="1"/>
  <c r="O18" i="1" s="1"/>
  <c r="F18" i="1"/>
  <c r="H15" i="1"/>
  <c r="J15" i="1" s="1"/>
  <c r="N14" i="1"/>
  <c r="O14" i="1" s="1"/>
  <c r="N13" i="1"/>
  <c r="O13" i="1" s="1"/>
  <c r="J10" i="1"/>
  <c r="H10" i="1"/>
  <c r="F10" i="1"/>
  <c r="M57" i="37" s="1"/>
  <c r="D7" i="1"/>
  <c r="C3" i="33"/>
  <c r="C2" i="33"/>
  <c r="C38" i="28"/>
  <c r="O37" i="28"/>
  <c r="L36" i="28"/>
  <c r="I35" i="28"/>
  <c r="F34" i="28"/>
  <c r="G32" i="28"/>
  <c r="H214" i="37" s="1"/>
  <c r="AC20" i="29"/>
  <c r="Q208" i="37"/>
  <c r="N203" i="37"/>
  <c r="K197" i="37"/>
  <c r="K196" i="37"/>
  <c r="W3" i="29"/>
  <c r="W27" i="29" s="1"/>
  <c r="F9" i="28"/>
  <c r="K3" i="29" s="1"/>
  <c r="K27" i="29" s="1"/>
  <c r="BP49" i="30"/>
  <c r="BK7" i="30"/>
  <c r="BF7" i="30"/>
  <c r="B51" i="30"/>
  <c r="B52" i="30" s="1"/>
  <c r="B53" i="30" s="1"/>
  <c r="M16" i="22"/>
  <c r="B25" i="30"/>
  <c r="J42" i="22" s="1"/>
  <c r="S22" i="30"/>
  <c r="G22" i="30"/>
  <c r="G49" i="30" s="1"/>
  <c r="S16" i="30"/>
  <c r="T16" i="30" s="1"/>
  <c r="S14" i="30"/>
  <c r="T14" i="30" s="1"/>
  <c r="J100" i="32"/>
  <c r="I93" i="32"/>
  <c r="J93" i="32" s="1"/>
  <c r="H85" i="32"/>
  <c r="I85" i="32" s="1"/>
  <c r="K129" i="34"/>
  <c r="M127" i="34"/>
  <c r="K122" i="34"/>
  <c r="H65" i="32"/>
  <c r="I65" i="32" s="1"/>
  <c r="J65" i="32" s="1"/>
  <c r="G61" i="32"/>
  <c r="G58" i="32"/>
  <c r="K114" i="34" s="1"/>
  <c r="G57" i="32"/>
  <c r="K112" i="37" s="1"/>
  <c r="L53" i="32"/>
  <c r="J53" i="32"/>
  <c r="H48" i="32"/>
  <c r="M103" i="34"/>
  <c r="K103" i="34"/>
  <c r="J35" i="32"/>
  <c r="I35" i="32"/>
  <c r="H35" i="32"/>
  <c r="G35" i="32"/>
  <c r="I10" i="32"/>
  <c r="I53" i="32" s="1"/>
  <c r="H10" i="32"/>
  <c r="H53" i="32" s="1"/>
  <c r="G10" i="32"/>
  <c r="G53" i="32" s="1"/>
  <c r="I28" i="20"/>
  <c r="K28" i="20" s="1"/>
  <c r="M28" i="20" s="1"/>
  <c r="R12" i="20"/>
  <c r="S12" i="20" s="1"/>
  <c r="G10" i="20"/>
  <c r="E9" i="2" s="1"/>
  <c r="G8" i="20"/>
  <c r="G7" i="20"/>
  <c r="I67" i="26"/>
  <c r="R63" i="36" s="1"/>
  <c r="I58" i="26"/>
  <c r="I57" i="26"/>
  <c r="K47" i="34" s="1"/>
  <c r="I56" i="26"/>
  <c r="K46" i="34" s="1"/>
  <c r="I55" i="26"/>
  <c r="K45" i="34" s="1"/>
  <c r="I52" i="26"/>
  <c r="I51" i="26"/>
  <c r="I49" i="26"/>
  <c r="K40" i="34" s="1"/>
  <c r="I48" i="26"/>
  <c r="E45" i="26"/>
  <c r="E44" i="26"/>
  <c r="J34" i="34"/>
  <c r="I34" i="34"/>
  <c r="H34" i="34"/>
  <c r="G34" i="34"/>
  <c r="I40" i="26"/>
  <c r="I38" i="26"/>
  <c r="F42" i="22"/>
  <c r="I35" i="26"/>
  <c r="F35" i="22"/>
  <c r="I32" i="26"/>
  <c r="I30" i="26"/>
  <c r="K25" i="34" s="1"/>
  <c r="F22" i="22"/>
  <c r="I27" i="26"/>
  <c r="I24" i="26"/>
  <c r="F9" i="22"/>
  <c r="I20" i="26"/>
  <c r="K19" i="34" s="1"/>
  <c r="I17" i="26"/>
  <c r="K17" i="34" s="1"/>
  <c r="F16" i="26"/>
  <c r="H18" i="1" l="1"/>
  <c r="AG27" i="30"/>
  <c r="AO27" i="30"/>
  <c r="F24" i="1"/>
  <c r="AH27" i="30"/>
  <c r="F17" i="1"/>
  <c r="K43" i="34"/>
  <c r="K43" i="37"/>
  <c r="K27" i="34"/>
  <c r="K27" i="37"/>
  <c r="K29" i="34"/>
  <c r="K29" i="37"/>
  <c r="K48" i="34"/>
  <c r="K48" i="37"/>
  <c r="C48" i="28"/>
  <c r="D232" i="34" s="1"/>
  <c r="D220" i="37"/>
  <c r="G18" i="36"/>
  <c r="G216" i="37"/>
  <c r="K21" i="34"/>
  <c r="K21" i="37"/>
  <c r="G59" i="29"/>
  <c r="E67" i="29"/>
  <c r="U40" i="30" s="1"/>
  <c r="E56" i="29"/>
  <c r="E57" i="29" s="1"/>
  <c r="E62" i="29" s="1"/>
  <c r="U30" i="30" s="1"/>
  <c r="E21" i="2"/>
  <c r="E11" i="2" s="1"/>
  <c r="K31" i="34"/>
  <c r="K31" i="37"/>
  <c r="K39" i="34"/>
  <c r="K39" i="37"/>
  <c r="J28" i="30"/>
  <c r="G28" i="30"/>
  <c r="H28" i="30"/>
  <c r="I28" i="30"/>
  <c r="K28" i="30"/>
  <c r="N28" i="30"/>
  <c r="O28" i="30"/>
  <c r="P28" i="30"/>
  <c r="Q28" i="30"/>
  <c r="R28" i="30"/>
  <c r="M28" i="30"/>
  <c r="L28" i="30"/>
  <c r="F111" i="1"/>
  <c r="O58" i="34"/>
  <c r="O57" i="37"/>
  <c r="Q58" i="34"/>
  <c r="Q57" i="37"/>
  <c r="K199" i="34"/>
  <c r="K198" i="37"/>
  <c r="H18" i="36"/>
  <c r="J217" i="37"/>
  <c r="I18" i="36"/>
  <c r="M218" i="37"/>
  <c r="P220" i="34"/>
  <c r="P219" i="37"/>
  <c r="K42" i="34"/>
  <c r="K42" i="37"/>
  <c r="K63" i="30"/>
  <c r="BG67" i="30" s="1"/>
  <c r="H16" i="37"/>
  <c r="B36" i="33"/>
  <c r="K23" i="34"/>
  <c r="K23" i="37"/>
  <c r="M59" i="37"/>
  <c r="D3" i="33"/>
  <c r="E3" i="33" s="1"/>
  <c r="I66" i="33"/>
  <c r="C53" i="33"/>
  <c r="H126" i="1"/>
  <c r="J126" i="1" s="1"/>
  <c r="D52" i="1"/>
  <c r="F55" i="1"/>
  <c r="H55" i="1" s="1"/>
  <c r="J55" i="1" s="1"/>
  <c r="M58" i="34"/>
  <c r="AE32" i="29"/>
  <c r="AK21" i="29"/>
  <c r="G30" i="36"/>
  <c r="U52" i="30"/>
  <c r="U96" i="30"/>
  <c r="H38" i="1"/>
  <c r="J38" i="1" s="1"/>
  <c r="C25" i="33"/>
  <c r="G32" i="2"/>
  <c r="H32" i="2" s="1"/>
  <c r="G67" i="2"/>
  <c r="H67" i="2" s="1"/>
  <c r="G60" i="2"/>
  <c r="H60" i="2" s="1"/>
  <c r="G39" i="2"/>
  <c r="H39" i="2" s="1"/>
  <c r="P29" i="29"/>
  <c r="P41" i="29" s="1"/>
  <c r="G76" i="32"/>
  <c r="AI26" i="30"/>
  <c r="Y12" i="22"/>
  <c r="Y16" i="22"/>
  <c r="E48" i="22"/>
  <c r="D11" i="1"/>
  <c r="Q40" i="36" s="1"/>
  <c r="J24" i="36"/>
  <c r="H48" i="22"/>
  <c r="I24" i="36"/>
  <c r="G48" i="22"/>
  <c r="H24" i="36"/>
  <c r="F48" i="22"/>
  <c r="H88" i="1"/>
  <c r="I67" i="29" s="1"/>
  <c r="H97" i="1"/>
  <c r="J97" i="1" s="1"/>
  <c r="G36" i="34"/>
  <c r="K56" i="34" s="1"/>
  <c r="G194" i="34"/>
  <c r="H103" i="1"/>
  <c r="J103" i="1" s="1"/>
  <c r="H112" i="1"/>
  <c r="K179" i="34"/>
  <c r="G47" i="32"/>
  <c r="G86" i="32"/>
  <c r="D35" i="1"/>
  <c r="D41" i="1" s="1"/>
  <c r="M107" i="34"/>
  <c r="H29" i="36"/>
  <c r="M149" i="34" s="1"/>
  <c r="J101" i="32"/>
  <c r="F63" i="36"/>
  <c r="H215" i="34"/>
  <c r="H89" i="1"/>
  <c r="H124" i="1"/>
  <c r="J124" i="1" s="1"/>
  <c r="H129" i="1"/>
  <c r="J129" i="1" s="1"/>
  <c r="F65" i="1"/>
  <c r="U86" i="30" s="1"/>
  <c r="O13" i="22"/>
  <c r="J39" i="30"/>
  <c r="H98" i="1"/>
  <c r="J98" i="1" s="1"/>
  <c r="M60" i="34"/>
  <c r="M76" i="34"/>
  <c r="G34" i="32"/>
  <c r="D221" i="34"/>
  <c r="G91" i="32"/>
  <c r="H85" i="1"/>
  <c r="J85" i="1" s="1"/>
  <c r="H14" i="1"/>
  <c r="H77" i="1"/>
  <c r="J77" i="1" s="1"/>
  <c r="M129" i="34"/>
  <c r="F45" i="26"/>
  <c r="I10" i="28"/>
  <c r="AH35" i="29"/>
  <c r="Q36" i="28" s="1"/>
  <c r="AE16" i="29"/>
  <c r="Q206" i="34"/>
  <c r="AC22" i="29"/>
  <c r="P213" i="34"/>
  <c r="S9" i="29"/>
  <c r="K197" i="34"/>
  <c r="Y13" i="29"/>
  <c r="N202" i="34"/>
  <c r="AE17" i="29"/>
  <c r="AK17" i="29" s="1"/>
  <c r="Q207" i="34"/>
  <c r="AC23" i="29"/>
  <c r="AG23" i="29" s="1"/>
  <c r="P214" i="34"/>
  <c r="K10" i="29"/>
  <c r="O10" i="29" s="1"/>
  <c r="G198" i="34"/>
  <c r="Q14" i="29"/>
  <c r="T14" i="29" s="1"/>
  <c r="V14" i="29" s="1"/>
  <c r="K20" i="28" s="1"/>
  <c r="J203" i="34"/>
  <c r="W18" i="29"/>
  <c r="M208" i="34"/>
  <c r="K9" i="29"/>
  <c r="O9" i="29" s="1"/>
  <c r="G197" i="34"/>
  <c r="S10" i="29"/>
  <c r="K198" i="34"/>
  <c r="Y14" i="29"/>
  <c r="N203" i="34"/>
  <c r="AE18" i="29"/>
  <c r="Q208" i="34"/>
  <c r="Y12" i="29"/>
  <c r="N201" i="34"/>
  <c r="K11" i="29"/>
  <c r="G199" i="34"/>
  <c r="Q15" i="29"/>
  <c r="T15" i="29" s="1"/>
  <c r="V15" i="29" s="1"/>
  <c r="K21" i="28" s="1"/>
  <c r="J204" i="34"/>
  <c r="W19" i="29"/>
  <c r="AA19" i="29" s="1"/>
  <c r="M209" i="34"/>
  <c r="AC21" i="29"/>
  <c r="AF21" i="29" s="1"/>
  <c r="AH21" i="29" s="1"/>
  <c r="Q29" i="28" s="1"/>
  <c r="P212" i="34"/>
  <c r="Y15" i="29"/>
  <c r="N204" i="34"/>
  <c r="AE19" i="29"/>
  <c r="Q209" i="34"/>
  <c r="Q32" i="29"/>
  <c r="Q41" i="29" s="1"/>
  <c r="J218" i="34"/>
  <c r="Q13" i="29"/>
  <c r="T13" i="29" s="1"/>
  <c r="V13" i="29" s="1"/>
  <c r="K19" i="28" s="1"/>
  <c r="J202" i="34"/>
  <c r="Q12" i="29"/>
  <c r="U12" i="29" s="1"/>
  <c r="J201" i="34"/>
  <c r="W16" i="29"/>
  <c r="AA16" i="29" s="1"/>
  <c r="M206" i="34"/>
  <c r="W35" i="29"/>
  <c r="W41" i="29" s="1"/>
  <c r="M219" i="34"/>
  <c r="H78" i="1"/>
  <c r="J78" i="1" s="1"/>
  <c r="H119" i="1"/>
  <c r="J119" i="1" s="1"/>
  <c r="H28" i="1"/>
  <c r="K29" i="29"/>
  <c r="K47" i="29" s="1"/>
  <c r="K51" i="29" s="1"/>
  <c r="G217" i="34"/>
  <c r="W17" i="29"/>
  <c r="Z17" i="29" s="1"/>
  <c r="AB17" i="29" s="1"/>
  <c r="N24" i="28" s="1"/>
  <c r="M207" i="34"/>
  <c r="S8" i="29"/>
  <c r="K196" i="34"/>
  <c r="K8" i="29"/>
  <c r="O8" i="29" s="1"/>
  <c r="G196" i="34"/>
  <c r="Q3" i="29"/>
  <c r="Q27" i="29" s="1"/>
  <c r="J192" i="34"/>
  <c r="AN38" i="29"/>
  <c r="F36" i="22"/>
  <c r="F39" i="22" s="1"/>
  <c r="F40" i="22" s="1"/>
  <c r="H31" i="32" s="1"/>
  <c r="H56" i="1"/>
  <c r="J56" i="1" s="1"/>
  <c r="F32" i="22"/>
  <c r="F33" i="22" s="1"/>
  <c r="H62" i="1"/>
  <c r="J62" i="1" s="1"/>
  <c r="H75" i="1"/>
  <c r="J75" i="1" s="1"/>
  <c r="H102" i="1"/>
  <c r="H114" i="1"/>
  <c r="G61" i="2"/>
  <c r="H61" i="2" s="1"/>
  <c r="G32" i="22"/>
  <c r="G33" i="22" s="1"/>
  <c r="F95" i="1"/>
  <c r="F90" i="1"/>
  <c r="G24" i="29"/>
  <c r="E32" i="22"/>
  <c r="H32" i="22"/>
  <c r="N17" i="22"/>
  <c r="V17" i="22"/>
  <c r="O17" i="22"/>
  <c r="M17" i="22"/>
  <c r="N13" i="22"/>
  <c r="G19" i="2"/>
  <c r="H19" i="2" s="1"/>
  <c r="G68" i="2"/>
  <c r="G20" i="2"/>
  <c r="H20" i="2" s="1"/>
  <c r="W17" i="22"/>
  <c r="G40" i="2"/>
  <c r="H40" i="2" s="1"/>
  <c r="BF43" i="30"/>
  <c r="AK20" i="29"/>
  <c r="M24" i="29"/>
  <c r="D2" i="33"/>
  <c r="H51" i="1"/>
  <c r="V13" i="22"/>
  <c r="G48" i="2"/>
  <c r="H48" i="2" s="1"/>
  <c r="Q202" i="37"/>
  <c r="H27" i="2"/>
  <c r="H22" i="1"/>
  <c r="F45" i="2"/>
  <c r="F49" i="2" s="1"/>
  <c r="G75" i="2"/>
  <c r="H75" i="2" s="1"/>
  <c r="M29" i="29"/>
  <c r="G34" i="28" s="1"/>
  <c r="H216" i="37" s="1"/>
  <c r="AM51" i="29"/>
  <c r="Q200" i="37"/>
  <c r="S11" i="29"/>
  <c r="O32" i="28"/>
  <c r="P214" i="37" s="1"/>
  <c r="M13" i="22"/>
  <c r="U13" i="22"/>
  <c r="G76" i="2"/>
  <c r="H76" i="2" s="1"/>
  <c r="N197" i="37"/>
  <c r="H60" i="1"/>
  <c r="J60" i="1" s="1"/>
  <c r="H64" i="1"/>
  <c r="J64" i="1" s="1"/>
  <c r="H107" i="1"/>
  <c r="J107" i="1" s="1"/>
  <c r="H123" i="1"/>
  <c r="J123" i="1" s="1"/>
  <c r="G26" i="2"/>
  <c r="H26" i="2" s="1"/>
  <c r="F52" i="2"/>
  <c r="F56" i="2" s="1"/>
  <c r="G62" i="2"/>
  <c r="E10" i="2"/>
  <c r="G57" i="36" s="1"/>
  <c r="K183" i="37" s="1"/>
  <c r="AB29" i="29"/>
  <c r="N34" i="28" s="1"/>
  <c r="H57" i="1"/>
  <c r="J57" i="1" s="1"/>
  <c r="H61" i="1"/>
  <c r="J61" i="1" s="1"/>
  <c r="H74" i="1"/>
  <c r="J74" i="1" s="1"/>
  <c r="H104" i="1"/>
  <c r="J104" i="1" s="1"/>
  <c r="H116" i="1"/>
  <c r="F17" i="2"/>
  <c r="F21" i="2" s="1"/>
  <c r="AH29" i="29"/>
  <c r="Q34" i="28" s="1"/>
  <c r="H49" i="1"/>
  <c r="F115" i="1"/>
  <c r="G46" i="2"/>
  <c r="G54" i="2"/>
  <c r="K12" i="20"/>
  <c r="N196" i="37"/>
  <c r="H50" i="1"/>
  <c r="J50" i="1" s="1"/>
  <c r="F82" i="1"/>
  <c r="F101" i="1"/>
  <c r="G47" i="2"/>
  <c r="H47" i="2" s="1"/>
  <c r="W13" i="22"/>
  <c r="I38" i="28"/>
  <c r="H47" i="1"/>
  <c r="H59" i="1"/>
  <c r="J59" i="1" s="1"/>
  <c r="H79" i="1"/>
  <c r="J79" i="1" s="1"/>
  <c r="H87" i="1"/>
  <c r="H118" i="1"/>
  <c r="H122" i="1"/>
  <c r="J122" i="1" s="1"/>
  <c r="H130" i="1"/>
  <c r="J130" i="1" s="1"/>
  <c r="G33" i="2"/>
  <c r="H33" i="2" s="1"/>
  <c r="F38" i="2"/>
  <c r="F42" i="2" s="1"/>
  <c r="F66" i="2"/>
  <c r="F70" i="2" s="1"/>
  <c r="I78" i="32"/>
  <c r="I48" i="32"/>
  <c r="F43" i="22"/>
  <c r="F44" i="22" s="1"/>
  <c r="K117" i="34"/>
  <c r="H61" i="32"/>
  <c r="H131" i="1"/>
  <c r="G22" i="22"/>
  <c r="H127" i="1"/>
  <c r="K115" i="34"/>
  <c r="AK23" i="29"/>
  <c r="AK16" i="29"/>
  <c r="R12" i="29"/>
  <c r="X12" i="29" s="1"/>
  <c r="AD12" i="29" s="1"/>
  <c r="AJ12" i="29" s="1"/>
  <c r="AD23" i="29"/>
  <c r="AJ23" i="29" s="1"/>
  <c r="AK18" i="29"/>
  <c r="C24" i="29"/>
  <c r="X16" i="29"/>
  <c r="AD16" i="29" s="1"/>
  <c r="AJ16" i="29" s="1"/>
  <c r="S29" i="29"/>
  <c r="AN35" i="29"/>
  <c r="AD21" i="29"/>
  <c r="AJ21" i="29" s="1"/>
  <c r="AK29" i="29"/>
  <c r="L11" i="29"/>
  <c r="Y35" i="29"/>
  <c r="M36" i="28" s="1"/>
  <c r="AB35" i="29"/>
  <c r="N36" i="28" s="1"/>
  <c r="AE35" i="29"/>
  <c r="P36" i="28" s="1"/>
  <c r="X17" i="29"/>
  <c r="AD17" i="29" s="1"/>
  <c r="AJ17" i="29" s="1"/>
  <c r="AK35" i="29"/>
  <c r="P17" i="22"/>
  <c r="X17" i="22"/>
  <c r="P13" i="22"/>
  <c r="X13" i="22"/>
  <c r="Q17" i="22"/>
  <c r="Q13" i="22"/>
  <c r="R17" i="22"/>
  <c r="R13" i="22"/>
  <c r="S17" i="22"/>
  <c r="S13" i="22"/>
  <c r="T17" i="22"/>
  <c r="T13" i="22"/>
  <c r="U17" i="22"/>
  <c r="G84" i="32"/>
  <c r="G64" i="32"/>
  <c r="H13" i="1"/>
  <c r="H58" i="1"/>
  <c r="J58" i="1" s="1"/>
  <c r="F71" i="1"/>
  <c r="G56" i="29" s="1"/>
  <c r="H92" i="1"/>
  <c r="J92" i="1" s="1"/>
  <c r="H99" i="1"/>
  <c r="J99" i="1" s="1"/>
  <c r="H108" i="1"/>
  <c r="J108" i="1" s="1"/>
  <c r="H125" i="1"/>
  <c r="J125" i="1" s="1"/>
  <c r="F46" i="1"/>
  <c r="H93" i="1"/>
  <c r="J93" i="1" s="1"/>
  <c r="H96" i="1"/>
  <c r="H105" i="1"/>
  <c r="H109" i="1"/>
  <c r="J109" i="1" s="1"/>
  <c r="H94" i="1"/>
  <c r="J94" i="1" s="1"/>
  <c r="F106" i="1"/>
  <c r="F76" i="1"/>
  <c r="H80" i="1"/>
  <c r="J80" i="1" s="1"/>
  <c r="H84" i="1"/>
  <c r="J84" i="1" s="1"/>
  <c r="F86" i="1"/>
  <c r="F120" i="1"/>
  <c r="H52" i="36" s="1"/>
  <c r="M178" i="37" s="1"/>
  <c r="H43" i="1"/>
  <c r="J43" i="1" s="1"/>
  <c r="H117" i="1"/>
  <c r="H81" i="1"/>
  <c r="H62" i="26"/>
  <c r="J52" i="34" s="1"/>
  <c r="G42" i="22"/>
  <c r="G43" i="22" s="1"/>
  <c r="G46" i="22" s="1"/>
  <c r="G47" i="22" s="1"/>
  <c r="I15" i="32" s="1"/>
  <c r="K34" i="34"/>
  <c r="H6" i="22"/>
  <c r="G16" i="26"/>
  <c r="I16" i="37" s="1"/>
  <c r="H22" i="22"/>
  <c r="H69" i="32"/>
  <c r="G6" i="22"/>
  <c r="G7" i="22" s="1"/>
  <c r="I20" i="32" s="1"/>
  <c r="E43" i="22"/>
  <c r="E46" i="22" s="1"/>
  <c r="E47" i="22" s="1"/>
  <c r="G15" i="32" s="1"/>
  <c r="G17" i="32" s="1"/>
  <c r="H21" i="22"/>
  <c r="E10" i="22"/>
  <c r="G25" i="36" s="1"/>
  <c r="E21" i="22"/>
  <c r="E23" i="22" s="1"/>
  <c r="G26" i="36" s="1"/>
  <c r="K145" i="37" s="1"/>
  <c r="F21" i="22"/>
  <c r="E36" i="22"/>
  <c r="G21" i="22"/>
  <c r="H16" i="34"/>
  <c r="F3" i="22"/>
  <c r="J85" i="32"/>
  <c r="O129" i="34"/>
  <c r="N39" i="30"/>
  <c r="M39" i="30"/>
  <c r="I39" i="30"/>
  <c r="R39" i="30"/>
  <c r="H39" i="30"/>
  <c r="Q39" i="30"/>
  <c r="G39" i="30"/>
  <c r="P39" i="30"/>
  <c r="O39" i="30"/>
  <c r="L39" i="30"/>
  <c r="K39" i="30"/>
  <c r="AZ50" i="30"/>
  <c r="E55" i="29"/>
  <c r="D8" i="1"/>
  <c r="E8" i="2" s="1"/>
  <c r="I8" i="20"/>
  <c r="M124" i="34"/>
  <c r="J12" i="22"/>
  <c r="B26" i="30"/>
  <c r="J44" i="22" s="1"/>
  <c r="B62" i="30"/>
  <c r="B118" i="30" s="1"/>
  <c r="B5" i="2"/>
  <c r="B5" i="1"/>
  <c r="K113" i="34"/>
  <c r="H57" i="32"/>
  <c r="M112" i="37" s="1"/>
  <c r="F62" i="26"/>
  <c r="G62" i="26"/>
  <c r="N2" i="22"/>
  <c r="BE43" i="30"/>
  <c r="H22" i="30"/>
  <c r="H49" i="30" s="1"/>
  <c r="AC38" i="29"/>
  <c r="O38" i="28"/>
  <c r="P220" i="37" s="1"/>
  <c r="J33" i="1"/>
  <c r="F32" i="28"/>
  <c r="D42" i="1" s="1"/>
  <c r="C17" i="33"/>
  <c r="C18" i="33" s="1"/>
  <c r="C19" i="33"/>
  <c r="C20" i="33" s="1"/>
  <c r="C21" i="33"/>
  <c r="C23" i="33"/>
  <c r="Q203" i="37"/>
  <c r="P35" i="28"/>
  <c r="I32" i="28"/>
  <c r="L38" i="28"/>
  <c r="D34" i="1"/>
  <c r="D39" i="1"/>
  <c r="AG20" i="29"/>
  <c r="AF20" i="29"/>
  <c r="AH20" i="29" s="1"/>
  <c r="Q28" i="28" s="1"/>
  <c r="J32" i="28"/>
  <c r="K214" i="37" s="1"/>
  <c r="C22" i="33"/>
  <c r="C24" i="33"/>
  <c r="I32" i="33" s="1"/>
  <c r="F38" i="28"/>
  <c r="G220" i="37" s="1"/>
  <c r="Q201" i="37"/>
  <c r="L32" i="28"/>
  <c r="O25" i="1"/>
  <c r="H25" i="1"/>
  <c r="F53" i="1"/>
  <c r="G34" i="2"/>
  <c r="F18" i="22"/>
  <c r="H91" i="1"/>
  <c r="G18" i="2"/>
  <c r="N54" i="2"/>
  <c r="H48" i="1"/>
  <c r="O49" i="1"/>
  <c r="O96" i="1"/>
  <c r="O105" i="1"/>
  <c r="O117" i="1"/>
  <c r="O127" i="1"/>
  <c r="O131" i="1"/>
  <c r="F24" i="2"/>
  <c r="F28" i="2" s="1"/>
  <c r="G25" i="2"/>
  <c r="F59" i="2"/>
  <c r="F63" i="2" s="1"/>
  <c r="G69" i="2"/>
  <c r="F43" i="29"/>
  <c r="H63" i="1"/>
  <c r="H73" i="1"/>
  <c r="H83" i="1"/>
  <c r="H100" i="1"/>
  <c r="J100" i="1" s="1"/>
  <c r="H110" i="1"/>
  <c r="F73" i="2"/>
  <c r="F77" i="2" s="1"/>
  <c r="G74" i="2"/>
  <c r="H54" i="1"/>
  <c r="H16" i="2"/>
  <c r="N46" i="2"/>
  <c r="G53" i="2"/>
  <c r="E13" i="2"/>
  <c r="H72" i="1"/>
  <c r="H121" i="1"/>
  <c r="F31" i="2"/>
  <c r="F35" i="2" s="1"/>
  <c r="H68" i="2"/>
  <c r="H66" i="2" s="1"/>
  <c r="F10" i="22"/>
  <c r="H25" i="36" s="1"/>
  <c r="G55" i="2"/>
  <c r="L9" i="29"/>
  <c r="E18" i="22"/>
  <c r="AK51" i="29"/>
  <c r="L8" i="29"/>
  <c r="E6" i="22"/>
  <c r="E7" i="22" s="1"/>
  <c r="G20" i="32" s="1"/>
  <c r="G19" i="32" s="1"/>
  <c r="G18" i="22"/>
  <c r="F6" i="22"/>
  <c r="H18" i="22"/>
  <c r="AB38" i="29"/>
  <c r="AK19" i="29"/>
  <c r="AD20" i="29"/>
  <c r="AJ20" i="29" s="1"/>
  <c r="V29" i="29"/>
  <c r="S32" i="29"/>
  <c r="J35" i="28" s="1"/>
  <c r="AH32" i="29"/>
  <c r="Q35" i="28" s="1"/>
  <c r="S47" i="29"/>
  <c r="AE47" i="29"/>
  <c r="L10" i="29"/>
  <c r="R14" i="29"/>
  <c r="X14" i="29" s="1"/>
  <c r="AD14" i="29" s="1"/>
  <c r="AJ14" i="29" s="1"/>
  <c r="Y29" i="29"/>
  <c r="AN29" i="29"/>
  <c r="AK32" i="29"/>
  <c r="AE38" i="29"/>
  <c r="P37" i="28" s="1"/>
  <c r="AI51" i="29"/>
  <c r="V32" i="29"/>
  <c r="K35" i="28" s="1"/>
  <c r="AK22" i="29"/>
  <c r="Y32" i="29"/>
  <c r="M35" i="28" s="1"/>
  <c r="AN32" i="29"/>
  <c r="AH38" i="29"/>
  <c r="Q37" i="28" s="1"/>
  <c r="AE29" i="29"/>
  <c r="AK38" i="29"/>
  <c r="AB32" i="29"/>
  <c r="N35" i="28" s="1"/>
  <c r="AA38" i="29"/>
  <c r="P235" i="34"/>
  <c r="K135" i="34"/>
  <c r="K172" i="34" s="1"/>
  <c r="M135" i="34"/>
  <c r="M172" i="34" s="1"/>
  <c r="M85" i="34"/>
  <c r="O135" i="34"/>
  <c r="O172" i="34" s="1"/>
  <c r="Q51" i="28"/>
  <c r="G36" i="20"/>
  <c r="BP50" i="30"/>
  <c r="H12" i="1" l="1"/>
  <c r="J28" i="1"/>
  <c r="H24" i="1"/>
  <c r="J22" i="1"/>
  <c r="H17" i="1"/>
  <c r="J14" i="1"/>
  <c r="AK26" i="30"/>
  <c r="H52" i="34"/>
  <c r="H52" i="37"/>
  <c r="D231" i="37"/>
  <c r="K140" i="37"/>
  <c r="K141" i="34"/>
  <c r="I52" i="34"/>
  <c r="I52" i="37"/>
  <c r="F14" i="2"/>
  <c r="I58" i="29"/>
  <c r="I59" i="29" s="1"/>
  <c r="U97" i="30"/>
  <c r="U23" i="30"/>
  <c r="G15" i="20"/>
  <c r="E14" i="2"/>
  <c r="K97" i="34"/>
  <c r="K96" i="37"/>
  <c r="J112" i="1"/>
  <c r="G57" i="29"/>
  <c r="J89" i="1"/>
  <c r="J88" i="1"/>
  <c r="K67" i="29" s="1"/>
  <c r="E63" i="29"/>
  <c r="E65" i="29"/>
  <c r="J114" i="1"/>
  <c r="U85" i="30"/>
  <c r="J63" i="1"/>
  <c r="L218" i="34"/>
  <c r="L217" i="37"/>
  <c r="L203" i="34"/>
  <c r="L202" i="37"/>
  <c r="M221" i="34"/>
  <c r="M220" i="37"/>
  <c r="O217" i="34"/>
  <c r="O216" i="37"/>
  <c r="H17" i="36"/>
  <c r="J214" i="37"/>
  <c r="Q220" i="34"/>
  <c r="Q219" i="37"/>
  <c r="O218" i="34"/>
  <c r="O217" i="37"/>
  <c r="I17" i="36"/>
  <c r="M214" i="37"/>
  <c r="Y11" i="29"/>
  <c r="N198" i="37"/>
  <c r="R219" i="34"/>
  <c r="R218" i="37"/>
  <c r="R212" i="34"/>
  <c r="R211" i="37"/>
  <c r="O141" i="34"/>
  <c r="O140" i="37"/>
  <c r="Q219" i="34"/>
  <c r="Q218" i="37"/>
  <c r="Q218" i="34"/>
  <c r="Q217" i="37"/>
  <c r="J221" i="34"/>
  <c r="J220" i="37"/>
  <c r="O207" i="34"/>
  <c r="O206" i="37"/>
  <c r="M141" i="34"/>
  <c r="M140" i="37"/>
  <c r="R217" i="34"/>
  <c r="R216" i="37"/>
  <c r="R218" i="34"/>
  <c r="R217" i="37"/>
  <c r="N219" i="34"/>
  <c r="N218" i="37"/>
  <c r="L202" i="34"/>
  <c r="L201" i="37"/>
  <c r="L204" i="34"/>
  <c r="L203" i="37"/>
  <c r="R220" i="34"/>
  <c r="R219" i="37"/>
  <c r="O219" i="34"/>
  <c r="O218" i="37"/>
  <c r="N218" i="34"/>
  <c r="N217" i="37"/>
  <c r="K218" i="34"/>
  <c r="K217" i="37"/>
  <c r="R211" i="34"/>
  <c r="R210" i="37"/>
  <c r="J118" i="1"/>
  <c r="K42" i="28"/>
  <c r="L224" i="37" s="1"/>
  <c r="M121" i="37"/>
  <c r="J102" i="1"/>
  <c r="J110" i="1"/>
  <c r="J106" i="1" s="1"/>
  <c r="H31" i="2"/>
  <c r="M193" i="37"/>
  <c r="I36" i="37"/>
  <c r="O55" i="37" s="1"/>
  <c r="J193" i="37"/>
  <c r="H36" i="37"/>
  <c r="M55" i="37" s="1"/>
  <c r="K106" i="34"/>
  <c r="K105" i="37"/>
  <c r="O60" i="34"/>
  <c r="O59" i="37"/>
  <c r="Q195" i="37"/>
  <c r="N195" i="37"/>
  <c r="K150" i="34"/>
  <c r="K149" i="37"/>
  <c r="U38" i="30"/>
  <c r="G214" i="37"/>
  <c r="AL26" i="30"/>
  <c r="AM26" i="30" s="1"/>
  <c r="R10" i="29"/>
  <c r="X10" i="29" s="1"/>
  <c r="AD10" i="29" s="1"/>
  <c r="AJ10" i="29" s="1"/>
  <c r="D17" i="33"/>
  <c r="D18" i="33" s="1"/>
  <c r="D21" i="33"/>
  <c r="D20" i="33"/>
  <c r="D22" i="33"/>
  <c r="D19" i="33"/>
  <c r="K66" i="33"/>
  <c r="E53" i="33"/>
  <c r="D23" i="33"/>
  <c r="D24" i="33" s="1"/>
  <c r="J32" i="33" s="1"/>
  <c r="J66" i="33"/>
  <c r="D53" i="33"/>
  <c r="G75" i="32"/>
  <c r="U109" i="30"/>
  <c r="T12" i="29"/>
  <c r="V12" i="29" s="1"/>
  <c r="K18" i="28" s="1"/>
  <c r="N10" i="29"/>
  <c r="P10" i="29" s="1"/>
  <c r="H15" i="28" s="1"/>
  <c r="J131" i="1"/>
  <c r="L96" i="30"/>
  <c r="M96" i="30"/>
  <c r="K96" i="30"/>
  <c r="J96" i="30"/>
  <c r="R96" i="30"/>
  <c r="N96" i="30"/>
  <c r="G96" i="30"/>
  <c r="H96" i="30"/>
  <c r="I96" i="30"/>
  <c r="O96" i="30"/>
  <c r="P96" i="30"/>
  <c r="Q96" i="30"/>
  <c r="L29" i="30"/>
  <c r="R22" i="22" s="1"/>
  <c r="R23" i="22" s="1"/>
  <c r="F52" i="1"/>
  <c r="F45" i="1" s="1"/>
  <c r="G128" i="1" s="1"/>
  <c r="H34" i="28"/>
  <c r="D25" i="33"/>
  <c r="G66" i="2"/>
  <c r="G59" i="2"/>
  <c r="G11" i="36"/>
  <c r="G46" i="36" s="1"/>
  <c r="K184" i="34"/>
  <c r="G94" i="32"/>
  <c r="K131" i="37" s="1"/>
  <c r="H32" i="36"/>
  <c r="I69" i="32"/>
  <c r="G29" i="30"/>
  <c r="M22" i="22" s="1"/>
  <c r="J29" i="30"/>
  <c r="P22" i="22" s="1"/>
  <c r="P23" i="22" s="1"/>
  <c r="AG21" i="29"/>
  <c r="AM21" i="29" s="1"/>
  <c r="Y13" i="22"/>
  <c r="AI27" i="30"/>
  <c r="AP26" i="30"/>
  <c r="AB27" i="30"/>
  <c r="AX27" i="30" s="1"/>
  <c r="U89" i="30" s="1"/>
  <c r="G89" i="30" s="1"/>
  <c r="Y17" i="22"/>
  <c r="H59" i="2"/>
  <c r="H34" i="32"/>
  <c r="F35" i="1"/>
  <c r="F41" i="1" s="1"/>
  <c r="F37" i="22"/>
  <c r="K146" i="34"/>
  <c r="H76" i="32"/>
  <c r="H27" i="36"/>
  <c r="U13" i="29"/>
  <c r="Z13" i="29" s="1"/>
  <c r="AB13" i="29" s="1"/>
  <c r="N19" i="28" s="1"/>
  <c r="I61" i="32"/>
  <c r="I31" i="36" s="1"/>
  <c r="O151" i="34" s="1"/>
  <c r="H31" i="36"/>
  <c r="M151" i="34" s="1"/>
  <c r="E39" i="22"/>
  <c r="E40" i="22" s="1"/>
  <c r="G31" i="32" s="1"/>
  <c r="G27" i="36"/>
  <c r="Q41" i="36"/>
  <c r="H36" i="34"/>
  <c r="M56" i="34" s="1"/>
  <c r="J194" i="34"/>
  <c r="M179" i="34"/>
  <c r="H47" i="32"/>
  <c r="H86" i="32"/>
  <c r="R8" i="29"/>
  <c r="X8" i="29" s="1"/>
  <c r="AD8" i="29" s="1"/>
  <c r="AJ8" i="29" s="1"/>
  <c r="P221" i="34"/>
  <c r="J18" i="36"/>
  <c r="P215" i="34"/>
  <c r="J17" i="36"/>
  <c r="G221" i="34"/>
  <c r="F48" i="28"/>
  <c r="G231" i="37" s="1"/>
  <c r="N8" i="29"/>
  <c r="P8" i="29" s="1"/>
  <c r="G17" i="36"/>
  <c r="H30" i="36"/>
  <c r="R11" i="29"/>
  <c r="I29" i="36"/>
  <c r="O149" i="34" s="1"/>
  <c r="G49" i="36"/>
  <c r="K175" i="37" s="1"/>
  <c r="G215" i="34"/>
  <c r="J105" i="1"/>
  <c r="H101" i="1"/>
  <c r="H86" i="1"/>
  <c r="S39" i="30"/>
  <c r="T39" i="30" s="1"/>
  <c r="J51" i="1"/>
  <c r="O18" i="22"/>
  <c r="O19" i="22" s="1"/>
  <c r="J73" i="1"/>
  <c r="Q76" i="34"/>
  <c r="O76" i="34"/>
  <c r="K41" i="29"/>
  <c r="AC24" i="29"/>
  <c r="AF23" i="29"/>
  <c r="AH23" i="29" s="1"/>
  <c r="Q31" i="28" s="1"/>
  <c r="R9" i="29"/>
  <c r="X9" i="29" s="1"/>
  <c r="AD9" i="29" s="1"/>
  <c r="AJ9" i="29" s="1"/>
  <c r="H38" i="2"/>
  <c r="H42" i="2" s="1"/>
  <c r="G11" i="20"/>
  <c r="H91" i="32"/>
  <c r="I16" i="34"/>
  <c r="L10" i="28"/>
  <c r="Q48" i="29"/>
  <c r="Q51" i="29" s="1"/>
  <c r="W49" i="29"/>
  <c r="Y49" i="29" s="1"/>
  <c r="Y51" i="29" s="1"/>
  <c r="Z19" i="29"/>
  <c r="AB19" i="29" s="1"/>
  <c r="N26" i="28" s="1"/>
  <c r="U15" i="29"/>
  <c r="AA15" i="29" s="1"/>
  <c r="U14" i="29"/>
  <c r="Z14" i="29" s="1"/>
  <c r="AB14" i="29" s="1"/>
  <c r="N20" i="28" s="1"/>
  <c r="K24" i="29"/>
  <c r="N9" i="29"/>
  <c r="P9" i="29" s="1"/>
  <c r="H14" i="28" s="1"/>
  <c r="AF22" i="29"/>
  <c r="AH22" i="29" s="1"/>
  <c r="Q30" i="28" s="1"/>
  <c r="N11" i="29"/>
  <c r="P11" i="29" s="1"/>
  <c r="H16" i="28" s="1"/>
  <c r="O11" i="29"/>
  <c r="U11" i="29" s="1"/>
  <c r="AG22" i="29"/>
  <c r="AM22" i="29" s="1"/>
  <c r="AE13" i="29"/>
  <c r="AK13" i="29" s="1"/>
  <c r="Q202" i="34"/>
  <c r="W24" i="29"/>
  <c r="AE14" i="29"/>
  <c r="AK14" i="29" s="1"/>
  <c r="Q203" i="34"/>
  <c r="Y9" i="29"/>
  <c r="N197" i="34"/>
  <c r="Y10" i="29"/>
  <c r="N198" i="34"/>
  <c r="AE12" i="29"/>
  <c r="AK12" i="29" s="1"/>
  <c r="Q201" i="34"/>
  <c r="Q24" i="29"/>
  <c r="Z16" i="29"/>
  <c r="AB16" i="29" s="1"/>
  <c r="N23" i="28" s="1"/>
  <c r="AA17" i="29"/>
  <c r="AG17" i="29" s="1"/>
  <c r="J215" i="34"/>
  <c r="AE15" i="29"/>
  <c r="AK15" i="29" s="1"/>
  <c r="Q204" i="34"/>
  <c r="Q198" i="37"/>
  <c r="N199" i="34"/>
  <c r="G38" i="28"/>
  <c r="H217" i="34"/>
  <c r="M215" i="34"/>
  <c r="K215" i="34"/>
  <c r="S24" i="29"/>
  <c r="N196" i="34"/>
  <c r="K4" i="29"/>
  <c r="D45" i="1"/>
  <c r="AA35" i="29"/>
  <c r="U49" i="29" s="1"/>
  <c r="H7" i="22"/>
  <c r="J20" i="32" s="1"/>
  <c r="H111" i="1"/>
  <c r="M41" i="29"/>
  <c r="W18" i="22"/>
  <c r="W19" i="22" s="1"/>
  <c r="X18" i="22"/>
  <c r="X19" i="22" s="1"/>
  <c r="Q18" i="22"/>
  <c r="Q19" i="22" s="1"/>
  <c r="S18" i="22"/>
  <c r="S19" i="22" s="1"/>
  <c r="G38" i="2"/>
  <c r="G42" i="2" s="1"/>
  <c r="J13" i="1"/>
  <c r="F11" i="2"/>
  <c r="I15" i="20" s="1"/>
  <c r="M12" i="20"/>
  <c r="P18" i="22"/>
  <c r="P19" i="22" s="1"/>
  <c r="T18" i="22"/>
  <c r="T19" i="22" s="1"/>
  <c r="U18" i="22"/>
  <c r="U19" i="22" s="1"/>
  <c r="V18" i="22"/>
  <c r="V19" i="22" s="1"/>
  <c r="R18" i="22"/>
  <c r="R19" i="22" s="1"/>
  <c r="O2" i="22"/>
  <c r="H33" i="22"/>
  <c r="E33" i="22"/>
  <c r="E44" i="22"/>
  <c r="F46" i="22"/>
  <c r="F47" i="22" s="1"/>
  <c r="H15" i="32" s="1"/>
  <c r="H16" i="26"/>
  <c r="J16" i="37" s="1"/>
  <c r="I22" i="30"/>
  <c r="I49" i="30" s="1"/>
  <c r="E2" i="33"/>
  <c r="J24" i="29"/>
  <c r="H46" i="2"/>
  <c r="H45" i="2" s="1"/>
  <c r="H49" i="2" s="1"/>
  <c r="H54" i="2"/>
  <c r="Q197" i="37"/>
  <c r="O29" i="29"/>
  <c r="N47" i="29" s="1"/>
  <c r="N51" i="29" s="1"/>
  <c r="H115" i="1"/>
  <c r="J47" i="1"/>
  <c r="J87" i="1"/>
  <c r="O48" i="28"/>
  <c r="M47" i="29"/>
  <c r="M51" i="29" s="1"/>
  <c r="I24" i="29"/>
  <c r="S41" i="29"/>
  <c r="H23" i="22"/>
  <c r="J26" i="36" s="1"/>
  <c r="Q145" i="37" s="1"/>
  <c r="F23" i="22"/>
  <c r="G45" i="2"/>
  <c r="G49" i="2" s="1"/>
  <c r="J127" i="1"/>
  <c r="Q196" i="37"/>
  <c r="J117" i="1"/>
  <c r="H95" i="1"/>
  <c r="N38" i="28"/>
  <c r="G31" i="2"/>
  <c r="G35" i="2" s="1"/>
  <c r="M32" i="28"/>
  <c r="N214" i="37" s="1"/>
  <c r="H76" i="1"/>
  <c r="J49" i="1"/>
  <c r="J116" i="1"/>
  <c r="Y8" i="29"/>
  <c r="H42" i="22"/>
  <c r="H43" i="22" s="1"/>
  <c r="H46" i="22" s="1"/>
  <c r="H47" i="22" s="1"/>
  <c r="J15" i="32" s="1"/>
  <c r="H62" i="2"/>
  <c r="G63" i="2"/>
  <c r="O107" i="34"/>
  <c r="J48" i="32"/>
  <c r="O127" i="34"/>
  <c r="J78" i="32"/>
  <c r="Q127" i="34" s="1"/>
  <c r="G44" i="22"/>
  <c r="G23" i="22"/>
  <c r="I26" i="36" s="1"/>
  <c r="M122" i="34"/>
  <c r="Q38" i="28"/>
  <c r="R220" i="37" s="1"/>
  <c r="S46" i="29"/>
  <c r="J34" i="28"/>
  <c r="K216" i="37" s="1"/>
  <c r="G82" i="32"/>
  <c r="E37" i="22"/>
  <c r="E13" i="22"/>
  <c r="E14" i="22" s="1"/>
  <c r="G23" i="32" s="1"/>
  <c r="G25" i="32" s="1"/>
  <c r="F13" i="2"/>
  <c r="F10" i="2"/>
  <c r="J96" i="1"/>
  <c r="J95" i="1" s="1"/>
  <c r="G62" i="32"/>
  <c r="G30" i="20"/>
  <c r="J81" i="1"/>
  <c r="J76" i="1" s="1"/>
  <c r="F39" i="1"/>
  <c r="F11" i="1"/>
  <c r="R40" i="36" s="1"/>
  <c r="G92" i="32"/>
  <c r="G3" i="22"/>
  <c r="E11" i="22"/>
  <c r="G45" i="26"/>
  <c r="K8" i="20"/>
  <c r="I55" i="29" s="1"/>
  <c r="E24" i="22"/>
  <c r="E26" i="22"/>
  <c r="M117" i="34"/>
  <c r="G14" i="32"/>
  <c r="K90" i="37" s="1"/>
  <c r="J121" i="1"/>
  <c r="J120" i="1" s="1"/>
  <c r="H120" i="1"/>
  <c r="I52" i="36" s="1"/>
  <c r="O178" i="37" s="1"/>
  <c r="H18" i="2"/>
  <c r="H17" i="2" s="1"/>
  <c r="H21" i="2" s="1"/>
  <c r="G17" i="2"/>
  <c r="G21" i="2" s="1"/>
  <c r="AA12" i="29"/>
  <c r="Z12" i="29"/>
  <c r="AB12" i="29" s="1"/>
  <c r="N18" i="28" s="1"/>
  <c r="U9" i="29"/>
  <c r="T9" i="29"/>
  <c r="V9" i="29" s="1"/>
  <c r="K14" i="28" s="1"/>
  <c r="AE41" i="29"/>
  <c r="P34" i="28"/>
  <c r="Q216" i="37" s="1"/>
  <c r="I82" i="32"/>
  <c r="L48" i="28"/>
  <c r="D37" i="1"/>
  <c r="D32" i="1" s="1"/>
  <c r="AA18" i="29"/>
  <c r="Z18" i="29"/>
  <c r="AB18" i="29" s="1"/>
  <c r="N25" i="28" s="1"/>
  <c r="H53" i="1"/>
  <c r="J54" i="1"/>
  <c r="J53" i="1" s="1"/>
  <c r="G70" i="2"/>
  <c r="H69" i="2"/>
  <c r="H70" i="2" s="1"/>
  <c r="H34" i="2"/>
  <c r="H35" i="2" s="1"/>
  <c r="J25" i="1"/>
  <c r="H84" i="32"/>
  <c r="M113" i="34"/>
  <c r="I57" i="32"/>
  <c r="O112" i="37" s="1"/>
  <c r="J14" i="22"/>
  <c r="B27" i="30"/>
  <c r="J46" i="22" s="1"/>
  <c r="G55" i="29"/>
  <c r="F8" i="1"/>
  <c r="Q11" i="20"/>
  <c r="G11" i="32"/>
  <c r="K88" i="37" s="1"/>
  <c r="K110" i="37" s="1"/>
  <c r="K135" i="37" s="1"/>
  <c r="O103" i="34"/>
  <c r="J48" i="1"/>
  <c r="H55" i="2"/>
  <c r="H90" i="1"/>
  <c r="J91" i="1"/>
  <c r="J90" i="1" s="1"/>
  <c r="AM20" i="29"/>
  <c r="AL20" i="29"/>
  <c r="AN20" i="29" s="1"/>
  <c r="U8" i="29"/>
  <c r="T8" i="29"/>
  <c r="P40" i="30"/>
  <c r="H40" i="30"/>
  <c r="O40" i="30"/>
  <c r="G40" i="30"/>
  <c r="I40" i="30"/>
  <c r="R40" i="30"/>
  <c r="Q40" i="30"/>
  <c r="N40" i="30"/>
  <c r="M40" i="30"/>
  <c r="L40" i="30"/>
  <c r="K40" i="30"/>
  <c r="J40" i="30"/>
  <c r="H46" i="1"/>
  <c r="I48" i="28"/>
  <c r="AG19" i="29"/>
  <c r="AF19" i="29"/>
  <c r="AH19" i="29" s="1"/>
  <c r="Q26" i="28" s="1"/>
  <c r="AC41" i="29"/>
  <c r="AC50" i="29"/>
  <c r="AG38" i="29"/>
  <c r="H106" i="1"/>
  <c r="G9" i="22"/>
  <c r="G10" i="22" s="1"/>
  <c r="I25" i="36" s="1"/>
  <c r="H9" i="22"/>
  <c r="H10" i="22" s="1"/>
  <c r="J25" i="36" s="1"/>
  <c r="J72" i="1"/>
  <c r="H71" i="1"/>
  <c r="I56" i="29" s="1"/>
  <c r="U50" i="29"/>
  <c r="AF50" i="29"/>
  <c r="J82" i="32"/>
  <c r="V41" i="29"/>
  <c r="K34" i="28"/>
  <c r="L216" i="37" s="1"/>
  <c r="AK41" i="29"/>
  <c r="AH41" i="29"/>
  <c r="AB41" i="29"/>
  <c r="J18" i="1"/>
  <c r="F3" i="33"/>
  <c r="E24" i="33"/>
  <c r="K32" i="33" s="1"/>
  <c r="E22" i="33"/>
  <c r="E20" i="33"/>
  <c r="E23" i="33"/>
  <c r="E21" i="33"/>
  <c r="E19" i="33"/>
  <c r="E17" i="33"/>
  <c r="E18" i="33" s="1"/>
  <c r="F13" i="22"/>
  <c r="F11" i="22"/>
  <c r="AN41" i="29"/>
  <c r="H74" i="2"/>
  <c r="H73" i="2" s="1"/>
  <c r="H77" i="2" s="1"/>
  <c r="G73" i="2"/>
  <c r="H82" i="1"/>
  <c r="J83" i="1"/>
  <c r="J82" i="1" s="1"/>
  <c r="G24" i="2"/>
  <c r="G28" i="2" s="1"/>
  <c r="H25" i="2"/>
  <c r="H24" i="2" s="1"/>
  <c r="H28" i="2" s="1"/>
  <c r="F34" i="1"/>
  <c r="H64" i="32"/>
  <c r="U32" i="29"/>
  <c r="AG16" i="29"/>
  <c r="AF16" i="29"/>
  <c r="AH16" i="29" s="1"/>
  <c r="Q23" i="28" s="1"/>
  <c r="U10" i="29"/>
  <c r="T10" i="29"/>
  <c r="V10" i="29" s="1"/>
  <c r="K15" i="28" s="1"/>
  <c r="O124" i="34"/>
  <c r="G35" i="22"/>
  <c r="G36" i="22" s="1"/>
  <c r="I27" i="36" s="1"/>
  <c r="O147" i="34" s="1"/>
  <c r="H35" i="22"/>
  <c r="H36" i="22" s="1"/>
  <c r="Y41" i="29"/>
  <c r="M34" i="28"/>
  <c r="N216" i="37" s="1"/>
  <c r="H82" i="32"/>
  <c r="F7" i="22"/>
  <c r="H20" i="32" s="1"/>
  <c r="G52" i="2"/>
  <c r="G56" i="2" s="1"/>
  <c r="H53" i="2"/>
  <c r="E12" i="2"/>
  <c r="AM23" i="29"/>
  <c r="AL23" i="29"/>
  <c r="AN23" i="29" s="1"/>
  <c r="K135" i="1"/>
  <c r="H80" i="2" s="1"/>
  <c r="S62" i="30"/>
  <c r="J12" i="1" l="1"/>
  <c r="AY26" i="30"/>
  <c r="U35" i="30" s="1"/>
  <c r="G35" i="30"/>
  <c r="J24" i="1"/>
  <c r="J17" i="1"/>
  <c r="AS26" i="30"/>
  <c r="AD27" i="30"/>
  <c r="M147" i="34"/>
  <c r="M146" i="37"/>
  <c r="K147" i="34"/>
  <c r="K146" i="37"/>
  <c r="O145" i="37"/>
  <c r="I216" i="37"/>
  <c r="I217" i="34"/>
  <c r="H38" i="28"/>
  <c r="G14" i="2"/>
  <c r="K58" i="29"/>
  <c r="K59" i="29" s="1"/>
  <c r="H14" i="2"/>
  <c r="H11" i="2"/>
  <c r="M15" i="20" s="1"/>
  <c r="E64" i="29"/>
  <c r="G63" i="29"/>
  <c r="G65" i="29"/>
  <c r="G62" i="29"/>
  <c r="U87" i="30" s="1"/>
  <c r="G87" i="30" s="1"/>
  <c r="J111" i="1"/>
  <c r="R41" i="36"/>
  <c r="J52" i="1"/>
  <c r="O208" i="34"/>
  <c r="O207" i="37"/>
  <c r="O209" i="34"/>
  <c r="O208" i="37"/>
  <c r="R206" i="34"/>
  <c r="R205" i="37"/>
  <c r="Q196" i="34"/>
  <c r="O206" i="34"/>
  <c r="O205" i="37"/>
  <c r="M140" i="34"/>
  <c r="M139" i="37"/>
  <c r="L198" i="34"/>
  <c r="L197" i="37"/>
  <c r="M232" i="34"/>
  <c r="M231" i="37"/>
  <c r="R209" i="34"/>
  <c r="R208" i="37"/>
  <c r="U50" i="30"/>
  <c r="H220" i="37"/>
  <c r="I199" i="34"/>
  <c r="I198" i="37"/>
  <c r="I198" i="34"/>
  <c r="I197" i="37"/>
  <c r="L201" i="34"/>
  <c r="L200" i="37"/>
  <c r="R213" i="34"/>
  <c r="R212" i="37"/>
  <c r="Q140" i="34"/>
  <c r="Q139" i="37"/>
  <c r="O221" i="34"/>
  <c r="O220" i="37"/>
  <c r="I197" i="34"/>
  <c r="I196" i="37"/>
  <c r="P232" i="34"/>
  <c r="P231" i="37"/>
  <c r="U108" i="30"/>
  <c r="G108" i="30" s="1"/>
  <c r="S108" i="30" s="1"/>
  <c r="J231" i="37"/>
  <c r="O201" i="34"/>
  <c r="O200" i="37"/>
  <c r="Q141" i="34"/>
  <c r="Q140" i="37"/>
  <c r="O140" i="34"/>
  <c r="O139" i="37"/>
  <c r="O203" i="34"/>
  <c r="O202" i="37"/>
  <c r="R214" i="34"/>
  <c r="R213" i="37"/>
  <c r="L197" i="34"/>
  <c r="L196" i="37"/>
  <c r="O202" i="34"/>
  <c r="O201" i="37"/>
  <c r="N42" i="28"/>
  <c r="O224" i="37" s="1"/>
  <c r="O121" i="37"/>
  <c r="M152" i="34"/>
  <c r="M151" i="37"/>
  <c r="J101" i="1"/>
  <c r="P193" i="37"/>
  <c r="J36" i="37"/>
  <c r="Q55" i="37" s="1"/>
  <c r="K172" i="37"/>
  <c r="J235" i="37"/>
  <c r="K77" i="34"/>
  <c r="K76" i="37"/>
  <c r="K118" i="34"/>
  <c r="K117" i="37"/>
  <c r="M106" i="34"/>
  <c r="M105" i="37"/>
  <c r="M97" i="34"/>
  <c r="M96" i="37"/>
  <c r="Q60" i="34"/>
  <c r="Q59" i="37"/>
  <c r="K58" i="37"/>
  <c r="M150" i="34"/>
  <c r="M149" i="37"/>
  <c r="K126" i="34"/>
  <c r="K125" i="37"/>
  <c r="K140" i="34"/>
  <c r="K139" i="37"/>
  <c r="G29" i="33"/>
  <c r="AL27" i="30"/>
  <c r="AM27" i="30" s="1"/>
  <c r="K132" i="34"/>
  <c r="G87" i="32"/>
  <c r="G83" i="32" s="1"/>
  <c r="K129" i="37" s="1"/>
  <c r="H30" i="33"/>
  <c r="I64" i="33"/>
  <c r="J65" i="33"/>
  <c r="G62" i="33"/>
  <c r="G63" i="33"/>
  <c r="I65" i="33"/>
  <c r="I31" i="33"/>
  <c r="F62" i="33"/>
  <c r="H64" i="33"/>
  <c r="L66" i="33"/>
  <c r="F53" i="33"/>
  <c r="H63" i="33"/>
  <c r="AL21" i="29"/>
  <c r="AN21" i="29" s="1"/>
  <c r="AA13" i="29"/>
  <c r="AG13" i="29" s="1"/>
  <c r="I109" i="30"/>
  <c r="P109" i="30"/>
  <c r="R109" i="30"/>
  <c r="L109" i="30"/>
  <c r="H109" i="30"/>
  <c r="K109" i="30"/>
  <c r="G109" i="30"/>
  <c r="O109" i="30"/>
  <c r="M109" i="30"/>
  <c r="Q109" i="30"/>
  <c r="J109" i="30"/>
  <c r="N109" i="30"/>
  <c r="Q11" i="36"/>
  <c r="C2" i="35" s="1"/>
  <c r="C49" i="35" s="1"/>
  <c r="G232" i="34"/>
  <c r="U51" i="30"/>
  <c r="M97" i="30"/>
  <c r="K97" i="30"/>
  <c r="H97" i="30"/>
  <c r="P97" i="30"/>
  <c r="G97" i="30"/>
  <c r="N97" i="30"/>
  <c r="Q97" i="30"/>
  <c r="L97" i="30"/>
  <c r="J97" i="30"/>
  <c r="R97" i="30"/>
  <c r="O97" i="30"/>
  <c r="I97" i="30"/>
  <c r="S96" i="30"/>
  <c r="T96" i="30" s="1"/>
  <c r="R29" i="30"/>
  <c r="X22" i="22" s="1"/>
  <c r="X23" i="22" s="1"/>
  <c r="H29" i="30"/>
  <c r="N22" i="22" s="1"/>
  <c r="N23" i="22" s="1"/>
  <c r="N29" i="30"/>
  <c r="T22" i="22" s="1"/>
  <c r="T23" i="22" s="1"/>
  <c r="P29" i="30"/>
  <c r="V22" i="22" s="1"/>
  <c r="V23" i="22" s="1"/>
  <c r="I29" i="30"/>
  <c r="O22" i="22" s="1"/>
  <c r="O23" i="22" s="1"/>
  <c r="K29" i="30"/>
  <c r="Q22" i="22" s="1"/>
  <c r="Q23" i="22" s="1"/>
  <c r="Q29" i="30"/>
  <c r="W22" i="22" s="1"/>
  <c r="W23" i="22" s="1"/>
  <c r="M29" i="30"/>
  <c r="S22" i="22" s="1"/>
  <c r="S23" i="22" s="1"/>
  <c r="O29" i="30"/>
  <c r="U22" i="22" s="1"/>
  <c r="U23" i="22" s="1"/>
  <c r="P86" i="30"/>
  <c r="V52" i="22" s="1"/>
  <c r="V53" i="22" s="1"/>
  <c r="M86" i="30"/>
  <c r="S52" i="22" s="1"/>
  <c r="S53" i="22" s="1"/>
  <c r="O86" i="30"/>
  <c r="U52" i="22" s="1"/>
  <c r="U53" i="22" s="1"/>
  <c r="N86" i="30"/>
  <c r="T52" i="22" s="1"/>
  <c r="T53" i="22" s="1"/>
  <c r="R86" i="30"/>
  <c r="X52" i="22" s="1"/>
  <c r="X53" i="22" s="1"/>
  <c r="G86" i="30"/>
  <c r="Q86" i="30"/>
  <c r="W52" i="22" s="1"/>
  <c r="W53" i="22" s="1"/>
  <c r="I86" i="30"/>
  <c r="O52" i="22" s="1"/>
  <c r="O53" i="22" s="1"/>
  <c r="H86" i="30"/>
  <c r="N52" i="22" s="1"/>
  <c r="N53" i="22" s="1"/>
  <c r="J86" i="30"/>
  <c r="P52" i="22" s="1"/>
  <c r="P53" i="22" s="1"/>
  <c r="K86" i="30"/>
  <c r="Q52" i="22" s="1"/>
  <c r="Q53" i="22" s="1"/>
  <c r="L86" i="30"/>
  <c r="R52" i="22" s="1"/>
  <c r="R53" i="22" s="1"/>
  <c r="E46" i="1"/>
  <c r="G18" i="20"/>
  <c r="S70" i="30"/>
  <c r="S72" i="30" s="1"/>
  <c r="G36" i="36"/>
  <c r="G48" i="28"/>
  <c r="E25" i="33"/>
  <c r="Q42" i="36"/>
  <c r="H52" i="2"/>
  <c r="H10" i="2" s="1"/>
  <c r="I32" i="36"/>
  <c r="H63" i="2"/>
  <c r="H56" i="2"/>
  <c r="AF17" i="29"/>
  <c r="AH17" i="29" s="1"/>
  <c r="Q24" i="28" s="1"/>
  <c r="G33" i="32"/>
  <c r="F12" i="2"/>
  <c r="P32" i="28"/>
  <c r="Q214" i="37" s="1"/>
  <c r="BG43" i="30"/>
  <c r="AR26" i="30"/>
  <c r="AF27" i="30"/>
  <c r="AP27" i="30"/>
  <c r="AY27" i="30" s="1"/>
  <c r="U92" i="30" s="1"/>
  <c r="AK27" i="30"/>
  <c r="I34" i="32"/>
  <c r="H75" i="32"/>
  <c r="E49" i="22"/>
  <c r="E60" i="26" s="1"/>
  <c r="G50" i="37" s="1"/>
  <c r="M23" i="22"/>
  <c r="J61" i="32"/>
  <c r="J31" i="36" s="1"/>
  <c r="Q151" i="34" s="1"/>
  <c r="O146" i="34"/>
  <c r="J27" i="36"/>
  <c r="Q147" i="34" s="1"/>
  <c r="Q146" i="34"/>
  <c r="G68" i="32"/>
  <c r="K120" i="37" s="1"/>
  <c r="I76" i="32"/>
  <c r="I75" i="32" s="1"/>
  <c r="G24" i="22"/>
  <c r="S48" i="29"/>
  <c r="S51" i="29" s="1"/>
  <c r="F26" i="22"/>
  <c r="F50" i="22" s="1"/>
  <c r="H20" i="36" s="1"/>
  <c r="H26" i="36"/>
  <c r="F2" i="33"/>
  <c r="F25" i="33" s="1"/>
  <c r="J22" i="30"/>
  <c r="J49" i="30" s="1"/>
  <c r="P2" i="22"/>
  <c r="I36" i="34"/>
  <c r="O56" i="34" s="1"/>
  <c r="M194" i="34"/>
  <c r="J71" i="1"/>
  <c r="K56" i="29" s="1"/>
  <c r="O179" i="34"/>
  <c r="I47" i="32"/>
  <c r="J52" i="36"/>
  <c r="Q178" i="37" s="1"/>
  <c r="I86" i="32"/>
  <c r="AB26" i="30"/>
  <c r="AX26" i="30" s="1"/>
  <c r="L52" i="30"/>
  <c r="G52" i="30"/>
  <c r="H52" i="30"/>
  <c r="K176" i="34"/>
  <c r="G42" i="32"/>
  <c r="H57" i="36"/>
  <c r="M183" i="37" s="1"/>
  <c r="G95" i="32"/>
  <c r="K185" i="34"/>
  <c r="J52" i="30"/>
  <c r="K52" i="30"/>
  <c r="R52" i="30"/>
  <c r="P52" i="30"/>
  <c r="M52" i="30"/>
  <c r="I52" i="30"/>
  <c r="O52" i="30"/>
  <c r="Q52" i="30"/>
  <c r="N52" i="30"/>
  <c r="N215" i="34"/>
  <c r="I30" i="36"/>
  <c r="X11" i="29"/>
  <c r="AD11" i="29" s="1"/>
  <c r="AJ11" i="29" s="1"/>
  <c r="R24" i="29"/>
  <c r="J29" i="36"/>
  <c r="Q149" i="34" s="1"/>
  <c r="S13" i="30"/>
  <c r="S15" i="30" s="1"/>
  <c r="H49" i="36"/>
  <c r="M175" i="37" s="1"/>
  <c r="G14" i="20"/>
  <c r="K61" i="37" s="1"/>
  <c r="G55" i="36"/>
  <c r="K181" i="37" s="1"/>
  <c r="Q13" i="36"/>
  <c r="G48" i="36" s="1"/>
  <c r="G47" i="36" s="1"/>
  <c r="K173" i="37" s="1"/>
  <c r="G53" i="36"/>
  <c r="K179" i="37" s="1"/>
  <c r="J86" i="1"/>
  <c r="N18" i="22"/>
  <c r="N19" i="22" s="1"/>
  <c r="S28" i="30"/>
  <c r="T28" i="30" s="1"/>
  <c r="S40" i="30"/>
  <c r="T40" i="30" s="1"/>
  <c r="M18" i="22"/>
  <c r="E126" i="1"/>
  <c r="J115" i="1"/>
  <c r="F37" i="1"/>
  <c r="F32" i="1" s="1"/>
  <c r="E130" i="1"/>
  <c r="AA14" i="29"/>
  <c r="AF14" i="29" s="1"/>
  <c r="AH14" i="29" s="1"/>
  <c r="Q20" i="28" s="1"/>
  <c r="J232" i="34"/>
  <c r="L225" i="34"/>
  <c r="J69" i="32"/>
  <c r="R221" i="34"/>
  <c r="W51" i="29"/>
  <c r="N24" i="29"/>
  <c r="O24" i="29"/>
  <c r="E93" i="1"/>
  <c r="I91" i="32"/>
  <c r="E129" i="1"/>
  <c r="E127" i="1"/>
  <c r="Q129" i="34"/>
  <c r="AE8" i="29"/>
  <c r="AK8" i="29" s="1"/>
  <c r="H3" i="22"/>
  <c r="O10" i="28"/>
  <c r="G26" i="22"/>
  <c r="G27" i="22" s="1"/>
  <c r="I27" i="32" s="1"/>
  <c r="H24" i="22"/>
  <c r="H26" i="22"/>
  <c r="H27" i="22" s="1"/>
  <c r="J27" i="32" s="1"/>
  <c r="E50" i="22"/>
  <c r="H35" i="1"/>
  <c r="H41" i="1" s="1"/>
  <c r="Z15" i="29"/>
  <c r="AB15" i="29" s="1"/>
  <c r="N21" i="28" s="1"/>
  <c r="T11" i="29"/>
  <c r="V11" i="29" s="1"/>
  <c r="K16" i="28" s="1"/>
  <c r="AL22" i="29"/>
  <c r="AN22" i="29" s="1"/>
  <c r="K43" i="29"/>
  <c r="J16" i="34"/>
  <c r="H45" i="26"/>
  <c r="J8" i="1"/>
  <c r="M8" i="20"/>
  <c r="K55" i="29" s="1"/>
  <c r="J11" i="32"/>
  <c r="H8" i="2"/>
  <c r="E94" i="1"/>
  <c r="E115" i="1"/>
  <c r="E52" i="1"/>
  <c r="E101" i="1"/>
  <c r="E125" i="1"/>
  <c r="E71" i="1"/>
  <c r="E111" i="1"/>
  <c r="E82" i="1"/>
  <c r="E120" i="1"/>
  <c r="E106" i="1"/>
  <c r="E76" i="1"/>
  <c r="E124" i="1"/>
  <c r="E90" i="1"/>
  <c r="E86" i="1"/>
  <c r="E65" i="1"/>
  <c r="AF49" i="29"/>
  <c r="AG35" i="29"/>
  <c r="AA49" i="29" s="1"/>
  <c r="AE9" i="29"/>
  <c r="AK9" i="29" s="1"/>
  <c r="Q197" i="34"/>
  <c r="Q199" i="34"/>
  <c r="AE11" i="29"/>
  <c r="AK11" i="29" s="1"/>
  <c r="AE10" i="29"/>
  <c r="AK10" i="29" s="1"/>
  <c r="Q198" i="34"/>
  <c r="U29" i="29"/>
  <c r="G72" i="32" s="1"/>
  <c r="G70" i="32" s="1"/>
  <c r="K122" i="37" s="1"/>
  <c r="E131" i="1"/>
  <c r="E95" i="1"/>
  <c r="P38" i="28"/>
  <c r="Q217" i="34"/>
  <c r="M38" i="28"/>
  <c r="N220" i="37" s="1"/>
  <c r="N217" i="34"/>
  <c r="J38" i="28"/>
  <c r="K220" i="37" s="1"/>
  <c r="K217" i="34"/>
  <c r="H221" i="34"/>
  <c r="K38" i="28"/>
  <c r="L217" i="34"/>
  <c r="G77" i="2"/>
  <c r="G10" i="2"/>
  <c r="Y24" i="29"/>
  <c r="Q4" i="29"/>
  <c r="Q43" i="29" s="1"/>
  <c r="E128" i="1"/>
  <c r="G89" i="32"/>
  <c r="I11" i="20"/>
  <c r="M58" i="37" s="1"/>
  <c r="H44" i="22"/>
  <c r="O41" i="29"/>
  <c r="T47" i="29"/>
  <c r="T51" i="29" s="1"/>
  <c r="F24" i="22"/>
  <c r="F49" i="22" s="1"/>
  <c r="F60" i="26" s="1"/>
  <c r="U24" i="29"/>
  <c r="H13" i="28"/>
  <c r="I195" i="37" s="1"/>
  <c r="P24" i="29"/>
  <c r="V8" i="29"/>
  <c r="H29" i="33"/>
  <c r="O122" i="34"/>
  <c r="Q107" i="34"/>
  <c r="F14" i="22"/>
  <c r="H23" i="32" s="1"/>
  <c r="E27" i="22"/>
  <c r="R11" i="20"/>
  <c r="H8" i="1"/>
  <c r="O117" i="34"/>
  <c r="D31" i="1"/>
  <c r="D44" i="1" s="1"/>
  <c r="I30" i="20"/>
  <c r="H62" i="32"/>
  <c r="F22" i="33"/>
  <c r="F20" i="33"/>
  <c r="F23" i="33"/>
  <c r="F24" i="33" s="1"/>
  <c r="L32" i="33" s="1"/>
  <c r="F21" i="33"/>
  <c r="F19" i="33"/>
  <c r="F17" i="33"/>
  <c r="F18" i="33" s="1"/>
  <c r="G3" i="33"/>
  <c r="G13" i="22"/>
  <c r="G11" i="22"/>
  <c r="AA11" i="29"/>
  <c r="Z11" i="29"/>
  <c r="AB11" i="29" s="1"/>
  <c r="N16" i="28" s="1"/>
  <c r="F42" i="1"/>
  <c r="H39" i="22"/>
  <c r="H40" i="22" s="1"/>
  <c r="J31" i="32" s="1"/>
  <c r="H37" i="22"/>
  <c r="AM17" i="29"/>
  <c r="AL17" i="29"/>
  <c r="AN17" i="29" s="1"/>
  <c r="AM19" i="29"/>
  <c r="AL19" i="29"/>
  <c r="AN19" i="29" s="1"/>
  <c r="G46" i="1"/>
  <c r="I18" i="20"/>
  <c r="G86" i="1"/>
  <c r="G106" i="1"/>
  <c r="G82" i="1"/>
  <c r="G125" i="1"/>
  <c r="G127" i="1"/>
  <c r="G52" i="1"/>
  <c r="G76" i="1"/>
  <c r="G65" i="1"/>
  <c r="G93" i="1"/>
  <c r="G131" i="1"/>
  <c r="G115" i="1"/>
  <c r="G94" i="1"/>
  <c r="G124" i="1"/>
  <c r="G95" i="1"/>
  <c r="G129" i="1"/>
  <c r="G101" i="1"/>
  <c r="G71" i="1"/>
  <c r="G90" i="1"/>
  <c r="G120" i="1"/>
  <c r="G130" i="1"/>
  <c r="G126" i="1"/>
  <c r="G111" i="1"/>
  <c r="Q103" i="34"/>
  <c r="J16" i="22"/>
  <c r="B28" i="30"/>
  <c r="J48" i="22" s="1"/>
  <c r="G39" i="22"/>
  <c r="G40" i="22" s="1"/>
  <c r="I31" i="32" s="1"/>
  <c r="G37" i="22"/>
  <c r="Q124" i="34"/>
  <c r="H92" i="32"/>
  <c r="H89" i="32" s="1"/>
  <c r="AA10" i="29"/>
  <c r="Z10" i="29"/>
  <c r="AB10" i="29" s="1"/>
  <c r="N15" i="28" s="1"/>
  <c r="H39" i="1"/>
  <c r="I64" i="32"/>
  <c r="I84" i="32"/>
  <c r="H34" i="1"/>
  <c r="AG15" i="29"/>
  <c r="AF15" i="29"/>
  <c r="AH15" i="29" s="1"/>
  <c r="Q21" i="28" s="1"/>
  <c r="Q2" i="22"/>
  <c r="G2" i="33"/>
  <c r="G25" i="33" s="1"/>
  <c r="BH43" i="30"/>
  <c r="K22" i="30"/>
  <c r="K49" i="30" s="1"/>
  <c r="K89" i="34"/>
  <c r="K111" i="34" s="1"/>
  <c r="K136" i="34" s="1"/>
  <c r="L32" i="32"/>
  <c r="L28" i="32"/>
  <c r="L24" i="32"/>
  <c r="G54" i="32"/>
  <c r="L16" i="32"/>
  <c r="O113" i="34"/>
  <c r="J57" i="32"/>
  <c r="Z9" i="29"/>
  <c r="AB9" i="29" s="1"/>
  <c r="N14" i="28" s="1"/>
  <c r="AA9" i="29"/>
  <c r="AA8" i="29"/>
  <c r="Z8" i="29"/>
  <c r="G13" i="2"/>
  <c r="K59" i="34"/>
  <c r="AM16" i="29"/>
  <c r="AL16" i="29"/>
  <c r="AN16" i="29" s="1"/>
  <c r="I30" i="33"/>
  <c r="AM38" i="29"/>
  <c r="AG50" i="29" s="1"/>
  <c r="AA50" i="29"/>
  <c r="AL50" i="29"/>
  <c r="H52" i="1"/>
  <c r="AG18" i="29"/>
  <c r="AF18" i="29"/>
  <c r="AH18" i="29" s="1"/>
  <c r="Q25" i="28" s="1"/>
  <c r="AG12" i="29"/>
  <c r="AF12" i="29"/>
  <c r="AH12" i="29" s="1"/>
  <c r="Q18" i="28" s="1"/>
  <c r="K91" i="34"/>
  <c r="H17" i="32"/>
  <c r="H14" i="32" s="1"/>
  <c r="M90" i="37" s="1"/>
  <c r="J31" i="33"/>
  <c r="AE50" i="29"/>
  <c r="AE51" i="29" s="1"/>
  <c r="AC51" i="29"/>
  <c r="J46" i="1"/>
  <c r="H11" i="1"/>
  <c r="S40" i="36" s="1"/>
  <c r="Q89" i="34"/>
  <c r="Q111" i="34" s="1"/>
  <c r="Q136" i="34" s="1"/>
  <c r="O24" i="32"/>
  <c r="Z48" i="29"/>
  <c r="AA32" i="29"/>
  <c r="H13" i="22"/>
  <c r="H11" i="22"/>
  <c r="M12" i="1"/>
  <c r="F8" i="2"/>
  <c r="M71" i="1"/>
  <c r="M46" i="1"/>
  <c r="K93" i="34"/>
  <c r="H19" i="32"/>
  <c r="G92" i="30" l="1"/>
  <c r="H92" i="30" s="1"/>
  <c r="H37" i="30"/>
  <c r="J86" i="32"/>
  <c r="AV26" i="30"/>
  <c r="AT26" i="30"/>
  <c r="H35" i="30"/>
  <c r="U32" i="30"/>
  <c r="G32" i="30" s="1"/>
  <c r="H90" i="30"/>
  <c r="H89" i="30"/>
  <c r="H50" i="34"/>
  <c r="H50" i="37"/>
  <c r="M146" i="34"/>
  <c r="M145" i="37"/>
  <c r="I220" i="37"/>
  <c r="I221" i="34"/>
  <c r="K174" i="37"/>
  <c r="H48" i="36"/>
  <c r="G40" i="32"/>
  <c r="K175" i="34"/>
  <c r="Q113" i="34"/>
  <c r="Q112" i="37"/>
  <c r="L24" i="22"/>
  <c r="G64" i="29"/>
  <c r="L54" i="22" s="1"/>
  <c r="K156" i="34"/>
  <c r="K155" i="37"/>
  <c r="J36" i="36"/>
  <c r="Q220" i="37"/>
  <c r="O204" i="34"/>
  <c r="O203" i="37"/>
  <c r="R208" i="34"/>
  <c r="R207" i="37"/>
  <c r="R203" i="34"/>
  <c r="R202" i="37"/>
  <c r="R204" i="34"/>
  <c r="R203" i="37"/>
  <c r="AG14" i="29"/>
  <c r="O199" i="34"/>
  <c r="O198" i="37"/>
  <c r="R207" i="34"/>
  <c r="R206" i="37"/>
  <c r="O197" i="34"/>
  <c r="O196" i="37"/>
  <c r="L221" i="34"/>
  <c r="L220" i="37"/>
  <c r="R201" i="34"/>
  <c r="R200" i="37"/>
  <c r="O198" i="34"/>
  <c r="O197" i="37"/>
  <c r="L199" i="34"/>
  <c r="L198" i="37"/>
  <c r="O152" i="34"/>
  <c r="O151" i="37"/>
  <c r="Q42" i="28"/>
  <c r="R224" i="37" s="1"/>
  <c r="Q121" i="37"/>
  <c r="M66" i="34"/>
  <c r="M65" i="37"/>
  <c r="G35" i="20"/>
  <c r="K65" i="37"/>
  <c r="H13" i="2"/>
  <c r="J49" i="36" s="1"/>
  <c r="Q175" i="37" s="1"/>
  <c r="G39" i="32"/>
  <c r="K98" i="37" s="1"/>
  <c r="J54" i="32"/>
  <c r="Q88" i="37"/>
  <c r="Q110" i="37" s="1"/>
  <c r="Q135" i="37" s="1"/>
  <c r="M77" i="34"/>
  <c r="M76" i="37"/>
  <c r="K131" i="34"/>
  <c r="K130" i="37"/>
  <c r="M118" i="34"/>
  <c r="M117" i="37"/>
  <c r="M131" i="34"/>
  <c r="M130" i="37"/>
  <c r="O106" i="34"/>
  <c r="O105" i="37"/>
  <c r="K174" i="34"/>
  <c r="O97" i="34"/>
  <c r="O96" i="37"/>
  <c r="M143" i="34"/>
  <c r="M142" i="37"/>
  <c r="C38" i="33"/>
  <c r="C39" i="33" s="1"/>
  <c r="K101" i="37"/>
  <c r="H232" i="34"/>
  <c r="H231" i="37"/>
  <c r="O126" i="34"/>
  <c r="O125" i="37"/>
  <c r="M126" i="34"/>
  <c r="M125" i="37"/>
  <c r="O150" i="34"/>
  <c r="O149" i="37"/>
  <c r="AF13" i="29"/>
  <c r="AH13" i="29" s="1"/>
  <c r="Q19" i="28" s="1"/>
  <c r="H44" i="33"/>
  <c r="D40" i="33"/>
  <c r="C40" i="33" s="1"/>
  <c r="J64" i="33"/>
  <c r="E41" i="33"/>
  <c r="D41" i="33" s="1"/>
  <c r="F42" i="33"/>
  <c r="D42" i="33" s="1"/>
  <c r="H62" i="33"/>
  <c r="I63" i="33"/>
  <c r="K65" i="33"/>
  <c r="M66" i="33"/>
  <c r="G53" i="33"/>
  <c r="P87" i="30"/>
  <c r="V54" i="22" s="1"/>
  <c r="Q87" i="30"/>
  <c r="W54" i="22" s="1"/>
  <c r="H87" i="30"/>
  <c r="N54" i="22" s="1"/>
  <c r="R87" i="30"/>
  <c r="X54" i="22" s="1"/>
  <c r="K87" i="30"/>
  <c r="Q54" i="22" s="1"/>
  <c r="J87" i="30"/>
  <c r="P54" i="22" s="1"/>
  <c r="M87" i="30"/>
  <c r="S54" i="22" s="1"/>
  <c r="N87" i="30"/>
  <c r="T54" i="22" s="1"/>
  <c r="O87" i="30"/>
  <c r="U54" i="22" s="1"/>
  <c r="I87" i="30"/>
  <c r="O54" i="22" s="1"/>
  <c r="L87" i="30"/>
  <c r="R54" i="22" s="1"/>
  <c r="U107" i="30"/>
  <c r="S109" i="30"/>
  <c r="T109" i="30" s="1"/>
  <c r="T108" i="30"/>
  <c r="S97" i="30"/>
  <c r="T97" i="30" s="1"/>
  <c r="H42" i="1"/>
  <c r="J42" i="1" s="1"/>
  <c r="U95" i="30"/>
  <c r="Y23" i="22"/>
  <c r="S29" i="30"/>
  <c r="T29" i="30" s="1"/>
  <c r="Y22" i="22"/>
  <c r="M52" i="22"/>
  <c r="S86" i="30"/>
  <c r="T86" i="30" s="1"/>
  <c r="K66" i="34"/>
  <c r="H72" i="30"/>
  <c r="P72" i="30"/>
  <c r="M72" i="30"/>
  <c r="G72" i="30"/>
  <c r="I72" i="30"/>
  <c r="K72" i="30"/>
  <c r="O72" i="30"/>
  <c r="R72" i="30"/>
  <c r="N72" i="30"/>
  <c r="Q72" i="30"/>
  <c r="J72" i="30"/>
  <c r="L72" i="30"/>
  <c r="R70" i="30"/>
  <c r="K70" i="30"/>
  <c r="O70" i="30"/>
  <c r="I70" i="30"/>
  <c r="L70" i="30"/>
  <c r="G70" i="30"/>
  <c r="M33" i="22" s="1"/>
  <c r="M70" i="30"/>
  <c r="J70" i="30"/>
  <c r="H70" i="30"/>
  <c r="Q70" i="30"/>
  <c r="P70" i="30"/>
  <c r="N70" i="30"/>
  <c r="H12" i="2"/>
  <c r="H11" i="36"/>
  <c r="R42" i="36" s="1"/>
  <c r="Q122" i="34"/>
  <c r="R225" i="34"/>
  <c r="S41" i="36"/>
  <c r="U41" i="29"/>
  <c r="Z47" i="29"/>
  <c r="Z51" i="29" s="1"/>
  <c r="AA29" i="29"/>
  <c r="AF47" i="29" s="1"/>
  <c r="J34" i="32"/>
  <c r="AR27" i="30"/>
  <c r="AD26" i="30"/>
  <c r="AU26" i="30" s="1"/>
  <c r="AF26" i="30"/>
  <c r="AS27" i="30"/>
  <c r="AT27" i="30" s="1"/>
  <c r="G50" i="34"/>
  <c r="F27" i="22"/>
  <c r="H27" i="32" s="1"/>
  <c r="M19" i="22"/>
  <c r="Y19" i="22" s="1"/>
  <c r="Y18" i="22"/>
  <c r="G30" i="32"/>
  <c r="H50" i="22"/>
  <c r="J20" i="36" s="1"/>
  <c r="H49" i="22"/>
  <c r="H60" i="26" s="1"/>
  <c r="P15" i="30"/>
  <c r="S11" i="20"/>
  <c r="J11" i="36"/>
  <c r="N17" i="2"/>
  <c r="J36" i="34"/>
  <c r="Q56" i="34" s="1"/>
  <c r="P194" i="34"/>
  <c r="Q179" i="34"/>
  <c r="J47" i="32"/>
  <c r="J32" i="36"/>
  <c r="J13" i="30"/>
  <c r="P3" i="22" s="1"/>
  <c r="P4" i="22" s="1"/>
  <c r="AE27" i="30"/>
  <c r="K221" i="34"/>
  <c r="H36" i="36"/>
  <c r="M48" i="28"/>
  <c r="I36" i="36"/>
  <c r="E61" i="26"/>
  <c r="M19" i="30" s="1"/>
  <c r="G20" i="36"/>
  <c r="G37" i="36"/>
  <c r="K13" i="30"/>
  <c r="Q3" i="22" s="1"/>
  <c r="Q4" i="22" s="1"/>
  <c r="R13" i="30"/>
  <c r="X3" i="22" s="1"/>
  <c r="X4" i="22" s="1"/>
  <c r="P13" i="30"/>
  <c r="V3" i="22" s="1"/>
  <c r="V4" i="22" s="1"/>
  <c r="L13" i="30"/>
  <c r="R3" i="22" s="1"/>
  <c r="R4" i="22" s="1"/>
  <c r="H13" i="30"/>
  <c r="N3" i="22" s="1"/>
  <c r="N4" i="22" s="1"/>
  <c r="N13" i="30"/>
  <c r="T3" i="22" s="1"/>
  <c r="T4" i="22" s="1"/>
  <c r="M13" i="30"/>
  <c r="S3" i="22" s="1"/>
  <c r="S4" i="22" s="1"/>
  <c r="G13" i="30"/>
  <c r="M3" i="22" s="1"/>
  <c r="I13" i="30"/>
  <c r="O3" i="22" s="1"/>
  <c r="O4" i="22" s="1"/>
  <c r="O13" i="30"/>
  <c r="U3" i="22" s="1"/>
  <c r="U4" i="22" s="1"/>
  <c r="Q13" i="30"/>
  <c r="W3" i="22" s="1"/>
  <c r="W4" i="22" s="1"/>
  <c r="H68" i="32"/>
  <c r="M120" i="37" s="1"/>
  <c r="AD26" i="29"/>
  <c r="H42" i="32"/>
  <c r="M176" i="34"/>
  <c r="I49" i="36"/>
  <c r="O175" i="37" s="1"/>
  <c r="Q14" i="36"/>
  <c r="C3" i="35"/>
  <c r="K182" i="34"/>
  <c r="G80" i="32"/>
  <c r="H94" i="32"/>
  <c r="M184" i="34"/>
  <c r="H95" i="32"/>
  <c r="M185" i="34"/>
  <c r="I57" i="36"/>
  <c r="O183" i="37" s="1"/>
  <c r="Q215" i="34"/>
  <c r="J30" i="36"/>
  <c r="S52" i="30"/>
  <c r="T52" i="30" s="1"/>
  <c r="K180" i="34"/>
  <c r="G44" i="32"/>
  <c r="G59" i="36"/>
  <c r="K185" i="37" s="1"/>
  <c r="H55" i="36"/>
  <c r="M181" i="37" s="1"/>
  <c r="R13" i="36"/>
  <c r="H53" i="36"/>
  <c r="M179" i="37" s="1"/>
  <c r="H38" i="30"/>
  <c r="O71" i="1"/>
  <c r="O12" i="1"/>
  <c r="O46" i="1"/>
  <c r="J91" i="32"/>
  <c r="J92" i="32" s="1"/>
  <c r="J89" i="32" s="1"/>
  <c r="P50" i="30"/>
  <c r="P56" i="30" s="1"/>
  <c r="G50" i="30"/>
  <c r="G51" i="30"/>
  <c r="S51" i="30" s="1"/>
  <c r="T51" i="30" s="1"/>
  <c r="H30" i="30"/>
  <c r="N24" i="22" s="1"/>
  <c r="R30" i="30"/>
  <c r="X24" i="22" s="1"/>
  <c r="P30" i="30"/>
  <c r="V24" i="22" s="1"/>
  <c r="Q30" i="30"/>
  <c r="W24" i="22" s="1"/>
  <c r="J30" i="30"/>
  <c r="P24" i="22" s="1"/>
  <c r="M30" i="30"/>
  <c r="S24" i="22" s="1"/>
  <c r="L30" i="30"/>
  <c r="R24" i="22" s="1"/>
  <c r="G30" i="30"/>
  <c r="O30" i="30"/>
  <c r="U24" i="22" s="1"/>
  <c r="I30" i="30"/>
  <c r="O24" i="22" s="1"/>
  <c r="K30" i="30"/>
  <c r="Q24" i="22" s="1"/>
  <c r="N30" i="30"/>
  <c r="T24" i="22" s="1"/>
  <c r="J64" i="32"/>
  <c r="M30" i="20" s="1"/>
  <c r="J34" i="1"/>
  <c r="J39" i="1"/>
  <c r="J84" i="32"/>
  <c r="J11" i="1"/>
  <c r="T40" i="36" s="1"/>
  <c r="R50" i="30"/>
  <c r="R56" i="30" s="1"/>
  <c r="AM35" i="29"/>
  <c r="AG49" i="29" s="1"/>
  <c r="O225" i="34"/>
  <c r="AL49" i="29"/>
  <c r="Q50" i="30"/>
  <c r="Q56" i="30" s="1"/>
  <c r="I50" i="30"/>
  <c r="I56" i="30" s="1"/>
  <c r="T24" i="29"/>
  <c r="K102" i="34"/>
  <c r="G22" i="32"/>
  <c r="P48" i="28"/>
  <c r="H37" i="1"/>
  <c r="H32" i="1" s="1"/>
  <c r="G27" i="32"/>
  <c r="G29" i="32" s="1"/>
  <c r="J35" i="1"/>
  <c r="J41" i="1" s="1"/>
  <c r="L50" i="30"/>
  <c r="L56" i="30" s="1"/>
  <c r="M50" i="30"/>
  <c r="M56" i="30" s="1"/>
  <c r="H50" i="30"/>
  <c r="H56" i="30" s="1"/>
  <c r="O50" i="30"/>
  <c r="O56" i="30" s="1"/>
  <c r="K50" i="30"/>
  <c r="K56" i="30" s="1"/>
  <c r="N50" i="30"/>
  <c r="N56" i="30" s="1"/>
  <c r="J50" i="30"/>
  <c r="J56" i="30" s="1"/>
  <c r="J48" i="28"/>
  <c r="AK24" i="29"/>
  <c r="J76" i="32" s="1"/>
  <c r="AE24" i="29"/>
  <c r="O28" i="32"/>
  <c r="O32" i="32"/>
  <c r="O16" i="32"/>
  <c r="G11" i="2"/>
  <c r="K15" i="20" s="1"/>
  <c r="N221" i="34"/>
  <c r="Q221" i="34"/>
  <c r="H32" i="28"/>
  <c r="I214" i="37" s="1"/>
  <c r="I196" i="34"/>
  <c r="D132" i="1"/>
  <c r="G17" i="20"/>
  <c r="K123" i="34"/>
  <c r="G67" i="32"/>
  <c r="W4" i="29"/>
  <c r="P236" i="34"/>
  <c r="Q173" i="34"/>
  <c r="J236" i="34"/>
  <c r="K173" i="34"/>
  <c r="I14" i="20"/>
  <c r="K130" i="34"/>
  <c r="G50" i="22"/>
  <c r="I20" i="36" s="1"/>
  <c r="M59" i="34"/>
  <c r="M11" i="20"/>
  <c r="Q58" i="37" s="1"/>
  <c r="AA24" i="29"/>
  <c r="AB8" i="29"/>
  <c r="AB24" i="29" s="1"/>
  <c r="Z24" i="29"/>
  <c r="K13" i="28"/>
  <c r="L195" i="37" s="1"/>
  <c r="V24" i="29"/>
  <c r="G14" i="22"/>
  <c r="I23" i="32" s="1"/>
  <c r="Q117" i="34"/>
  <c r="F31" i="1"/>
  <c r="F44" i="1" s="1"/>
  <c r="I17" i="20" s="1"/>
  <c r="M64" i="37" s="1"/>
  <c r="F61" i="26"/>
  <c r="G8" i="2"/>
  <c r="N12" i="1"/>
  <c r="N46" i="1"/>
  <c r="N71" i="1"/>
  <c r="H14" i="22"/>
  <c r="J23" i="32" s="1"/>
  <c r="J30" i="33"/>
  <c r="K31" i="33"/>
  <c r="U48" i="29"/>
  <c r="AF48" i="29"/>
  <c r="AG32" i="29"/>
  <c r="K62" i="34"/>
  <c r="H24" i="20"/>
  <c r="H16" i="20"/>
  <c r="H30" i="20"/>
  <c r="L77" i="34"/>
  <c r="H23" i="20"/>
  <c r="H18" i="20"/>
  <c r="K11" i="20"/>
  <c r="K121" i="34"/>
  <c r="AG9" i="29"/>
  <c r="AF9" i="29"/>
  <c r="AH9" i="29" s="1"/>
  <c r="Q14" i="28" s="1"/>
  <c r="G23" i="33"/>
  <c r="G21" i="33"/>
  <c r="G19" i="33"/>
  <c r="G17" i="33"/>
  <c r="G24" i="33"/>
  <c r="M32" i="33" s="1"/>
  <c r="G22" i="33"/>
  <c r="G20" i="33"/>
  <c r="G18" i="33"/>
  <c r="H3" i="33"/>
  <c r="I92" i="32"/>
  <c r="I89" i="32" s="1"/>
  <c r="AI4" i="29"/>
  <c r="AC4" i="29"/>
  <c r="AM18" i="29"/>
  <c r="AL18" i="29"/>
  <c r="AN18" i="29" s="1"/>
  <c r="AF8" i="29"/>
  <c r="AG8" i="29"/>
  <c r="AL15" i="29"/>
  <c r="AN15" i="29" s="1"/>
  <c r="AM15" i="29"/>
  <c r="I29" i="33"/>
  <c r="L17" i="2"/>
  <c r="H11" i="32"/>
  <c r="M88" i="37" s="1"/>
  <c r="M110" i="37" s="1"/>
  <c r="M135" i="37" s="1"/>
  <c r="C26" i="35"/>
  <c r="R2" i="22"/>
  <c r="H2" i="33"/>
  <c r="H25" i="33" s="1"/>
  <c r="BI43" i="30"/>
  <c r="L22" i="30"/>
  <c r="L49" i="30" s="1"/>
  <c r="AM13" i="29"/>
  <c r="AL13" i="29"/>
  <c r="AN13" i="29" s="1"/>
  <c r="AF11" i="29"/>
  <c r="AH11" i="29" s="1"/>
  <c r="Q16" i="28" s="1"/>
  <c r="AG11" i="29"/>
  <c r="M93" i="34"/>
  <c r="I19" i="32"/>
  <c r="AL12" i="29"/>
  <c r="AN12" i="29" s="1"/>
  <c r="AM12" i="29"/>
  <c r="K30" i="20"/>
  <c r="I62" i="32"/>
  <c r="AG10" i="29"/>
  <c r="AF10" i="29"/>
  <c r="AH10" i="29" s="1"/>
  <c r="Q15" i="28" s="1"/>
  <c r="G49" i="22"/>
  <c r="G60" i="26" s="1"/>
  <c r="J18" i="22"/>
  <c r="B29" i="30"/>
  <c r="J52" i="22" s="1"/>
  <c r="E31" i="1"/>
  <c r="E11" i="1"/>
  <c r="M91" i="34"/>
  <c r="I17" i="32"/>
  <c r="H94" i="30" l="1"/>
  <c r="AL14" i="29"/>
  <c r="AN14" i="29" s="1"/>
  <c r="AM14" i="29"/>
  <c r="I37" i="30"/>
  <c r="H32" i="30"/>
  <c r="I32" i="30" s="1"/>
  <c r="J32" i="30" s="1"/>
  <c r="K32" i="30" s="1"/>
  <c r="L32" i="30" s="1"/>
  <c r="M32" i="30" s="1"/>
  <c r="N32" i="30" s="1"/>
  <c r="O32" i="30" s="1"/>
  <c r="P32" i="30" s="1"/>
  <c r="Q32" i="30" s="1"/>
  <c r="R32" i="30" s="1"/>
  <c r="I94" i="30"/>
  <c r="I92" i="30"/>
  <c r="I35" i="30"/>
  <c r="I90" i="30"/>
  <c r="I89" i="30"/>
  <c r="O55" i="22"/>
  <c r="AW26" i="30"/>
  <c r="H33" i="32"/>
  <c r="H30" i="32" s="1"/>
  <c r="K95" i="37"/>
  <c r="J50" i="34"/>
  <c r="J50" i="37"/>
  <c r="Q143" i="34"/>
  <c r="Q142" i="37"/>
  <c r="I50" i="34"/>
  <c r="I50" i="37"/>
  <c r="H51" i="34"/>
  <c r="M76" i="30"/>
  <c r="S76" i="30" s="1"/>
  <c r="H51" i="37"/>
  <c r="O143" i="34"/>
  <c r="O142" i="37"/>
  <c r="G56" i="30"/>
  <c r="X25" i="22"/>
  <c r="O25" i="22"/>
  <c r="S25" i="22"/>
  <c r="K99" i="37"/>
  <c r="K100" i="34"/>
  <c r="H40" i="32"/>
  <c r="I48" i="36"/>
  <c r="I47" i="36" s="1"/>
  <c r="O173" i="37" s="1"/>
  <c r="M175" i="34"/>
  <c r="M174" i="37"/>
  <c r="P55" i="22"/>
  <c r="W55" i="22"/>
  <c r="Q25" i="22"/>
  <c r="R25" i="22"/>
  <c r="V25" i="22"/>
  <c r="U25" i="22"/>
  <c r="P25" i="22"/>
  <c r="N25" i="22"/>
  <c r="T25" i="22"/>
  <c r="W25" i="22"/>
  <c r="R55" i="22"/>
  <c r="S55" i="22"/>
  <c r="N55" i="22"/>
  <c r="U55" i="22"/>
  <c r="Q55" i="22"/>
  <c r="V55" i="22"/>
  <c r="T55" i="22"/>
  <c r="X55" i="22"/>
  <c r="R198" i="34"/>
  <c r="R197" i="37"/>
  <c r="R202" i="34"/>
  <c r="R201" i="37"/>
  <c r="R199" i="34"/>
  <c r="R198" i="37"/>
  <c r="O156" i="34"/>
  <c r="O155" i="37"/>
  <c r="M156" i="34"/>
  <c r="M155" i="37"/>
  <c r="Q156" i="34"/>
  <c r="Q155" i="37"/>
  <c r="R197" i="34"/>
  <c r="R196" i="37"/>
  <c r="Q152" i="34"/>
  <c r="Q151" i="37"/>
  <c r="K66" i="37"/>
  <c r="K62" i="37"/>
  <c r="P235" i="37"/>
  <c r="Q172" i="37"/>
  <c r="L235" i="37"/>
  <c r="M172" i="37"/>
  <c r="O118" i="34"/>
  <c r="O117" i="37"/>
  <c r="O77" i="34"/>
  <c r="O76" i="37"/>
  <c r="O131" i="34"/>
  <c r="O130" i="37"/>
  <c r="Q77" i="34"/>
  <c r="Q76" i="37"/>
  <c r="Q131" i="34"/>
  <c r="Q130" i="37"/>
  <c r="Q106" i="34"/>
  <c r="Q105" i="37"/>
  <c r="P18" i="30"/>
  <c r="V7" i="22" s="1"/>
  <c r="V8" i="22" s="1"/>
  <c r="Q97" i="34"/>
  <c r="Q96" i="37"/>
  <c r="G51" i="37"/>
  <c r="K143" i="34"/>
  <c r="K142" i="37"/>
  <c r="K104" i="34"/>
  <c r="K103" i="37"/>
  <c r="M102" i="34"/>
  <c r="M101" i="37"/>
  <c r="H47" i="36"/>
  <c r="M173" i="37" s="1"/>
  <c r="M61" i="37"/>
  <c r="L66" i="34"/>
  <c r="L65" i="37"/>
  <c r="L71" i="34"/>
  <c r="L70" i="37"/>
  <c r="K80" i="34"/>
  <c r="K79" i="37"/>
  <c r="O58" i="37"/>
  <c r="H87" i="32"/>
  <c r="M131" i="37"/>
  <c r="J16" i="20"/>
  <c r="N63" i="37" s="1"/>
  <c r="L63" i="37"/>
  <c r="L72" i="34"/>
  <c r="L71" i="37"/>
  <c r="K157" i="34"/>
  <c r="K156" i="37"/>
  <c r="Q232" i="34"/>
  <c r="Q231" i="37"/>
  <c r="Q150" i="34"/>
  <c r="Q149" i="37"/>
  <c r="N232" i="34"/>
  <c r="N231" i="37"/>
  <c r="K232" i="34"/>
  <c r="K231" i="37"/>
  <c r="Q108" i="36"/>
  <c r="Q109" i="36" s="1"/>
  <c r="K119" i="37"/>
  <c r="K65" i="34"/>
  <c r="K64" i="37"/>
  <c r="E42" i="33"/>
  <c r="P35" i="22"/>
  <c r="P36" i="22" s="1"/>
  <c r="J75" i="30"/>
  <c r="P37" i="22" s="1"/>
  <c r="P38" i="22" s="1"/>
  <c r="F46" i="33"/>
  <c r="F47" i="33" s="1"/>
  <c r="U35" i="22"/>
  <c r="U36" i="22" s="1"/>
  <c r="O75" i="30"/>
  <c r="U37" i="22" s="1"/>
  <c r="U38" i="22" s="1"/>
  <c r="K46" i="33"/>
  <c r="K47" i="33" s="1"/>
  <c r="S35" i="22"/>
  <c r="S36" i="22" s="1"/>
  <c r="M75" i="30"/>
  <c r="S37" i="22" s="1"/>
  <c r="S38" i="22" s="1"/>
  <c r="I46" i="33"/>
  <c r="I47" i="33" s="1"/>
  <c r="W35" i="22"/>
  <c r="W36" i="22" s="1"/>
  <c r="Q75" i="30"/>
  <c r="W37" i="22" s="1"/>
  <c r="W38" i="22" s="1"/>
  <c r="M46" i="33"/>
  <c r="M47" i="33" s="1"/>
  <c r="Q35" i="22"/>
  <c r="Q36" i="22" s="1"/>
  <c r="K75" i="30"/>
  <c r="Q37" i="22" s="1"/>
  <c r="Q38" i="22" s="1"/>
  <c r="G46" i="33"/>
  <c r="G47" i="33" s="1"/>
  <c r="V35" i="22"/>
  <c r="V36" i="22" s="1"/>
  <c r="P75" i="30"/>
  <c r="V37" i="22" s="1"/>
  <c r="V38" i="22" s="1"/>
  <c r="L46" i="33"/>
  <c r="L47" i="33" s="1"/>
  <c r="C42" i="33"/>
  <c r="T35" i="22"/>
  <c r="T36" i="22" s="1"/>
  <c r="N75" i="30"/>
  <c r="T37" i="22" s="1"/>
  <c r="T38" i="22" s="1"/>
  <c r="J46" i="33"/>
  <c r="J47" i="33" s="1"/>
  <c r="O35" i="22"/>
  <c r="O36" i="22" s="1"/>
  <c r="I75" i="30"/>
  <c r="O37" i="22" s="1"/>
  <c r="O38" i="22" s="1"/>
  <c r="E46" i="33"/>
  <c r="E47" i="33" s="1"/>
  <c r="N35" i="22"/>
  <c r="N36" i="22" s="1"/>
  <c r="H75" i="30"/>
  <c r="N37" i="22" s="1"/>
  <c r="N38" i="22" s="1"/>
  <c r="D46" i="33"/>
  <c r="D47" i="33" s="1"/>
  <c r="R35" i="22"/>
  <c r="R36" i="22" s="1"/>
  <c r="L75" i="30"/>
  <c r="R37" i="22" s="1"/>
  <c r="R38" i="22" s="1"/>
  <c r="H46" i="33"/>
  <c r="H47" i="33" s="1"/>
  <c r="X35" i="22"/>
  <c r="X36" i="22" s="1"/>
  <c r="R75" i="30"/>
  <c r="X37" i="22" s="1"/>
  <c r="X38" i="22" s="1"/>
  <c r="N46" i="33"/>
  <c r="N47" i="33" s="1"/>
  <c r="M35" i="22"/>
  <c r="M36" i="22" s="1"/>
  <c r="G75" i="30"/>
  <c r="C46" i="33"/>
  <c r="C47" i="33" s="1"/>
  <c r="G79" i="32"/>
  <c r="C41" i="33"/>
  <c r="J63" i="33"/>
  <c r="L65" i="33"/>
  <c r="N66" i="33"/>
  <c r="H53" i="33"/>
  <c r="D43" i="33"/>
  <c r="C43" i="33" s="1"/>
  <c r="E43" i="33"/>
  <c r="F43" i="33"/>
  <c r="I62" i="33"/>
  <c r="K64" i="33"/>
  <c r="R11" i="36"/>
  <c r="D2" i="35" s="1"/>
  <c r="D49" i="35" s="1"/>
  <c r="M54" i="22"/>
  <c r="S87" i="30"/>
  <c r="T87" i="30" s="1"/>
  <c r="U47" i="29"/>
  <c r="U51" i="29" s="1"/>
  <c r="J107" i="30"/>
  <c r="J113" i="30" s="1"/>
  <c r="R107" i="30"/>
  <c r="R113" i="30" s="1"/>
  <c r="N107" i="30"/>
  <c r="N113" i="30" s="1"/>
  <c r="I107" i="30"/>
  <c r="H107" i="30"/>
  <c r="O107" i="30"/>
  <c r="O113" i="30" s="1"/>
  <c r="P107" i="30"/>
  <c r="P113" i="30" s="1"/>
  <c r="K107" i="30"/>
  <c r="K113" i="30" s="1"/>
  <c r="L107" i="30"/>
  <c r="L113" i="30" s="1"/>
  <c r="Q107" i="30"/>
  <c r="Q113" i="30" s="1"/>
  <c r="M107" i="30"/>
  <c r="M113" i="30" s="1"/>
  <c r="G107" i="30"/>
  <c r="H31" i="1"/>
  <c r="H44" i="1" s="1"/>
  <c r="K17" i="20" s="1"/>
  <c r="H48" i="28"/>
  <c r="U41" i="30" s="1"/>
  <c r="K95" i="30"/>
  <c r="I95" i="30"/>
  <c r="O95" i="30"/>
  <c r="H95" i="30"/>
  <c r="R95" i="30"/>
  <c r="N95" i="30"/>
  <c r="L95" i="30"/>
  <c r="Q95" i="30"/>
  <c r="P95" i="30"/>
  <c r="G95" i="30"/>
  <c r="J95" i="30"/>
  <c r="M95" i="30"/>
  <c r="M53" i="22"/>
  <c r="Y53" i="22" s="1"/>
  <c r="Y52" i="22"/>
  <c r="W33" i="22"/>
  <c r="W34" i="22" s="1"/>
  <c r="Q33" i="22"/>
  <c r="Q34" i="22" s="1"/>
  <c r="V33" i="22"/>
  <c r="V34" i="22" s="1"/>
  <c r="U33" i="22"/>
  <c r="U34" i="22" s="1"/>
  <c r="N33" i="22"/>
  <c r="N34" i="22" s="1"/>
  <c r="X33" i="22"/>
  <c r="X34" i="22" s="1"/>
  <c r="S33" i="22"/>
  <c r="S34" i="22" s="1"/>
  <c r="P33" i="22"/>
  <c r="P34" i="22" s="1"/>
  <c r="R33" i="22"/>
  <c r="R34" i="22" s="1"/>
  <c r="T33" i="22"/>
  <c r="T34" i="22" s="1"/>
  <c r="O33" i="22"/>
  <c r="O34" i="22" s="1"/>
  <c r="AG29" i="29"/>
  <c r="AA41" i="29"/>
  <c r="H72" i="32"/>
  <c r="H70" i="32" s="1"/>
  <c r="H46" i="36"/>
  <c r="I11" i="36"/>
  <c r="I46" i="36" s="1"/>
  <c r="G51" i="34"/>
  <c r="E50" i="26"/>
  <c r="G41" i="37" s="1"/>
  <c r="T41" i="36"/>
  <c r="AW27" i="30"/>
  <c r="AV27" i="30"/>
  <c r="M15" i="30"/>
  <c r="I15" i="30"/>
  <c r="R15" i="30"/>
  <c r="R18" i="30" s="1"/>
  <c r="G15" i="30"/>
  <c r="G18" i="30" s="1"/>
  <c r="M4" i="22"/>
  <c r="Y4" i="22" s="1"/>
  <c r="Y3" i="22"/>
  <c r="K96" i="34"/>
  <c r="K15" i="30"/>
  <c r="L15" i="30"/>
  <c r="N15" i="30"/>
  <c r="N18" i="30" s="1"/>
  <c r="O15" i="30"/>
  <c r="Q15" i="30"/>
  <c r="H15" i="30"/>
  <c r="J15" i="30"/>
  <c r="J18" i="30" s="1"/>
  <c r="H61" i="26"/>
  <c r="S19" i="30"/>
  <c r="J46" i="36"/>
  <c r="T11" i="36"/>
  <c r="F2" i="35" s="1"/>
  <c r="T42" i="36"/>
  <c r="I38" i="30"/>
  <c r="Q38" i="30"/>
  <c r="L38" i="30"/>
  <c r="M38" i="30"/>
  <c r="N38" i="30"/>
  <c r="K38" i="30"/>
  <c r="O38" i="30"/>
  <c r="AU27" i="30"/>
  <c r="J38" i="30"/>
  <c r="R38" i="30"/>
  <c r="P38" i="30"/>
  <c r="G38" i="30"/>
  <c r="I68" i="32"/>
  <c r="O120" i="37" s="1"/>
  <c r="J62" i="32"/>
  <c r="J57" i="36"/>
  <c r="Q183" i="37" s="1"/>
  <c r="R14" i="36"/>
  <c r="D3" i="35"/>
  <c r="H80" i="32"/>
  <c r="M182" i="34"/>
  <c r="O176" i="34"/>
  <c r="I42" i="32"/>
  <c r="J42" i="32"/>
  <c r="Q176" i="34"/>
  <c r="O185" i="34"/>
  <c r="I95" i="32"/>
  <c r="I94" i="32"/>
  <c r="O131" i="37" s="1"/>
  <c r="O184" i="34"/>
  <c r="M180" i="34"/>
  <c r="H44" i="32"/>
  <c r="G28" i="36"/>
  <c r="K186" i="34"/>
  <c r="Q114" i="36"/>
  <c r="Q59" i="34"/>
  <c r="J53" i="36"/>
  <c r="Q179" i="37" s="1"/>
  <c r="T13" i="36"/>
  <c r="S13" i="36"/>
  <c r="I53" i="36"/>
  <c r="O179" i="37" s="1"/>
  <c r="S50" i="30"/>
  <c r="T50" i="30" s="1"/>
  <c r="J37" i="1"/>
  <c r="J32" i="1" s="1"/>
  <c r="S30" i="30"/>
  <c r="T30" i="30" s="1"/>
  <c r="M132" i="34"/>
  <c r="G31" i="30"/>
  <c r="M24" i="22"/>
  <c r="G41" i="32"/>
  <c r="K100" i="37" s="1"/>
  <c r="K99" i="34"/>
  <c r="M14" i="20"/>
  <c r="Q61" i="37" s="1"/>
  <c r="J18" i="20"/>
  <c r="J75" i="32"/>
  <c r="N77" i="34"/>
  <c r="W43" i="29"/>
  <c r="G12" i="2"/>
  <c r="K32" i="28"/>
  <c r="L196" i="34"/>
  <c r="I215" i="34"/>
  <c r="J24" i="20"/>
  <c r="J30" i="20"/>
  <c r="M62" i="34"/>
  <c r="J23" i="20"/>
  <c r="M65" i="34"/>
  <c r="G26" i="32"/>
  <c r="K94" i="37" s="1"/>
  <c r="N13" i="28"/>
  <c r="O195" i="37" s="1"/>
  <c r="AG24" i="29"/>
  <c r="AH8" i="29"/>
  <c r="Q13" i="28" s="1"/>
  <c r="AF24" i="29"/>
  <c r="AF51" i="29"/>
  <c r="G11" i="1"/>
  <c r="G31" i="1"/>
  <c r="F132" i="1"/>
  <c r="F50" i="26"/>
  <c r="L31" i="33"/>
  <c r="H17" i="20"/>
  <c r="H25" i="32"/>
  <c r="H22" i="32" s="1"/>
  <c r="M94" i="34" s="1"/>
  <c r="K94" i="34"/>
  <c r="M17" i="2"/>
  <c r="I11" i="32"/>
  <c r="O88" i="37" s="1"/>
  <c r="O110" i="37" s="1"/>
  <c r="O135" i="37" s="1"/>
  <c r="J29" i="33"/>
  <c r="H23" i="33"/>
  <c r="H21" i="33"/>
  <c r="H19" i="33"/>
  <c r="H17" i="33"/>
  <c r="H18" i="33" s="1"/>
  <c r="I3" i="33"/>
  <c r="H22" i="33"/>
  <c r="H20" i="33"/>
  <c r="H24" i="33"/>
  <c r="N32" i="33" s="1"/>
  <c r="O59" i="34"/>
  <c r="K14" i="20"/>
  <c r="AL48" i="29"/>
  <c r="AM32" i="29"/>
  <c r="AG48" i="29" s="1"/>
  <c r="AA48" i="29"/>
  <c r="L64" i="34"/>
  <c r="S2" i="22"/>
  <c r="I2" i="33"/>
  <c r="I25" i="33" s="1"/>
  <c r="BJ43" i="30"/>
  <c r="M22" i="30"/>
  <c r="M49" i="30" s="1"/>
  <c r="M121" i="34"/>
  <c r="AC43" i="29"/>
  <c r="G61" i="26"/>
  <c r="I51" i="37" s="1"/>
  <c r="I14" i="32"/>
  <c r="O90" i="37" s="1"/>
  <c r="AM8" i="29"/>
  <c r="AL8" i="29"/>
  <c r="AI43" i="29"/>
  <c r="K30" i="33"/>
  <c r="AM9" i="29"/>
  <c r="AL9" i="29"/>
  <c r="AN9" i="29" s="1"/>
  <c r="J22" i="22"/>
  <c r="B30" i="30"/>
  <c r="J54" i="22" s="1"/>
  <c r="AM10" i="29"/>
  <c r="AL10" i="29"/>
  <c r="AN10" i="29" s="1"/>
  <c r="V5" i="22"/>
  <c r="V6" i="22" s="1"/>
  <c r="L12" i="33"/>
  <c r="M89" i="34"/>
  <c r="M111" i="34" s="1"/>
  <c r="M136" i="34" s="1"/>
  <c r="M16" i="32"/>
  <c r="H54" i="32"/>
  <c r="M28" i="32"/>
  <c r="M24" i="32"/>
  <c r="M32" i="32"/>
  <c r="K120" i="34"/>
  <c r="I60" i="26"/>
  <c r="O93" i="34"/>
  <c r="J19" i="32"/>
  <c r="AM11" i="29"/>
  <c r="AL11" i="29"/>
  <c r="AN11" i="29" s="1"/>
  <c r="AH24" i="29" l="1"/>
  <c r="D66" i="26"/>
  <c r="J37" i="30"/>
  <c r="J94" i="30"/>
  <c r="J92" i="30"/>
  <c r="J35" i="30"/>
  <c r="J89" i="30"/>
  <c r="J90" i="30"/>
  <c r="H33" i="30"/>
  <c r="M96" i="34"/>
  <c r="M95" i="37"/>
  <c r="J51" i="34"/>
  <c r="J51" i="37"/>
  <c r="AM29" i="29"/>
  <c r="AL47" i="29"/>
  <c r="AG41" i="29"/>
  <c r="H19" i="20"/>
  <c r="O174" i="37"/>
  <c r="O175" i="34"/>
  <c r="I40" i="32"/>
  <c r="J48" i="36"/>
  <c r="J47" i="36" s="1"/>
  <c r="Q173" i="37" s="1"/>
  <c r="M99" i="37"/>
  <c r="M100" i="34"/>
  <c r="H41" i="34"/>
  <c r="H41" i="37"/>
  <c r="K67" i="34"/>
  <c r="H15" i="20"/>
  <c r="L62" i="37" s="1"/>
  <c r="I72" i="32"/>
  <c r="I70" i="32" s="1"/>
  <c r="M123" i="34"/>
  <c r="M122" i="37"/>
  <c r="G20" i="20"/>
  <c r="K67" i="37" s="1"/>
  <c r="K63" i="34"/>
  <c r="O172" i="37"/>
  <c r="N235" i="37"/>
  <c r="Q118" i="34"/>
  <c r="Q117" i="37"/>
  <c r="K18" i="30"/>
  <c r="Q7" i="22" s="1"/>
  <c r="Q8" i="22" s="1"/>
  <c r="H18" i="30"/>
  <c r="N7" i="22" s="1"/>
  <c r="N8" i="22" s="1"/>
  <c r="Q18" i="30"/>
  <c r="W7" i="22" s="1"/>
  <c r="W8" i="22" s="1"/>
  <c r="O18" i="30"/>
  <c r="U7" i="22" s="1"/>
  <c r="U8" i="22" s="1"/>
  <c r="V9" i="22"/>
  <c r="I18" i="30"/>
  <c r="O7" i="22" s="1"/>
  <c r="O8" i="22" s="1"/>
  <c r="L18" i="30"/>
  <c r="R7" i="22" s="1"/>
  <c r="R8" i="22" s="1"/>
  <c r="M18" i="30"/>
  <c r="S7" i="22" s="1"/>
  <c r="S8" i="22" s="1"/>
  <c r="P23" i="30"/>
  <c r="V10" i="22" s="1"/>
  <c r="V11" i="22" s="1"/>
  <c r="G23" i="30"/>
  <c r="M10" i="22" s="1"/>
  <c r="M11" i="22" s="1"/>
  <c r="K50" i="34"/>
  <c r="K50" i="37"/>
  <c r="H59" i="36"/>
  <c r="M186" i="34" s="1"/>
  <c r="O174" i="34"/>
  <c r="K148" i="34"/>
  <c r="K147" i="37"/>
  <c r="M104" i="34"/>
  <c r="M103" i="37"/>
  <c r="M80" i="34"/>
  <c r="M79" i="37"/>
  <c r="N71" i="34"/>
  <c r="N70" i="37"/>
  <c r="O102" i="34"/>
  <c r="O101" i="37"/>
  <c r="Q102" i="34"/>
  <c r="Q101" i="37"/>
  <c r="K128" i="34"/>
  <c r="K127" i="37"/>
  <c r="I39" i="32"/>
  <c r="O98" i="37" s="1"/>
  <c r="O61" i="37"/>
  <c r="N72" i="34"/>
  <c r="N71" i="37"/>
  <c r="N66" i="34"/>
  <c r="N65" i="37"/>
  <c r="M174" i="34"/>
  <c r="H39" i="32"/>
  <c r="O65" i="34"/>
  <c r="O64" i="37"/>
  <c r="K48" i="28"/>
  <c r="L214" i="37"/>
  <c r="L65" i="34"/>
  <c r="L64" i="37"/>
  <c r="Q126" i="34"/>
  <c r="Q125" i="37"/>
  <c r="I231" i="37"/>
  <c r="R39" i="22"/>
  <c r="P39" i="22"/>
  <c r="V39" i="22"/>
  <c r="X39" i="22"/>
  <c r="Q39" i="22"/>
  <c r="Y36" i="22"/>
  <c r="M37" i="22"/>
  <c r="S75" i="30"/>
  <c r="M5" i="22"/>
  <c r="M6" i="22" s="1"/>
  <c r="N12" i="33"/>
  <c r="X7" i="22"/>
  <c r="X8" i="22" s="1"/>
  <c r="O39" i="22"/>
  <c r="N39" i="22"/>
  <c r="W39" i="22"/>
  <c r="J23" i="30"/>
  <c r="P10" i="22" s="1"/>
  <c r="P11" i="22" s="1"/>
  <c r="P7" i="22"/>
  <c r="P8" i="22" s="1"/>
  <c r="T5" i="22"/>
  <c r="T6" i="22" s="1"/>
  <c r="T7" i="22"/>
  <c r="T8" i="22" s="1"/>
  <c r="T39" i="22"/>
  <c r="Y35" i="22"/>
  <c r="U39" i="22"/>
  <c r="AA47" i="29"/>
  <c r="AA51" i="29" s="1"/>
  <c r="G74" i="32"/>
  <c r="H79" i="32"/>
  <c r="Q38" i="33"/>
  <c r="Q39" i="33" s="1"/>
  <c r="S42" i="33"/>
  <c r="I81" i="30" s="1"/>
  <c r="Q40" i="33"/>
  <c r="K63" i="33"/>
  <c r="M65" i="33"/>
  <c r="J62" i="33"/>
  <c r="L64" i="33"/>
  <c r="E44" i="33"/>
  <c r="D44" i="33" s="1"/>
  <c r="H45" i="33"/>
  <c r="G44" i="33"/>
  <c r="G45" i="33" s="1"/>
  <c r="F44" i="33"/>
  <c r="F45" i="33" s="1"/>
  <c r="I53" i="33"/>
  <c r="M55" i="22"/>
  <c r="Y55" i="22" s="1"/>
  <c r="Y54" i="22"/>
  <c r="S107" i="30"/>
  <c r="I31" i="1"/>
  <c r="I11" i="1"/>
  <c r="S95" i="30"/>
  <c r="T95" i="30" s="1"/>
  <c r="S39" i="22"/>
  <c r="M34" i="22"/>
  <c r="Y33" i="22"/>
  <c r="H67" i="32"/>
  <c r="O23" i="30"/>
  <c r="U10" i="22" s="1"/>
  <c r="U11" i="22" s="1"/>
  <c r="I23" i="30"/>
  <c r="O10" i="22" s="1"/>
  <c r="O11" i="22" s="1"/>
  <c r="M23" i="30"/>
  <c r="S10" i="22" s="1"/>
  <c r="S11" i="22" s="1"/>
  <c r="L23" i="30"/>
  <c r="R10" i="22" s="1"/>
  <c r="R11" i="22" s="1"/>
  <c r="H23" i="30"/>
  <c r="N10" i="22" s="1"/>
  <c r="N11" i="22" s="1"/>
  <c r="Q23" i="30"/>
  <c r="W10" i="22" s="1"/>
  <c r="W11" i="22" s="1"/>
  <c r="K23" i="30"/>
  <c r="Q10" i="22" s="1"/>
  <c r="Q11" i="22" s="1"/>
  <c r="S42" i="36"/>
  <c r="S11" i="36"/>
  <c r="E2" i="35" s="1"/>
  <c r="E49" i="35" s="1"/>
  <c r="J31" i="1"/>
  <c r="J44" i="1" s="1"/>
  <c r="K31" i="1" s="1"/>
  <c r="D12" i="33"/>
  <c r="R23" i="30"/>
  <c r="X10" i="22" s="1"/>
  <c r="X11" i="22" s="1"/>
  <c r="N23" i="30"/>
  <c r="T10" i="22" s="1"/>
  <c r="T11" i="22" s="1"/>
  <c r="N5" i="22"/>
  <c r="N6" i="22" s="1"/>
  <c r="O5" i="22"/>
  <c r="O6" i="22" s="1"/>
  <c r="R5" i="22"/>
  <c r="R6" i="22" s="1"/>
  <c r="Q185" i="34"/>
  <c r="J12" i="33"/>
  <c r="X5" i="22"/>
  <c r="X6" i="22" s="1"/>
  <c r="H12" i="33"/>
  <c r="J95" i="32"/>
  <c r="C12" i="33"/>
  <c r="C48" i="33" s="1"/>
  <c r="E12" i="33"/>
  <c r="M12" i="33"/>
  <c r="Q5" i="22"/>
  <c r="Q6" i="22" s="1"/>
  <c r="I12" i="33"/>
  <c r="I13" i="33" s="1"/>
  <c r="I26" i="33" s="1"/>
  <c r="G12" i="33"/>
  <c r="S5" i="22"/>
  <c r="S6" i="22" s="1"/>
  <c r="K12" i="33"/>
  <c r="U5" i="22"/>
  <c r="U6" i="22" s="1"/>
  <c r="M25" i="22"/>
  <c r="Y24" i="22"/>
  <c r="I33" i="32"/>
  <c r="P5" i="22"/>
  <c r="P6" i="22" s="1"/>
  <c r="F12" i="33"/>
  <c r="W5" i="22"/>
  <c r="W6" i="22" s="1"/>
  <c r="H50" i="26"/>
  <c r="F49" i="35"/>
  <c r="F26" i="35"/>
  <c r="S38" i="30"/>
  <c r="T38" i="30" s="1"/>
  <c r="S14" i="36"/>
  <c r="E3" i="35"/>
  <c r="T14" i="36"/>
  <c r="F3" i="35"/>
  <c r="J94" i="32"/>
  <c r="Q131" i="37" s="1"/>
  <c r="Q184" i="34"/>
  <c r="O180" i="34"/>
  <c r="I44" i="32"/>
  <c r="G41" i="36"/>
  <c r="J44" i="32"/>
  <c r="Q180" i="34"/>
  <c r="R107" i="36"/>
  <c r="K101" i="34"/>
  <c r="H31" i="30"/>
  <c r="S56" i="30"/>
  <c r="H83" i="32"/>
  <c r="M129" i="37" s="1"/>
  <c r="G18" i="32"/>
  <c r="H29" i="32"/>
  <c r="H26" i="32" s="1"/>
  <c r="M94" i="37" s="1"/>
  <c r="N23" i="20"/>
  <c r="R77" i="34"/>
  <c r="G25" i="20"/>
  <c r="I232" i="34"/>
  <c r="L215" i="34"/>
  <c r="N32" i="28"/>
  <c r="O196" i="34"/>
  <c r="O132" i="34"/>
  <c r="L236" i="34"/>
  <c r="M173" i="34"/>
  <c r="G50" i="26"/>
  <c r="I41" i="37" s="1"/>
  <c r="I51" i="34"/>
  <c r="N24" i="20"/>
  <c r="Q62" i="34"/>
  <c r="N30" i="20"/>
  <c r="J17" i="20"/>
  <c r="K95" i="34"/>
  <c r="G21" i="20"/>
  <c r="K68" i="37" s="1"/>
  <c r="AM24" i="29"/>
  <c r="J68" i="32" s="1"/>
  <c r="Q120" i="37" s="1"/>
  <c r="AN8" i="29"/>
  <c r="AN24" i="29" s="1"/>
  <c r="AL24" i="29"/>
  <c r="L30" i="33"/>
  <c r="N24" i="32"/>
  <c r="N28" i="32"/>
  <c r="I54" i="32"/>
  <c r="N32" i="32"/>
  <c r="O89" i="34"/>
  <c r="O111" i="34" s="1"/>
  <c r="O136" i="34" s="1"/>
  <c r="N16" i="32"/>
  <c r="I25" i="32"/>
  <c r="M31" i="33"/>
  <c r="O62" i="34"/>
  <c r="L24" i="20"/>
  <c r="P77" i="34"/>
  <c r="L17" i="20"/>
  <c r="L23" i="20"/>
  <c r="L30" i="20"/>
  <c r="D26" i="35"/>
  <c r="J24" i="22"/>
  <c r="B31" i="30"/>
  <c r="B32" i="30" s="1"/>
  <c r="B39" i="30" s="1"/>
  <c r="B40" i="30" s="1"/>
  <c r="B41" i="30" s="1"/>
  <c r="B42" i="30" s="1"/>
  <c r="B43" i="30" s="1"/>
  <c r="B44" i="30" s="1"/>
  <c r="B45" i="30" s="1"/>
  <c r="B46" i="30" s="1"/>
  <c r="O121" i="34"/>
  <c r="I23" i="33"/>
  <c r="I24" i="33" s="1"/>
  <c r="I21" i="33"/>
  <c r="I19" i="33"/>
  <c r="I20" i="33" s="1"/>
  <c r="I17" i="33"/>
  <c r="I18" i="33" s="1"/>
  <c r="J3" i="33"/>
  <c r="I22" i="33"/>
  <c r="N64" i="34"/>
  <c r="L16" i="20"/>
  <c r="P63" i="37" s="1"/>
  <c r="I16" i="20"/>
  <c r="M63" i="37" s="1"/>
  <c r="Q93" i="34"/>
  <c r="I61" i="26"/>
  <c r="O91" i="34"/>
  <c r="J17" i="32"/>
  <c r="J14" i="32" s="1"/>
  <c r="Q90" i="37" s="1"/>
  <c r="K29" i="33"/>
  <c r="T2" i="22"/>
  <c r="J2" i="33"/>
  <c r="J25" i="33" s="1"/>
  <c r="BK43" i="30"/>
  <c r="N22" i="30"/>
  <c r="N49" i="30" s="1"/>
  <c r="L67" i="34" l="1"/>
  <c r="L66" i="37"/>
  <c r="K37" i="30"/>
  <c r="K92" i="30"/>
  <c r="K94" i="30"/>
  <c r="K35" i="30"/>
  <c r="K89" i="30"/>
  <c r="K90" i="30"/>
  <c r="K72" i="37"/>
  <c r="I33" i="30"/>
  <c r="J33" i="30" s="1"/>
  <c r="K33" i="30" s="1"/>
  <c r="L33" i="30" s="1"/>
  <c r="M33" i="30" s="1"/>
  <c r="N33" i="30" s="1"/>
  <c r="O33" i="30" s="1"/>
  <c r="P33" i="30" s="1"/>
  <c r="Q33" i="30" s="1"/>
  <c r="R33" i="30" s="1"/>
  <c r="K50" i="26"/>
  <c r="J41" i="34"/>
  <c r="J41" i="37"/>
  <c r="AG47" i="29"/>
  <c r="AG51" i="29" s="1"/>
  <c r="AM41" i="29"/>
  <c r="J72" i="32" s="1"/>
  <c r="J70" i="32" s="1"/>
  <c r="O122" i="37"/>
  <c r="O123" i="34"/>
  <c r="I67" i="32"/>
  <c r="Q174" i="37"/>
  <c r="Q175" i="34"/>
  <c r="J40" i="32"/>
  <c r="O99" i="37"/>
  <c r="O100" i="34"/>
  <c r="L63" i="34"/>
  <c r="H20" i="20"/>
  <c r="L67" i="37" s="1"/>
  <c r="Y25" i="22"/>
  <c r="K68" i="34"/>
  <c r="Q18" i="36"/>
  <c r="O63" i="34"/>
  <c r="H60" i="36"/>
  <c r="H28" i="36" s="1"/>
  <c r="S9" i="22"/>
  <c r="W9" i="22"/>
  <c r="Q9" i="22"/>
  <c r="R9" i="22"/>
  <c r="O9" i="22"/>
  <c r="U9" i="22"/>
  <c r="N9" i="22"/>
  <c r="K51" i="34"/>
  <c r="K51" i="37"/>
  <c r="G13" i="32"/>
  <c r="K89" i="37" s="1"/>
  <c r="K91" i="37"/>
  <c r="M185" i="37"/>
  <c r="J39" i="32"/>
  <c r="Q98" i="37" s="1"/>
  <c r="Q174" i="34"/>
  <c r="M98" i="37"/>
  <c r="P71" i="34"/>
  <c r="P70" i="37"/>
  <c r="Q104" i="34"/>
  <c r="Q103" i="37"/>
  <c r="R71" i="34"/>
  <c r="R70" i="37"/>
  <c r="R72" i="34"/>
  <c r="R71" i="37"/>
  <c r="Q80" i="34"/>
  <c r="Q79" i="37"/>
  <c r="M128" i="34"/>
  <c r="M127" i="37"/>
  <c r="I41" i="32"/>
  <c r="O103" i="37"/>
  <c r="P72" i="34"/>
  <c r="P71" i="37"/>
  <c r="O80" i="34"/>
  <c r="O79" i="37"/>
  <c r="K161" i="34"/>
  <c r="K160" i="37"/>
  <c r="K125" i="34"/>
  <c r="K124" i="37"/>
  <c r="N65" i="34"/>
  <c r="N64" i="37"/>
  <c r="R196" i="34"/>
  <c r="R195" i="37"/>
  <c r="N48" i="28"/>
  <c r="O231" i="37" s="1"/>
  <c r="O214" i="37"/>
  <c r="R108" i="36"/>
  <c r="S107" i="36" s="1"/>
  <c r="M119" i="37"/>
  <c r="U98" i="30"/>
  <c r="L231" i="37"/>
  <c r="P65" i="34"/>
  <c r="P64" i="37"/>
  <c r="M38" i="22"/>
  <c r="Y38" i="22" s="1"/>
  <c r="Y37" i="22"/>
  <c r="P9" i="22"/>
  <c r="X9" i="22"/>
  <c r="T9" i="22"/>
  <c r="M7" i="22"/>
  <c r="S18" i="30"/>
  <c r="Q44" i="36"/>
  <c r="C51" i="35" s="1"/>
  <c r="Q42" i="33"/>
  <c r="G81" i="30" s="1"/>
  <c r="R40" i="33"/>
  <c r="R42" i="33" s="1"/>
  <c r="H81" i="30" s="1"/>
  <c r="I15" i="33"/>
  <c r="I16" i="33" s="1"/>
  <c r="K28" i="33" s="1"/>
  <c r="M64" i="33"/>
  <c r="K62" i="33"/>
  <c r="G64" i="33"/>
  <c r="K69" i="30"/>
  <c r="F63" i="33"/>
  <c r="J69" i="30"/>
  <c r="H65" i="33"/>
  <c r="L69" i="30"/>
  <c r="I60" i="33"/>
  <c r="I48" i="33"/>
  <c r="J61" i="33" s="1"/>
  <c r="F60" i="33"/>
  <c r="F48" i="33"/>
  <c r="G61" i="33" s="1"/>
  <c r="H60" i="33"/>
  <c r="H48" i="33"/>
  <c r="I61" i="33" s="1"/>
  <c r="G60" i="33"/>
  <c r="G48" i="33"/>
  <c r="H61" i="33" s="1"/>
  <c r="E60" i="33"/>
  <c r="E48" i="33"/>
  <c r="F61" i="33" s="1"/>
  <c r="D60" i="33"/>
  <c r="D48" i="33"/>
  <c r="E61" i="33" s="1"/>
  <c r="C44" i="33"/>
  <c r="C45" i="33" s="1"/>
  <c r="D45" i="33"/>
  <c r="J53" i="33"/>
  <c r="L63" i="33"/>
  <c r="E45" i="33"/>
  <c r="T107" i="30"/>
  <c r="M120" i="34"/>
  <c r="K11" i="1"/>
  <c r="K26" i="30"/>
  <c r="Q14" i="22" s="1"/>
  <c r="Q15" i="22" s="1"/>
  <c r="U83" i="30"/>
  <c r="Y34" i="22"/>
  <c r="R114" i="36"/>
  <c r="M17" i="20"/>
  <c r="E13" i="33"/>
  <c r="E26" i="33" s="1"/>
  <c r="E15" i="33"/>
  <c r="E16" i="33" s="1"/>
  <c r="G28" i="33" s="1"/>
  <c r="C13" i="33"/>
  <c r="C14" i="33" s="1"/>
  <c r="C15" i="33"/>
  <c r="C16" i="33" s="1"/>
  <c r="F13" i="33"/>
  <c r="F26" i="33" s="1"/>
  <c r="F15" i="33"/>
  <c r="F16" i="33" s="1"/>
  <c r="H28" i="33" s="1"/>
  <c r="H13" i="33"/>
  <c r="H26" i="33" s="1"/>
  <c r="H15" i="33"/>
  <c r="H16" i="33" s="1"/>
  <c r="J28" i="33" s="1"/>
  <c r="G13" i="33"/>
  <c r="G26" i="33" s="1"/>
  <c r="G15" i="33"/>
  <c r="G16" i="33" s="1"/>
  <c r="I28" i="33" s="1"/>
  <c r="D13" i="33"/>
  <c r="D26" i="33" s="1"/>
  <c r="D15" i="33"/>
  <c r="D16" i="33" s="1"/>
  <c r="F28" i="33" s="1"/>
  <c r="Y10" i="22"/>
  <c r="S23" i="30"/>
  <c r="T23" i="30" s="1"/>
  <c r="I30" i="32"/>
  <c r="Y11" i="22"/>
  <c r="Y5" i="22"/>
  <c r="Y6" i="22"/>
  <c r="M30" i="33"/>
  <c r="M130" i="34"/>
  <c r="H37" i="36"/>
  <c r="J41" i="32"/>
  <c r="H74" i="32"/>
  <c r="M26" i="30"/>
  <c r="S14" i="22" s="1"/>
  <c r="S15" i="22" s="1"/>
  <c r="L26" i="30"/>
  <c r="R14" i="22" s="1"/>
  <c r="R15" i="22" s="1"/>
  <c r="J26" i="30"/>
  <c r="P14" i="22" s="1"/>
  <c r="P15" i="22" s="1"/>
  <c r="G26" i="30"/>
  <c r="J41" i="30"/>
  <c r="O41" i="30"/>
  <c r="G41" i="30"/>
  <c r="P41" i="30"/>
  <c r="R41" i="30"/>
  <c r="H41" i="30"/>
  <c r="K41" i="30"/>
  <c r="Q41" i="30"/>
  <c r="I41" i="30"/>
  <c r="L41" i="30"/>
  <c r="M41" i="30"/>
  <c r="N41" i="30"/>
  <c r="K92" i="34"/>
  <c r="O99" i="34"/>
  <c r="M95" i="34"/>
  <c r="I21" i="20"/>
  <c r="I19" i="20"/>
  <c r="M99" i="34"/>
  <c r="H25" i="20"/>
  <c r="Q32" i="28"/>
  <c r="R214" i="37" s="1"/>
  <c r="K73" i="34"/>
  <c r="O215" i="34"/>
  <c r="I25" i="20"/>
  <c r="L232" i="34"/>
  <c r="Q132" i="34"/>
  <c r="O104" i="34"/>
  <c r="N236" i="34"/>
  <c r="O173" i="34"/>
  <c r="H18" i="32"/>
  <c r="I29" i="32"/>
  <c r="K69" i="34"/>
  <c r="H21" i="20"/>
  <c r="N31" i="33"/>
  <c r="G22" i="20"/>
  <c r="L29" i="33"/>
  <c r="I22" i="32"/>
  <c r="E26" i="35"/>
  <c r="J12" i="30"/>
  <c r="F29" i="33"/>
  <c r="Q91" i="34"/>
  <c r="P64" i="34"/>
  <c r="N16" i="20"/>
  <c r="R63" i="37" s="1"/>
  <c r="K16" i="20"/>
  <c r="O63" i="37" s="1"/>
  <c r="U2" i="22"/>
  <c r="BL43" i="30"/>
  <c r="K2" i="33"/>
  <c r="K25" i="33" s="1"/>
  <c r="O22" i="30"/>
  <c r="O49" i="30" s="1"/>
  <c r="J23" i="33"/>
  <c r="J21" i="33"/>
  <c r="J19" i="33"/>
  <c r="J20" i="33" s="1"/>
  <c r="J17" i="33"/>
  <c r="J15" i="33"/>
  <c r="J16" i="33" s="1"/>
  <c r="J13" i="33"/>
  <c r="J26" i="33" s="1"/>
  <c r="K3" i="33"/>
  <c r="J24" i="33"/>
  <c r="J22" i="33"/>
  <c r="J18" i="33"/>
  <c r="L12" i="30"/>
  <c r="H31" i="33"/>
  <c r="I41" i="34"/>
  <c r="K12" i="30"/>
  <c r="G30" i="33"/>
  <c r="I14" i="33"/>
  <c r="M64" i="34"/>
  <c r="L37" i="30" l="1"/>
  <c r="L92" i="30"/>
  <c r="L94" i="30"/>
  <c r="L35" i="30"/>
  <c r="L89" i="30"/>
  <c r="L90" i="30"/>
  <c r="M72" i="37"/>
  <c r="S33" i="30"/>
  <c r="M124" i="37"/>
  <c r="O96" i="34"/>
  <c r="O95" i="37"/>
  <c r="K90" i="34"/>
  <c r="Q122" i="37"/>
  <c r="Q123" i="34"/>
  <c r="S108" i="36"/>
  <c r="O119" i="37"/>
  <c r="O120" i="34"/>
  <c r="S114" i="36"/>
  <c r="J25" i="32"/>
  <c r="O93" i="37"/>
  <c r="Q99" i="37"/>
  <c r="Q100" i="34"/>
  <c r="Q19" i="36"/>
  <c r="C27" i="35" s="1"/>
  <c r="L68" i="34"/>
  <c r="L15" i="20"/>
  <c r="P62" i="37" s="1"/>
  <c r="M187" i="34"/>
  <c r="M186" i="37"/>
  <c r="O62" i="37"/>
  <c r="N15" i="20"/>
  <c r="R63" i="34" s="1"/>
  <c r="J15" i="20"/>
  <c r="N63" i="34" s="1"/>
  <c r="U80" i="30"/>
  <c r="Q99" i="34"/>
  <c r="M69" i="34"/>
  <c r="M68" i="37"/>
  <c r="H13" i="32"/>
  <c r="M91" i="37"/>
  <c r="L69" i="34"/>
  <c r="L68" i="37"/>
  <c r="Q101" i="34"/>
  <c r="Q100" i="37"/>
  <c r="O101" i="34"/>
  <c r="O100" i="37"/>
  <c r="I20" i="20"/>
  <c r="M67" i="37" s="1"/>
  <c r="M66" i="37"/>
  <c r="M148" i="34"/>
  <c r="M147" i="37"/>
  <c r="M62" i="37"/>
  <c r="M63" i="34"/>
  <c r="M157" i="34"/>
  <c r="M156" i="37"/>
  <c r="R109" i="36"/>
  <c r="Q20" i="36"/>
  <c r="K69" i="37"/>
  <c r="Q65" i="34"/>
  <c r="Q64" i="37"/>
  <c r="K98" i="30"/>
  <c r="G98" i="30"/>
  <c r="L98" i="30"/>
  <c r="Q98" i="30"/>
  <c r="R98" i="30"/>
  <c r="O98" i="30"/>
  <c r="J98" i="30"/>
  <c r="N98" i="30"/>
  <c r="H98" i="30"/>
  <c r="I98" i="30"/>
  <c r="M98" i="30"/>
  <c r="P98" i="30"/>
  <c r="L73" i="34"/>
  <c r="L72" i="37"/>
  <c r="M39" i="22"/>
  <c r="Y39" i="22" s="1"/>
  <c r="J27" i="33"/>
  <c r="J33" i="33" s="1"/>
  <c r="N17" i="30" s="1"/>
  <c r="N20" i="30" s="1"/>
  <c r="Y7" i="22"/>
  <c r="M8" i="22"/>
  <c r="S81" i="30"/>
  <c r="C60" i="33"/>
  <c r="C67" i="33" s="1"/>
  <c r="G74" i="30" s="1"/>
  <c r="G69" i="30"/>
  <c r="E62" i="33"/>
  <c r="E67" i="33" s="1"/>
  <c r="I74" i="30" s="1"/>
  <c r="I77" i="30" s="1"/>
  <c r="I69" i="30"/>
  <c r="D61" i="33"/>
  <c r="D67" i="33" s="1"/>
  <c r="H74" i="30" s="1"/>
  <c r="H77" i="30" s="1"/>
  <c r="H69" i="30"/>
  <c r="L62" i="33"/>
  <c r="N64" i="33"/>
  <c r="F67" i="33"/>
  <c r="J74" i="30" s="1"/>
  <c r="J77" i="30" s="1"/>
  <c r="K53" i="33"/>
  <c r="G67" i="33"/>
  <c r="K74" i="30" s="1"/>
  <c r="K77" i="30" s="1"/>
  <c r="J60" i="33"/>
  <c r="J67" i="33" s="1"/>
  <c r="N74" i="30" s="1"/>
  <c r="N77" i="30" s="1"/>
  <c r="J48" i="33"/>
  <c r="K61" i="33" s="1"/>
  <c r="M63" i="33"/>
  <c r="H67" i="33"/>
  <c r="L74" i="30" s="1"/>
  <c r="L77" i="30" s="1"/>
  <c r="I67" i="33"/>
  <c r="M74" i="30" s="1"/>
  <c r="M77" i="30" s="1"/>
  <c r="H14" i="33"/>
  <c r="I27" i="33" s="1"/>
  <c r="I33" i="33" s="1"/>
  <c r="M17" i="30" s="1"/>
  <c r="M20" i="30" s="1"/>
  <c r="N17" i="20"/>
  <c r="H26" i="30"/>
  <c r="N14" i="22" s="1"/>
  <c r="N15" i="22" s="1"/>
  <c r="N26" i="22" s="1"/>
  <c r="N27" i="22" s="1"/>
  <c r="J31" i="30" s="1"/>
  <c r="N26" i="30"/>
  <c r="T14" i="22" s="1"/>
  <c r="T15" i="22" s="1"/>
  <c r="T26" i="22" s="1"/>
  <c r="T27" i="22" s="1"/>
  <c r="P31" i="30" s="1"/>
  <c r="P26" i="30"/>
  <c r="V14" i="22" s="1"/>
  <c r="V15" i="22" s="1"/>
  <c r="V26" i="22" s="1"/>
  <c r="V27" i="22" s="1"/>
  <c r="R31" i="30" s="1"/>
  <c r="O26" i="30"/>
  <c r="U14" i="22" s="1"/>
  <c r="U15" i="22" s="1"/>
  <c r="U26" i="22" s="1"/>
  <c r="U27" i="22" s="1"/>
  <c r="Q31" i="30" s="1"/>
  <c r="Q26" i="30"/>
  <c r="W14" i="22" s="1"/>
  <c r="W15" i="22" s="1"/>
  <c r="W26" i="22" s="1"/>
  <c r="W27" i="22" s="1"/>
  <c r="G88" i="30" s="1"/>
  <c r="I26" i="30"/>
  <c r="O14" i="22" s="1"/>
  <c r="O15" i="22" s="1"/>
  <c r="O26" i="22" s="1"/>
  <c r="O27" i="22" s="1"/>
  <c r="K31" i="30" s="1"/>
  <c r="R26" i="30"/>
  <c r="X14" i="22" s="1"/>
  <c r="X15" i="22" s="1"/>
  <c r="X26" i="22" s="1"/>
  <c r="X27" i="22" s="1"/>
  <c r="H88" i="30" s="1"/>
  <c r="O83" i="30"/>
  <c r="U44" i="22" s="1"/>
  <c r="I83" i="30"/>
  <c r="O44" i="22" s="1"/>
  <c r="J83" i="30"/>
  <c r="P44" i="22" s="1"/>
  <c r="P83" i="30"/>
  <c r="V44" i="22" s="1"/>
  <c r="G83" i="30"/>
  <c r="M44" i="22" s="1"/>
  <c r="R83" i="30"/>
  <c r="X44" i="22" s="1"/>
  <c r="L83" i="30"/>
  <c r="R44" i="22" s="1"/>
  <c r="M83" i="30"/>
  <c r="S44" i="22" s="1"/>
  <c r="N83" i="30"/>
  <c r="T44" i="22" s="1"/>
  <c r="H83" i="30"/>
  <c r="N44" i="22" s="1"/>
  <c r="K83" i="30"/>
  <c r="Q44" i="22" s="1"/>
  <c r="Q83" i="30"/>
  <c r="W44" i="22" s="1"/>
  <c r="G14" i="33"/>
  <c r="H27" i="33" s="1"/>
  <c r="H33" i="33" s="1"/>
  <c r="L17" i="30" s="1"/>
  <c r="L20" i="30" s="1"/>
  <c r="E14" i="33"/>
  <c r="F27" i="33" s="1"/>
  <c r="F33" i="33" s="1"/>
  <c r="J17" i="30" s="1"/>
  <c r="J20" i="30" s="1"/>
  <c r="D14" i="33"/>
  <c r="E27" i="33" s="1"/>
  <c r="F14" i="33"/>
  <c r="G27" i="33" s="1"/>
  <c r="G33" i="33" s="1"/>
  <c r="K17" i="30" s="1"/>
  <c r="K20" i="30" s="1"/>
  <c r="M29" i="33"/>
  <c r="J33" i="32"/>
  <c r="J21" i="20"/>
  <c r="M125" i="34"/>
  <c r="R44" i="36"/>
  <c r="D51" i="35" s="1"/>
  <c r="S41" i="30"/>
  <c r="T41" i="30" s="1"/>
  <c r="P26" i="22"/>
  <c r="P27" i="22" s="1"/>
  <c r="L31" i="30" s="1"/>
  <c r="R26" i="22"/>
  <c r="R27" i="22" s="1"/>
  <c r="N31" i="30" s="1"/>
  <c r="M14" i="22"/>
  <c r="Q26" i="22"/>
  <c r="Q27" i="22" s="1"/>
  <c r="M31" i="30" s="1"/>
  <c r="K19" i="20"/>
  <c r="S26" i="22"/>
  <c r="S27" i="22" s="1"/>
  <c r="O31" i="30" s="1"/>
  <c r="R215" i="34"/>
  <c r="Q48" i="28"/>
  <c r="M19" i="20"/>
  <c r="J19" i="20"/>
  <c r="M67" i="34"/>
  <c r="H22" i="20"/>
  <c r="L69" i="37" s="1"/>
  <c r="I26" i="32"/>
  <c r="M73" i="34"/>
  <c r="J25" i="20"/>
  <c r="K25" i="20"/>
  <c r="O72" i="37" s="1"/>
  <c r="O232" i="34"/>
  <c r="N30" i="33"/>
  <c r="K21" i="20"/>
  <c r="M92" i="34"/>
  <c r="G26" i="20"/>
  <c r="K73" i="37" s="1"/>
  <c r="K70" i="34"/>
  <c r="O94" i="34"/>
  <c r="L28" i="33"/>
  <c r="J14" i="33"/>
  <c r="K27" i="33" s="1"/>
  <c r="V2" i="22"/>
  <c r="BM43" i="30"/>
  <c r="P22" i="30"/>
  <c r="P49" i="30" s="1"/>
  <c r="L2" i="33"/>
  <c r="L25" i="33" s="1"/>
  <c r="R64" i="34"/>
  <c r="M16" i="20"/>
  <c r="Q63" i="37" s="1"/>
  <c r="J22" i="32"/>
  <c r="Q93" i="37" s="1"/>
  <c r="L3" i="33"/>
  <c r="K22" i="33"/>
  <c r="K23" i="33"/>
  <c r="K24" i="33" s="1"/>
  <c r="K21" i="33"/>
  <c r="K19" i="33"/>
  <c r="K20" i="33" s="1"/>
  <c r="K17" i="33"/>
  <c r="K18" i="33" s="1"/>
  <c r="K15" i="33"/>
  <c r="K16" i="33" s="1"/>
  <c r="K13" i="33"/>
  <c r="K26" i="33" s="1"/>
  <c r="I12" i="30"/>
  <c r="E28" i="33"/>
  <c r="O64" i="34"/>
  <c r="G12" i="30"/>
  <c r="H12" i="30"/>
  <c r="Q121" i="34"/>
  <c r="J67" i="32"/>
  <c r="M89" i="30" l="1"/>
  <c r="N89" i="30"/>
  <c r="M92" i="30"/>
  <c r="N92" i="30"/>
  <c r="M35" i="30"/>
  <c r="M37" i="30"/>
  <c r="M94" i="30"/>
  <c r="M90" i="30"/>
  <c r="T107" i="36"/>
  <c r="S109" i="36"/>
  <c r="P63" i="34"/>
  <c r="R62" i="37"/>
  <c r="Q62" i="37"/>
  <c r="Q63" i="34"/>
  <c r="N62" i="37"/>
  <c r="O69" i="34"/>
  <c r="O68" i="37"/>
  <c r="M90" i="34"/>
  <c r="M89" i="37"/>
  <c r="O95" i="34"/>
  <c r="O94" i="37"/>
  <c r="J20" i="20"/>
  <c r="R19" i="36" s="1"/>
  <c r="D27" i="35" s="1"/>
  <c r="I22" i="20"/>
  <c r="M69" i="37" s="1"/>
  <c r="M68" i="34"/>
  <c r="N67" i="34"/>
  <c r="N66" i="37"/>
  <c r="N69" i="34"/>
  <c r="N68" i="37"/>
  <c r="H80" i="30"/>
  <c r="N40" i="22" s="1"/>
  <c r="N41" i="22" s="1"/>
  <c r="R80" i="30"/>
  <c r="X40" i="22" s="1"/>
  <c r="X41" i="22" s="1"/>
  <c r="P80" i="30"/>
  <c r="V40" i="22" s="1"/>
  <c r="V41" i="22" s="1"/>
  <c r="K80" i="30"/>
  <c r="Q40" i="22" s="1"/>
  <c r="Q41" i="22" s="1"/>
  <c r="M80" i="30"/>
  <c r="S40" i="22" s="1"/>
  <c r="S41" i="22" s="1"/>
  <c r="Q80" i="30"/>
  <c r="W40" i="22" s="1"/>
  <c r="W41" i="22" s="1"/>
  <c r="J80" i="30"/>
  <c r="P40" i="22" s="1"/>
  <c r="P41" i="22" s="1"/>
  <c r="G80" i="30"/>
  <c r="N80" i="30"/>
  <c r="T40" i="22" s="1"/>
  <c r="T41" i="22" s="1"/>
  <c r="O80" i="30"/>
  <c r="U40" i="22" s="1"/>
  <c r="U41" i="22" s="1"/>
  <c r="I80" i="30"/>
  <c r="O40" i="22" s="1"/>
  <c r="O41" i="22" s="1"/>
  <c r="L80" i="30"/>
  <c r="R40" i="22" s="1"/>
  <c r="R41" i="22" s="1"/>
  <c r="R18" i="36"/>
  <c r="O67" i="34"/>
  <c r="O66" i="37"/>
  <c r="N19" i="20"/>
  <c r="Q66" i="37"/>
  <c r="N73" i="34"/>
  <c r="N72" i="37"/>
  <c r="S98" i="30"/>
  <c r="T98" i="30" s="1"/>
  <c r="R65" i="34"/>
  <c r="R64" i="37"/>
  <c r="M25" i="20"/>
  <c r="Q72" i="37" s="1"/>
  <c r="R231" i="37"/>
  <c r="T108" i="36"/>
  <c r="Q119" i="37"/>
  <c r="Y8" i="22"/>
  <c r="M9" i="22"/>
  <c r="Y9" i="22" s="1"/>
  <c r="G77" i="30"/>
  <c r="N63" i="33"/>
  <c r="S69" i="30"/>
  <c r="L53" i="33"/>
  <c r="K60" i="33"/>
  <c r="K67" i="33" s="1"/>
  <c r="O74" i="30" s="1"/>
  <c r="O77" i="30" s="1"/>
  <c r="K48" i="33"/>
  <c r="L61" i="33" s="1"/>
  <c r="M62" i="33"/>
  <c r="E33" i="33"/>
  <c r="I17" i="30" s="1"/>
  <c r="I20" i="30" s="1"/>
  <c r="S26" i="30"/>
  <c r="T26" i="30" s="1"/>
  <c r="S83" i="30"/>
  <c r="T83" i="30" s="1"/>
  <c r="C26" i="33"/>
  <c r="C33" i="33" s="1"/>
  <c r="G17" i="30" s="1"/>
  <c r="G20" i="30" s="1"/>
  <c r="J30" i="32"/>
  <c r="Q95" i="37" s="1"/>
  <c r="M15" i="22"/>
  <c r="M26" i="22" s="1"/>
  <c r="Y14" i="22"/>
  <c r="Q21" i="36"/>
  <c r="T114" i="36"/>
  <c r="L19" i="20"/>
  <c r="H26" i="20"/>
  <c r="Q67" i="34"/>
  <c r="I18" i="32"/>
  <c r="O91" i="37" s="1"/>
  <c r="L70" i="34"/>
  <c r="R232" i="34"/>
  <c r="J29" i="32"/>
  <c r="O73" i="34"/>
  <c r="L25" i="20"/>
  <c r="L21" i="20"/>
  <c r="P68" i="37" s="1"/>
  <c r="G27" i="20"/>
  <c r="K74" i="34"/>
  <c r="M28" i="33"/>
  <c r="D27" i="33"/>
  <c r="D33" i="33" s="1"/>
  <c r="H17" i="30" s="1"/>
  <c r="H20" i="30" s="1"/>
  <c r="K33" i="33"/>
  <c r="O17" i="30" s="1"/>
  <c r="O20" i="30" s="1"/>
  <c r="N29" i="33"/>
  <c r="M3" i="33"/>
  <c r="L22" i="33"/>
  <c r="L21" i="33"/>
  <c r="L15" i="33"/>
  <c r="L16" i="33" s="1"/>
  <c r="L19" i="33"/>
  <c r="L20" i="33" s="1"/>
  <c r="L13" i="33"/>
  <c r="L26" i="33" s="1"/>
  <c r="L23" i="33"/>
  <c r="L24" i="33" s="1"/>
  <c r="L17" i="33"/>
  <c r="L18" i="33" s="1"/>
  <c r="Q94" i="34"/>
  <c r="Q120" i="34"/>
  <c r="K14" i="33"/>
  <c r="L27" i="33" s="1"/>
  <c r="Q64" i="34"/>
  <c r="W2" i="22"/>
  <c r="BN43" i="30"/>
  <c r="M2" i="33"/>
  <c r="M25" i="33" s="1"/>
  <c r="Q22" i="30"/>
  <c r="Q49" i="30" s="1"/>
  <c r="C36" i="33"/>
  <c r="S12" i="30"/>
  <c r="N35" i="30" l="1"/>
  <c r="O35" i="30" s="1"/>
  <c r="N37" i="30"/>
  <c r="N94" i="30"/>
  <c r="N90" i="30"/>
  <c r="C30" i="35"/>
  <c r="Q22" i="36"/>
  <c r="T109" i="36"/>
  <c r="N67" i="37"/>
  <c r="J22" i="20"/>
  <c r="N69" i="37" s="1"/>
  <c r="I26" i="20"/>
  <c r="M73" i="37" s="1"/>
  <c r="M70" i="34"/>
  <c r="R20" i="36"/>
  <c r="N68" i="34"/>
  <c r="N25" i="20"/>
  <c r="R73" i="34" s="1"/>
  <c r="R67" i="34"/>
  <c r="R66" i="37"/>
  <c r="M40" i="22"/>
  <c r="S80" i="30"/>
  <c r="T80" i="30" s="1"/>
  <c r="P67" i="34"/>
  <c r="P66" i="37"/>
  <c r="U42" i="30"/>
  <c r="K74" i="37"/>
  <c r="Q73" i="34"/>
  <c r="L74" i="34"/>
  <c r="L73" i="37"/>
  <c r="P73" i="34"/>
  <c r="P72" i="37"/>
  <c r="C59" i="33"/>
  <c r="Q36" i="33"/>
  <c r="L60" i="33"/>
  <c r="L67" i="33" s="1"/>
  <c r="P74" i="30" s="1"/>
  <c r="P77" i="30" s="1"/>
  <c r="L48" i="33"/>
  <c r="M61" i="33" s="1"/>
  <c r="M53" i="33"/>
  <c r="N62" i="33"/>
  <c r="G79" i="30"/>
  <c r="G106" i="30" s="1"/>
  <c r="M32" i="22"/>
  <c r="D36" i="33"/>
  <c r="BD106" i="30"/>
  <c r="Q96" i="34"/>
  <c r="Y15" i="22"/>
  <c r="K75" i="34"/>
  <c r="Q102" i="36"/>
  <c r="G15" i="36"/>
  <c r="P69" i="34"/>
  <c r="O92" i="34"/>
  <c r="I13" i="32"/>
  <c r="M21" i="20"/>
  <c r="J26" i="32"/>
  <c r="H27" i="20"/>
  <c r="G31" i="20"/>
  <c r="K77" i="37" s="1"/>
  <c r="L14" i="33"/>
  <c r="M27" i="33" s="1"/>
  <c r="X2" i="22"/>
  <c r="N2" i="33"/>
  <c r="N25" i="33" s="1"/>
  <c r="BO43" i="30"/>
  <c r="R22" i="30"/>
  <c r="R49" i="30" s="1"/>
  <c r="N3" i="33"/>
  <c r="M22" i="33"/>
  <c r="M23" i="33"/>
  <c r="M24" i="33" s="1"/>
  <c r="M21" i="33"/>
  <c r="M19" i="33"/>
  <c r="M20" i="33" s="1"/>
  <c r="M17" i="33"/>
  <c r="M18" i="33" s="1"/>
  <c r="M15" i="33"/>
  <c r="M16" i="33" s="1"/>
  <c r="M13" i="33"/>
  <c r="M26" i="33" s="1"/>
  <c r="N28" i="33"/>
  <c r="L33" i="33"/>
  <c r="P17" i="30" s="1"/>
  <c r="P20" i="30" s="1"/>
  <c r="O37" i="30" l="1"/>
  <c r="P37" i="30"/>
  <c r="O94" i="30"/>
  <c r="O92" i="30"/>
  <c r="O89" i="30"/>
  <c r="O90" i="30"/>
  <c r="P35" i="30"/>
  <c r="J26" i="20"/>
  <c r="N74" i="34" s="1"/>
  <c r="N70" i="34"/>
  <c r="R21" i="36"/>
  <c r="R22" i="36" s="1"/>
  <c r="M74" i="34"/>
  <c r="I27" i="20"/>
  <c r="M74" i="37" s="1"/>
  <c r="J18" i="32"/>
  <c r="J13" i="32" s="1"/>
  <c r="Q94" i="37"/>
  <c r="O90" i="34"/>
  <c r="O89" i="37"/>
  <c r="Q69" i="34"/>
  <c r="Q68" i="37"/>
  <c r="R72" i="37"/>
  <c r="M41" i="22"/>
  <c r="Y41" i="22" s="1"/>
  <c r="Y40" i="22"/>
  <c r="Q32" i="36"/>
  <c r="K137" i="37"/>
  <c r="L75" i="34"/>
  <c r="L74" i="37"/>
  <c r="D59" i="33"/>
  <c r="R36" i="33"/>
  <c r="M27" i="22"/>
  <c r="I31" i="30" s="1"/>
  <c r="S31" i="30" s="1"/>
  <c r="Y26" i="22"/>
  <c r="N53" i="33"/>
  <c r="M60" i="33"/>
  <c r="M67" i="33" s="1"/>
  <c r="Q74" i="30" s="1"/>
  <c r="Q77" i="30" s="1"/>
  <c r="M48" i="33"/>
  <c r="N61" i="33" s="1"/>
  <c r="N32" i="22"/>
  <c r="H79" i="30"/>
  <c r="H106" i="30" s="1"/>
  <c r="E36" i="33"/>
  <c r="BE106" i="30"/>
  <c r="N21" i="20"/>
  <c r="K138" i="34"/>
  <c r="Q31" i="36"/>
  <c r="G21" i="36"/>
  <c r="K143" i="37" s="1"/>
  <c r="K78" i="34"/>
  <c r="Q23" i="36"/>
  <c r="N42" i="30"/>
  <c r="N47" i="30" s="1"/>
  <c r="H31" i="20"/>
  <c r="Q95" i="34"/>
  <c r="G60" i="32"/>
  <c r="P42" i="30"/>
  <c r="L42" i="30"/>
  <c r="L47" i="30" s="1"/>
  <c r="L58" i="30" s="1"/>
  <c r="H42" i="30"/>
  <c r="H47" i="30" s="1"/>
  <c r="R42" i="30"/>
  <c r="G42" i="30"/>
  <c r="G47" i="30" s="1"/>
  <c r="J42" i="30"/>
  <c r="J47" i="30" s="1"/>
  <c r="J58" i="30" s="1"/>
  <c r="M42" i="30"/>
  <c r="M47" i="30" s="1"/>
  <c r="K42" i="30"/>
  <c r="K47" i="30" s="1"/>
  <c r="K58" i="30" s="1"/>
  <c r="O42" i="30"/>
  <c r="I42" i="30"/>
  <c r="Q42" i="30"/>
  <c r="M33" i="33"/>
  <c r="Q17" i="30" s="1"/>
  <c r="Q20" i="30" s="1"/>
  <c r="M14" i="33"/>
  <c r="N27" i="33" s="1"/>
  <c r="N24" i="33"/>
  <c r="N22" i="33"/>
  <c r="N20" i="33"/>
  <c r="N23" i="33"/>
  <c r="N21" i="33"/>
  <c r="N19" i="33"/>
  <c r="N17" i="33"/>
  <c r="N18" i="33" s="1"/>
  <c r="N15" i="33"/>
  <c r="N16" i="33" s="1"/>
  <c r="N13" i="33"/>
  <c r="N26" i="33" s="1"/>
  <c r="O47" i="30" l="1"/>
  <c r="I47" i="30"/>
  <c r="I58" i="30" s="1"/>
  <c r="BF44" i="30" s="1"/>
  <c r="P47" i="30"/>
  <c r="Q37" i="30"/>
  <c r="P92" i="30"/>
  <c r="P94" i="30"/>
  <c r="M58" i="30"/>
  <c r="BJ44" i="30" s="1"/>
  <c r="P89" i="30"/>
  <c r="P90" i="30"/>
  <c r="Q35" i="30"/>
  <c r="J242" i="37"/>
  <c r="Q33" i="36"/>
  <c r="J243" i="37" s="1"/>
  <c r="H58" i="30"/>
  <c r="BE44" i="30" s="1"/>
  <c r="J27" i="20"/>
  <c r="N75" i="34" s="1"/>
  <c r="N73" i="37"/>
  <c r="D30" i="35"/>
  <c r="M75" i="34"/>
  <c r="U99" i="30"/>
  <c r="N99" i="30" s="1"/>
  <c r="I31" i="20"/>
  <c r="M77" i="37" s="1"/>
  <c r="R102" i="36"/>
  <c r="H15" i="36"/>
  <c r="Q90" i="34"/>
  <c r="Q89" i="37"/>
  <c r="Q92" i="34"/>
  <c r="Q91" i="37"/>
  <c r="R69" i="34"/>
  <c r="R68" i="37"/>
  <c r="H58" i="32"/>
  <c r="K115" i="37"/>
  <c r="J242" i="34"/>
  <c r="J241" i="37"/>
  <c r="Q24" i="36"/>
  <c r="C28" i="35" s="1"/>
  <c r="L77" i="37"/>
  <c r="J243" i="34"/>
  <c r="E59" i="33"/>
  <c r="S36" i="33"/>
  <c r="Y27" i="22"/>
  <c r="N60" i="33"/>
  <c r="N67" i="33" s="1"/>
  <c r="R74" i="30" s="1"/>
  <c r="R77" i="30" s="1"/>
  <c r="S77" i="30" s="1"/>
  <c r="N48" i="33"/>
  <c r="O32" i="22"/>
  <c r="F36" i="33"/>
  <c r="F59" i="33" s="1"/>
  <c r="BF106" i="30"/>
  <c r="I79" i="30"/>
  <c r="I106" i="30" s="1"/>
  <c r="S45" i="22"/>
  <c r="BI44" i="30"/>
  <c r="R45" i="22"/>
  <c r="BH44" i="30"/>
  <c r="Q45" i="22"/>
  <c r="BG44" i="30"/>
  <c r="P45" i="22"/>
  <c r="N45" i="22"/>
  <c r="O45" i="22"/>
  <c r="G42" i="36"/>
  <c r="K144" i="34"/>
  <c r="S42" i="30"/>
  <c r="T42" i="30" s="1"/>
  <c r="L78" i="34"/>
  <c r="G56" i="32"/>
  <c r="K111" i="37" s="1"/>
  <c r="K116" i="34"/>
  <c r="N14" i="33"/>
  <c r="N33" i="33"/>
  <c r="R17" i="30" s="1"/>
  <c r="Q47" i="30" l="1"/>
  <c r="R37" i="30"/>
  <c r="S37" i="30" s="1"/>
  <c r="Q94" i="30"/>
  <c r="Q92" i="30"/>
  <c r="N58" i="30"/>
  <c r="BK44" i="30" s="1"/>
  <c r="Q89" i="30"/>
  <c r="Q90" i="30"/>
  <c r="R35" i="30"/>
  <c r="S35" i="30" s="1"/>
  <c r="T35" i="30" s="1"/>
  <c r="M137" i="37"/>
  <c r="R32" i="36"/>
  <c r="R33" i="36" s="1"/>
  <c r="N74" i="37"/>
  <c r="J31" i="20"/>
  <c r="R24" i="36" s="1"/>
  <c r="D28" i="35" s="1"/>
  <c r="Q99" i="30"/>
  <c r="R99" i="30"/>
  <c r="M78" i="34"/>
  <c r="H60" i="32"/>
  <c r="M116" i="34" s="1"/>
  <c r="P99" i="30"/>
  <c r="H99" i="30"/>
  <c r="K99" i="30"/>
  <c r="L99" i="30"/>
  <c r="M99" i="30"/>
  <c r="J99" i="30"/>
  <c r="O99" i="30"/>
  <c r="G99" i="30"/>
  <c r="I99" i="30"/>
  <c r="R23" i="36"/>
  <c r="R31" i="36"/>
  <c r="L241" i="37" s="1"/>
  <c r="H21" i="36"/>
  <c r="M143" i="37" s="1"/>
  <c r="M138" i="34"/>
  <c r="J244" i="34"/>
  <c r="G43" i="36"/>
  <c r="K161" i="37"/>
  <c r="M114" i="34"/>
  <c r="M113" i="37"/>
  <c r="S74" i="30"/>
  <c r="P32" i="22"/>
  <c r="G36" i="33"/>
  <c r="G59" i="33" s="1"/>
  <c r="J79" i="30"/>
  <c r="J106" i="30" s="1"/>
  <c r="BG106" i="30"/>
  <c r="T45" i="22"/>
  <c r="U45" i="22"/>
  <c r="K162" i="34"/>
  <c r="Q104" i="36"/>
  <c r="Q105" i="36" s="1"/>
  <c r="G58" i="30"/>
  <c r="G98" i="32"/>
  <c r="G49" i="32" s="1"/>
  <c r="R20" i="30"/>
  <c r="K112" i="34"/>
  <c r="S17" i="30"/>
  <c r="R47" i="30" l="1"/>
  <c r="R92" i="30"/>
  <c r="S92" i="30" s="1"/>
  <c r="T92" i="30" s="1"/>
  <c r="R94" i="30"/>
  <c r="R89" i="30"/>
  <c r="S89" i="30" s="1"/>
  <c r="T89" i="30" s="1"/>
  <c r="R90" i="30"/>
  <c r="G94" i="30"/>
  <c r="O58" i="30"/>
  <c r="BL44" i="30" s="1"/>
  <c r="L243" i="34"/>
  <c r="L242" i="37"/>
  <c r="N78" i="34"/>
  <c r="N77" i="37"/>
  <c r="M115" i="37"/>
  <c r="S99" i="30"/>
  <c r="T99" i="30" s="1"/>
  <c r="L242" i="34"/>
  <c r="M144" i="34"/>
  <c r="K163" i="34"/>
  <c r="K162" i="37"/>
  <c r="K107" i="37"/>
  <c r="K132" i="37"/>
  <c r="Q32" i="22"/>
  <c r="H36" i="33"/>
  <c r="H59" i="33" s="1"/>
  <c r="BH106" i="30"/>
  <c r="K79" i="30"/>
  <c r="K106" i="30" s="1"/>
  <c r="V45" i="22"/>
  <c r="BD44" i="30"/>
  <c r="Q110" i="36"/>
  <c r="Q16" i="36" s="1"/>
  <c r="Q25" i="36" s="1"/>
  <c r="Q43" i="36"/>
  <c r="Q35" i="36"/>
  <c r="R103" i="36"/>
  <c r="S20" i="30"/>
  <c r="C4" i="35"/>
  <c r="K133" i="34"/>
  <c r="S94" i="30" l="1"/>
  <c r="P58" i="30"/>
  <c r="BM44" i="30" s="1"/>
  <c r="J245" i="37"/>
  <c r="Q36" i="36"/>
  <c r="L244" i="34"/>
  <c r="L243" i="37"/>
  <c r="R32" i="22"/>
  <c r="L79" i="30"/>
  <c r="L106" i="30" s="1"/>
  <c r="I36" i="33"/>
  <c r="I59" i="33" s="1"/>
  <c r="BI106" i="30"/>
  <c r="W45" i="22"/>
  <c r="M45" i="22"/>
  <c r="Q29" i="36"/>
  <c r="Q30" i="36" s="1"/>
  <c r="Q27" i="36"/>
  <c r="Q28" i="36" s="1"/>
  <c r="G38" i="32"/>
  <c r="K97" i="37" s="1"/>
  <c r="J246" i="34"/>
  <c r="Q47" i="36"/>
  <c r="C50" i="35"/>
  <c r="Q115" i="36"/>
  <c r="Q37" i="36" s="1"/>
  <c r="K108" i="34"/>
  <c r="Q58" i="30" l="1"/>
  <c r="BN44" i="30" s="1"/>
  <c r="G90" i="30"/>
  <c r="S90" i="30" s="1"/>
  <c r="J237" i="37"/>
  <c r="J239" i="37"/>
  <c r="J247" i="37"/>
  <c r="Q38" i="36"/>
  <c r="J247" i="34"/>
  <c r="J246" i="37"/>
  <c r="S32" i="22"/>
  <c r="BJ106" i="30"/>
  <c r="M79" i="30"/>
  <c r="M106" i="30" s="1"/>
  <c r="J36" i="33"/>
  <c r="J59" i="33" s="1"/>
  <c r="R48" i="36"/>
  <c r="C52" i="35"/>
  <c r="J248" i="34"/>
  <c r="G51" i="32"/>
  <c r="K98" i="34"/>
  <c r="S32" i="30" l="1"/>
  <c r="T32" i="30" s="1"/>
  <c r="S47" i="30"/>
  <c r="K109" i="34"/>
  <c r="K108" i="37"/>
  <c r="J249" i="34"/>
  <c r="J248" i="37"/>
  <c r="H39" i="36"/>
  <c r="M158" i="37" s="1"/>
  <c r="U110" i="30"/>
  <c r="G110" i="30" s="1"/>
  <c r="T32" i="22"/>
  <c r="BK106" i="30"/>
  <c r="K36" i="33"/>
  <c r="K59" i="33" s="1"/>
  <c r="N79" i="30"/>
  <c r="N106" i="30" s="1"/>
  <c r="R49" i="36"/>
  <c r="J238" i="34"/>
  <c r="J240" i="34"/>
  <c r="R58" i="30" l="1"/>
  <c r="BO44" i="30" s="1"/>
  <c r="BP44" i="30" s="1"/>
  <c r="J239" i="34"/>
  <c r="J238" i="37"/>
  <c r="J241" i="34"/>
  <c r="J240" i="37"/>
  <c r="H110" i="30"/>
  <c r="G113" i="30"/>
  <c r="U32" i="22"/>
  <c r="O79" i="30"/>
  <c r="O106" i="30" s="1"/>
  <c r="BL106" i="30"/>
  <c r="L36" i="33"/>
  <c r="L59" i="33" s="1"/>
  <c r="X45" i="22"/>
  <c r="Y45" i="22" s="1"/>
  <c r="Y44" i="22"/>
  <c r="M159" i="34"/>
  <c r="H41" i="36"/>
  <c r="M160" i="37" s="1"/>
  <c r="H59" i="32"/>
  <c r="M114" i="37" s="1"/>
  <c r="S58" i="30" l="1"/>
  <c r="I110" i="30"/>
  <c r="H113" i="30"/>
  <c r="V32" i="22"/>
  <c r="P79" i="30"/>
  <c r="P106" i="30" s="1"/>
  <c r="M36" i="33"/>
  <c r="M59" i="33" s="1"/>
  <c r="BM106" i="30"/>
  <c r="H56" i="32"/>
  <c r="M111" i="37" s="1"/>
  <c r="M115" i="34"/>
  <c r="I58" i="32"/>
  <c r="H42" i="36"/>
  <c r="M161" i="37" s="1"/>
  <c r="M161" i="34"/>
  <c r="O114" i="34" l="1"/>
  <c r="O113" i="37"/>
  <c r="I113" i="30"/>
  <c r="S110" i="30"/>
  <c r="S113" i="30" s="1"/>
  <c r="W32" i="22"/>
  <c r="BN106" i="30"/>
  <c r="Q79" i="30"/>
  <c r="Q106" i="30" s="1"/>
  <c r="N36" i="33"/>
  <c r="N59" i="33" s="1"/>
  <c r="M112" i="34"/>
  <c r="H98" i="32"/>
  <c r="R104" i="36"/>
  <c r="H43" i="36"/>
  <c r="M162" i="34"/>
  <c r="M132" i="37" l="1"/>
  <c r="M163" i="34"/>
  <c r="M162" i="37"/>
  <c r="X32" i="22"/>
  <c r="R79" i="30"/>
  <c r="R106" i="30" s="1"/>
  <c r="BO106" i="30"/>
  <c r="R105" i="36"/>
  <c r="R110" i="36" s="1"/>
  <c r="R16" i="36" s="1"/>
  <c r="D5" i="35" s="1"/>
  <c r="S103" i="36"/>
  <c r="M133" i="34"/>
  <c r="D4" i="35"/>
  <c r="R35" i="36"/>
  <c r="R36" i="36" s="1"/>
  <c r="R43" i="36"/>
  <c r="L245" i="37" l="1"/>
  <c r="R25" i="36"/>
  <c r="D29" i="35" s="1"/>
  <c r="L246" i="34"/>
  <c r="R47" i="36"/>
  <c r="D50" i="35"/>
  <c r="L247" i="34" l="1"/>
  <c r="L246" i="37"/>
  <c r="S48" i="36"/>
  <c r="I39" i="36" s="1"/>
  <c r="O158" i="37" s="1"/>
  <c r="D52" i="35"/>
  <c r="S49" i="36" l="1"/>
  <c r="I59" i="32" l="1"/>
  <c r="O114" i="37" s="1"/>
  <c r="O159" i="34"/>
  <c r="O115" i="34" l="1"/>
  <c r="M105" i="34" l="1"/>
  <c r="H41" i="32" l="1"/>
  <c r="H49" i="32" s="1"/>
  <c r="M107" i="37" l="1"/>
  <c r="M100" i="37"/>
  <c r="M101" i="34"/>
  <c r="R27" i="36" l="1"/>
  <c r="R28" i="36" s="1"/>
  <c r="R29" i="36"/>
  <c r="R30" i="36" s="1"/>
  <c r="G59" i="30"/>
  <c r="R115" i="36"/>
  <c r="R37" i="36" s="1"/>
  <c r="R38" i="36" s="1"/>
  <c r="M108" i="34"/>
  <c r="H38" i="32"/>
  <c r="M97" i="37" s="1"/>
  <c r="L239" i="37" l="1"/>
  <c r="L237" i="37"/>
  <c r="L247" i="37"/>
  <c r="BD45" i="30"/>
  <c r="L248" i="34"/>
  <c r="H11" i="30"/>
  <c r="H59" i="30" s="1"/>
  <c r="M98" i="34"/>
  <c r="H51" i="32"/>
  <c r="M108" i="37" s="1"/>
  <c r="L249" i="34" l="1"/>
  <c r="L248" i="37"/>
  <c r="BE45" i="30"/>
  <c r="N47" i="22"/>
  <c r="M47" i="22"/>
  <c r="L238" i="34"/>
  <c r="L240" i="34"/>
  <c r="I11" i="30"/>
  <c r="I59" i="30" s="1"/>
  <c r="M109" i="34"/>
  <c r="L239" i="34" l="1"/>
  <c r="L238" i="37"/>
  <c r="L241" i="34"/>
  <c r="L240" i="37"/>
  <c r="J11" i="30"/>
  <c r="BF45" i="30"/>
  <c r="P47" i="22" l="1"/>
  <c r="J59" i="30"/>
  <c r="O47" i="22"/>
  <c r="BG45" i="30" l="1"/>
  <c r="K11" i="30"/>
  <c r="K59" i="30" s="1"/>
  <c r="Q47" i="22"/>
  <c r="BH45" i="30" l="1"/>
  <c r="L11" i="30"/>
  <c r="L59" i="30" s="1"/>
  <c r="R47" i="22"/>
  <c r="BI45" i="30" l="1"/>
  <c r="M11" i="30"/>
  <c r="M59" i="30" s="1"/>
  <c r="S47" i="22"/>
  <c r="N11" i="30" l="1"/>
  <c r="BJ45" i="30"/>
  <c r="N59" i="30" l="1"/>
  <c r="T47" i="22"/>
  <c r="BK45" i="30" l="1"/>
  <c r="O11" i="30"/>
  <c r="O59" i="30" l="1"/>
  <c r="U47" i="22"/>
  <c r="C5" i="35"/>
  <c r="C29" i="35"/>
  <c r="P11" i="30" l="1"/>
  <c r="BL45" i="30"/>
  <c r="X47" i="22"/>
  <c r="I62" i="26"/>
  <c r="G41" i="34"/>
  <c r="P59" i="30" l="1"/>
  <c r="V47" i="22"/>
  <c r="I50" i="26"/>
  <c r="K52" i="37"/>
  <c r="Y46" i="22"/>
  <c r="Y47" i="22"/>
  <c r="G52" i="34"/>
  <c r="K52" i="34"/>
  <c r="K85" i="30"/>
  <c r="Q48" i="22" s="1"/>
  <c r="Q49" i="22" s="1"/>
  <c r="Q56" i="22" s="1"/>
  <c r="Q57" i="22" s="1"/>
  <c r="M88" i="30" s="1"/>
  <c r="P85" i="30"/>
  <c r="V48" i="22" s="1"/>
  <c r="V49" i="22" s="1"/>
  <c r="V56" i="22" s="1"/>
  <c r="V57" i="22" s="1"/>
  <c r="R88" i="30" s="1"/>
  <c r="O85" i="30"/>
  <c r="U48" i="22" s="1"/>
  <c r="U49" i="22" s="1"/>
  <c r="U56" i="22" s="1"/>
  <c r="U57" i="22" s="1"/>
  <c r="Q88" i="30" s="1"/>
  <c r="Q85" i="30"/>
  <c r="W48" i="22" s="1"/>
  <c r="W49" i="22" s="1"/>
  <c r="W56" i="22" s="1"/>
  <c r="W57" i="22" s="1"/>
  <c r="I85" i="30"/>
  <c r="O48" i="22" s="1"/>
  <c r="O49" i="22" s="1"/>
  <c r="O56" i="22" s="1"/>
  <c r="O57" i="22" s="1"/>
  <c r="N85" i="30"/>
  <c r="T48" i="22" s="1"/>
  <c r="T49" i="22" s="1"/>
  <c r="T56" i="22" s="1"/>
  <c r="T57" i="22" s="1"/>
  <c r="L85" i="30"/>
  <c r="R48" i="22" s="1"/>
  <c r="R49" i="22" s="1"/>
  <c r="R56" i="22" s="1"/>
  <c r="R57" i="22" s="1"/>
  <c r="R85" i="30"/>
  <c r="X48" i="22" s="1"/>
  <c r="X49" i="22" s="1"/>
  <c r="X56" i="22" s="1"/>
  <c r="X57" i="22" s="1"/>
  <c r="J85" i="30"/>
  <c r="P48" i="22" s="1"/>
  <c r="P49" i="22" s="1"/>
  <c r="P56" i="22" s="1"/>
  <c r="P57" i="22" s="1"/>
  <c r="L88" i="30" s="1"/>
  <c r="M85" i="30"/>
  <c r="S48" i="22" s="1"/>
  <c r="S49" i="22" s="1"/>
  <c r="S56" i="22" s="1"/>
  <c r="S57" i="22" s="1"/>
  <c r="H85" i="30"/>
  <c r="H104" i="30" s="1"/>
  <c r="H115" i="30" s="1"/>
  <c r="BE107" i="30" s="1"/>
  <c r="G85" i="30"/>
  <c r="G104" i="30" s="1"/>
  <c r="G115" i="30" s="1"/>
  <c r="Q11" i="30" l="1"/>
  <c r="BM45" i="30"/>
  <c r="M104" i="30"/>
  <c r="M115" i="30" s="1"/>
  <c r="BJ107" i="30" s="1"/>
  <c r="K41" i="34"/>
  <c r="K41" i="37"/>
  <c r="L104" i="30"/>
  <c r="L115" i="30" s="1"/>
  <c r="BI107" i="30" s="1"/>
  <c r="N48" i="22"/>
  <c r="N49" i="22" s="1"/>
  <c r="N56" i="22" s="1"/>
  <c r="N57" i="22" s="1"/>
  <c r="J88" i="30" s="1"/>
  <c r="J104" i="30" s="1"/>
  <c r="J115" i="30" s="1"/>
  <c r="BG107" i="30" s="1"/>
  <c r="R104" i="30"/>
  <c r="R115" i="30" s="1"/>
  <c r="BO107" i="30" s="1"/>
  <c r="S85" i="30"/>
  <c r="T85" i="30" s="1"/>
  <c r="Q104" i="30"/>
  <c r="Q115" i="30" s="1"/>
  <c r="BN107" i="30" s="1"/>
  <c r="P88" i="30"/>
  <c r="P104" i="30" s="1"/>
  <c r="P115" i="30" s="1"/>
  <c r="BM107" i="30" s="1"/>
  <c r="O88" i="30"/>
  <c r="O104" i="30" s="1"/>
  <c r="O115" i="30" s="1"/>
  <c r="BL107" i="30" s="1"/>
  <c r="K88" i="30"/>
  <c r="K104" i="30" s="1"/>
  <c r="K115" i="30" s="1"/>
  <c r="BH107" i="30" s="1"/>
  <c r="N88" i="30"/>
  <c r="N104" i="30" s="1"/>
  <c r="N115" i="30" s="1"/>
  <c r="BK107" i="30" s="1"/>
  <c r="BD107" i="30"/>
  <c r="M48" i="22"/>
  <c r="Q59" i="30" l="1"/>
  <c r="W47" i="22"/>
  <c r="Y48" i="22"/>
  <c r="M49" i="22"/>
  <c r="R11" i="30" l="1"/>
  <c r="R59" i="30" s="1"/>
  <c r="BN45" i="30"/>
  <c r="Y49" i="22"/>
  <c r="M56" i="22"/>
  <c r="G68" i="30" l="1"/>
  <c r="G116" i="30" s="1"/>
  <c r="BO45" i="30"/>
  <c r="M57" i="22"/>
  <c r="Y56" i="22"/>
  <c r="BD108" i="30" l="1"/>
  <c r="H68" i="30"/>
  <c r="H116" i="30" s="1"/>
  <c r="I88" i="30"/>
  <c r="Y57" i="22"/>
  <c r="I68" i="30" l="1"/>
  <c r="BE108" i="30"/>
  <c r="I104" i="30"/>
  <c r="S88" i="30"/>
  <c r="S104" i="30" l="1"/>
  <c r="I115" i="30"/>
  <c r="I116" i="30" s="1"/>
  <c r="BF107" i="30" l="1"/>
  <c r="BP107" i="30" s="1"/>
  <c r="S115" i="30"/>
  <c r="BF108" i="30" l="1"/>
  <c r="J68" i="30"/>
  <c r="J116" i="30" s="1"/>
  <c r="K68" i="30" l="1"/>
  <c r="K116" i="30" s="1"/>
  <c r="BG108" i="30"/>
  <c r="L68" i="30" l="1"/>
  <c r="L116" i="30" s="1"/>
  <c r="BH108" i="30"/>
  <c r="M68" i="30" l="1"/>
  <c r="M116" i="30" s="1"/>
  <c r="BI108" i="30"/>
  <c r="BJ108" i="30" l="1"/>
  <c r="N68" i="30"/>
  <c r="N116" i="30" s="1"/>
  <c r="O68" i="30" l="1"/>
  <c r="O116" i="30" s="1"/>
  <c r="BK108" i="30"/>
  <c r="BL108" i="30" l="1"/>
  <c r="P68" i="30"/>
  <c r="P116" i="30" s="1"/>
  <c r="Q68" i="30" l="1"/>
  <c r="Q116" i="30" s="1"/>
  <c r="BM108" i="30"/>
  <c r="BN108" i="30" l="1"/>
  <c r="R68" i="30"/>
  <c r="R116" i="30" s="1"/>
  <c r="BO108" i="30" s="1"/>
  <c r="H69" i="1" l="1"/>
  <c r="H65" i="1" l="1"/>
  <c r="J69" i="1"/>
  <c r="J65" i="1" s="1"/>
  <c r="K63" i="29" l="1"/>
  <c r="K57" i="29"/>
  <c r="I57" i="29"/>
  <c r="I63" i="29"/>
  <c r="J45" i="1"/>
  <c r="H45" i="1"/>
  <c r="I65" i="29" l="1"/>
  <c r="I64" i="29" s="1"/>
  <c r="I62" i="29"/>
  <c r="K62" i="29"/>
  <c r="K65" i="29"/>
  <c r="K64" i="29" s="1"/>
  <c r="H132" i="1"/>
  <c r="I120" i="1"/>
  <c r="I126" i="1"/>
  <c r="I115" i="1"/>
  <c r="I129" i="1"/>
  <c r="I131" i="1"/>
  <c r="I127" i="1"/>
  <c r="I130" i="1"/>
  <c r="I106" i="1"/>
  <c r="I93" i="1"/>
  <c r="I86" i="1"/>
  <c r="I46" i="1"/>
  <c r="I128" i="1"/>
  <c r="I125" i="1"/>
  <c r="I76" i="1"/>
  <c r="I65" i="1"/>
  <c r="I94" i="1"/>
  <c r="I95" i="1"/>
  <c r="K18" i="20"/>
  <c r="O65" i="37" s="1"/>
  <c r="I71" i="1"/>
  <c r="I52" i="1"/>
  <c r="I101" i="1"/>
  <c r="I82" i="1"/>
  <c r="I124" i="1"/>
  <c r="I90" i="1"/>
  <c r="I111" i="1"/>
  <c r="I55" i="36"/>
  <c r="O181" i="37" s="1"/>
  <c r="I87" i="32"/>
  <c r="I83" i="32" s="1"/>
  <c r="O129" i="37" s="1"/>
  <c r="J87" i="32"/>
  <c r="J83" i="32" s="1"/>
  <c r="Q129" i="37" s="1"/>
  <c r="J55" i="36"/>
  <c r="Q181" i="37" s="1"/>
  <c r="K86" i="1"/>
  <c r="K125" i="1"/>
  <c r="K111" i="1"/>
  <c r="K129" i="1"/>
  <c r="K128" i="1"/>
  <c r="K46" i="1"/>
  <c r="K90" i="1"/>
  <c r="K93" i="1"/>
  <c r="K94" i="1"/>
  <c r="K120" i="1"/>
  <c r="K127" i="1"/>
  <c r="K95" i="1"/>
  <c r="M18" i="20"/>
  <c r="Q65" i="37" s="1"/>
  <c r="J132" i="1"/>
  <c r="K124" i="1"/>
  <c r="K130" i="1"/>
  <c r="K76" i="1"/>
  <c r="K126" i="1"/>
  <c r="K106" i="1"/>
  <c r="K115" i="1"/>
  <c r="K82" i="1"/>
  <c r="K71" i="1"/>
  <c r="K131" i="1"/>
  <c r="K65" i="1"/>
  <c r="K52" i="1"/>
  <c r="K101" i="1"/>
  <c r="I80" i="32" l="1"/>
  <c r="I79" i="32" s="1"/>
  <c r="O127" i="37" s="1"/>
  <c r="O182" i="34"/>
  <c r="I59" i="36"/>
  <c r="O185" i="37" s="1"/>
  <c r="L18" i="20"/>
  <c r="O66" i="34"/>
  <c r="K20" i="20"/>
  <c r="O67" i="37" s="1"/>
  <c r="J80" i="32"/>
  <c r="J79" i="32" s="1"/>
  <c r="Q127" i="37" s="1"/>
  <c r="J59" i="36"/>
  <c r="Q185" i="37" s="1"/>
  <c r="Q182" i="34"/>
  <c r="Q130" i="34"/>
  <c r="J37" i="36"/>
  <c r="N18" i="20"/>
  <c r="Q66" i="34"/>
  <c r="M20" i="20"/>
  <c r="Q67" i="37" s="1"/>
  <c r="I37" i="36"/>
  <c r="O130" i="34"/>
  <c r="P66" i="34" l="1"/>
  <c r="P65" i="37"/>
  <c r="O157" i="34"/>
  <c r="O156" i="37"/>
  <c r="Q157" i="34"/>
  <c r="Q156" i="37"/>
  <c r="R66" i="34"/>
  <c r="R65" i="37"/>
  <c r="J60" i="36"/>
  <c r="Q186" i="37" s="1"/>
  <c r="Q186" i="34"/>
  <c r="Q128" i="34"/>
  <c r="J74" i="32"/>
  <c r="O186" i="34"/>
  <c r="I60" i="36"/>
  <c r="O186" i="37" s="1"/>
  <c r="M22" i="20"/>
  <c r="Q69" i="37" s="1"/>
  <c r="N20" i="20"/>
  <c r="R67" i="37" s="1"/>
  <c r="T18" i="36"/>
  <c r="Q68" i="34"/>
  <c r="K22" i="20"/>
  <c r="O69" i="37" s="1"/>
  <c r="L20" i="20"/>
  <c r="P67" i="37" s="1"/>
  <c r="O68" i="34"/>
  <c r="S18" i="36"/>
  <c r="I74" i="32"/>
  <c r="O128" i="34"/>
  <c r="Q124" i="37" l="1"/>
  <c r="O124" i="37"/>
  <c r="T44" i="36"/>
  <c r="F51" i="35" s="1"/>
  <c r="Q125" i="34"/>
  <c r="M26" i="20"/>
  <c r="Q70" i="34"/>
  <c r="T20" i="36"/>
  <c r="N22" i="20"/>
  <c r="R69" i="37" s="1"/>
  <c r="T19" i="36"/>
  <c r="F27" i="35" s="1"/>
  <c r="R68" i="34"/>
  <c r="S44" i="36"/>
  <c r="E51" i="35" s="1"/>
  <c r="O125" i="34"/>
  <c r="O70" i="34"/>
  <c r="K26" i="20"/>
  <c r="O73" i="37" s="1"/>
  <c r="S20" i="36"/>
  <c r="L22" i="20"/>
  <c r="P69" i="37" s="1"/>
  <c r="O187" i="34"/>
  <c r="I28" i="36"/>
  <c r="O147" i="37" s="1"/>
  <c r="P68" i="34"/>
  <c r="S19" i="36"/>
  <c r="E27" i="35" s="1"/>
  <c r="J28" i="36"/>
  <c r="Q147" i="37" s="1"/>
  <c r="Q187" i="34"/>
  <c r="Q73" i="37" l="1"/>
  <c r="N26" i="20"/>
  <c r="Q74" i="34"/>
  <c r="M27" i="20"/>
  <c r="M31" i="20" s="1"/>
  <c r="L26" i="20"/>
  <c r="K27" i="20"/>
  <c r="O74" i="34"/>
  <c r="Q148" i="34"/>
  <c r="S21" i="36"/>
  <c r="S22" i="36" s="1"/>
  <c r="P70" i="34"/>
  <c r="R70" i="34"/>
  <c r="T21" i="36"/>
  <c r="T22" i="36" s="1"/>
  <c r="I41" i="36"/>
  <c r="O148" i="34"/>
  <c r="K31" i="20" l="1"/>
  <c r="O77" i="37" s="1"/>
  <c r="O74" i="37"/>
  <c r="P74" i="34"/>
  <c r="P73" i="37"/>
  <c r="T102" i="36"/>
  <c r="Q74" i="37"/>
  <c r="O161" i="34"/>
  <c r="O160" i="37"/>
  <c r="R74" i="34"/>
  <c r="R73" i="37"/>
  <c r="S102" i="36"/>
  <c r="I15" i="36"/>
  <c r="O137" i="37" s="1"/>
  <c r="F30" i="35"/>
  <c r="Q75" i="34"/>
  <c r="N27" i="20"/>
  <c r="J15" i="36"/>
  <c r="E30" i="35"/>
  <c r="L27" i="20"/>
  <c r="O75" i="34"/>
  <c r="Q77" i="37"/>
  <c r="S23" i="36" l="1"/>
  <c r="O78" i="34"/>
  <c r="L31" i="20"/>
  <c r="P77" i="37" s="1"/>
  <c r="I60" i="32"/>
  <c r="O115" i="37" s="1"/>
  <c r="P75" i="34"/>
  <c r="P74" i="37"/>
  <c r="R75" i="34"/>
  <c r="R74" i="37"/>
  <c r="T32" i="36"/>
  <c r="T33" i="36" s="1"/>
  <c r="Q137" i="37"/>
  <c r="S31" i="36"/>
  <c r="S32" i="36"/>
  <c r="S33" i="36" s="1"/>
  <c r="I21" i="36"/>
  <c r="O138" i="34"/>
  <c r="T31" i="36"/>
  <c r="Q138" i="34"/>
  <c r="J21" i="36"/>
  <c r="Q143" i="37" s="1"/>
  <c r="Q78" i="34"/>
  <c r="J60" i="32"/>
  <c r="T23" i="36"/>
  <c r="N31" i="20"/>
  <c r="R77" i="37" s="1"/>
  <c r="P242" i="37" l="1"/>
  <c r="P244" i="34"/>
  <c r="N242" i="37"/>
  <c r="O116" i="34"/>
  <c r="J58" i="32"/>
  <c r="Q113" i="37" s="1"/>
  <c r="I56" i="32"/>
  <c r="O111" i="37" s="1"/>
  <c r="P78" i="34"/>
  <c r="S24" i="36"/>
  <c r="E28" i="35" s="1"/>
  <c r="P243" i="34"/>
  <c r="I42" i="36"/>
  <c r="O161" i="37" s="1"/>
  <c r="O143" i="37"/>
  <c r="Q116" i="34"/>
  <c r="Q115" i="37"/>
  <c r="P242" i="34"/>
  <c r="P241" i="37"/>
  <c r="N242" i="34"/>
  <c r="N241" i="37"/>
  <c r="N243" i="34"/>
  <c r="O144" i="34"/>
  <c r="Q144" i="34"/>
  <c r="R78" i="34"/>
  <c r="T24" i="36"/>
  <c r="F28" i="35" s="1"/>
  <c r="Q114" i="34" l="1"/>
  <c r="S104" i="36"/>
  <c r="S105" i="36" s="1"/>
  <c r="S110" i="36" s="1"/>
  <c r="S16" i="36" s="1"/>
  <c r="O112" i="34"/>
  <c r="I98" i="32"/>
  <c r="O162" i="34"/>
  <c r="P243" i="37"/>
  <c r="I43" i="36"/>
  <c r="O163" i="34" s="1"/>
  <c r="N244" i="34"/>
  <c r="N243" i="37"/>
  <c r="O132" i="37" l="1"/>
  <c r="I49" i="32"/>
  <c r="O107" i="37" s="1"/>
  <c r="T103" i="36"/>
  <c r="S35" i="36"/>
  <c r="S36" i="36" s="1"/>
  <c r="O133" i="34"/>
  <c r="E4" i="35"/>
  <c r="S43" i="36"/>
  <c r="E50" i="35" s="1"/>
  <c r="O162" i="37"/>
  <c r="S25" i="36"/>
  <c r="E29" i="35" s="1"/>
  <c r="E5" i="35"/>
  <c r="N245" i="37" l="1"/>
  <c r="N246" i="37"/>
  <c r="N246" i="34"/>
  <c r="S27" i="36"/>
  <c r="S28" i="36" s="1"/>
  <c r="S29" i="36"/>
  <c r="S30" i="36" s="1"/>
  <c r="S47" i="36"/>
  <c r="T48" i="36" s="1"/>
  <c r="S115" i="36"/>
  <c r="S37" i="36" s="1"/>
  <c r="S38" i="36" s="1"/>
  <c r="I38" i="32"/>
  <c r="O97" i="37" s="1"/>
  <c r="O108" i="34"/>
  <c r="N239" i="37" l="1"/>
  <c r="N241" i="34"/>
  <c r="N237" i="37"/>
  <c r="N238" i="37"/>
  <c r="N247" i="37"/>
  <c r="N248" i="37"/>
  <c r="N247" i="34"/>
  <c r="N240" i="34"/>
  <c r="E52" i="35"/>
  <c r="N238" i="34"/>
  <c r="I51" i="32"/>
  <c r="O108" i="37" s="1"/>
  <c r="O98" i="34"/>
  <c r="N248" i="34"/>
  <c r="T49" i="36"/>
  <c r="J39" i="36"/>
  <c r="Q158" i="37" s="1"/>
  <c r="N240" i="37" l="1"/>
  <c r="N239" i="34"/>
  <c r="O109" i="34"/>
  <c r="N249" i="34"/>
  <c r="J59" i="32"/>
  <c r="Q114" i="37" s="1"/>
  <c r="Q159" i="34"/>
  <c r="J41" i="36"/>
  <c r="Q160" i="37" s="1"/>
  <c r="Q161" i="34" l="1"/>
  <c r="J42" i="36"/>
  <c r="Q161" i="37" s="1"/>
  <c r="Q115" i="34"/>
  <c r="J56" i="32"/>
  <c r="Q111" i="37" s="1"/>
  <c r="T104" i="36" l="1"/>
  <c r="Q112" i="34"/>
  <c r="J98" i="32"/>
  <c r="Q162" i="34"/>
  <c r="J43" i="36"/>
  <c r="Q132" i="37" l="1"/>
  <c r="J49" i="32"/>
  <c r="Q107" i="37" s="1"/>
  <c r="Q163" i="34"/>
  <c r="Q162" i="37"/>
  <c r="F4" i="35"/>
  <c r="T35" i="36"/>
  <c r="T36" i="36" s="1"/>
  <c r="T43" i="36"/>
  <c r="Q133" i="34"/>
  <c r="T105" i="36"/>
  <c r="T110" i="36" s="1"/>
  <c r="T16" i="36" s="1"/>
  <c r="P245" i="37" l="1"/>
  <c r="T47" i="36"/>
  <c r="F52" i="35" s="1"/>
  <c r="F50" i="35"/>
  <c r="T115" i="36"/>
  <c r="T37" i="36" s="1"/>
  <c r="T38" i="36" s="1"/>
  <c r="J38" i="32"/>
  <c r="Q97" i="37" s="1"/>
  <c r="Q108" i="34"/>
  <c r="T27" i="36"/>
  <c r="T28" i="36" s="1"/>
  <c r="T29" i="36"/>
  <c r="T30" i="36" s="1"/>
  <c r="P246" i="34"/>
  <c r="T25" i="36"/>
  <c r="F29" i="35" s="1"/>
  <c r="F5" i="35"/>
  <c r="P239" i="37" l="1"/>
  <c r="P237" i="37"/>
  <c r="P247" i="37"/>
  <c r="P247" i="34"/>
  <c r="P246" i="37"/>
  <c r="J51" i="32"/>
  <c r="Q108" i="37" s="1"/>
  <c r="Q98" i="34"/>
  <c r="P240" i="34"/>
  <c r="P248" i="34"/>
  <c r="P238" i="34"/>
  <c r="P241" i="34" l="1"/>
  <c r="P240" i="37"/>
  <c r="P239" i="34"/>
  <c r="P238" i="37"/>
  <c r="P249" i="34"/>
  <c r="P248" i="37"/>
  <c r="Q109" i="34"/>
  <c r="L9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Jadelcons</author>
  </authors>
  <commentList>
    <comment ref="A4" authorId="0" shapeId="0" xr:uid="{FDE6B964-0AB1-4683-9A29-1667C1E61762}">
      <text>
        <r>
          <rPr>
            <b/>
            <sz val="10"/>
            <color indexed="81"/>
            <rFont val="Tahoma"/>
            <family val="2"/>
          </rPr>
          <t xml:space="preserve">Instructions for Completing the Calculation Form
FILL IN THE TABLES IN NUMERICAL ORDER — NUMBER BUTTONS ARE ON THE LEFT!
INVESTMENTS ARE USUALLY ENTERED INCLUDING VAT!
ENTER AMOUNTS AS WHOLE NUMBERS WITHOUT CENTS!
</t>
        </r>
        <r>
          <rPr>
            <b/>
            <i/>
            <sz val="10"/>
            <color indexed="81"/>
            <rFont val="Tahoma"/>
            <family val="2"/>
          </rPr>
          <t xml:space="preserve">
Machines, etc., acquired through leasing financing are handled in Table 3. E1 Operationg Costs. If the leased item is purchased at the end of the contract period, it is recorded as an investment in this table.</t>
        </r>
        <r>
          <rPr>
            <b/>
            <sz val="10"/>
            <color indexed="81"/>
            <rFont val="Tahoma"/>
            <family val="2"/>
          </rPr>
          <t xml:space="preserve">
</t>
        </r>
        <r>
          <rPr>
            <sz val="10"/>
            <color indexed="81"/>
            <rFont val="Tahoma"/>
            <family val="2"/>
          </rPr>
          <t xml:space="preserve">In the calculation program, only the yellow cells should be filled in. Other cells are intentionally locked. As the calculation progresses, the program will automatically compute values into the locked cells. Complete one page at a time by following the numbering on the left-hand side. </t>
        </r>
        <r>
          <rPr>
            <b/>
            <sz val="10"/>
            <color indexed="81"/>
            <rFont val="Tahoma"/>
            <family val="2"/>
          </rPr>
          <t xml:space="preserve">
Row-Specific Instructions
</t>
        </r>
        <r>
          <rPr>
            <sz val="10"/>
            <color indexed="81"/>
            <rFont val="Tahoma"/>
            <family val="2"/>
          </rPr>
          <t xml:space="preserve">- Rows 1–7: Investments must be assessed according to their actual implementation date (no leasing financing).
- Row 9: The increase in working capital refers to the permanent additional need for working capital caused by the investment.
Formula: Working Capital = Inventory + Accounts Receivable – Accounts Payable – Advance Payments Received
- Row 10: Purchase price of inventory from a business acquisition and/or initial stock
- Row 12: Increases in capital
- Row 13: Internal financing (cash flow) available for this investment
- Row 14: Increase in capital loan
- Row 15: Proceeds from sale of assets and investments
</t>
        </r>
        <r>
          <rPr>
            <b/>
            <sz val="10"/>
            <color indexed="81"/>
            <rFont val="Tahoma"/>
            <family val="2"/>
          </rPr>
          <t xml:space="preserve">
Note on Future Cost Impacts
For machinery/equipment investments, consider future costs such as:
</t>
        </r>
        <r>
          <rPr>
            <sz val="10"/>
            <color indexed="81"/>
            <rFont val="Tahoma"/>
            <family val="2"/>
          </rPr>
          <t>– raw materials, labour costs, electricity, water, fuel, insurance, maintenance, repairs, software, etc.</t>
        </r>
        <r>
          <rPr>
            <b/>
            <sz val="10"/>
            <color indexed="81"/>
            <rFont val="Tahoma"/>
            <family val="2"/>
          </rPr>
          <t xml:space="preserve">
For real estate investments, consider future costs such as:
</t>
        </r>
        <r>
          <rPr>
            <sz val="10"/>
            <color indexed="81"/>
            <rFont val="Tahoma"/>
            <family val="2"/>
          </rPr>
          <t>– heating, electricity, water, property tax, insurance, cleaning, security, waste management, etc.</t>
        </r>
      </text>
    </comment>
    <comment ref="C24" authorId="0" shapeId="0" xr:uid="{BB62C32C-D408-4080-87EF-4950EE57AA10}">
      <text>
        <r>
          <rPr>
            <sz val="10"/>
            <color indexed="81"/>
            <rFont val="Tahoma"/>
            <family val="2"/>
          </rPr>
          <t>Real estate and buildings
 - VAT cannot be deducted
 - Depreciation accepted
 - no leasing financing
Kiinteistöt ja rakennukset, joista ei voida vähentää arvonlisäveroa mutta voidaan tehdä poistoja.</t>
        </r>
      </text>
    </comment>
    <comment ref="C27" authorId="0" shapeId="0" xr:uid="{90102D4F-EE98-4892-AE1E-512B4A6AA15B}">
      <text>
        <r>
          <rPr>
            <b/>
            <sz val="10"/>
            <color indexed="81"/>
            <rFont val="Tahoma"/>
            <family val="2"/>
          </rPr>
          <t xml:space="preserve">
Investments, including VAT
</t>
        </r>
        <r>
          <rPr>
            <sz val="10"/>
            <color indexed="81"/>
            <rFont val="Tahoma"/>
            <family val="2"/>
          </rPr>
          <t xml:space="preserve">- no leasing financing, leasing costs -&gt; 3. E1 Operating Costs
</t>
        </r>
        <r>
          <rPr>
            <b/>
            <sz val="10"/>
            <color indexed="81"/>
            <rFont val="Tahoma"/>
            <family val="2"/>
          </rPr>
          <t xml:space="preserve">
</t>
        </r>
        <r>
          <rPr>
            <sz val="10"/>
            <color indexed="81"/>
            <rFont val="Tahoma"/>
            <family val="2"/>
          </rPr>
          <t>Investoinnit, joista voidaan vähentää arvonlisävero (ei leasing rahoitus)</t>
        </r>
      </text>
    </comment>
    <comment ref="C30" authorId="0" shapeId="0" xr:uid="{92F1C757-F23F-49C8-B00F-1242D951CA9B}">
      <text>
        <r>
          <rPr>
            <b/>
            <sz val="10"/>
            <color indexed="81"/>
            <rFont val="Tahoma"/>
            <family val="2"/>
          </rPr>
          <t xml:space="preserve">
Investments, VAT cannot be deducted 
</t>
        </r>
        <r>
          <rPr>
            <sz val="10"/>
            <color indexed="81"/>
            <rFont val="Tahoma"/>
            <family val="2"/>
          </rPr>
          <t>For example, equipment transferred in a business transaction, purchases from abroad or from a private individual, social and health care sectors, investments for private use (e.g. company cars). 
- no leasing financing, leasing costs -&gt; 3. E1 Operating Costs</t>
        </r>
        <r>
          <rPr>
            <b/>
            <sz val="10"/>
            <color indexed="81"/>
            <rFont val="Tahoma"/>
            <family val="2"/>
          </rPr>
          <t xml:space="preserve">
Investoinnit, joista ei voida vähentää arvonlisäveroa. 
</t>
        </r>
        <r>
          <rPr>
            <sz val="10"/>
            <color indexed="81"/>
            <rFont val="Tahoma"/>
            <family val="2"/>
          </rPr>
          <t>Esim. yrityskaupassa siirtyvä kalusto, osto ulkomailta tai yksityishenkilöltä, sosiaali- ja terveysala, yksityiskäytön investoinnit esim. työsuhdeautot. Ei leasing rahoitus.</t>
        </r>
      </text>
    </comment>
    <comment ref="C32" authorId="1" shapeId="0" xr:uid="{A479E57B-08A5-4F05-84FA-E3B51AB56FD7}">
      <text>
        <r>
          <rPr>
            <b/>
            <sz val="10"/>
            <color indexed="81"/>
            <rFont val="Tahoma"/>
            <family val="2"/>
          </rPr>
          <t xml:space="preserve">Other tangible assets in accounting are assets that are not buildings, land, or movable property, such as:
</t>
        </r>
        <r>
          <rPr>
            <sz val="10"/>
            <color indexed="81"/>
            <rFont val="Tahoma"/>
            <family val="2"/>
          </rPr>
          <t>- natural resources, e.g., gravel pits, quarries, peat bogs, bridges, reservoirs, mineral deposits, berry and orchards
- works of art
- animals used by the company
- investments made on land owned by the company, e.g., earthworks, 
  paving, drainage</t>
        </r>
        <r>
          <rPr>
            <b/>
            <sz val="10"/>
            <color indexed="81"/>
            <rFont val="Tahoma"/>
            <family val="2"/>
          </rPr>
          <t xml:space="preserve">
Muut aineelliset hyödykkeet ovat kirjanpidossa omaisuuseriä, jotka eivät ole rakennuksia, maa-alueita tai irtaimistoa, kuten:</t>
        </r>
        <r>
          <rPr>
            <sz val="10"/>
            <color indexed="81"/>
            <rFont val="Tahoma"/>
            <family val="2"/>
          </rPr>
          <t xml:space="preserve">
- luonnonvarat esim. soran-ottopaikat, louhokset, turvesuot, sillat, altaat, 
  mineraaliesiintymät, marja- ja hedelmätarhat
- taide-esineet
- yrityksen käytössä olevat eläimet
- yrityksen omistamalle tontille tehtävät investoinnit esim. maanrakennus, 
  asfaltointi, salaojitus</t>
        </r>
      </text>
    </comment>
    <comment ref="C35" authorId="0" shapeId="0" xr:uid="{CC1F2D9F-2EB2-45D6-9FF1-35E1D7AD6EFC}">
      <text>
        <r>
          <rPr>
            <b/>
            <sz val="10"/>
            <color indexed="81"/>
            <rFont val="Tahoma"/>
            <family val="2"/>
          </rPr>
          <t xml:space="preserve">Intangible assets VAT 0 %
</t>
        </r>
        <r>
          <rPr>
            <sz val="10"/>
            <color indexed="81"/>
            <rFont val="Tahoma"/>
            <family val="2"/>
          </rPr>
          <t>- Patent, trademark, etc.
- Goodwill of the company in a business transaction
- Salaries included in product development costs including social security contributions
The corresponding salary amounts are deducted in the 3. E1 OPERATING COSTS-table.</t>
        </r>
        <r>
          <rPr>
            <b/>
            <sz val="10"/>
            <color indexed="81"/>
            <rFont val="Tahoma"/>
            <family val="2"/>
          </rPr>
          <t xml:space="preserve">
Intangible assets incl. VAT
</t>
        </r>
        <r>
          <rPr>
            <sz val="10"/>
            <color indexed="81"/>
            <rFont val="Tahoma"/>
            <family val="2"/>
          </rPr>
          <t>- For the renovation of a rental apartment and condominium used by a VAT-taxable business, including work and supplies.
- Material costs are included in product development costs. If material costs
are taken from inventory, the corresponding amount must be deducted from the material consumption in the 4. E2 TURNOVER table.</t>
        </r>
        <r>
          <rPr>
            <b/>
            <sz val="10"/>
            <color indexed="81"/>
            <rFont val="Tahoma"/>
            <family val="2"/>
          </rPr>
          <t xml:space="preserve">
Aineettomat hyödykkeet alv 0%</t>
        </r>
        <r>
          <rPr>
            <sz val="10"/>
            <color indexed="81"/>
            <rFont val="Tahoma"/>
            <family val="2"/>
          </rPr>
          <t xml:space="preserve">
- Patentti, tavaramerkki tms.  
- Yrityksen liikearvo (goodwill) yrityskaupassa 
- Tuotekehityskustannuksiin sisältyvät palkat sotu-maksuineen. Vastaavat palkkasummat vähennetään 3. E1 KUSTANNUKSET- taulukossa. 
</t>
        </r>
        <r>
          <rPr>
            <b/>
            <sz val="10"/>
            <color indexed="81"/>
            <rFont val="Tahoma"/>
            <family val="2"/>
          </rPr>
          <t xml:space="preserve">Aineettomat hyödykkeet sis. alv
</t>
        </r>
        <r>
          <rPr>
            <sz val="10"/>
            <color indexed="81"/>
            <rFont val="Tahoma"/>
            <family val="2"/>
          </rPr>
          <t>- Alv-verollisen liiketoiminnan käytössä olevan vuokra-asunnon ja osakehuoneiston perusparannukseen sis. työt ja tarvikkeet.
- Tuotekehityskustannuksiin sisältyvät ainekulut. Jos ainekulut otetaan varastosta niin vastaava summa tulee vähentää 4. E2 LIIKEVAIHTO-taulukon ainekäytöstä.</t>
        </r>
      </text>
    </comment>
    <comment ref="E38" authorId="0" shapeId="0" xr:uid="{B2DB0D3C-7A73-44F7-9643-6518E33B6969}">
      <text>
        <r>
          <rPr>
            <sz val="10"/>
            <color indexed="81"/>
            <rFont val="Tahoma"/>
            <family val="2"/>
          </rPr>
          <t>The acquisition cost of shares in commercial real estate and other investment assets for which VAT cannot be deducted.
Liikehuoneiston osakkeiden ja muun sijoitusomaisuuden hankintahinta, joista ei voida vähentää arvonlisäveroa.</t>
        </r>
      </text>
    </comment>
    <comment ref="E40" authorId="0" shapeId="0" xr:uid="{50CE8346-5FE9-49D4-BB33-82560A7E9C58}">
      <text>
        <r>
          <rPr>
            <b/>
            <sz val="10"/>
            <color indexed="81"/>
            <rFont val="Tahoma"/>
            <family val="2"/>
          </rPr>
          <t xml:space="preserve">Inventories include raw materials, products, supplies, semi-finished products and finished products.
</t>
        </r>
        <r>
          <rPr>
            <sz val="10"/>
            <color indexed="81"/>
            <rFont val="Tahoma"/>
            <family val="2"/>
          </rPr>
          <t>The amount must be sufficient for normal operations, taking into account the delivery times of purchases and varies depending on the industry. In business transactions, the size and quality of the inventory and its adequacy in practice must be taken into account.</t>
        </r>
        <r>
          <rPr>
            <b/>
            <sz val="10"/>
            <color indexed="81"/>
            <rFont val="Tahoma"/>
            <family val="2"/>
          </rPr>
          <t xml:space="preserve">
Value added tax
</t>
        </r>
        <r>
          <rPr>
            <sz val="10"/>
            <color indexed="81"/>
            <rFont val="Tahoma"/>
            <family val="2"/>
          </rPr>
          <t xml:space="preserve">- indicate the average value added tax percentage in the next cell
- in business transactions, inventories are subject to VAT 0 %
- as a normal purchase, at a price including VAT
- when purchasing from abroad, price VAT 0 % </t>
        </r>
        <r>
          <rPr>
            <b/>
            <sz val="10"/>
            <color indexed="81"/>
            <rFont val="Tahoma"/>
            <family val="2"/>
          </rPr>
          <t xml:space="preserve">
Vaihto-omaisuuteen lasketaan raaka-aineet, tuotteet, tarvikkeet, puolivalmisteet ja valmiit tuotteet. </t>
        </r>
        <r>
          <rPr>
            <sz val="10"/>
            <color indexed="81"/>
            <rFont val="Tahoma"/>
            <family val="2"/>
          </rPr>
          <t xml:space="preserve">
Määrän tulee riittää normaaliin toimintaan ostojen toimitusajat huomioiden ja vaihtelee toimialasta riippuen.  Liiketoimintakaupassa on huomioitava varaston koko sekä laatu ja sen riittävyys käytännössä. 
</t>
        </r>
        <r>
          <rPr>
            <b/>
            <sz val="10"/>
            <color indexed="81"/>
            <rFont val="Tahoma"/>
            <family val="2"/>
          </rPr>
          <t xml:space="preserve">Arvonlisävero
</t>
        </r>
        <r>
          <rPr>
            <sz val="10"/>
            <color indexed="81"/>
            <rFont val="Tahoma"/>
            <family val="2"/>
          </rPr>
          <t>- ilmoita seuraavassa solussa keskimääräinen arvonlisäveroprosentti  
- liiketoimintakaupassa vaihto-omaisuus alv 0 % 
- tavanomaisena hankintana sis. alv hinnalla
- ulkomailta ostettaessa alv 0 % hinnalla</t>
        </r>
      </text>
    </comment>
    <comment ref="E41" authorId="2" shapeId="0" xr:uid="{6CF25DA4-C8E3-4387-8E1C-6C8FB01EA728}">
      <text>
        <r>
          <rPr>
            <sz val="10"/>
            <color indexed="81"/>
            <rFont val="Tahoma"/>
            <family val="2"/>
          </rPr>
          <t xml:space="preserve">- value of business trade inventory VAT 0%
- products purchased for inventory include VAT if purchased domestically
</t>
        </r>
        <r>
          <rPr>
            <b/>
            <sz val="10"/>
            <color indexed="81"/>
            <rFont val="Tahoma"/>
            <family val="2"/>
          </rPr>
          <t>If several different VAT rates, set a weighted average.</t>
        </r>
        <r>
          <rPr>
            <sz val="10"/>
            <color indexed="81"/>
            <rFont val="Tahoma"/>
            <family val="2"/>
          </rPr>
          <t xml:space="preserve">
- liiketoimintakaupan varaston arvo alv 0 %
- varastoon ostettavat tuotteet sisältävät arvonlisäveron, jos ostetaan kotimaasta
 </t>
        </r>
        <r>
          <rPr>
            <b/>
            <sz val="10"/>
            <color indexed="81"/>
            <rFont val="Tahoma"/>
            <family val="2"/>
          </rPr>
          <t>Jos useita eri alv-kantoja, aseta painotettu keskiarvo.</t>
        </r>
      </text>
    </comment>
    <comment ref="F48" authorId="1" shapeId="0" xr:uid="{5E1AFF00-6755-4B42-A91D-05AAE281EAB4}">
      <text>
        <r>
          <rPr>
            <sz val="10"/>
            <color indexed="81"/>
            <rFont val="Tahoma"/>
            <family val="2"/>
          </rPr>
          <t xml:space="preserve">Only share capital increase
</t>
        </r>
        <r>
          <rPr>
            <sz val="9"/>
            <color indexed="81"/>
            <rFont val="Tahoma"/>
            <family val="2"/>
          </rPr>
          <t xml:space="preserve">
Ainoastaan osakepääoman lisäys</t>
        </r>
      </text>
    </comment>
    <comment ref="F49" authorId="1" shapeId="0" xr:uid="{EE48945D-7D19-4085-A6D5-2E6A68665985}">
      <text>
        <r>
          <rPr>
            <sz val="10"/>
            <color indexed="81"/>
            <rFont val="Tahoma"/>
            <family val="2"/>
          </rPr>
          <t>Only additional investments in the fund (SVOP)</t>
        </r>
        <r>
          <rPr>
            <sz val="9"/>
            <color indexed="81"/>
            <rFont val="Tahoma"/>
            <family val="2"/>
          </rPr>
          <t xml:space="preserve">
Ainoastaan lisäsijoitus SVOP-rahastoon</t>
        </r>
      </text>
    </comment>
    <comment ref="C51" authorId="1" shapeId="0" xr:uid="{3649756D-C58D-4EC5-958F-651B02A58212}">
      <text>
        <r>
          <rPr>
            <sz val="10"/>
            <color indexed="81"/>
            <rFont val="Tahoma"/>
            <family val="2"/>
          </rPr>
          <t xml:space="preserve">The capital loan is only entered here, not in table 2. T7 LOANS.
</t>
        </r>
        <r>
          <rPr>
            <sz val="9"/>
            <color indexed="81"/>
            <rFont val="Tahoma"/>
            <family val="2"/>
          </rPr>
          <t xml:space="preserve">Pääomalaina merkitään vain tähän, ei taulukkoon 2. T7 LAINAT. </t>
        </r>
      </text>
    </comment>
    <comment ref="F51" authorId="1" shapeId="0" xr:uid="{60DA3565-75DE-45A2-8ED4-710E1F46C05A}">
      <text>
        <r>
          <rPr>
            <sz val="10"/>
            <color indexed="81"/>
            <rFont val="Tahoma"/>
            <family val="2"/>
          </rPr>
          <t>Only Capital loan increase
Ainoastaan pääomalainen lisäys!</t>
        </r>
      </text>
    </comment>
    <comment ref="C52" authorId="1" shapeId="0" xr:uid="{34D4FB16-1827-4A7D-A952-0781864451E1}">
      <text>
        <r>
          <rPr>
            <b/>
            <sz val="10"/>
            <color indexed="81"/>
            <rFont val="Tahoma"/>
            <family val="2"/>
          </rPr>
          <t xml:space="preserve">Company's own financing, not owners'
</t>
        </r>
        <r>
          <rPr>
            <sz val="10"/>
            <color indexed="81"/>
            <rFont val="Tahoma"/>
            <family val="2"/>
          </rPr>
          <t xml:space="preserve">This refers to the sale of the company's assets. After the first fiscal year, the company's assets may be sold, in which case the sale price (VAT 0%) is also recorded in Table 6. T3 BALANCE SHEET: Non-current assets, under "Reductions during the financial year".
</t>
        </r>
        <r>
          <rPr>
            <b/>
            <sz val="10"/>
            <color indexed="81"/>
            <rFont val="Tahoma"/>
            <family val="2"/>
          </rPr>
          <t xml:space="preserve">
For example, if a company machine is sold, enter the sales price in the balance sheet on page 6. T3 BALANCE SHEET -&gt; NON-CURRENT ASSETS -&gt; 3. Machinery and equipment -&gt; line 28 "Reductions during the financial year". 
YRITYKSEN oma rahoitus, ei omistajien</t>
        </r>
        <r>
          <rPr>
            <sz val="10"/>
            <color indexed="81"/>
            <rFont val="Tahoma"/>
            <family val="2"/>
          </rPr>
          <t xml:space="preserve">
Tarkoittaa yrityksen omaisuuden myymistä. Ensimmäisen tilikauden jälkeen voidaan myydä yrityksen omaisuutta, jolloin myyntihinta merkitään myös taulukkoon 6. T3 TASE: Pysyvät vastaavat, myytävän omaisuuden kohtaan arvon vähenemisenä.
Esim. myydään yrityksen kone, merkitään myyntihinta verottomana taseeseen sivu 6. T3 TASE -&gt; PYSYVÄT VASTAAVAT -&gt; 3. Koneet ja kalusto -&gt; riville 28 "Vähennykset tilikaudella". </t>
        </r>
      </text>
    </comment>
    <comment ref="E58" authorId="1" shapeId="0" xr:uid="{5618FC7E-24CA-4684-947B-1153204E90A3}">
      <text>
        <r>
          <rPr>
            <b/>
            <sz val="10"/>
            <color indexed="81"/>
            <rFont val="Tahoma"/>
            <family val="2"/>
          </rPr>
          <t>The amount of leasing financing is a maximum of 80 % of the investment.</t>
        </r>
        <r>
          <rPr>
            <sz val="10"/>
            <color indexed="81"/>
            <rFont val="Tahoma"/>
            <family val="2"/>
          </rPr>
          <t xml:space="preserve"> Enter the entire financing amount, not the amount of the payment instalment! The annual costs of leasing rentals are entered in table 3. E1 OPERATING COSTS in item 3.3. "Machine and work vehicle leasing incl. VAT".
</t>
        </r>
        <r>
          <rPr>
            <sz val="9"/>
            <color indexed="81"/>
            <rFont val="Tahoma"/>
            <family val="2"/>
          </rPr>
          <t>Leasing-rahoituksen määrä enintään 80 % investoinnista. Merkitään koko rahoitussumma, ei maksuerän suuruutta! Leasingvuokrien vuosikulut merkitään taulukkoon 3. E1 KUSTANNUKSET kohtaan 3.3. "Kone- ja työajoneuvoleasing sis. alv".</t>
        </r>
      </text>
    </comment>
    <comment ref="E59" authorId="1" shapeId="0" xr:uid="{E18C57E6-78DB-41AC-A2EC-62B351A751CF}">
      <text>
        <r>
          <rPr>
            <sz val="10"/>
            <color indexed="81"/>
            <rFont val="Tahoma"/>
            <family val="2"/>
          </rPr>
          <t xml:space="preserve">The amount of leasing financing is a maximum of 80 % of the investment. Enter the entire financing amount, not the amount of the instalment! The annual costs of leasing rents are entered in table E1 OPERATING COSTS in item 3.21 "Leasing costs investments VAT 0%".
</t>
        </r>
        <r>
          <rPr>
            <sz val="9"/>
            <color indexed="81"/>
            <rFont val="Tahoma"/>
            <family val="2"/>
          </rPr>
          <t>Leasingrahoituksen määrä enintään 80 % investoinnista. Merkitään koko rahoitussumma, ei maksuerän suuruutta! Leasingvuokrien vuosikulut merkitään taulukkoon E1 KUSTANNUKSET kohtaan 3.21 "Leasingkulut investoinnit alv 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7" authorId="0" shapeId="0" xr:uid="{0582BCB8-2A45-464A-9CB5-9CA921B5C420}">
      <text>
        <r>
          <rPr>
            <sz val="10"/>
            <color indexed="81"/>
            <rFont val="Tahoma"/>
            <family val="2"/>
          </rPr>
          <t>Yrityksen tiedot kirjoitetaan taulukkoon
 T1 Investointisuunnitelma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A5" authorId="0" shapeId="0" xr:uid="{FA3235C6-2958-436A-BF70-913F6079D8CB}">
      <text>
        <r>
          <rPr>
            <b/>
            <sz val="11"/>
            <color indexed="81"/>
            <rFont val="Tahoma"/>
            <family val="2"/>
          </rPr>
          <t xml:space="preserve">WRITE THE FIGURES IN WHOLE NUMBERS WITHOUT CENTS!
</t>
        </r>
        <r>
          <rPr>
            <sz val="11"/>
            <color indexed="81"/>
            <rFont val="Tahoma"/>
            <family val="2"/>
          </rPr>
          <t>ONLY LOAN REPAYMENTS ACCORDING TO THE ORIGINAL PLAN!
Additional loan repayments / changes in repayment instalments are entered in table 5. T4 FINANCIAL PLAN, item 19.</t>
        </r>
        <r>
          <rPr>
            <b/>
            <sz val="11"/>
            <color indexed="81"/>
            <rFont val="Tahoma"/>
            <family val="2"/>
          </rPr>
          <t xml:space="preserve">
Capital loans are entered in table 1. T1 INVESTMENT PLAN, item 14
CHECK THE INTEREST RATES IN LINES 40, 42 AND 44!
KIRJOITA LUVUT ILMAN SENTTEJÄ KOKONAISLUKUINA! </t>
        </r>
        <r>
          <rPr>
            <b/>
            <sz val="10"/>
            <color indexed="81"/>
            <rFont val="Tahoma"/>
            <family val="2"/>
          </rPr>
          <t xml:space="preserve">
</t>
        </r>
        <r>
          <rPr>
            <b/>
            <sz val="10"/>
            <color indexed="81"/>
            <rFont val="Tahoma"/>
            <family val="2"/>
          </rPr>
          <t xml:space="preserve">
</t>
        </r>
        <r>
          <rPr>
            <sz val="10"/>
            <color indexed="81"/>
            <rFont val="Tahoma"/>
            <family val="2"/>
          </rPr>
          <t xml:space="preserve">VAIN  ALKUPERÄISEN SUUNNITELMAN MUKAISET LAINANLYHENNYKSET! </t>
        </r>
        <r>
          <rPr>
            <b/>
            <sz val="10"/>
            <color indexed="81"/>
            <rFont val="Tahoma"/>
            <family val="2"/>
          </rPr>
          <t xml:space="preserve">
</t>
        </r>
        <r>
          <rPr>
            <sz val="10"/>
            <color indexed="81"/>
            <rFont val="Tahoma"/>
            <family val="2"/>
          </rPr>
          <t xml:space="preserve">Ylimääräiset lainanlyhennykset / lyhennyserien muutokset merkitään taulukkoon 
5. T4 RAHOITUSSUUNNITELMA -taulukon kohtaan 19.  
Pääomalainat merkitään taulukkoon 1. T1 INVESTOINTISUUNNITELMA, kohtaan 14 
TARKISTA KORKOPROSENTIT RIVEILTÄ 40, 42 JA 44! </t>
        </r>
      </text>
    </comment>
    <comment ref="B8" authorId="0" shapeId="0" xr:uid="{9827A44C-7145-4A5C-93D7-2972773AEB3B}">
      <text>
        <r>
          <rPr>
            <b/>
            <sz val="10"/>
            <color indexed="81"/>
            <rFont val="Tahoma"/>
            <family val="2"/>
          </rPr>
          <t xml:space="preserve">Debt that matures in more than one year.
Long-term loans include bonds received from
</t>
        </r>
        <r>
          <rPr>
            <sz val="10"/>
            <color indexed="81"/>
            <rFont val="Tahoma"/>
            <family val="2"/>
          </rPr>
          <t>- financial institutions
- insurance companies
- owners and other private financiers</t>
        </r>
        <r>
          <rPr>
            <b/>
            <sz val="10"/>
            <color indexed="81"/>
            <rFont val="Tahoma"/>
            <family val="2"/>
          </rPr>
          <t xml:space="preserve">
Capital loans are invested in 1. T1 Investment plan
Velka tai sen osa, joka erääntyy maksettavaksi yhtä vuotta pidempänä aikana</t>
        </r>
        <r>
          <rPr>
            <sz val="10"/>
            <color indexed="81"/>
            <rFont val="Tahoma"/>
            <family val="2"/>
          </rPr>
          <t>. 
Pitkäaikaisiin lainoihin kirjataan velkakirjalainat, jotka on saatu  
- rahalaitoksilta
- vakuutusyhtiöiltä
- omistajilta ja muilta yksityisiltä rahoittajilta
Pääomalainat sijoitetaan 1. T1 Investointisuunnitelmaan</t>
        </r>
      </text>
    </comment>
    <comment ref="B13" authorId="0" shapeId="0" xr:uid="{136FC5E6-0C09-4A61-A0C9-CCF874FCF61F}">
      <text>
        <r>
          <rPr>
            <sz val="10"/>
            <color indexed="81"/>
            <rFont val="Tahoma"/>
            <family val="2"/>
          </rPr>
          <t>Loans to be drawn in the first year. Name the loan/financier.
No capital loans, capital loan is placed in table 1. T1 INVESTMENT PLAN in item 14.
Ensimmäisenä vuonna nostettavat lainat. Nimeä laina/rahoittaja.
Ei pääomalainoja, pääomalaina sijoitetaan taulukkoon
1. T1 INVESTOINTISUUNNITELMA kohtaan 14.</t>
        </r>
      </text>
    </comment>
    <comment ref="C13" authorId="0" shapeId="0" xr:uid="{2CF30548-A3F7-460F-9E31-4A0F19F2F935}">
      <text>
        <r>
          <rPr>
            <sz val="10"/>
            <color indexed="81"/>
            <rFont val="Tahoma"/>
            <family val="2"/>
          </rPr>
          <t>The loan amount is the amount to be withdrawn. If the loan is withdrawn in several installments, each withdrawal is recorded as a separate loan.
Uuden nostettavan lainan määräksi merkitään nostettava lainasumma. Jos laina nostetaan useassa erässä, merkitään jokainen nosto eri lainaksi.</t>
        </r>
      </text>
    </comment>
    <comment ref="D13" authorId="0" shapeId="0" xr:uid="{A2E31A7E-0EBA-4459-82E6-9DDF1372497D}">
      <text>
        <r>
          <rPr>
            <b/>
            <sz val="10"/>
            <color indexed="81"/>
            <rFont val="Tahoma"/>
            <family val="2"/>
          </rPr>
          <t xml:space="preserve">Write the annual figure as a whole number without decimals. If the loan repayment period is 1 year, the loan is short-term. </t>
        </r>
        <r>
          <rPr>
            <sz val="10"/>
            <color indexed="81"/>
            <rFont val="Tahoma"/>
            <family val="2"/>
          </rPr>
          <t>The amount is entered in 6. T3 BALANCE SHEET under
G.1. Short-term loans from financial institutions.</t>
        </r>
        <r>
          <rPr>
            <b/>
            <sz val="10"/>
            <color indexed="81"/>
            <rFont val="Tahoma"/>
            <family val="2"/>
          </rPr>
          <t xml:space="preserve">
Kirjoita vuosiluku kokonaislukuna ilman desimaaleja</t>
        </r>
        <r>
          <rPr>
            <sz val="10"/>
            <color indexed="81"/>
            <rFont val="Tahoma"/>
            <family val="2"/>
          </rPr>
          <t xml:space="preserve">. </t>
        </r>
        <r>
          <rPr>
            <b/>
            <sz val="10"/>
            <color indexed="81"/>
            <rFont val="Tahoma"/>
            <family val="2"/>
          </rPr>
          <t>Jos lainan takaisinmaksuaika on 1 vuosi, on laina lyhytaikainen.</t>
        </r>
        <r>
          <rPr>
            <sz val="10"/>
            <color indexed="81"/>
            <rFont val="Tahoma"/>
            <family val="2"/>
          </rPr>
          <t xml:space="preserve"> Summa merkitään 6. T3 TASE kohtaan 
G.1. Lyhytaikaiset rahalaitoslainat.</t>
        </r>
      </text>
    </comment>
    <comment ref="G13" authorId="0" shapeId="0" xr:uid="{4429E213-DF44-4FC3-8249-E53D65D92F22}">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J18" authorId="0" shapeId="0" xr:uid="{F71BB0BC-2431-47AB-B231-41A1AB8387E8}">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B34" authorId="0" shapeId="0" xr:uid="{E99D2A2F-4DA8-456A-BED6-862A716DE220}">
      <text>
        <r>
          <rPr>
            <sz val="10"/>
            <color indexed="81"/>
            <rFont val="Tahoma"/>
            <family val="2"/>
          </rPr>
          <t>Installment credits taken out in the first year.
You can name the loan/financier.
Ensimmäisenä vuonna nostettu osamaksuvelka.
Voit nimetä lainan/rahoittajan.</t>
        </r>
      </text>
    </comment>
    <comment ref="D34" authorId="0" shapeId="0" xr:uid="{03D3D5D6-9E42-4D37-BC66-20218428BEA3}">
      <text>
        <r>
          <rPr>
            <sz val="10"/>
            <color indexed="81"/>
            <rFont val="Tahoma"/>
            <family val="2"/>
          </rPr>
          <t>The number must be a whole number. The shortest loan term for installment credit is 2 years.
Luvun on oltava kokonaisluku. Osamaksuvelan lyhin laina-aika on 2 vuotta.</t>
        </r>
      </text>
    </comment>
    <comment ref="C40" authorId="0" shapeId="0" xr:uid="{D85EC997-0A2B-491B-A2ED-AA2F248EBCBD}">
      <text>
        <r>
          <rPr>
            <sz val="10"/>
            <color indexed="81"/>
            <rFont val="Tahoma"/>
            <family val="2"/>
          </rPr>
          <t>Short-term bank loans loans (loan term less than 1 year).
Lyhytaikaiset rahalaitoslainat (laina-aika alle 1 vuosi).</t>
        </r>
      </text>
    </comment>
    <comment ref="C42" authorId="0" shapeId="0" xr:uid="{9572E91A-9AE9-4D77-BC6D-6516850ABC36}">
      <text>
        <r>
          <rPr>
            <sz val="10"/>
            <color indexed="81"/>
            <rFont val="Tahoma"/>
            <family val="2"/>
          </rPr>
          <t xml:space="preserve">
Capital loans are placed in Table 1. T1 INVESTMENT PLAN, cell E49.
Pääomalainat sijoitetaan taulukkoon 1. T1 INVESTOINTISUUNNITELMA, solu E49.</t>
        </r>
      </text>
    </comment>
    <comment ref="C44" authorId="0" shapeId="0" xr:uid="{5681A661-D556-42C1-9910-98F1905F6420}">
      <text>
        <r>
          <rPr>
            <sz val="10"/>
            <color indexed="81"/>
            <rFont val="Tahoma"/>
            <family val="2"/>
          </rPr>
          <t xml:space="preserve">
The total balance of debts received from owners, employees and other private individuals without a promissory note is entered here. Moves to table 6. T3 BALANCE SHEET in cell G73.
Promissory note loans are entered in table 2. T7 LOANS in the "Long-term loans" section.
Ilman velkakirjaa omistajilta, työntekijöiltä ja muilta yksityisiltä saatujen velkojen yhteissaldo merkitään tähän. Siirtyy taulukkoon 6. T3 TASE soluun G73. 
Velkakirjalainat merkitään taulukkoon 2. T7 LAINAT kohtaan "Pitkäaikaiset lainat". </t>
        </r>
      </text>
    </comment>
    <comment ref="G44" authorId="0" shapeId="0" xr:uid="{4A49E173-8A4C-4EF5-BA2E-96B6D03FB6AE}">
      <text>
        <r>
          <rPr>
            <sz val="10"/>
            <color indexed="81"/>
            <rFont val="Tahoma"/>
            <family val="2"/>
          </rPr>
          <t xml:space="preserve">Indicate the loan repayment amount in year.
Ilmoita vuosittainen lainanlyhennyksen määrä. </t>
        </r>
      </text>
    </comment>
    <comment ref="H46" authorId="0" shapeId="0" xr:uid="{BB651729-8798-4338-8625-5297DE50D4C3}">
      <text>
        <r>
          <rPr>
            <sz val="10"/>
            <color indexed="81"/>
            <rFont val="Tahoma"/>
            <family val="2"/>
          </rPr>
          <t>The program calculates the processing fee as 2% of the loan amount.
Ohjelma laskee toimitusmaksuksi 2 % lainamäärästä.</t>
        </r>
      </text>
    </comment>
    <comment ref="K46" authorId="0" shapeId="0" xr:uid="{650FEB71-686F-40F5-8A8E-8A42C19699AE}">
      <text>
        <r>
          <rPr>
            <sz val="10"/>
            <color indexed="81"/>
            <rFont val="Tahoma"/>
            <family val="2"/>
          </rPr>
          <t>The program calculates the processing fee as 2% of the loan amount.
Ohjelma laskee toimitusmaksuksi 2 % lainamäärästä.</t>
        </r>
      </text>
    </comment>
    <comment ref="N46" authorId="0" shapeId="0" xr:uid="{74A92564-2C07-42C1-9E82-914104CFC4E5}">
      <text>
        <r>
          <rPr>
            <sz val="10"/>
            <color indexed="81"/>
            <rFont val="Tahoma"/>
            <family val="2"/>
          </rPr>
          <t>The program calculates the processing fee as 2% of the loan amount.
Ohjelma laskee toimitusmaksuksi 2 % lainamäärästä.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99B1CD7E-E80D-433F-8108-46A08D88C0AD}">
      <text>
        <r>
          <rPr>
            <b/>
            <sz val="10"/>
            <color indexed="81"/>
            <rFont val="Tahoma"/>
            <family val="2"/>
          </rPr>
          <t xml:space="preserve">FILLING IN THE YELLOW CELLS OF THE 1ST FORECAST YEAR. WRITE THE FIGURES WITH +PLUS SIGNS.
</t>
        </r>
        <r>
          <rPr>
            <sz val="10"/>
            <color indexed="81"/>
            <rFont val="Tahoma"/>
            <family val="2"/>
          </rPr>
          <t>If the length of the financial period is other than 12 months, calculate the first year's costs and sales to correspond to the length of the financial period. Correct future financial periods to correspond to 12-month costs.</t>
        </r>
        <r>
          <rPr>
            <b/>
            <sz val="10"/>
            <color indexed="81"/>
            <rFont val="Tahoma"/>
            <family val="2"/>
          </rPr>
          <t xml:space="preserve">
Operating costs excluding VAT 0% VAT!
Only the following industries at taxable prices incl. VAT:
</t>
        </r>
        <r>
          <rPr>
            <sz val="10"/>
            <color indexed="81"/>
            <rFont val="Tahoma"/>
            <family val="2"/>
          </rPr>
          <t>- health and social services
- financial and insurance services
- sale and rental of apartments and real estate (not accommodation)</t>
        </r>
        <r>
          <rPr>
            <b/>
            <sz val="10"/>
            <color indexed="81"/>
            <rFont val="Tahoma"/>
            <family val="2"/>
          </rPr>
          <t xml:space="preserve">
TÄYTETÄÄN  1. ENNUSTEVUODEN KELTAISET SOLUT. KIRJOITA LUVUT +PLUS-MERKKISINÄ.  
</t>
        </r>
        <r>
          <rPr>
            <sz val="10"/>
            <color indexed="81"/>
            <rFont val="Tahoma"/>
            <family val="2"/>
          </rPr>
          <t xml:space="preserve">Jos tilikauden pituus on muu kuin 12 kk, laske ensimmäisen vuoden kustannukset ja myynti vastaamaan tilikauden pituutta. Korjaa tulevat tilikaudet vastaamaan 12 kk kustannuksia. 
</t>
        </r>
        <r>
          <rPr>
            <b/>
            <sz val="10"/>
            <color indexed="81"/>
            <rFont val="Tahoma"/>
            <family val="2"/>
          </rPr>
          <t xml:space="preserve">Toimintakustannukset ilman arvonlisäveroa alv 0 %!
Ainoastaan seuraavat toimialat verollisin hinnoin sis.alv:
</t>
        </r>
        <r>
          <rPr>
            <sz val="10"/>
            <color indexed="81"/>
            <rFont val="Tahoma"/>
            <family val="2"/>
          </rPr>
          <t>- terveys- ja sosiaalipalvelut
- rahoitus- ja vakuutuspalvelut
- asuntojen ja kiinteistöjen myynti, vuokraus (ei majoitus)</t>
        </r>
        <r>
          <rPr>
            <sz val="9"/>
            <color indexed="81"/>
            <rFont val="Tahoma"/>
            <family val="2"/>
          </rPr>
          <t xml:space="preserve">
</t>
        </r>
      </text>
    </comment>
    <comment ref="D10" authorId="0" shapeId="0" xr:uid="{B3F90498-ECCD-40DD-920E-9AA1019A129D}">
      <text>
        <r>
          <rPr>
            <sz val="10"/>
            <color indexed="81"/>
            <rFont val="Tahoma"/>
            <family val="2"/>
          </rPr>
          <t xml:space="preserve">The normal length of a financial year is 12 months. However, the length of the first financial year can be 6 - 18 months. If the length of the financial year is other than 12 months, calculate the first year's costs and sales to match the length of the financial year. Also take into account future financial years!
Normaali tilikauden pituus on 12 kk. Ensimmäisen tilikauden pituus voi olla kuitenkin 6 - 18 kk. Jos tilikauden pituus on muu kuin 12 kk, laske ensimmäisen vuoden kustannukset ja myynti vastaamaan tilikauden pituutta. Huomioi myös tulevat tilikaudet! </t>
        </r>
      </text>
    </comment>
    <comment ref="M13" authorId="0" shapeId="0" xr:uid="{F173E6CC-3872-4D1D-9581-1D66BE5EDE99}">
      <text>
        <r>
          <rPr>
            <sz val="10"/>
            <color indexed="81"/>
            <rFont val="Tahoma"/>
            <family val="2"/>
          </rPr>
          <t>Percentage change in costs. Change the percentage if necessary or enter the number directly into the table.
Kustannusten muutosprosentti. Muuta prosenttilukua tarvittaessa tai kirjoita luku suoraan taulukkoon.</t>
        </r>
      </text>
    </comment>
    <comment ref="D14" authorId="0" shapeId="0" xr:uid="{095A9633-B80C-4D8D-A0F3-DE7481C8AF3E}">
      <text>
        <r>
          <rPr>
            <sz val="10"/>
            <color indexed="81"/>
            <rFont val="Tahoma"/>
            <family val="2"/>
          </rPr>
          <t>Benefits in kind cannot be given to a private entrepreneur. Possible in a general partnership and limited partnership if the partners are paid a salary. 
Luontoisetuja ei voi antaa toiminimiyrittäjälle. Avoimessa ja kommandiittiyhtiössä mahdollista, jos yhtiömiehille maksetaan palkkaa.</t>
        </r>
      </text>
    </comment>
    <comment ref="F15" authorId="0" shapeId="0" xr:uid="{2C4D9639-4F18-4CC3-8E31-5D08D0CB8F97}">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19" authorId="1" shapeId="0" xr:uid="{00000000-0006-0000-0800-00000A000000}">
      <text>
        <r>
          <rPr>
            <sz val="10"/>
            <color indexed="81"/>
            <rFont val="Tahoma"/>
            <family val="2"/>
          </rPr>
          <t xml:space="preserve">Working hours per month
8 hours per day = 173 hour per month
7,6 hours per day = 164 hour per month
7,5 hours per day = 162,5 hour per month
monthly salary = 1 </t>
        </r>
      </text>
    </comment>
    <comment ref="F21" authorId="0" shapeId="0" xr:uid="{EE2F5C36-985E-454C-86F3-0A8E078775DC}">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F27" authorId="0" shapeId="0" xr:uid="{9F4FE888-EB61-42E3-9AE1-5980D74B1D45}">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35" authorId="0" shapeId="0" xr:uid="{2355FAE0-458D-4D9C-B2AD-118C7065A69E}">
      <text>
        <r>
          <rPr>
            <sz val="10"/>
            <color indexed="81"/>
            <rFont val="Tahoma"/>
            <family val="2"/>
          </rPr>
          <t xml:space="preserve">Total earned income of YEL entrepreneurs, on which the pension insurance contribution is calculated.
YEL earned income should correspond to the salary received from work. The figure can be changed. Earned income can only be zero if the entrepreneur's pension security has already been arranged in another company.
</t>
        </r>
        <r>
          <rPr>
            <sz val="9"/>
            <color indexed="81"/>
            <rFont val="Tahoma"/>
            <family val="2"/>
          </rPr>
          <t>YEL-yrittäjien työtulo yhteensä, jonka perusteella lasketaan eläkevakuutusmaksu. YEL-työtulon tulisi vastata työstä saatavaa palkkaa. Lukua voidaan muuttaa. Työtulo voi olla nolla vain, jos yrittäjän eläketurva on jo järjestetty toisessa yrityksessä.</t>
        </r>
      </text>
    </comment>
    <comment ref="D36" authorId="0" shapeId="0" xr:uid="{239BC754-7700-460A-957C-2BD8BE1710D2}">
      <text>
        <r>
          <rPr>
            <sz val="10"/>
            <color indexed="81"/>
            <rFont val="Tahoma"/>
            <family val="2"/>
          </rPr>
          <t>A new entrepreneur receives a 22 % discount on pension contributions for the first four years.
- reduced percentage 19,03 % 
- normal 24,4 %
Aloittava yrittäjä saa 22 % alennuksen eläkemaksuista ensimmäiset neljä vuotta.
- alennettu 19,03 %
- normaali 24,4 %</t>
        </r>
      </text>
    </comment>
    <comment ref="D41" authorId="0" shapeId="0" xr:uid="{E2FD722D-A0F9-4B1A-8152-DA724C357A9F}">
      <text>
        <r>
          <rPr>
            <b/>
            <sz val="10"/>
            <color indexed="81"/>
            <rFont val="Tahoma"/>
            <family val="2"/>
          </rPr>
          <t xml:space="preserve">2026
</t>
        </r>
        <r>
          <rPr>
            <sz val="10"/>
            <color indexed="81"/>
            <rFont val="Tahoma"/>
            <family val="2"/>
          </rPr>
          <t>- voluntary accident and occupational disease insurance
1.7% of YEL earnings
- health insurance contribution 1.91% of earnings</t>
        </r>
        <r>
          <rPr>
            <b/>
            <sz val="10"/>
            <color indexed="81"/>
            <rFont val="Tahoma"/>
            <family val="2"/>
          </rPr>
          <t xml:space="preserve">
</t>
        </r>
        <r>
          <rPr>
            <sz val="10"/>
            <color indexed="81"/>
            <rFont val="Tahoma"/>
            <family val="2"/>
          </rPr>
          <t xml:space="preserve">
- vapaaehtoinen tapaturma- ja ammattitautivakuutus 
  1,7 % YEL-työtulosta
- sairausvakuutusmaksu 1,91 % palkkatulosta</t>
        </r>
      </text>
    </comment>
    <comment ref="D42" authorId="0" shapeId="0" xr:uid="{BA3381CA-BC7A-4B11-AD14-D8CFACF6C6F9}">
      <text>
        <r>
          <rPr>
            <sz val="10"/>
            <color indexed="81"/>
            <rFont val="Tahoma"/>
            <family val="2"/>
          </rPr>
          <t xml:space="preserve">The program calculates life insurance equal to the company's loan amount (= 0.008 * initial loan amount). The amount can be changed.
</t>
        </r>
        <r>
          <rPr>
            <sz val="9"/>
            <color indexed="81"/>
            <rFont val="Tahoma"/>
            <family val="2"/>
          </rPr>
          <t>Ohjelma laskee yrityksen lainamäärän suuruisen henkivakuutuksen (= 0,008 * lainan määrä alussa). Summaa voidaan muuttaa.</t>
        </r>
      </text>
    </comment>
    <comment ref="D43" authorId="0" shapeId="0" xr:uid="{B2C2A969-825F-4B0C-BF9B-EEB9C3DEDBF8}">
      <text>
        <r>
          <rPr>
            <sz val="10"/>
            <color indexed="81"/>
            <rFont val="Tahoma"/>
            <family val="2"/>
          </rPr>
          <t>Voluntary, e.g. life insurance premiums, medical insurance, travel insurance, etc.
Vapaaehtoiset esim. henkivakuutusmaksut, sairauskuluvakuutus, matkavakuutus yms.</t>
        </r>
      </text>
    </comment>
    <comment ref="D51" authorId="0" shapeId="0" xr:uid="{01511AAD-9125-464C-909B-168128928C46}">
      <text>
        <r>
          <rPr>
            <sz val="10"/>
            <color indexed="81"/>
            <rFont val="Tahoma"/>
            <family val="2"/>
          </rPr>
          <t>Staff meals, staff acquisition, internal meetings, gifts for staff
Henkilökunnan ruokailu, henkilöstön hankinta, sisäiset palaverit, lahjat henkilökunnalle</t>
        </r>
      </text>
    </comment>
    <comment ref="D54" authorId="0" shapeId="0" xr:uid="{2D23B3AF-AD5B-4A0A-919E-4C2779CF39D0}">
      <text>
        <r>
          <rPr>
            <sz val="10"/>
            <color indexed="81"/>
            <rFont val="Tahoma"/>
            <family val="2"/>
          </rPr>
          <t xml:space="preserve">The amount is written without VAT, if VAT can be deducted. If VAT cannot be deducted, the amount is written with tax. Rental of apartments is always tax-free and is written in section
3.23 Rents, fees, maintenance costs VAT 0%.
</t>
        </r>
        <r>
          <rPr>
            <sz val="9"/>
            <color indexed="81"/>
            <rFont val="Tahoma"/>
            <family val="2"/>
          </rPr>
          <t>Summa kirjoitetaan ilman alv:tä, jos alv voidaan vähentää. Jos alv:tä ei voida vähentää, kirjoitetaan summa verollisena. Asuntojen vuokraus on aina verotonta ja kirjoitetaan kohtaan 
3.23 Vuokrat, vastikkeet, hoitokulut alv 0 %.</t>
        </r>
      </text>
    </comment>
    <comment ref="C65" authorId="0" shapeId="0" xr:uid="{D6BD8A32-BD7A-46C2-83C1-9BA0C94784E9}">
      <text>
        <r>
          <rPr>
            <sz val="10"/>
            <color indexed="81"/>
            <rFont val="Tahoma"/>
            <family val="2"/>
          </rPr>
          <t xml:space="preserve">3.5 Work Machinery Costs, Business Use (fixed annual price)
Leasing investments VAT 0%
-&gt; 3.21 Leasing Costs, Investments VAT 0%
</t>
        </r>
        <r>
          <rPr>
            <sz val="9"/>
            <color indexed="81"/>
            <rFont val="Tahoma"/>
            <family val="2"/>
          </rPr>
          <t xml:space="preserve">Alv 0 %-koneiden leasing kulut kohtaan: 
3.21 Leasingkulut investoinnit alv 0% </t>
        </r>
      </text>
    </comment>
    <comment ref="D70" authorId="0" shapeId="0" xr:uid="{4703A84C-123D-4F69-978D-43415F12D582}">
      <text>
        <r>
          <rPr>
            <sz val="10"/>
            <color indexed="81"/>
            <rFont val="Tahoma"/>
            <family val="2"/>
          </rPr>
          <t>Residual value % of the purchase price.
Vuokra-ajan jälkeen vuokranantajalle palautuvan laitteen jäännösarvo %:ia hankintahinnasta.</t>
        </r>
      </text>
    </comment>
    <comment ref="C76" authorId="1" shapeId="0" xr:uid="{4B7D0A18-3197-4E9D-BA8E-28F71504D02E}">
      <text>
        <r>
          <rPr>
            <sz val="10"/>
            <color indexed="81"/>
            <rFont val="Tahoma"/>
            <family val="2"/>
          </rPr>
          <t xml:space="preserve">Non-business use machinery expenses under
3.20 Vehicle and machinery expenses, private use.
</t>
        </r>
        <r>
          <rPr>
            <sz val="9"/>
            <color indexed="81"/>
            <rFont val="Tahoma"/>
            <family val="2"/>
          </rPr>
          <t>Ei liikekäyttö -koneiden kulut kohtaan 
3.20 Ajoneuvo- ja konekulut, yksityiskäyttö.</t>
        </r>
      </text>
    </comment>
    <comment ref="C82" authorId="0" shapeId="0" xr:uid="{2F87E0B9-887D-431A-9420-C601B763A420}">
      <text>
        <r>
          <rPr>
            <sz val="10"/>
            <color indexed="81"/>
            <rFont val="Tahoma"/>
            <family val="2"/>
          </rPr>
          <t>Expenses for private use machines to
3.20 Vehicle and machine expenses, private use
Yksityskäyttökoneiden kulut kohtaan 
3.20 Ajoneuvo- ja konekulut, yksityiskäyttö</t>
        </r>
      </text>
    </comment>
    <comment ref="D125" authorId="0" shapeId="0" xr:uid="{7540CA01-9574-4729-AF3D-F5F2A4EC6A54}">
      <text>
        <r>
          <rPr>
            <sz val="10"/>
            <color indexed="81"/>
            <rFont val="Tahoma"/>
            <family val="2"/>
          </rPr>
          <t>Deductible expenses
Voidaan vähentää verotuksessa (ei edustuskulu)</t>
        </r>
      </text>
    </comment>
    <comment ref="D127" authorId="0" shapeId="0" xr:uid="{42163DF3-37E5-4955-B536-FED4EC36C56D}">
      <text>
        <r>
          <rPr>
            <sz val="10"/>
            <color indexed="81"/>
            <rFont val="Tahoma"/>
            <family val="2"/>
          </rPr>
          <t xml:space="preserve">Costs of machinery and equipment that are for private use (e.g. company car). VAT cannot be deducted from these costs. Place insurance and operating costs in item 3.16 Insurance.
</t>
        </r>
        <r>
          <rPr>
            <sz val="9"/>
            <color indexed="81"/>
            <rFont val="Tahoma"/>
            <family val="2"/>
          </rPr>
          <t xml:space="preserve">
Yksityiskäytössä olevien (esim. työsuhdeauto) koneiden ja laitteiden kustannukset mm. polttoaine, sähkö, huollot. Näistä kuluista ei voida vähentää arvonlisäveroa. Sijoita vakuutukset ja käyttömaksut kohtaan 3.16 Vakuutukset.</t>
        </r>
      </text>
    </comment>
    <comment ref="D129" authorId="0" shapeId="0" xr:uid="{411370BC-E268-48D8-B415-71FB3BBB672D}">
      <text>
        <r>
          <rPr>
            <sz val="10"/>
            <color indexed="81"/>
            <rFont val="Tahoma"/>
            <family val="2"/>
          </rPr>
          <t xml:space="preserve">External services that are not related to the actual business.
Subcontracting and labor rental are placed in the table:
7. T2 Profit plan -&gt; External services.
Ulkopuoliset palvelut, jotka </t>
        </r>
        <r>
          <rPr>
            <b/>
            <sz val="10"/>
            <color indexed="81"/>
            <rFont val="Tahoma"/>
            <family val="2"/>
          </rPr>
          <t>eivät liity varsinaiseen liiketoimintaan.</t>
        </r>
        <r>
          <rPr>
            <sz val="10"/>
            <color indexed="81"/>
            <rFont val="Tahoma"/>
            <family val="2"/>
          </rPr>
          <t xml:space="preserve">
Alihankinta- ja työvoiman vuokraus sijoitetaan taulukkoon:
7. T2 Tulossuunnitelma -&gt; Ulkopuoliset palvelut.</t>
        </r>
      </text>
    </comment>
    <comment ref="D130" authorId="0" shapeId="0" xr:uid="{52A5F121-3025-4DE3-879C-D0B9CF1911EE}">
      <text>
        <r>
          <rPr>
            <sz val="10"/>
            <color indexed="81"/>
            <rFont val="Tahoma"/>
            <family val="2"/>
          </rPr>
          <t xml:space="preserve">Rental of apartments is tax-free. All expenses related to renting apartments (e.g. electricity, repairs) are non-VAT deductible and include VAT.
Asuntojen vuokraus on verotonta. Asuntojen vuokraukseen liittyvät kaikki kulut (esim. sähkö, korjaus) ovat alv-vähennyskelvottomia ja sisältävät arvonlisäveron.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s>
  <commentList>
    <comment ref="A3" authorId="0" shapeId="0" xr:uid="{FD7BE3D7-8F94-4790-9277-D7667976662D}">
      <text>
        <r>
          <rPr>
            <b/>
            <sz val="11"/>
            <color indexed="81"/>
            <rFont val="Tahoma"/>
            <family val="2"/>
          </rPr>
          <t xml:space="preserve">MATERIAL USE/PURCHASES + IN BRANDS!
</t>
        </r>
        <r>
          <rPr>
            <sz val="11"/>
            <color indexed="81"/>
            <rFont val="Tahoma"/>
            <family val="2"/>
          </rPr>
          <t>Select VAT % for each product! Note the annual percentage changes on the right!
If the length of the accounting period is other than 12 months, calculate sales to match the length of the accounting period. Adjust future accounting periods to match 12-month sales.</t>
        </r>
        <r>
          <rPr>
            <b/>
            <sz val="11"/>
            <color indexed="81"/>
            <rFont val="Tahoma"/>
            <family val="2"/>
          </rPr>
          <t xml:space="preserve">
AINEKÄYTTÖ/HANKINNAT + MERKKISINÄ!</t>
        </r>
        <r>
          <rPr>
            <sz val="10"/>
            <color indexed="81"/>
            <rFont val="Tahoma"/>
            <family val="2"/>
          </rPr>
          <t xml:space="preserve">
Valitse alv-% tuotekohtaisesti! Huomaa vuosimuutosprosentit oikealla!
Jos tilikauden pituus on muu kuin 12 kk, laske myynti vastaamaan tilikauden pituutta. Korjaa tulevat tilikaudet vastaamaan 12 kk myyntiä.</t>
        </r>
      </text>
    </comment>
    <comment ref="E16" authorId="1" shapeId="0" xr:uid="{39809971-AF53-43B2-A794-E57B1265E3C0}">
      <text>
        <r>
          <rPr>
            <b/>
            <sz val="9"/>
            <color indexed="81"/>
            <rFont val="Tahoma"/>
            <family val="2"/>
          </rPr>
          <t>Percentage of the Value Added Tax (VAT)</t>
        </r>
      </text>
    </comment>
    <comment ref="E20" authorId="0" shapeId="0" xr:uid="{9458918A-03C8-466B-A789-CCD2A2FA98E3}">
      <text>
        <r>
          <rPr>
            <sz val="10"/>
            <color indexed="81"/>
            <rFont val="Tahoma"/>
            <family val="2"/>
          </rPr>
          <t xml:space="preserve">The material usage percentage refers to the share of materials, components, and purchased services in the sales price.
</t>
        </r>
        <r>
          <rPr>
            <sz val="9"/>
            <color indexed="81"/>
            <rFont val="Tahoma"/>
            <family val="2"/>
          </rPr>
          <t xml:space="preserve">
Ainekäyttö-% tarkoittaa materiaalin, osien ja ostettujen palveluiden osuutta myyntihinnasta.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 Järvinen</author>
    <author>Omistaja</author>
  </authors>
  <commentList>
    <comment ref="I45" authorId="0" shapeId="0" xr:uid="{00000000-0006-0000-0B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N45" authorId="0" shapeId="0" xr:uid="{00000000-0006-0000-0B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T45" authorId="0" shapeId="0" xr:uid="{00000000-0006-0000-0B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Z45" authorId="0" shapeId="0" xr:uid="{00000000-0006-0000-0B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F45" authorId="0" shapeId="0" xr:uid="{00000000-0006-0000-0B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L45" authorId="0" shapeId="0" xr:uid="{00000000-0006-0000-0B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B56" authorId="1" shapeId="0" xr:uid="{FAD29B87-2AEC-4E7E-8327-F3E2D8576C96}">
      <text>
        <r>
          <rPr>
            <b/>
            <sz val="9"/>
            <color indexed="81"/>
            <rFont val="Tahoma"/>
            <family val="2"/>
          </rPr>
          <t>Omistaja:</t>
        </r>
        <r>
          <rPr>
            <sz val="9"/>
            <color indexed="81"/>
            <rFont val="Tahoma"/>
            <family val="2"/>
          </rPr>
          <t xml:space="preserve">
Ilman toimitilavuokria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Ari Järvinen</author>
  </authors>
  <commentList>
    <comment ref="G16" authorId="0" shapeId="0" xr:uid="{30B7BF61-9A98-4777-BE08-F28A4D21098E}">
      <text>
        <r>
          <rPr>
            <sz val="10"/>
            <color indexed="81"/>
            <rFont val="Tahoma"/>
            <family val="2"/>
          </rPr>
          <t xml:space="preserve">From T1 INVESTMENT PLAN section 12. Owner`s investments </t>
        </r>
      </text>
    </comment>
    <comment ref="L21" authorId="0" shapeId="0" xr:uid="{139F009E-3CB3-45AF-A1FD-07E6C5AC61F4}">
      <text>
        <r>
          <rPr>
            <sz val="10"/>
            <color indexed="81"/>
            <rFont val="Tahoma"/>
            <family val="2"/>
          </rPr>
          <t xml:space="preserve">The operating result shows how much of the actual operating income is left before financial items and taxes. The operating result percentage is compared to other companies in the same industry.
</t>
        </r>
        <r>
          <rPr>
            <b/>
            <sz val="10"/>
            <color indexed="81"/>
            <rFont val="Tahoma"/>
            <family val="2"/>
          </rPr>
          <t>Guideline values:
- good over 10%
- satisfactory 5 -10%
- weak under 5%</t>
        </r>
        <r>
          <rPr>
            <sz val="10"/>
            <color indexed="81"/>
            <rFont val="Tahoma"/>
            <family val="2"/>
          </rPr>
          <t xml:space="preserve">
</t>
        </r>
        <r>
          <rPr>
            <sz val="9"/>
            <color indexed="81"/>
            <rFont val="Tahoma"/>
            <family val="2"/>
          </rPr>
          <t>Liiketulos kertoo, kuinka paljon varsinaisen liiketoiminnan tuotoista on jäljellä ennen rahoituseriä ja veroja. Liiketulosprosenttia verrataan toisiin saman toimialan yrityksiin.</t>
        </r>
        <r>
          <rPr>
            <b/>
            <sz val="9"/>
            <color indexed="81"/>
            <rFont val="Tahoma"/>
            <family val="2"/>
          </rPr>
          <t xml:space="preserve">
</t>
        </r>
        <r>
          <rPr>
            <sz val="9"/>
            <color indexed="81"/>
            <rFont val="Tahoma"/>
            <family val="2"/>
          </rPr>
          <t>Ohjearvoja: 
- hyvä yli 10 %
- tyydyttävä 5 -10 %
- heikko alle 5 %.</t>
        </r>
      </text>
    </comment>
    <comment ref="L25" authorId="0" shapeId="0" xr:uid="{68300266-4FF9-4CA7-8650-8F72C625C941}">
      <text>
        <r>
          <rPr>
            <sz val="10"/>
            <color indexed="81"/>
            <rFont val="Tahoma"/>
            <family val="2"/>
          </rPr>
          <t xml:space="preserve">Return on investment (ROI) is a performance measure used to evaluate the efficiency or profitability of an investment.
</t>
        </r>
        <r>
          <rPr>
            <sz val="9"/>
            <color indexed="81"/>
            <rFont val="Tahoma"/>
            <family val="2"/>
          </rPr>
          <t>Tuottoprosentti mittaa suhteellista kannattavuutta eli sitä tuottoa, joka on saatu yritykseen sijoitetulle, korkoa tai muuta tuottoa vaativalle pääomalle.</t>
        </r>
      </text>
    </comment>
    <comment ref="L27" authorId="0" shapeId="0" xr:uid="{19626146-59E0-44C9-BB88-28D66EBD0088}">
      <text>
        <r>
          <rPr>
            <sz val="10"/>
            <color indexed="81"/>
            <rFont val="Tahoma"/>
            <family val="2"/>
          </rPr>
          <t xml:space="preserve">The quick ratio is a financial metric that measures a company's ability to pay its short-term (current) liabilities using only its most liquid assets, or "quick assets".
</t>
        </r>
        <r>
          <rPr>
            <b/>
            <sz val="10"/>
            <color indexed="81"/>
            <rFont val="Tahoma"/>
            <family val="2"/>
          </rPr>
          <t>Guideline values:
- good above 1
- satisfactory 0.5 - 1
- poor below 0.5</t>
        </r>
        <r>
          <rPr>
            <sz val="10"/>
            <color indexed="81"/>
            <rFont val="Tahoma"/>
            <family val="2"/>
          </rPr>
          <t xml:space="preserve">
</t>
        </r>
        <r>
          <rPr>
            <sz val="9"/>
            <color indexed="81"/>
            <rFont val="Tahoma"/>
            <family val="2"/>
          </rPr>
          <t>Luku mittaa yrityksen mahdollisuutta selviytyä lyhytaikaisista veloistaan pelkällä rahoitusomaisuudellaan.</t>
        </r>
        <r>
          <rPr>
            <b/>
            <sz val="9"/>
            <color indexed="81"/>
            <rFont val="Tahoma"/>
            <family val="2"/>
          </rPr>
          <t xml:space="preserve">
</t>
        </r>
        <r>
          <rPr>
            <sz val="9"/>
            <color indexed="81"/>
            <rFont val="Tahoma"/>
            <family val="2"/>
          </rPr>
          <t>Ohjearvoja: 
- hyvä yli 1
- tyydyttävä 0,5 - 1
- heikko alle 0,5</t>
        </r>
      </text>
    </comment>
    <comment ref="G29" authorId="0" shapeId="0" xr:uid="{FAD9B483-E42A-47FB-B6A4-9DD93BC70C3C}">
      <text>
        <r>
          <rPr>
            <sz val="10"/>
            <color indexed="81"/>
            <rFont val="Tahoma"/>
            <family val="2"/>
          </rPr>
          <t>T3 Transferred from BALANCE SHEET
- Increase or decrease in financial securities
6. T3 TASEesta siirtynyt
- Rahoitusarvopapereiden lisäys tai vähennys</t>
        </r>
      </text>
    </comment>
    <comment ref="L29" authorId="0" shapeId="0" xr:uid="{F36E6A65-2375-4506-A959-9C2FB012EC99}">
      <text>
        <r>
          <rPr>
            <sz val="10"/>
            <color indexed="81"/>
            <rFont val="Tahoma"/>
            <family val="2"/>
          </rPr>
          <t xml:space="preserve">
The current ratio is a liquidity metric that measures a company's ability to pay its short-term debts (due within one year) using its short-term assets (also convertible to cash within one year)
</t>
        </r>
        <r>
          <rPr>
            <b/>
            <sz val="10"/>
            <color indexed="81"/>
            <rFont val="Tahoma"/>
            <family val="2"/>
          </rPr>
          <t>Guideline values:
- good over 2
- satisfactory 1-2
- poor under 1</t>
        </r>
        <r>
          <rPr>
            <sz val="10"/>
            <color indexed="81"/>
            <rFont val="Tahoma"/>
            <family val="2"/>
          </rPr>
          <t xml:space="preserve">
</t>
        </r>
        <r>
          <rPr>
            <sz val="9"/>
            <color indexed="81"/>
            <rFont val="Tahoma"/>
            <family val="2"/>
          </rPr>
          <t xml:space="preserve">Current ratio on likviditeettimittari, joka mittaa yrityksen kykyä maksaa lyhytaikaiset velkansa (erääntyvät vuoden kuluessa) lyhytaikaisilla varoillaan (vaihto-omaisuus + rahoitusoamisuus).
</t>
        </r>
        <r>
          <rPr>
            <b/>
            <sz val="9"/>
            <color indexed="81"/>
            <rFont val="Tahoma"/>
            <family val="2"/>
          </rPr>
          <t xml:space="preserve">
</t>
        </r>
        <r>
          <rPr>
            <sz val="9"/>
            <color indexed="81"/>
            <rFont val="Tahoma"/>
            <family val="2"/>
          </rPr>
          <t>Ohjearvoja: 
- hyvä yli 2
- tyydyttävä 1-2
- heikko alle 1</t>
        </r>
      </text>
    </comment>
    <comment ref="C31" authorId="1" shapeId="0" xr:uid="{21D6C27F-DEDA-4709-9FF1-953CC11F921D}">
      <text>
        <r>
          <rPr>
            <sz val="9"/>
            <color indexed="81"/>
            <rFont val="Tahoma"/>
            <family val="2"/>
          </rPr>
          <t xml:space="preserve"> SVOP = Reserve for invested unrestricted equity</t>
        </r>
      </text>
    </comment>
    <comment ref="L31" authorId="0" shapeId="0" xr:uid="{E6068233-FB64-43F3-9A08-30A72C5D7239}">
      <text>
        <r>
          <rPr>
            <b/>
            <sz val="10"/>
            <color indexed="81"/>
            <rFont val="Tahoma"/>
            <family val="2"/>
          </rPr>
          <t xml:space="preserve">Debt repayment period =
</t>
        </r>
        <r>
          <rPr>
            <sz val="10"/>
            <color indexed="81"/>
            <rFont val="Tahoma"/>
            <family val="2"/>
          </rPr>
          <t>Invested debt at the end of the financial year / financial result</t>
        </r>
        <r>
          <rPr>
            <b/>
            <sz val="10"/>
            <color indexed="81"/>
            <rFont val="Tahoma"/>
            <family val="2"/>
          </rPr>
          <t xml:space="preserve">
Guidelines: A figure smaller than the average repayment period of long-term loans.
</t>
        </r>
        <r>
          <rPr>
            <sz val="10"/>
            <color indexed="81"/>
            <rFont val="Tahoma"/>
            <family val="2"/>
          </rPr>
          <t>Vieraan pääoman takaisinmaksuaika =</t>
        </r>
        <r>
          <rPr>
            <b/>
            <sz val="10"/>
            <color indexed="81"/>
            <rFont val="Tahoma"/>
            <family val="2"/>
          </rPr>
          <t xml:space="preserve"> </t>
        </r>
        <r>
          <rPr>
            <sz val="10"/>
            <color indexed="81"/>
            <rFont val="Tahoma"/>
            <family val="2"/>
          </rPr>
          <t xml:space="preserve">
Sijoitettu vieras pääoma tilikauden lopussa / rahoitustulos
Ohjearvoja: Luku pienempi kuin pitkäaikaisten lainojen keskimääräinen takaisinmaksuaika.</t>
        </r>
      </text>
    </comment>
    <comment ref="L32" authorId="0" shapeId="0" xr:uid="{62249ED3-F8B6-4C58-A8B2-8C6F7AA946ED}">
      <text>
        <r>
          <rPr>
            <sz val="10"/>
            <color indexed="81"/>
            <rFont val="Tahoma"/>
            <family val="2"/>
          </rPr>
          <t xml:space="preserve">The debt service coverage ratio compares the financial adequacy of the result to the servicing of debt obligations.
</t>
        </r>
        <r>
          <rPr>
            <b/>
            <sz val="10"/>
            <color indexed="81"/>
            <rFont val="Tahoma"/>
            <family val="2"/>
          </rPr>
          <t>Guideline values:
- good above 2
- satisfactory 1 - 2
- weak below 1</t>
        </r>
        <r>
          <rPr>
            <sz val="10"/>
            <color indexed="81"/>
            <rFont val="Tahoma"/>
            <family val="2"/>
          </rPr>
          <t xml:space="preserve">
Lainojen hoitokate vertaa tuloksen rahoituksellista riittävyyttä vieraan pääoman velvoitteiden hoitamiseen.
</t>
        </r>
        <r>
          <rPr>
            <b/>
            <sz val="10"/>
            <color indexed="81"/>
            <rFont val="Tahoma"/>
            <family val="2"/>
          </rPr>
          <t xml:space="preserve">
</t>
        </r>
        <r>
          <rPr>
            <sz val="10"/>
            <color indexed="81"/>
            <rFont val="Tahoma"/>
            <family val="2"/>
          </rPr>
          <t xml:space="preserve">Ohjearvoja: 
- hyvä yli 2
- tyydyttävä 1 - 2
- heikko alle 1 </t>
        </r>
      </text>
    </comment>
    <comment ref="G35" authorId="0" shapeId="0" xr:uid="{30060CB6-81B9-41E2-80C1-C782346C5709}">
      <text>
        <r>
          <rPr>
            <sz val="10"/>
            <color indexed="81"/>
            <rFont val="Tahoma"/>
            <family val="2"/>
          </rPr>
          <t>Additional amortization with + sign.
Reduction of amortization amount with - sign.
Lisälyhennys + merkkinen.
Lyhennyserän pienentäminen - merkkinen.</t>
        </r>
      </text>
    </comment>
    <comment ref="L35" authorId="0" shapeId="0" xr:uid="{586C8692-99A9-4FBA-B62F-ABAF7C0DF74F}">
      <text>
        <r>
          <rPr>
            <sz val="10"/>
            <color indexed="81"/>
            <rFont val="Tahoma"/>
            <family val="2"/>
          </rPr>
          <t xml:space="preserve">The equity ratio measures the company's solvency, its loss tolerance and its ability to meet its commitments in the long term.
</t>
        </r>
        <r>
          <rPr>
            <b/>
            <sz val="10"/>
            <color indexed="81"/>
            <rFont val="Tahoma"/>
            <family val="2"/>
          </rPr>
          <t>Guideline values:
- good over 40 %
- satisfactory 20 -40 %
- weak under 20 %</t>
        </r>
        <r>
          <rPr>
            <sz val="10"/>
            <color indexed="81"/>
            <rFont val="Tahoma"/>
            <family val="2"/>
          </rPr>
          <t xml:space="preserve">
</t>
        </r>
        <r>
          <rPr>
            <sz val="9"/>
            <color indexed="81"/>
            <rFont val="Tahoma"/>
            <family val="2"/>
          </rPr>
          <t xml:space="preserve">Omavaraisuusaste mittaa yrityksen vakavaraisuutta, yrityksen tappionsietokykyä ja kykyä selviytyä sitoumuksistaan pitkällä aikavälillä.
</t>
        </r>
        <r>
          <rPr>
            <b/>
            <sz val="9"/>
            <color indexed="81"/>
            <rFont val="Tahoma"/>
            <family val="2"/>
          </rPr>
          <t xml:space="preserve">
</t>
        </r>
        <r>
          <rPr>
            <sz val="9"/>
            <color indexed="81"/>
            <rFont val="Tahoma"/>
            <family val="2"/>
          </rPr>
          <t>Ohjearvoja:
- hyvä yli 40 %
- tyydyttävä 20 -40 %
- heikko alle 20 %</t>
        </r>
      </text>
    </comment>
    <comment ref="L37" authorId="0" shapeId="0" xr:uid="{4C34F382-0848-4E01-8BCA-A2B331C756E8}">
      <text>
        <r>
          <rPr>
            <sz val="10"/>
            <color indexed="81"/>
            <rFont val="Tahoma"/>
            <family val="2"/>
          </rPr>
          <t xml:space="preserve">The ratio indicates how well equity covers the amount of interest-bearing debt.
</t>
        </r>
        <r>
          <rPr>
            <b/>
            <sz val="10"/>
            <color indexed="81"/>
            <rFont val="Tahoma"/>
            <family val="2"/>
          </rPr>
          <t>Guideline values:
- good below 1
- if the number is zero (empty cell) or below 0, then the company has no net debt. If the negative value is due to negative equity, the ratio is weak</t>
        </r>
        <r>
          <rPr>
            <sz val="10"/>
            <color indexed="81"/>
            <rFont val="Tahoma"/>
            <family val="2"/>
          </rPr>
          <t xml:space="preserve">
</t>
        </r>
        <r>
          <rPr>
            <sz val="9"/>
            <color indexed="81"/>
            <rFont val="Tahoma"/>
            <family val="2"/>
          </rPr>
          <t>Tunnusluku ilmoittaa, kuinka hyvin oma pääoma kattaa korollisen vieraan pääoman määrän.  
Ohjearvoja: 
- hyvä alle 1
- jos luku on nolla (tyhjä solu) tai alle 0, niin yritys on nettovelaton. Jos negatiivinen arvo johtuu negatiivisesta omasta pääomasta, on tunnusluku heikko.</t>
        </r>
      </text>
    </comment>
    <comment ref="G43" authorId="0" shapeId="0" xr:uid="{755E9A12-B359-4C8B-BFC3-FA89A2E96D19}">
      <text>
        <r>
          <rPr>
            <sz val="10"/>
            <color indexed="81"/>
            <rFont val="Tahoma"/>
            <family val="2"/>
          </rPr>
          <t xml:space="preserve">Finally, check that the figures are equal to the figures in section B.IV Cash and cash equivalents of the 6. T3 BALANCE SHEET.
Tarkista lopuksi, että luvut ovat yhtä suuret kuin luvut 6. T3 TASEen kohdassa B.IV Rahat ja pankkisaamiset.  </t>
        </r>
      </text>
    </comment>
    <comment ref="L45" authorId="0" shapeId="0" xr:uid="{29A1E918-7993-498E-8731-69DB71953172}">
      <text>
        <r>
          <rPr>
            <b/>
            <sz val="10"/>
            <color indexed="81"/>
            <rFont val="Tahoma"/>
            <family val="2"/>
          </rPr>
          <t xml:space="preserve">Private trader (own firm)
</t>
        </r>
        <r>
          <rPr>
            <sz val="10"/>
            <color indexed="81"/>
            <rFont val="Tahoma"/>
            <family val="2"/>
          </rPr>
          <t>The money in the account will be deducted from the funds.</t>
        </r>
        <r>
          <rPr>
            <b/>
            <sz val="10"/>
            <color indexed="81"/>
            <rFont val="Tahoma"/>
            <family val="2"/>
          </rPr>
          <t xml:space="preserve">
Toiminimi</t>
        </r>
        <r>
          <rPr>
            <sz val="10"/>
            <color indexed="81"/>
            <rFont val="Tahoma"/>
            <family val="2"/>
          </rPr>
          <t xml:space="preserve">
Tilillä olevat rahat vähennetään varoista.</t>
        </r>
      </text>
    </comment>
    <comment ref="L46" authorId="0" shapeId="0" xr:uid="{7A43B429-5A56-4B62-95C0-96D584045E8D}">
      <text>
        <r>
          <rPr>
            <b/>
            <sz val="10"/>
            <color indexed="81"/>
            <rFont val="Tahoma"/>
            <family val="2"/>
          </rPr>
          <t>The company's apartment used by the shareholder/partner is deducted from the assets.
Ay, Ky, Oy</t>
        </r>
        <r>
          <rPr>
            <sz val="10"/>
            <color indexed="81"/>
            <rFont val="Tahoma"/>
            <family val="2"/>
          </rPr>
          <t xml:space="preserve">
Osakkaan/yhtiömiehen käytössä oleva yrityksen asunto vähennetään varoista.</t>
        </r>
      </text>
    </comment>
    <comment ref="C48" authorId="0" shapeId="0" xr:uid="{6E97F443-84DF-49A4-8BE7-60A5EC3E6A97}">
      <text>
        <r>
          <rPr>
            <sz val="10"/>
            <color indexed="81"/>
            <rFont val="Tahoma"/>
            <family val="2"/>
          </rPr>
          <t>The figure indicates how large a proportion (%) of the turnover is tied up in inventory.</t>
        </r>
        <r>
          <rPr>
            <sz val="9"/>
            <color indexed="81"/>
            <rFont val="Tahoma"/>
            <family val="2"/>
          </rPr>
          <t xml:space="preserve">
Luku ilmoittaa, kuinka suuri osuus (%) liikevaihdosta on sidottuna varastoon.</t>
        </r>
      </text>
    </comment>
    <comment ref="G48" authorId="0" shapeId="0" xr:uid="{85D83E6B-89BC-46E2-8559-48E40D678900}">
      <text>
        <r>
          <rPr>
            <b/>
            <sz val="10"/>
            <color indexed="81"/>
            <rFont val="Tahoma"/>
            <family val="2"/>
          </rPr>
          <t xml:space="preserve">The percentage in the cell has been moved from Chart 1. T1 INVESTMENT Plan FROM CELL E40. 
The percentage changes by correcting cell E40.
Important!
</t>
        </r>
        <r>
          <rPr>
            <sz val="10"/>
            <color indexed="81"/>
            <rFont val="Tahoma"/>
            <family val="2"/>
          </rPr>
          <t xml:space="preserve">The figure defines the amount of inventory in stock. The figure varies depending on the industry. Very significant in retail and wholesale trade. 
</t>
        </r>
        <r>
          <rPr>
            <b/>
            <sz val="10"/>
            <color indexed="81"/>
            <rFont val="Tahoma"/>
            <family val="2"/>
          </rPr>
          <t xml:space="preserve">
Consideration of inventory acquisition and use in %
</t>
        </r>
        <r>
          <rPr>
            <sz val="10"/>
            <color indexed="81"/>
            <rFont val="Tahoma"/>
            <family val="2"/>
          </rPr>
          <t>Is the acquired inventory, e.g. inventory purchased in a corporate acquisition, sufficient for normal business operations? If not, the percentage must be increased to correspond to the required inventory value.</t>
        </r>
        <r>
          <rPr>
            <b/>
            <sz val="10"/>
            <color indexed="81"/>
            <rFont val="Tahoma"/>
            <family val="2"/>
          </rPr>
          <t xml:space="preserve">
What does the figure mean?
9% = inventory value equal to one month's turnover
25% = inventory value equal to 3 months' turnover
Solun prosenttiluku on siirtynyt taulukosta 1. T1 INVESTOINTISUUN. SOLUSTA E40. Prosenttiluku muuttuu korjaamalla solun E40.
</t>
        </r>
        <r>
          <rPr>
            <sz val="10"/>
            <color indexed="81"/>
            <rFont val="Tahoma"/>
            <family val="2"/>
          </rPr>
          <t xml:space="preserve">
Luvulla määritellään varastossa olevan vaihto-omaisuuden määrä. Luku vaihtelee toimialan mukaan. Vähittäis- ja tukkukaupassa erittäin merkityksellinen.
</t>
        </r>
        <r>
          <rPr>
            <b/>
            <sz val="10"/>
            <color indexed="81"/>
            <rFont val="Tahoma"/>
            <family val="2"/>
          </rPr>
          <t>Mitä luku tarkoittaa?</t>
        </r>
        <r>
          <rPr>
            <sz val="10"/>
            <color indexed="81"/>
            <rFont val="Tahoma"/>
            <family val="2"/>
          </rPr>
          <t xml:space="preserve">
9 % = vaihto-omaisuuden arvo kuukauden liikevaihdon verran
25 % =  vaihto-omaisuuden arvo 3 kk liikevaihdon verran</t>
        </r>
      </text>
    </comment>
    <comment ref="R48" authorId="0" shapeId="0" xr:uid="{B12858BB-A6D0-46D8-9CFF-E1F5DE49C787}">
      <text>
        <r>
          <rPr>
            <b/>
            <sz val="10"/>
            <color indexed="81"/>
            <rFont val="Tahoma"/>
            <family val="2"/>
          </rPr>
          <t xml:space="preserve">Limited company:
</t>
        </r>
        <r>
          <rPr>
            <sz val="10"/>
            <color indexed="81"/>
            <rFont val="Tahoma"/>
            <family val="2"/>
          </rPr>
          <t xml:space="preserve">Pre-calculated at 8 %. The figure can be changed. An unlisted company's dividend is taxed at 7.5 % up to 8 % of its net assets. It is always worth paying this dividend. The amount is calculated based on the previous year's net assets.
</t>
        </r>
        <r>
          <rPr>
            <b/>
            <sz val="10"/>
            <color indexed="81"/>
            <rFont val="Tahoma"/>
            <family val="2"/>
          </rPr>
          <t xml:space="preserve">
Private trader, general or limited partnerships
</t>
        </r>
        <r>
          <rPr>
            <sz val="10"/>
            <color indexed="81"/>
            <rFont val="Tahoma"/>
            <family val="2"/>
          </rPr>
          <t>Private withdrawal written here</t>
        </r>
        <r>
          <rPr>
            <b/>
            <sz val="10"/>
            <color indexed="81"/>
            <rFont val="Tahoma"/>
            <family val="2"/>
          </rPr>
          <t xml:space="preserve">
Osakeyhtiö:</t>
        </r>
        <r>
          <rPr>
            <sz val="10"/>
            <color indexed="81"/>
            <rFont val="Tahoma"/>
            <family val="2"/>
          </rPr>
          <t xml:space="preserve">
Laskettu valmiiksi 8 %:n mukaan. Lukua voi muuttaa. Listaamattoman Oy:n osingosta maksetaan 7,5 % veroa 8 % nettovarallisuuteen saakka. Tämä osinko kannattaa aina maksaa. Määrä lasketaan edellisen vuoden nettovarallisuuden mukaan.
</t>
        </r>
        <r>
          <rPr>
            <b/>
            <sz val="10"/>
            <color indexed="81"/>
            <rFont val="Tahoma"/>
            <family val="2"/>
          </rPr>
          <t>T:mi, Ky ja Ay:</t>
        </r>
        <r>
          <rPr>
            <sz val="10"/>
            <color indexed="81"/>
            <rFont val="Tahoma"/>
            <family val="2"/>
          </rPr>
          <t xml:space="preserve">
Yksityisotot merkitään tähän.</t>
        </r>
      </text>
    </comment>
    <comment ref="C50" authorId="0" shapeId="0" xr:uid="{D251F7BA-F8FD-4BD2-A554-5C47462DD0DB}">
      <text>
        <r>
          <rPr>
            <sz val="10"/>
            <color indexed="81"/>
            <rFont val="Tahoma"/>
            <family val="2"/>
          </rPr>
          <t>The figure shows how quickly the customer pays their bill.
Luku kertoo kuinka nopeasti asiakas maksaa laskunsa.</t>
        </r>
      </text>
    </comment>
    <comment ref="G50" authorId="2" shapeId="0" xr:uid="{33896576-794F-48AD-8CA4-8E20FF8CD24D}">
      <text>
        <r>
          <rPr>
            <sz val="10"/>
            <color indexed="81"/>
            <rFont val="Tahoma"/>
            <family val="2"/>
          </rPr>
          <t>The turnover rate is zero days if sold only for cash and approximately 3 days if sold card payments.
Kiertonopeus on käteismyynnissä nolla päivää ja korttimaksamisessa noin 3 päivää.</t>
        </r>
      </text>
    </comment>
    <comment ref="G51" authorId="0" shapeId="0" xr:uid="{1CE7973B-AF25-44DD-8185-F7EE9272C12C}">
      <text>
        <r>
          <rPr>
            <sz val="10"/>
            <color indexed="81"/>
            <rFont val="Tahoma"/>
            <family val="2"/>
          </rPr>
          <t xml:space="preserve">- tax refunds
- VAT receivables from the previous financial year
- security deposits given
- rental deposits given
- grant carried over from the previous financial year or other than investment grant
- veronpalautukset
- alv-saamiset edelliseltä tilikaudelta
- annetut vakuustalletukset
- annetut vuokravakuudet
- edell. tilikaudelta siirtynyt tai muu ELY-
  keskuksen avustus kuin investointiavustus </t>
        </r>
      </text>
    </comment>
    <comment ref="G52" authorId="0" shapeId="0" xr:uid="{0698DCAE-0FB9-4776-BE9F-149FD407256A}">
      <text>
        <r>
          <rPr>
            <b/>
            <sz val="10"/>
            <color indexed="81"/>
            <rFont val="Tahoma"/>
            <family val="2"/>
          </rPr>
          <t>Estimated 30%, payable in advance:</t>
        </r>
        <r>
          <rPr>
            <sz val="10"/>
            <color indexed="81"/>
            <rFont val="Tahoma"/>
            <family val="2"/>
          </rPr>
          <t xml:space="preserve">
- insurance and usage fees
- programs, updates and maintenance
- books and magazines, membership fees
Add to the figure other advance payments and rent receivables, etc. income balances.
Arvio 30 %, ennakkoon maksettavat:
- vakuutus- ja käyttömaksut 
- ohjelmat, päivitykset ja ylläpito
- kirjat ja lehdet, jäsenmaksut
Lisää lukuun muut menoennakot ja vuokrasaatavat tms. tulojäämät.</t>
        </r>
      </text>
    </comment>
    <comment ref="G53" authorId="0" shapeId="0" xr:uid="{EB09C5FE-1D62-4461-A807-714C412E9013}">
      <text>
        <r>
          <rPr>
            <b/>
            <sz val="10"/>
            <color indexed="81"/>
            <rFont val="Tahoma"/>
            <family val="2"/>
          </rPr>
          <t>Special arrangement for long-term, large investment projects, including in the construction industry.</t>
        </r>
        <r>
          <rPr>
            <sz val="10"/>
            <color indexed="81"/>
            <rFont val="Tahoma"/>
            <family val="2"/>
          </rPr>
          <t xml:space="preserve">
The project is invoiced at the end of the financial year according to the degree of completion. The possibility of use should be clarified with the accountant and auditor.
Erityisjärjestely pitkäaikaisessa, suuressa investointihankkeessa ja mm. rakennusalalla. Tarkoittaa hankkeen osatuloutusta tilikauden päättyessä valmistusasteen mukaan. Käyttömahdollisuus selvitettävä kirjanpitäjältä ja tilintarkastajalta.</t>
        </r>
      </text>
    </comment>
    <comment ref="C54" authorId="0" shapeId="0" xr:uid="{213230AC-B672-427F-890A-8DB36391D24A}">
      <text>
        <r>
          <rPr>
            <sz val="10"/>
            <color indexed="81"/>
            <rFont val="Tahoma"/>
            <family val="2"/>
          </rPr>
          <t>The figure shows how large a portion of the turnover has been partially recognized as revenue at the end of the financial year.
Luku kertoo kuinka suuri osuus liikevaihdosta on osatuloutettu tilikauden päättyessä.</t>
        </r>
      </text>
    </comment>
    <comment ref="C56" authorId="0" shapeId="0" xr:uid="{0B1EF8E6-8AF2-4B8B-8E9C-972C4C6A0308}">
      <text>
        <r>
          <rPr>
            <sz val="10"/>
            <color indexed="81"/>
            <rFont val="Tahoma"/>
            <family val="2"/>
          </rPr>
          <t>The number tells you how quickly you pay your bills.
Luku kertoo kuinka nopeasti maksat laskusi.</t>
        </r>
      </text>
    </comment>
    <comment ref="G56" authorId="2" shapeId="0" xr:uid="{D4F326C9-9094-4038-81F5-B1B04A7A1581}">
      <text>
        <r>
          <rPr>
            <sz val="10"/>
            <color indexed="81"/>
            <rFont val="Tahoma"/>
            <family val="2"/>
          </rPr>
          <t xml:space="preserve">The turnover rate is zero days if paid upon purchase. Is the turnover rate for accounts payable realistic?
Kiertonopeus on nolla päivää, jos maksetaan ostettaessa. Onko ostovelkojen kiertonopeus todenmukainen?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49AD9276-2BAC-48FD-94F8-1730C38B3336}">
      <text>
        <r>
          <rPr>
            <b/>
            <sz val="10"/>
            <color indexed="81"/>
            <rFont val="Tahoma"/>
            <family val="2"/>
          </rPr>
          <t xml:space="preserve">1. Add the missing figures to the yellow cells.
2. Check the depreciation percentages and the investment usage months in the "Notes" section.
3. Verify the percentage values in cells G85 and G93!
4. Add short-term financial institution loans to cells G77 – J77.
</t>
        </r>
        <r>
          <rPr>
            <sz val="9"/>
            <color indexed="81"/>
            <rFont val="Tahoma"/>
            <family val="2"/>
          </rPr>
          <t>1. LISÄÄ PUUTTUVAT LUVUT KELTASIIIN SOLUIHIN 
2. Tarkista poistoprosentit ja "Muistiinpanoja"-alueella investointien käyttökuukaudet. 
3. Tarkista solujen G85 ja G93 prosenttiluvut!
4. Lisää lyhytaikaiset rahalaitoslainat soluihin G77 -  J77.</t>
        </r>
      </text>
    </comment>
    <comment ref="G15" authorId="0" shapeId="0" xr:uid="{BF18783B-FAC6-4C73-A3F0-5159C2F67995}">
      <text>
        <r>
          <rPr>
            <sz val="10"/>
            <color indexed="81"/>
            <rFont val="Tahoma"/>
            <family val="2"/>
          </rPr>
          <t xml:space="preserve">The figure comes from table 1. T1 INVESTMENT PLAN table, item 7. Intangible assets. Grant deducted from the amount.
</t>
        </r>
        <r>
          <rPr>
            <sz val="9"/>
            <color indexed="81"/>
            <rFont val="Tahoma"/>
            <family val="2"/>
          </rPr>
          <t>1. T1 INVESTOINTISUUNNITELMA-taulukon kohdasta 7. Aineettomat hyödykkeet. Summasta vähennetty avustus.</t>
        </r>
      </text>
    </comment>
    <comment ref="H16" authorId="0" shapeId="0" xr:uid="{D5D47912-DFC3-468C-BA1B-17725FBEDA19}">
      <text>
        <r>
          <rPr>
            <b/>
            <sz val="10"/>
            <color indexed="81"/>
            <rFont val="Tahoma"/>
            <family val="2"/>
          </rPr>
          <t xml:space="preserve">Sale of Assets
</t>
        </r>
        <r>
          <rPr>
            <sz val="10"/>
            <color indexed="81"/>
            <rFont val="Tahoma"/>
            <family val="2"/>
          </rPr>
          <t>Add the sales amount to 8. T5 CASH BUDGET in section 4. No trade-in credit!</t>
        </r>
        <r>
          <rPr>
            <b/>
            <sz val="10"/>
            <color indexed="81"/>
            <rFont val="Tahoma"/>
            <family val="2"/>
          </rPr>
          <t xml:space="preserve">
</t>
        </r>
        <r>
          <rPr>
            <b/>
            <sz val="9"/>
            <color indexed="81"/>
            <rFont val="Tahoma"/>
            <family val="2"/>
          </rPr>
          <t>Omaisuuden myynti</t>
        </r>
        <r>
          <rPr>
            <sz val="9"/>
            <color indexed="81"/>
            <rFont val="Tahoma"/>
            <family val="2"/>
          </rPr>
          <t xml:space="preserve">
Lisää myyntisumma 8. T5 KASSABUDJETTIin kohtaan 
4. Ei vaihtokaupan hyvitys! </t>
        </r>
      </text>
    </comment>
    <comment ref="E17" authorId="1" shapeId="0" xr:uid="{F28F32BA-992E-4005-BEEA-356E7094CB21}">
      <text>
        <r>
          <rPr>
            <b/>
            <sz val="10"/>
            <color indexed="81"/>
            <rFont val="Tahoma"/>
            <family val="2"/>
          </rPr>
          <t xml:space="preserve">Maximum Depreciation in Taxation
</t>
        </r>
        <r>
          <rPr>
            <sz val="10"/>
            <color indexed="81"/>
            <rFont val="Tahoma"/>
            <family val="2"/>
          </rPr>
          <t>- Patents, goodwill, trademarks, etc.: 10–25%
- Renovation of rental and share-owned apartments: 10–25%</t>
        </r>
        <r>
          <rPr>
            <b/>
            <sz val="10"/>
            <color indexed="81"/>
            <rFont val="Tahoma"/>
            <family val="2"/>
          </rPr>
          <t xml:space="preserve">
Straight-Line Depreciation (Equal Annual Depreciation)
</t>
        </r>
        <r>
          <rPr>
            <sz val="10"/>
            <color indexed="81"/>
            <rFont val="Tahoma"/>
            <family val="2"/>
          </rPr>
          <t xml:space="preserve">- Enter the annual depreciation rate as 0% and write the fixed annual depreciation amount directly into the cells
</t>
        </r>
        <r>
          <rPr>
            <b/>
            <sz val="9"/>
            <color indexed="81"/>
            <rFont val="Tahoma"/>
            <family val="2"/>
          </rPr>
          <t xml:space="preserve">
Enimmäispoistot verotuksessa:
-</t>
        </r>
        <r>
          <rPr>
            <sz val="9"/>
            <color indexed="81"/>
            <rFont val="Tahoma"/>
            <family val="2"/>
          </rPr>
          <t xml:space="preserve"> patentit, liikearvo, tavaramerkki yms. 10 - 25 %
- vuokra- ja osakehuoneiston perusparannus 10 - 25 %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17" authorId="1" shapeId="0" xr:uid="{353C6B47-60CF-45A4-9F18-0F742329B304}">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0" authorId="0" shapeId="0" xr:uid="{FC62F672-1D5E-48D1-B6CB-C59B1A0CEE3B}">
      <text>
        <r>
          <rPr>
            <sz val="10"/>
            <color indexed="81"/>
            <rFont val="Tahoma"/>
            <family val="2"/>
          </rPr>
          <t>1. T1 INVESTOINTISUUNNITELMA-taulukon kohdasta
1. Maa-alueet. Summasta vähennetty avustus.</t>
        </r>
      </text>
    </comment>
    <comment ref="H21" authorId="0" shapeId="0" xr:uid="{28E62412-EBBB-4D4E-AF3E-3396650AF949}">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G23" authorId="0" shapeId="0" xr:uid="{C138A09F-7F41-4F89-9E1F-CFE1F616C17C}">
      <text>
        <r>
          <rPr>
            <sz val="10"/>
            <color indexed="81"/>
            <rFont val="Tahoma"/>
            <family val="2"/>
          </rPr>
          <t xml:space="preserve">1. T1 INVESTOINTISUUNNITELMA-taulukon kohdasta 2. ja 3. Rakennukset ja rakennelmat. Summasta vähennetty avustukset ja ALV-palautus. </t>
        </r>
      </text>
    </comment>
    <comment ref="H24" authorId="0" shapeId="0" xr:uid="{B0D15F9E-44E1-4B72-A3B9-2F859BFA7297}">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5" authorId="1" shapeId="0" xr:uid="{674A367D-1873-4C96-A648-49D0F24AA7DE}">
      <text>
        <r>
          <rPr>
            <b/>
            <sz val="10"/>
            <color indexed="81"/>
            <rFont val="Tahoma"/>
            <family val="2"/>
          </rPr>
          <t xml:space="preserve">Maximum Depreciation in Taxation
</t>
        </r>
        <r>
          <rPr>
            <sz val="10"/>
            <color indexed="81"/>
            <rFont val="Tahoma"/>
            <family val="2"/>
          </rPr>
          <t>- Production facilities, retail premises: 7%
- Residential, office, or similar premises: 4%
- Tanks, light structures: 20%</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tuotantotilat, myymälät 7 %
- asuin-, toimisto- tms. tilat 4 %
- säiliöt, kevyet rakennelmat 20 %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25" authorId="1" shapeId="0" xr:uid="{74739399-2005-4A9F-ABFD-B07849303296}">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7" authorId="0" shapeId="0" xr:uid="{E07D3E29-5755-4C77-B312-9D82BA5458D9}">
      <text>
        <r>
          <rPr>
            <sz val="10"/>
            <color indexed="81"/>
            <rFont val="Tahoma"/>
            <family val="2"/>
          </rPr>
          <t>1. T1 INVESTOINTISUUNNITELMA-taulukon kohdasta 
4. ja 5. Koneet ja kalusto. Summasta vähennetty leasingrahoitus, avustukset ja alv-palautus.</t>
        </r>
      </text>
    </comment>
    <comment ref="H28" authorId="0" shapeId="0" xr:uid="{4BE7BD1A-0E9F-4713-AB86-E546A353AC98}">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9" authorId="1" shapeId="0" xr:uid="{A2B73C9F-8141-4B8B-8FA0-F7492B88038A}">
      <text>
        <r>
          <rPr>
            <b/>
            <sz val="10"/>
            <color indexed="81"/>
            <rFont val="Tahoma"/>
            <family val="2"/>
          </rPr>
          <t xml:space="preserve">Maximum Depreciation in Taxation
</t>
        </r>
        <r>
          <rPr>
            <sz val="10"/>
            <color indexed="81"/>
            <rFont val="Tahoma"/>
            <family val="2"/>
          </rPr>
          <t>- Machinery and equipment: 25%
- Exception: Professional transport vehicles (The depreciation rate changes annually).</t>
        </r>
        <r>
          <rPr>
            <b/>
            <sz val="10"/>
            <color indexed="81"/>
            <rFont val="Tahoma"/>
            <family val="2"/>
          </rPr>
          <t xml:space="preserve">
Straight-Line Depreciation
</t>
        </r>
        <r>
          <rPr>
            <sz val="10"/>
            <color indexed="81"/>
            <rFont val="Tahoma"/>
            <family val="2"/>
          </rPr>
          <t>- 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koneet ja kalusto 25 %
- poikkeus ammattiliikenteen ajoneuvot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29" authorId="1" shapeId="0" xr:uid="{EBDB9F08-FFB4-46F5-B84D-87CA4597704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1" authorId="0" shapeId="0" xr:uid="{711046D5-6939-47D8-8947-C37150E57374}">
      <text>
        <r>
          <rPr>
            <sz val="10"/>
            <color indexed="81"/>
            <rFont val="Tahoma"/>
            <family val="2"/>
          </rPr>
          <t>1. T1 INVESTOINTISUUNNITELMA-taulukon kohdasta 6. Muut aineelliset hyödykkeet. Summasta vähennetty avustukset ja alv-palautus.</t>
        </r>
      </text>
    </comment>
    <comment ref="H32" authorId="0" shapeId="0" xr:uid="{7549868C-2A8E-43F7-9BE8-5A20B3DAF25E}">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33" authorId="1" shapeId="0" xr:uid="{B73D40A2-261B-4BD8-9EE8-F05AB70C7CBE}">
      <text>
        <r>
          <rPr>
            <b/>
            <sz val="10"/>
            <color indexed="81"/>
            <rFont val="Tahoma"/>
            <family val="2"/>
          </rPr>
          <t xml:space="preserve">Maximum Depreciation in Taxation
</t>
        </r>
        <r>
          <rPr>
            <sz val="10"/>
            <color indexed="81"/>
            <rFont val="Tahoma"/>
            <family val="2"/>
          </rPr>
          <t xml:space="preserve">- Paving costs of self-owned land: 10–25%
- Gravel extraction sites or similar: Based on actual usage (consumption-based)
</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sz val="9"/>
            <color indexed="81"/>
            <rFont val="Tahoma"/>
            <family val="2"/>
          </rPr>
          <t xml:space="preserve">
</t>
        </r>
        <r>
          <rPr>
            <b/>
            <sz val="9"/>
            <color indexed="81"/>
            <rFont val="Tahoma"/>
            <family val="2"/>
          </rPr>
          <t xml:space="preserve">
Enimmäispoistot verotuksessa</t>
        </r>
        <r>
          <rPr>
            <sz val="9"/>
            <color indexed="81"/>
            <rFont val="Tahoma"/>
            <family val="2"/>
          </rPr>
          <t xml:space="preserve">
-</t>
        </r>
        <r>
          <rPr>
            <b/>
            <i/>
            <sz val="9"/>
            <color indexed="81"/>
            <rFont val="Tahoma"/>
            <family val="2"/>
          </rPr>
          <t xml:space="preserve"> </t>
        </r>
        <r>
          <rPr>
            <b/>
            <sz val="9"/>
            <color indexed="81"/>
            <rFont val="Tahoma"/>
            <family val="2"/>
          </rPr>
          <t>itse omistetun</t>
        </r>
        <r>
          <rPr>
            <sz val="9"/>
            <color indexed="81"/>
            <rFont val="Tahoma"/>
            <family val="2"/>
          </rPr>
          <t xml:space="preserve"> tontin asfaltointimeno 10 - 25 %
- soranottopaikat tms. kulutuksen mukaan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33" authorId="1" shapeId="0" xr:uid="{F4A1E6DB-036F-47BC-A7E5-C812B308B41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5" authorId="0" shapeId="0" xr:uid="{1CB90BEB-702A-4D71-A455-24421FAF2475}">
      <text>
        <r>
          <rPr>
            <sz val="10"/>
            <color indexed="81"/>
            <rFont val="Tahoma"/>
            <family val="2"/>
          </rPr>
          <t>Luku siirtynyt 1. T1 INVESTOINTISUUNNITELMAn kohdasta 8. Sijoitukset</t>
        </r>
      </text>
    </comment>
    <comment ref="H36" authorId="0" shapeId="0" xr:uid="{368BBFBB-1214-4DAE-93D2-1B36C6DE5B8F}">
      <text>
        <r>
          <rPr>
            <sz val="10"/>
            <color indexed="81"/>
            <rFont val="Tahoma"/>
            <family val="2"/>
          </rPr>
          <t>Jos sijoituksia nostetaan/tuloutetaan, merkitään vähennys tähän soluun.</t>
        </r>
      </text>
    </comment>
    <comment ref="C40" authorId="0" shapeId="0" xr:uid="{BC786AEC-ECDE-46FC-9A04-D68D8D854036}">
      <text>
        <r>
          <rPr>
            <sz val="10"/>
            <color indexed="81"/>
            <rFont val="Tahoma"/>
            <family val="2"/>
          </rPr>
          <t xml:space="preserve">The figure indicates how large a proportion (%) of the turnover is tied up in inventory.
</t>
        </r>
        <r>
          <rPr>
            <sz val="9"/>
            <color indexed="81"/>
            <rFont val="Tahoma"/>
            <family val="2"/>
          </rPr>
          <t xml:space="preserve">
Luku ilmoittaa, kuinka suuri osuus (%) liikevaihdosta on sidottuna varastoon. 
</t>
        </r>
        <r>
          <rPr>
            <b/>
            <sz val="9"/>
            <color indexed="81"/>
            <rFont val="Tahoma"/>
            <family val="2"/>
          </rPr>
          <t xml:space="preserve">Laskukaava: </t>
        </r>
        <r>
          <rPr>
            <sz val="9"/>
            <color indexed="81"/>
            <rFont val="Tahoma"/>
            <family val="2"/>
          </rPr>
          <t xml:space="preserve">
100 * (vaihto-omaisuus/ liikevaihto (12 kk) </t>
        </r>
      </text>
    </comment>
    <comment ref="G40" authorId="0" shapeId="0" xr:uid="{A010BE43-ADB8-47F2-A0D2-280786902A73}">
      <text>
        <r>
          <rPr>
            <sz val="10"/>
            <color indexed="81"/>
            <rFont val="Tahoma"/>
            <family val="2"/>
          </rPr>
          <t xml:space="preserve">The figure moves from 5. T4 FINANCIAL PLAN table to item 28, where it can be changed.
</t>
        </r>
        <r>
          <rPr>
            <sz val="9"/>
            <color indexed="81"/>
            <rFont val="Tahoma"/>
            <family val="2"/>
          </rPr>
          <t xml:space="preserve">
Luku siirtyy 5. T4 RAHOITUSSUUNNITELMA-taulukosta kohdasta 28, jossa sitä voidaan muuttaa.</t>
        </r>
      </text>
    </comment>
    <comment ref="C43" authorId="0" shapeId="0" xr:uid="{D19712BF-3C75-43A7-99DD-B6946C6DC79F}">
      <text>
        <r>
          <rPr>
            <sz val="10"/>
            <color indexed="81"/>
            <rFont val="Tahoma"/>
            <family val="2"/>
          </rPr>
          <t>The figure indicates how quickly the customer pays their invoice.</t>
        </r>
        <r>
          <rPr>
            <sz val="9"/>
            <color indexed="81"/>
            <rFont val="Tahoma"/>
            <family val="2"/>
          </rPr>
          <t xml:space="preserve">
Luku kertoo kuinka nopeasti asiakas maksaa laskunsa.
</t>
        </r>
        <r>
          <rPr>
            <b/>
            <sz val="9"/>
            <color indexed="81"/>
            <rFont val="Tahoma"/>
            <family val="2"/>
          </rPr>
          <t xml:space="preserve">
Laskukaava</t>
        </r>
        <r>
          <rPr>
            <sz val="9"/>
            <color indexed="81"/>
            <rFont val="Tahoma"/>
            <family val="2"/>
          </rPr>
          <t>:
myyntisaatavat/liikevaihto x 365</t>
        </r>
      </text>
    </comment>
    <comment ref="G43" authorId="0" shapeId="0" xr:uid="{06847B9F-E227-468C-9896-FFC46D587344}">
      <text>
        <r>
          <rPr>
            <sz val="10"/>
            <color indexed="81"/>
            <rFont val="Tahoma"/>
            <family val="2"/>
          </rPr>
          <t xml:space="preserve">The figure moves from 5. T4 FINANCIAL PLAN table to item 29, where it can be changed.
</t>
        </r>
        <r>
          <rPr>
            <sz val="9"/>
            <color indexed="81"/>
            <rFont val="Tahoma"/>
            <family val="2"/>
          </rPr>
          <t>Luku siirtyy 5. T4 RAHOITUSSUUNNITELMA-taulukosta kohdasta 29, jossa sitä voidaan muuttaa.</t>
        </r>
      </text>
    </comment>
    <comment ref="C44" authorId="0" shapeId="0" xr:uid="{943BB392-A442-4D4B-9102-2D4C6A00D402}">
      <text>
        <r>
          <rPr>
            <sz val="10"/>
            <color indexed="81"/>
            <rFont val="Tahoma"/>
            <family val="2"/>
          </rPr>
          <t xml:space="preserve">A special arrangement for long-term, large investment projects, including in the construction industry. It means that the project is recognized at the end of the financial year according to the degree of completion. The possibility of using it should be clarified with the accountant and auditor.
</t>
        </r>
        <r>
          <rPr>
            <sz val="9"/>
            <color indexed="81"/>
            <rFont val="Tahoma"/>
            <family val="2"/>
          </rPr>
          <t xml:space="preserve">
Erityisjärjestely pitkäaikaisessa, suuressa investointihankkeessa ja mm. rakennusalalla. Tarkoittaa hankkeen osatuloutusta tilikauden päättyessä valmistusasteen mukaan. Käyttömahdollisuus selvitettävä kirjanpitäjältä ja tilintarkastajalta.</t>
        </r>
      </text>
    </comment>
    <comment ref="G45" authorId="0" shapeId="0" xr:uid="{22AB3558-0185-425E-A470-1119A6A0ED61}">
      <text>
        <r>
          <rPr>
            <sz val="10"/>
            <color indexed="81"/>
            <rFont val="Tahoma"/>
            <family val="2"/>
          </rPr>
          <t xml:space="preserve">The figure moves from 5. T4 FINANCIAL PLAN table to item 30, where it can be changed.
</t>
        </r>
        <r>
          <rPr>
            <sz val="9"/>
            <color indexed="81"/>
            <rFont val="Tahoma"/>
            <family val="2"/>
          </rPr>
          <t>Luku siirtyy 5. T4 RAHOITUSSUUNNITELMA-taulukosta kohdassa 30, jossa sitä voidaan muuttaa.</t>
        </r>
      </text>
    </comment>
    <comment ref="C46" authorId="0" shapeId="0" xr:uid="{6252A9A5-3F77-4E89-AE09-FFA61DC10FD8}">
      <text>
        <r>
          <rPr>
            <sz val="10"/>
            <color indexed="81"/>
            <rFont val="Tahoma"/>
            <family val="2"/>
          </rPr>
          <t xml:space="preserve">- tax refunds
- VAT receivables from the previous financial year
- security deposits given
- rental deposits given
- grant carried over from the previous financial year
- ELY Centres grant (other than investment grant)
- veronpalautukset
- alv-saamiset edelliseltä tilikaudelta
- annetut vakuustalletukset
- annetut vuokravakuudet
- edell. tilikaudelta siirtynyt tai muu ELY-keskuksen avustus kuin investointiavustus </t>
        </r>
      </text>
    </comment>
    <comment ref="C47" authorId="0" shapeId="0" xr:uid="{246E32BC-7CD0-4001-A81A-8DF0D628AB56}">
      <text>
        <r>
          <rPr>
            <b/>
            <sz val="10"/>
            <color indexed="81"/>
            <rFont val="Tahoma"/>
            <family val="2"/>
          </rPr>
          <t xml:space="preserve">Prepaid, estimated at 30%
</t>
        </r>
        <r>
          <rPr>
            <sz val="10"/>
            <color indexed="81"/>
            <rFont val="Tahoma"/>
            <family val="2"/>
          </rPr>
          <t>- insurance and usage fees
- programs, updates and maintenance
- books and magazines, membership fees
Add to the figure other advance payments and rent receivables, etc. income balances.</t>
        </r>
        <r>
          <rPr>
            <b/>
            <sz val="9"/>
            <color indexed="81"/>
            <rFont val="Tahoma"/>
            <family val="2"/>
          </rPr>
          <t xml:space="preserve">
Ennakkoon maksetut, arvio 30 %</t>
        </r>
        <r>
          <rPr>
            <sz val="9"/>
            <color indexed="81"/>
            <rFont val="Tahoma"/>
            <family val="2"/>
          </rPr>
          <t xml:space="preserve">
- vakuutus- ja käyttömaksut 
- ohjelmat, päivitykset ja ylläpito
- kirjat ja lehdet, jäsenmaksut
Lisää lukuun muut menoennakot ja vuokrasaatavat tms. tulojäämät.</t>
        </r>
      </text>
    </comment>
    <comment ref="G49" authorId="0" shapeId="0" xr:uid="{507B1DE6-04DD-4BA5-83D3-36E4AB7AE4C6}">
      <text>
        <r>
          <rPr>
            <sz val="10"/>
            <color indexed="81"/>
            <rFont val="Tahoma"/>
            <family val="2"/>
          </rPr>
          <t xml:space="preserve">Finally, check that the figures are equal to
5. T4 FINANCIAL PLAN item 27 Cumulative surplus/deficit.
</t>
        </r>
        <r>
          <rPr>
            <sz val="9"/>
            <color indexed="81"/>
            <rFont val="Tahoma"/>
            <family val="2"/>
          </rPr>
          <t xml:space="preserve">Tarkista lopuksi, että luvut ovat yhtä suuret kuin 
5. T4 RAHOITUSSUUNNITELMAn kohta 27 Kumulatiivinen yli-/alijäämä. </t>
        </r>
      </text>
    </comment>
    <comment ref="G59" authorId="1" shapeId="0" xr:uid="{E1B680A1-8585-407E-8A2C-D5597B17784F}">
      <text>
        <r>
          <rPr>
            <sz val="10"/>
            <color indexed="81"/>
            <rFont val="Tahoma"/>
            <family val="2"/>
          </rPr>
          <t xml:space="preserve">The figure is transferred from Table 5 in the T4 FINANCIAL PLAN, item 23: Dividend distribution/private withdrawals. Dividend withdrawal is possible within the limits of retained earnings (C.2 Retained earnings from previous financial years + C.4 Profit/Loss for the financial year)."
</t>
        </r>
        <r>
          <rPr>
            <sz val="9"/>
            <color indexed="81"/>
            <rFont val="Tahoma"/>
            <family val="2"/>
          </rPr>
          <t xml:space="preserve">Luku siirtyy 5. T4 RAHOITUSSUUNNITELMA-taulukosta kohdasta 23. Osingonjako/yksityisotot.  </t>
        </r>
        <r>
          <rPr>
            <b/>
            <sz val="9"/>
            <color indexed="81"/>
            <rFont val="Tahoma"/>
            <family val="2"/>
          </rPr>
          <t>Osingon nosto mahdollinen</t>
        </r>
        <r>
          <rPr>
            <sz val="9"/>
            <color indexed="81"/>
            <rFont val="Tahoma"/>
            <family val="2"/>
          </rPr>
          <t xml:space="preserve"> voittovarojen puitteissa (C.2 Edellisten tilikausien voitot+C.4 Tilikauden voitto/tappio)</t>
        </r>
      </text>
    </comment>
    <comment ref="H61" authorId="1" shapeId="0" xr:uid="{83AAB10D-BEBA-4A33-BE97-3B721C4D3B27}">
      <text>
        <r>
          <rPr>
            <sz val="10"/>
            <color indexed="81"/>
            <rFont val="Tahoma"/>
            <family val="2"/>
          </rPr>
          <t xml:space="preserve">The increase in the reserve for invested unrestricted equity (SVOP) is transferred here from Table 1 in the T1 INVESTMENT PLAN, item 11. The return of the SVOP investment is recorded by reducing the value in the cell.
The SVOP return is possible within the limits of retained earnings (C.2 Retained earnings from previous financial years + C.4 Profit/Loss for the financial year).
</t>
        </r>
        <r>
          <rPr>
            <sz val="9"/>
            <color indexed="81"/>
            <rFont val="Tahoma"/>
            <family val="2"/>
          </rPr>
          <t xml:space="preserve">Sijoitetun vapaan pääoman rahaston (SVOP) lisäys siirtyy tähän 1. T1 INVESTOINTISUUNN.-taulukon kohdasta 11. SVOP-sijoituksen palautus merkitään soluun lukua pienentämällä. 
</t>
        </r>
        <r>
          <rPr>
            <b/>
            <sz val="9"/>
            <color indexed="81"/>
            <rFont val="Tahoma"/>
            <family val="2"/>
          </rPr>
          <t>SVOP-palautus mahdollinen</t>
        </r>
        <r>
          <rPr>
            <sz val="9"/>
            <color indexed="81"/>
            <rFont val="Tahoma"/>
            <family val="2"/>
          </rPr>
          <t xml:space="preserve"> voittovarojen puitteissa (C.2 Edellisten tilikausien voitot + C.4 Tilikauden voitto/tappio)</t>
        </r>
      </text>
    </comment>
    <comment ref="G65" authorId="0" shapeId="0" xr:uid="{4516C4D5-B45B-4C43-BBB1-807174B4AEA9}">
      <text>
        <r>
          <rPr>
            <sz val="10"/>
            <color indexed="81"/>
            <rFont val="Tahoma"/>
            <family val="2"/>
          </rPr>
          <t>"A private trader (T:mi), general partnership (Ay), and limited partnership (Ky) may make a provision of up to 30% of paid salaries.
T:mi, Ay ja Ky voivat tehdä enintään 30 %:n varauksen maksetuista palkoista.</t>
        </r>
      </text>
    </comment>
    <comment ref="G66" authorId="0" shapeId="0" xr:uid="{D3DC4C15-51BE-40A8-8C95-F2BE245DC2C7}">
      <text>
        <r>
          <rPr>
            <sz val="10"/>
            <color indexed="81"/>
            <rFont val="Tahoma"/>
            <family val="2"/>
          </rPr>
          <t xml:space="preserve">A probable future loss, such as a credit loss, that has not yet been confirmed.
</t>
        </r>
        <r>
          <rPr>
            <sz val="9"/>
            <color indexed="81"/>
            <rFont val="Tahoma"/>
            <family val="2"/>
          </rPr>
          <t>Tuleva todennäköinen menetys, esim. luottotappio, joka ei vielä varmistunut.</t>
        </r>
      </text>
    </comment>
    <comment ref="G68" authorId="0" shapeId="0" xr:uid="{69C9EE93-42A5-4464-A225-BD798E6CCCAA}">
      <text>
        <r>
          <rPr>
            <sz val="10"/>
            <color indexed="81"/>
            <rFont val="Tahoma"/>
            <family val="2"/>
          </rPr>
          <t xml:space="preserve">A debt or part of it that becomes due for payment in a period longer than one year. The loan balance at the end of the financial year does not include the repayment due the following year, which is recorded as a short-term loan. The repayment for the following year is entered in cell G76.
Long-term loans include promissory note loans received from financial institutions, insurance companies or owners and other private financiers"**
</t>
        </r>
        <r>
          <rPr>
            <sz val="9"/>
            <color indexed="81"/>
            <rFont val="Tahoma"/>
            <family val="2"/>
          </rPr>
          <t xml:space="preserve">Velka tai sen osa, joka erääntyy maksettavaksi yhtä vuotta pidempänä aikana. Tilikauden lopun velkasaldoon ei sisälly seuraavan vuoden lyhennystä = lyhytaikainen laina. Seuraavan vuoden lyhennyserä solussa G76. 
Pitkäaikaisiin lainoihin kirjataan velkakirjalainat, jotka on saatu  
rahalaitoksilta, vakuutusyhtiöiltä tai omistajilta ja muilta yksityisiltä rahoittajilta </t>
        </r>
      </text>
    </comment>
    <comment ref="G69" authorId="0" shapeId="0" xr:uid="{08909269-3391-4572-925A-8BC5280CD4C6}">
      <text>
        <r>
          <rPr>
            <sz val="10"/>
            <color indexed="81"/>
            <rFont val="Tahoma"/>
            <family val="2"/>
          </rPr>
          <t xml:space="preserve">The increase in the capital loan is calculated from Table 1 in the T1 INVESTMENT PLAN, item 14.
The interest rate is added to Table 2 in the T7 LOANS section, row 42 'Capital loan interest
</t>
        </r>
        <r>
          <rPr>
            <sz val="9"/>
            <color indexed="81"/>
            <rFont val="Tahoma"/>
            <family val="2"/>
          </rPr>
          <t>Laskee pääomalainan lisäyksen taulukosta
1. T1 INVESTOINTISUUNNITELMA kohdasta 14. 
Lisää korkoprosentti taulukkoon 2. T7 LAINAT, rivi 42 "Pääomalainan korot".</t>
        </r>
      </text>
    </comment>
    <comment ref="G71" authorId="0" shapeId="0" xr:uid="{E361D273-F126-4042-BB8E-CD4D54EFA185}">
      <text>
        <r>
          <rPr>
            <sz val="10"/>
            <color indexed="81"/>
            <rFont val="Tahoma"/>
            <family val="2"/>
          </rPr>
          <t xml:space="preserve">The balance of a long-term account payable that is due for payment in more than one year.
</t>
        </r>
        <r>
          <rPr>
            <sz val="9"/>
            <color indexed="81"/>
            <rFont val="Tahoma"/>
            <family val="2"/>
          </rPr>
          <t>Pitkäaikainen yli vuoden päästä maksettavan ostovelan saldo.</t>
        </r>
      </text>
    </comment>
    <comment ref="G72" authorId="0" shapeId="0" xr:uid="{082B3526-3853-4718-B07E-5E77A197A229}">
      <text>
        <r>
          <rPr>
            <sz val="10"/>
            <color indexed="81"/>
            <rFont val="Tahoma"/>
            <family val="2"/>
          </rPr>
          <t xml:space="preserve">Long-term hire purchase liability excluding the repayment due within the next year
</t>
        </r>
        <r>
          <rPr>
            <sz val="9"/>
            <color indexed="81"/>
            <rFont val="Tahoma"/>
            <family val="2"/>
          </rPr>
          <t xml:space="preserve">
Pitkäaikainen osamaksuvelka ilman seuraavan vuoden lyhennystä.</t>
        </r>
      </text>
    </comment>
    <comment ref="G73" authorId="0" shapeId="0" xr:uid="{E08D9C13-8FCE-411B-BB29-AC92D0D6CDFA}">
      <text>
        <r>
          <rPr>
            <sz val="10"/>
            <color indexed="81"/>
            <rFont val="Tahoma"/>
            <family val="2"/>
          </rPr>
          <t xml:space="preserve">The total year-end balance of debts transferred from Table 2 in the T7 LOANS section, received without a promissory note from owners, employees, and other private financiers.
</t>
        </r>
        <r>
          <rPr>
            <i/>
            <sz val="10"/>
            <color indexed="81"/>
            <rFont val="Tahoma"/>
            <family val="2"/>
          </rPr>
          <t>Loans with promissory notes are recorded in Table 2 in the T7 LOANS section under 'Long-term loans'.</t>
        </r>
        <r>
          <rPr>
            <sz val="10"/>
            <color indexed="81"/>
            <rFont val="Tahoma"/>
            <family val="2"/>
          </rPr>
          <t xml:space="preserve">
</t>
        </r>
        <r>
          <rPr>
            <sz val="9"/>
            <color indexed="81"/>
            <rFont val="Tahoma"/>
            <family val="2"/>
          </rPr>
          <t xml:space="preserve">
2. T7 LAINAT-taulukosta siirtyneet ilman velkakirjaa omistajilta, työntekijöiltä ja muilta yksityisiltä saatujen velkojen yhteissaldo tilikauden lopussa. 
</t>
        </r>
        <r>
          <rPr>
            <i/>
            <sz val="9"/>
            <color indexed="81"/>
            <rFont val="Tahoma"/>
            <family val="2"/>
          </rPr>
          <t xml:space="preserve">Velkakirjalainat merkitään taulukkoon 2. T7 LAINAT kohtaan "Pitkäaikaiset lainat". </t>
        </r>
      </text>
    </comment>
    <comment ref="C74" authorId="0" shapeId="0" xr:uid="{1B783886-FD8F-47F4-B390-18A8096A8BA6}">
      <text>
        <r>
          <rPr>
            <sz val="10"/>
            <color indexed="81"/>
            <rFont val="Tahoma"/>
            <family val="2"/>
          </rPr>
          <t xml:space="preserve">A debt or part of it that becomes due for payment within one year.
</t>
        </r>
        <r>
          <rPr>
            <sz val="9"/>
            <color indexed="81"/>
            <rFont val="Tahoma"/>
            <family val="2"/>
          </rPr>
          <t>Velka tai sen osa, joka erääntyy maksettavaksi yhden vuoden aikana.</t>
        </r>
      </text>
    </comment>
    <comment ref="E76" authorId="0" shapeId="0" xr:uid="{3A1B53AB-DDD4-49A2-9384-CF5AD6549B2C}">
      <text>
        <r>
          <rPr>
            <sz val="10"/>
            <color indexed="81"/>
            <rFont val="Tahoma"/>
            <family val="2"/>
          </rPr>
          <t xml:space="preserve">Repayments of long-term loans due within one year.
</t>
        </r>
        <r>
          <rPr>
            <sz val="9"/>
            <color indexed="81"/>
            <rFont val="Tahoma"/>
            <family val="2"/>
          </rPr>
          <t>Vuoden aikana maksettavat pitkäaikaisten lainojen lyhennykset.</t>
        </r>
      </text>
    </comment>
    <comment ref="G77" authorId="0" shapeId="0" xr:uid="{2EE84E1B-7F28-44D9-8143-C13825163593}">
      <text>
        <r>
          <rPr>
            <sz val="10"/>
            <color indexed="81"/>
            <rFont val="Tahoma"/>
            <family val="2"/>
          </rPr>
          <t xml:space="preserve">The figure is transferred from Table 2 in the T7 LOANS section, row 40.
The year-end balance of short-term loans from financial institutions is entered directly into the cell (excluding repayments of long-term loans).
Changes in principal are transferred to Table 5 in the T4 FINANCIAL PLAN."
</t>
        </r>
        <r>
          <rPr>
            <sz val="9"/>
            <color indexed="81"/>
            <rFont val="Tahoma"/>
            <family val="2"/>
          </rPr>
          <t>Luku siirtyy taulukosta 2. T7 LAINAT riviltä 40. Lyhytaikaisen rahalaitoslainan saldo tilikauden lopussa merkitään suoraan soluun (ei pitkäaikaisten lainojen lyhennyserät). Pääoman muutokset siirtyvät 5. T4 RAHOITUSSUUNNITELMAan.</t>
        </r>
      </text>
    </comment>
    <comment ref="G78" authorId="0" shapeId="0" xr:uid="{D6C65DA7-4309-48C9-BE9E-AAFEF67E84D6}">
      <text>
        <r>
          <rPr>
            <sz val="10"/>
            <color indexed="81"/>
            <rFont val="Tahoma"/>
            <family val="2"/>
          </rPr>
          <t xml:space="preserve">The year-end balance of the short-term capital loan is entered directly into the cell.
The payable interest is added to Table 2 in the T7 LOANS section under 'Capital loans'.
Changes in principal are transferred to Table 5 in the T4 FINANCIAL PLAN
</t>
        </r>
        <r>
          <rPr>
            <sz val="9"/>
            <color indexed="81"/>
            <rFont val="Tahoma"/>
            <family val="2"/>
          </rPr>
          <t>Lyhytaikaisen pääomalainan saldo tilikauden lopussa merkitään suoraan soluun. Lisää maksettava korko kohtaan 2. T7 LAINAT "Pääomalainat". Pääoman muutokset siirtyvät
5. T4 RAHOITUSSUUNNITELMAan.</t>
        </r>
      </text>
    </comment>
    <comment ref="C81" authorId="0" shapeId="0" xr:uid="{623208A9-B2A0-4E0F-BF3A-B53352457BCD}">
      <text>
        <r>
          <rPr>
            <sz val="10"/>
            <color indexed="81"/>
            <rFont val="Tahoma"/>
            <family val="2"/>
          </rPr>
          <t xml:space="preserve">
The figure indicates how quickly the company pays its invoices
</t>
        </r>
        <r>
          <rPr>
            <sz val="9"/>
            <color indexed="81"/>
            <rFont val="Tahoma"/>
            <family val="2"/>
          </rPr>
          <t>Luku kertoo kuinka nopeasti yritys maksaa laskunsa.</t>
        </r>
      </text>
    </comment>
    <comment ref="G81" authorId="0" shapeId="0" xr:uid="{DA0D7F0A-8CBE-48EC-8BBA-5D642D64BC09}">
      <text>
        <r>
          <rPr>
            <sz val="10"/>
            <color indexed="81"/>
            <rFont val="Tahoma"/>
            <family val="2"/>
          </rPr>
          <t xml:space="preserve">The figure is transferred from Table 5 in the T4 FINANCIAL PLAN, item 33, where it can be modified.
</t>
        </r>
        <r>
          <rPr>
            <sz val="9"/>
            <color indexed="81"/>
            <rFont val="Tahoma"/>
            <family val="2"/>
          </rPr>
          <t>Luku siirtyy 5. T4 RAHOITUSSUUNNITELMA-taulukosta kohdasta 33, jossa sitä voidaan muuttaa.</t>
        </r>
      </text>
    </comment>
    <comment ref="G84" authorId="0" shapeId="0" xr:uid="{0A4C83B0-748F-4487-9103-24562BBD58C6}">
      <text>
        <r>
          <rPr>
            <sz val="10"/>
            <color indexed="81"/>
            <rFont val="Tahoma"/>
            <family val="2"/>
          </rPr>
          <t xml:space="preserve">At the balance sheet date, the company has a one-month withholding tax liability.
</t>
        </r>
        <r>
          <rPr>
            <sz val="9"/>
            <color indexed="81"/>
            <rFont val="Tahoma"/>
            <family val="2"/>
          </rPr>
          <t>Tilinpäätöshetkellä yrityksellä on kuukauden ennakonpidätysvelka.</t>
        </r>
      </text>
    </comment>
    <comment ref="G87" authorId="0" shapeId="0" xr:uid="{63A53B49-EC1C-44AB-9646-2A0198B7942B}">
      <text>
        <r>
          <rPr>
            <sz val="10"/>
            <color indexed="81"/>
            <rFont val="Tahoma"/>
            <family val="2"/>
          </rPr>
          <t>At the balance sheet date, the company has two months of unpaid value-added tax (VAT).
The figure is zero for companies that are exempt from VAT.
Tilinpäätöshetkellä yrityksellä on 2 kk arvonlisäverot maksamatta. Luku on nolla arvonlisäverottomille yrityksille.</t>
        </r>
      </text>
    </comment>
    <comment ref="G88" authorId="0" shapeId="0" xr:uid="{ABEB7CE3-3E60-42C4-817F-E8A30088F707}">
      <text>
        <r>
          <rPr>
            <sz val="10"/>
            <color indexed="81"/>
            <rFont val="Tahoma"/>
            <family val="2"/>
          </rPr>
          <t>Other short-term liabilities unpaid from the previous financial period at the end of the financial year, such as:
- Personnel expenses
- Liabilities to owners
- Rent received in advance
- Late payment penalties</t>
        </r>
        <r>
          <rPr>
            <sz val="9"/>
            <color indexed="81"/>
            <rFont val="Tahoma"/>
            <family val="2"/>
          </rPr>
          <t xml:space="preserve">
Edell. kaudelta maksamatta jääneet muut lyhytaikaiset velat tilikauden lopussa, esimerkiksi:
- henkilöstökulut
- velat omistajille
- ennakkoon saatu vuokra
- viivästysseuraamukset ja sakot</t>
        </r>
      </text>
    </comment>
    <comment ref="G90" authorId="0" shapeId="0" xr:uid="{D938E5BD-3359-4A15-B029-D8E3B4B77A00}">
      <text>
        <r>
          <rPr>
            <sz val="10"/>
            <color indexed="81"/>
            <rFont val="Tahoma"/>
            <family val="2"/>
          </rPr>
          <t xml:space="preserve">For example: income tax liability, accrued interest on loans.
</t>
        </r>
        <r>
          <rPr>
            <sz val="9"/>
            <color indexed="81"/>
            <rFont val="Tahoma"/>
            <family val="2"/>
          </rPr>
          <t>Esim. tuloverovelka, lainan laskennallinen korkovelka.</t>
        </r>
      </text>
    </comment>
    <comment ref="G93" authorId="1" shapeId="0" xr:uid="{216D6A56-4174-4C2A-B5B5-BF6B1EF97E74}">
      <text>
        <r>
          <rPr>
            <sz val="9"/>
            <color indexed="81"/>
            <rFont val="Tahoma"/>
            <family val="2"/>
          </rPr>
          <t xml:space="preserve">
</t>
        </r>
        <r>
          <rPr>
            <sz val="10"/>
            <color indexed="81"/>
            <rFont val="Tahoma"/>
            <family val="2"/>
          </rPr>
          <t>No pension contributions are paid on entrepreneurs’ holiday pay, but other social contributions amount to approximately 3%.
The average total social insurance contributions for private sector employers are 19,79% (year 2026)
If both types of salaries are present, estimate the weighted average.</t>
        </r>
        <r>
          <rPr>
            <sz val="9"/>
            <color indexed="81"/>
            <rFont val="Tahoma"/>
            <family val="2"/>
          </rPr>
          <t xml:space="preserve">
YEL-palkoista syntyvistä lomapalkoista ei makseta eläkemaksua, mutta muita sosiaalimaksuja noin 3 %.
Yksityissektorin työnantajan keskimääräiset sosiaalivakuutusmaksut yhteensä 19,79 % (2026).
Jos molempia palkkoja, arvioi painotettu keskiarvo.</t>
        </r>
      </text>
    </comment>
    <comment ref="C95" authorId="0" shapeId="0" xr:uid="{50821C25-4581-4637-BB0F-3837B8B9C4BB}">
      <text>
        <r>
          <rPr>
            <sz val="10"/>
            <color indexed="81"/>
            <rFont val="Tahoma"/>
            <family val="2"/>
          </rPr>
          <t xml:space="preserve">The figure indicates how much the customer pays as an advance when placing an order. For example, in construction, 10% of the order value.
</t>
        </r>
        <r>
          <rPr>
            <sz val="9"/>
            <color indexed="81"/>
            <rFont val="Tahoma"/>
            <family val="2"/>
          </rPr>
          <t xml:space="preserve">
Luku kertoo kuinka paljon asiakas maksaa ennakkomaksua tilattaessa. Esim. rakentaminen 10 % tilauksen arvosta. </t>
        </r>
      </text>
    </comment>
    <comment ref="G95" authorId="0" shapeId="0" xr:uid="{B11004E3-A6F0-409B-9F1A-BAB75B09A396}">
      <text>
        <r>
          <rPr>
            <sz val="10"/>
            <color indexed="81"/>
            <rFont val="Tahoma"/>
            <family val="2"/>
          </rPr>
          <t xml:space="preserve">The figure is transferred from Table 5 in the T4 FINANCIAL PLAN, row 58, where it can be modified.
</t>
        </r>
        <r>
          <rPr>
            <sz val="9"/>
            <color indexed="81"/>
            <rFont val="Tahoma"/>
            <family val="2"/>
          </rPr>
          <t>Luku siirtyy 5. T4 RAHOITUSSUUNNITELMA-taulukosta riviltä 58, jossa sitä voidaan muuttaa.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Yritystulkki</author>
    <author>Henri</author>
  </authors>
  <commentList>
    <comment ref="A7" authorId="0" shapeId="0" xr:uid="{EF6BF87E-4DF0-487F-A768-BA84EEDD4325}">
      <text>
        <r>
          <rPr>
            <sz val="10"/>
            <color indexed="81"/>
            <rFont val="Tahoma"/>
            <family val="2"/>
          </rPr>
          <t xml:space="preserve">Note the sign! Write the monetary amounts as whole </t>
        </r>
        <r>
          <rPr>
            <b/>
            <sz val="10"/>
            <color indexed="81"/>
            <rFont val="Tahoma"/>
            <family val="2"/>
          </rPr>
          <t>numbers (without cents)</t>
        </r>
        <r>
          <rPr>
            <sz val="10"/>
            <color indexed="81"/>
            <rFont val="Tahoma"/>
            <family val="2"/>
          </rPr>
          <t xml:space="preserve"> in the yellow cells! 
</t>
        </r>
        <r>
          <rPr>
            <b/>
            <sz val="10"/>
            <color indexed="81"/>
            <rFont val="Tahoma"/>
            <family val="2"/>
          </rPr>
          <t>Read the cell notes.</t>
        </r>
        <r>
          <rPr>
            <sz val="9"/>
            <color indexed="81"/>
            <rFont val="Tahoma"/>
            <family val="2"/>
          </rPr>
          <t xml:space="preserve">
Huomaa etumerkki! </t>
        </r>
        <r>
          <rPr>
            <b/>
            <sz val="9"/>
            <color indexed="81"/>
            <rFont val="Tahoma"/>
            <family val="2"/>
          </rPr>
          <t xml:space="preserve">KIRJOITA RAHASUMMAT ILMAN SENTTEJÄ KOKONAISLUKUINA </t>
        </r>
        <r>
          <rPr>
            <sz val="9"/>
            <color indexed="81"/>
            <rFont val="Tahoma"/>
            <family val="2"/>
          </rPr>
          <t xml:space="preserve">keltaisiin soluihin! Lue solujen muistiinpanot. </t>
        </r>
      </text>
    </comment>
    <comment ref="C12" authorId="0" shapeId="0" xr:uid="{F5D5A381-3CA7-4873-A86D-390CDCD1A087}">
      <text>
        <r>
          <rPr>
            <sz val="10"/>
            <color indexed="81"/>
            <rFont val="Tahoma"/>
            <family val="2"/>
          </rPr>
          <t xml:space="preserve">Income not from the company’s main business, e.g. rental income, employment or apprenticeship subsidies, insurance compensation, royalties, etc.
Tuotot eivät kuulu varsinaiseen liiketoimintaan, esim. vuokratuotot asunnoista, työllistämis- ja oppisopimustuet, vahinkovakuutus-korvaukset, royaltyt jne. </t>
        </r>
      </text>
    </comment>
    <comment ref="G12" authorId="0" shapeId="0" xr:uid="{11ABA06B-357F-4659-A1D2-E4B261BF59EF}">
      <text>
        <r>
          <rPr>
            <sz val="10"/>
            <color indexed="81"/>
            <rFont val="Tahoma"/>
            <family val="2"/>
          </rPr>
          <t xml:space="preserve">Other operating income can be entered directly into the cell or added to the adjacent Notes section table under “Other operating income, annual change (%).”
</t>
        </r>
        <r>
          <rPr>
            <sz val="9"/>
            <color indexed="81"/>
            <rFont val="Tahoma"/>
            <family val="2"/>
          </rPr>
          <t>Muut tuotot voidaan kirjoittaa suoraan soluun tai lisätä viereisen Muistiinpanoja-alueen taulukkoon Liiketoiminnan muut tuotot, kasvu-%.</t>
        </r>
      </text>
    </comment>
    <comment ref="C15" authorId="1" shapeId="0" xr:uid="{D778FD98-A0E6-4BC8-9CD4-AC378670BF70}">
      <text>
        <r>
          <rPr>
            <sz val="10"/>
            <color indexed="81"/>
            <rFont val="Tahoma"/>
            <family val="2"/>
          </rPr>
          <t xml:space="preserve">
Materials, supplies and goods purchased during the financial year</t>
        </r>
      </text>
    </comment>
    <comment ref="C16" authorId="0" shapeId="0" xr:uid="{8BA2A7CE-0BC3-42CE-A4C5-06FCBABD7656}">
      <text>
        <r>
          <rPr>
            <sz val="10"/>
            <color indexed="81"/>
            <rFont val="Tahoma"/>
            <family val="2"/>
          </rPr>
          <t>External purchases related to turnover, e.g. subcontracting services, temporary labour in production.
Liikevaihtoon liittyvät esim. alihankintapalvelut, tuotannon vuokratyövoima.</t>
        </r>
      </text>
    </comment>
    <comment ref="G16" authorId="0" shapeId="0" xr:uid="{0A031AEA-FDFD-44C3-A51B-AC0A2939167A}">
      <text>
        <r>
          <rPr>
            <sz val="10"/>
            <color indexed="81"/>
            <rFont val="Tahoma"/>
            <family val="2"/>
          </rPr>
          <t>Write the sign as minus!
Kirjoita etumerkki miinukseksi!</t>
        </r>
      </text>
    </comment>
    <comment ref="J16" authorId="0" shapeId="0" xr:uid="{2A947714-7582-4721-9A75-9FF6474C9E19}">
      <text>
        <r>
          <rPr>
            <sz val="10"/>
            <color indexed="81"/>
            <rFont val="Tahoma"/>
            <family val="2"/>
          </rPr>
          <t xml:space="preserve">You can adjust the share of outsourced  services by changing the percentage.
</t>
        </r>
        <r>
          <rPr>
            <sz val="9"/>
            <color indexed="81"/>
            <rFont val="Tahoma"/>
            <family val="2"/>
          </rPr>
          <t xml:space="preserve">
Voit säätää ulkopuolisten palveluiden osuutta muuttamalla prosenttia.</t>
        </r>
      </text>
    </comment>
    <comment ref="L16" authorId="0" shapeId="0" xr:uid="{DF562792-6FCC-4618-9D8B-8D3359C55A24}">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N16" authorId="0" shapeId="0" xr:uid="{13C00D08-870C-43DE-8475-1CB68CF47BDD}">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G17" authorId="0" shapeId="0" xr:uid="{89516AA6-A657-4536-96A7-9FD6B8545537}">
      <text>
        <r>
          <rPr>
            <sz val="10"/>
            <color indexed="81"/>
            <rFont val="Tahoma"/>
            <family val="2"/>
          </rPr>
          <t xml:space="preserve">Includes also the indirect costs of holiday pay!
In accounting, personnel expenses must include the accrued theoretical holiday bonuses earned by the employee, which is why the value in the cell is higher than the personnel expenses in table 3. E1 OPERATING COSTS.
</t>
        </r>
        <r>
          <rPr>
            <sz val="9"/>
            <color indexed="81"/>
            <rFont val="Tahoma"/>
            <family val="2"/>
          </rPr>
          <t>Sisältää myös lomapalkan sivukulut!
Kirjanpidossa henkilöstökuluihin on lisättävä työntekijän ansaitsemat laskennalliset lomarahat, jonka vuoksi solun luku on suurempi kuin henkilöstökulut 3. E1 KUSTANNUKSET-taulukossa.</t>
        </r>
      </text>
    </comment>
    <comment ref="G27" authorId="0" shapeId="0" xr:uid="{A6E04900-E8B2-4820-B8C6-C425EBF37086}">
      <text>
        <r>
          <rPr>
            <sz val="10"/>
            <color indexed="81"/>
            <rFont val="Tahoma"/>
            <family val="2"/>
          </rPr>
          <t xml:space="preserve">The program calculates taxes based on the tax rate below, taking into account the 50 % tax deduction for representation expenses.
In partnerships, this can be zeroed out. You can deduct previous year’s losses manually.
When selling shares or real estate, consider the capital gains tax and the deemed acquisition cost.
</t>
        </r>
        <r>
          <rPr>
            <sz val="9"/>
            <color indexed="81"/>
            <rFont val="Tahoma"/>
            <family val="2"/>
          </rPr>
          <t xml:space="preserve">
Kaava laskee verot </t>
        </r>
        <r>
          <rPr>
            <b/>
            <sz val="9"/>
            <color indexed="81"/>
            <rFont val="Tahoma"/>
            <family val="2"/>
          </rPr>
          <t xml:space="preserve">alla olevan veroprosentin </t>
        </r>
        <r>
          <rPr>
            <sz val="9"/>
            <color indexed="81"/>
            <rFont val="Tahoma"/>
            <family val="2"/>
          </rPr>
          <t xml:space="preserve">mukaan huomioiden edustusmenojen 50 %:n verovähennyksen. Henkilöyhtiöissä voidaan nollata. Edellisen vuoden tappiot voit vähentää itse.
</t>
        </r>
        <r>
          <rPr>
            <b/>
            <sz val="9"/>
            <color indexed="81"/>
            <rFont val="Tahoma"/>
            <family val="2"/>
          </rPr>
          <t>Osakkeita tai kiinteistöä myytäessä</t>
        </r>
        <r>
          <rPr>
            <sz val="9"/>
            <color indexed="81"/>
            <rFont val="Tahoma"/>
            <family val="2"/>
          </rPr>
          <t xml:space="preserve"> ota huomioon luovutusvoiton vero ja hankintameno-olettama.</t>
        </r>
      </text>
    </comment>
    <comment ref="G28" authorId="0" shapeId="0" xr:uid="{B94FEEE3-00E5-47B6-9792-E298A478DC19}">
      <text>
        <r>
          <rPr>
            <sz val="10"/>
            <color indexed="81"/>
            <rFont val="Tahoma"/>
            <family val="2"/>
          </rPr>
          <t xml:space="preserve">The corporate income tax rate for limited liability companies is 20%. If set to zero, item 20. PROFIT/LOSS FOR THE FINANCIAL YEAR equals the amount of taxable income.
</t>
        </r>
        <r>
          <rPr>
            <sz val="9"/>
            <color indexed="81"/>
            <rFont val="Tahoma"/>
            <family val="2"/>
          </rPr>
          <t>Osakeyhtiön ja osuuskunnan tulovero on 20 %. Jos nollataan, on kohta 20. TILIKAUDEN VOITTO/TAPPIO verotettavan tulon määrä.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yritysTULKKI</author>
  </authors>
  <commentList>
    <comment ref="B4" authorId="0" shapeId="0" xr:uid="{D14D6135-CD7B-424C-A261-3DE0BB8ECFF6}">
      <text>
        <r>
          <rPr>
            <b/>
            <sz val="11"/>
            <color indexed="81"/>
            <rFont val="Tahoma"/>
            <family val="2"/>
          </rPr>
          <t xml:space="preserve">The program calculates the cash budget for the first and second forecast years, but requires the following company-specific adjustments:
Important! Estimate the monthly distribution of cash and invoiced sales as percentages — i.e., what percentage of annual sales occurs in each month (the year totals 100 %).
</t>
        </r>
        <r>
          <rPr>
            <b/>
            <sz val="10"/>
            <color indexed="81"/>
            <rFont val="Tahoma"/>
            <family val="2"/>
          </rPr>
          <t xml:space="preserve">
4. Other income, non-recurring income
</t>
        </r>
        <r>
          <rPr>
            <sz val="10"/>
            <color indexed="81"/>
            <rFont val="Tahoma"/>
            <family val="2"/>
          </rPr>
          <t>– If equipment is sold, add the sales revenue to Section 4. Sales revenue.
– The sales revenue can be found in Table 1. T1 INVESTMENT PLAN, under "15. Other equity financing."</t>
        </r>
        <r>
          <rPr>
            <b/>
            <sz val="10"/>
            <color indexed="81"/>
            <rFont val="Tahoma"/>
            <family val="2"/>
          </rPr>
          <t xml:space="preserve">
6. Materials and supplies
</t>
        </r>
        <r>
          <rPr>
            <sz val="10"/>
            <color indexed="81"/>
            <rFont val="Tahoma"/>
            <family val="2"/>
          </rPr>
          <t>– Allocate purchases to the correct months.</t>
        </r>
        <r>
          <rPr>
            <b/>
            <sz val="10"/>
            <color indexed="81"/>
            <rFont val="Tahoma"/>
            <family val="2"/>
          </rPr>
          <t xml:space="preserve">
</t>
        </r>
        <r>
          <rPr>
            <b/>
            <sz val="10"/>
            <color indexed="81"/>
            <rFont val="Tahoma"/>
            <family val="2"/>
          </rPr>
          <t xml:space="preserve">
25. Acquisition of business premises shares
</t>
        </r>
        <r>
          <rPr>
            <sz val="10"/>
            <color indexed="81"/>
            <rFont val="Tahoma"/>
            <family val="2"/>
          </rPr>
          <t>– The share price can be found in Table 1. T1 INVESTMENT PLAN, under "8. Investments."</t>
        </r>
        <r>
          <rPr>
            <b/>
            <sz val="10"/>
            <color indexed="81"/>
            <rFont val="Tahoma"/>
            <family val="2"/>
          </rPr>
          <t xml:space="preserve">
30. Dividends, private withdrawals
</t>
        </r>
        <r>
          <rPr>
            <sz val="10"/>
            <color indexed="81"/>
            <rFont val="Tahoma"/>
            <family val="2"/>
          </rPr>
          <t>– For partnerships, private withdrawals by partners and dividends paid to shareholders must be recorded.</t>
        </r>
        <r>
          <rPr>
            <b/>
            <sz val="11"/>
            <color indexed="81"/>
            <rFont val="Tahoma"/>
            <family val="2"/>
          </rPr>
          <t xml:space="preserve">
</t>
        </r>
        <r>
          <rPr>
            <b/>
            <sz val="10"/>
            <color indexed="81"/>
            <rFont val="Tahoma"/>
            <family val="2"/>
          </rPr>
          <t xml:space="preserve">Cash budgets are only for 12-month financial years.
</t>
        </r>
        <r>
          <rPr>
            <sz val="10"/>
            <color indexed="81"/>
            <rFont val="Tahoma"/>
            <family val="2"/>
          </rPr>
          <t xml:space="preserve">The cash budget is a forecast, and the monthly cash balance is affected by factors such as:
– Sales
– Tax liabilities and receivables
– Salary liabilities to employees and owners
– Insurance refunds
</t>
        </r>
        <r>
          <rPr>
            <i/>
            <sz val="10"/>
            <color indexed="81"/>
            <rFont val="Tahoma"/>
            <family val="2"/>
          </rPr>
          <t xml:space="preserve">
Due to these factors, the Cash and bank receivables total in the Balance Sheet may not match the Cash balance at the end of the year in the cash budget.</t>
        </r>
      </text>
    </comment>
    <comment ref="G11" authorId="1" shapeId="0" xr:uid="{20B8CBC0-CA77-4FFF-8D93-61F7D52A503C}">
      <text>
        <r>
          <rPr>
            <sz val="10"/>
            <color indexed="81"/>
            <rFont val="Tahoma"/>
            <family val="2"/>
          </rPr>
          <t xml:space="preserve">The sum includes the following investments from table 1. T1 INVESTMENT PLAN:
- Share capital
- Investment in Unrestricted Equity Fund (SVOP)
- Capital loan
- Other equity financing
</t>
        </r>
        <r>
          <rPr>
            <sz val="9"/>
            <color indexed="81"/>
            <rFont val="Tahoma"/>
            <family val="2"/>
          </rPr>
          <t xml:space="preserve">Lukuun sisältyvät 1. T1 INVESTOINTISUUNNITELMAN summat:
Osakepääoma + sijoitus SVOP -rahastoon + pääomalaina + muu oma rahoitus </t>
        </r>
      </text>
    </comment>
    <comment ref="E13" authorId="1" shapeId="0" xr:uid="{53EDCE93-0B87-40DE-9594-7B386B54F07B}">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13" authorId="1" shapeId="0" xr:uid="{1B0E23EF-F44B-4884-88D3-1D76920D5E93}">
      <text>
        <r>
          <rPr>
            <sz val="10"/>
            <color indexed="81"/>
            <rFont val="Tahoma"/>
            <family val="2"/>
          </rPr>
          <t>If there are several different VAT rates, set a weighted average
Jos useita arvonlisäverokantoja, aseta painotettu keskiarvo</t>
        </r>
      </text>
    </comment>
    <comment ref="G14" authorId="1" shapeId="0" xr:uid="{39484F3A-F517-4AC7-9C4A-269D34702C94}">
      <text>
        <r>
          <rPr>
            <sz val="10"/>
            <color indexed="81"/>
            <rFont val="Tahoma"/>
            <family val="2"/>
          </rPr>
          <t xml:space="preserve">The percentage of monthly sales as a percentage of total cash sales for the year. 
A new business usually starts slowly. Take into account holidays and possible downtime and maintenance.
</t>
        </r>
        <r>
          <rPr>
            <sz val="9"/>
            <color indexed="81"/>
            <rFont val="Tahoma"/>
            <family val="2"/>
          </rPr>
          <t xml:space="preserve">Kuukauden myynnin %-osuutta koko vuoden käteismyynnistä. </t>
        </r>
      </text>
    </comment>
    <comment ref="F15" authorId="1" shapeId="0" xr:uid="{8C66DBCC-9B73-4E52-9F9B-142AAF27DDDB}">
      <text>
        <r>
          <rPr>
            <sz val="10"/>
            <color indexed="81"/>
            <rFont val="Tahoma"/>
            <family val="2"/>
          </rPr>
          <t>If there are several different VAT rates, set a weighted average
Jos useita arvonlisäverokantoja, aseta painotettu keskiarvo</t>
        </r>
      </text>
    </comment>
    <comment ref="G16" authorId="1" shapeId="0" xr:uid="{902BA66C-240C-41ED-A577-641726801D9E}">
      <text>
        <r>
          <rPr>
            <sz val="10"/>
            <color indexed="81"/>
            <rFont val="Tahoma"/>
            <family val="2"/>
          </rPr>
          <t xml:space="preserve">The percentage of monthly sales as a percentage of total invoiced sales for the year. 
A new business usually starts slowly. Take into account holidays and possible downtime and maintenance.
</t>
        </r>
        <r>
          <rPr>
            <sz val="9"/>
            <color indexed="81"/>
            <rFont val="Tahoma"/>
            <family val="2"/>
          </rPr>
          <t xml:space="preserve">Luku tarkoittaa kuukauden myynnin %-osuutta koko vuoden myynnistä. </t>
        </r>
      </text>
    </comment>
    <comment ref="E17" authorId="1" shapeId="0" xr:uid="{C1986338-71DB-4AE2-A55C-A2CC1B8B0CA4}">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18" authorId="0" shapeId="0" xr:uid="{F498A55D-A745-4EB2-A7F5-157F3E90325E}">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19" authorId="0" shapeId="0" xr:uid="{86D0C372-4044-4260-8F72-4B0CD875A5D9}">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19" authorId="1" shapeId="0" xr:uid="{767F5810-11FB-4D6D-A561-DB3B174CFD70}">
      <text>
        <r>
          <rPr>
            <sz val="10"/>
            <color indexed="81"/>
            <rFont val="Tahoma"/>
            <family val="2"/>
          </rPr>
          <t xml:space="preserve">The subsiden is estimated to be received in the 7th month. 
If you know the exact date, place the amount in the correct month.
Avustus arvioidaan saatavan 7. kuukautena. Jos tiedät tarkan ajankohdan sijoitus summa oikealle kuukaudelle.  </t>
        </r>
      </text>
    </comment>
    <comment ref="F23" authorId="1" shapeId="0" xr:uid="{AB8904A8-B818-4D96-B10C-A3B5669D6E65}">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3" authorId="0" shapeId="0" xr:uid="{ADC7445B-5F88-47E4-88C5-1C591B9B616A}">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23" authorId="1" shapeId="0" xr:uid="{D98CD19A-564B-4706-B799-5CBE2DA738FC}">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G24" authorId="2" shapeId="0" xr:uid="{A0748D32-45C4-4C88-A658-3A94F8576297}">
      <text>
        <r>
          <rPr>
            <sz val="9"/>
            <color indexed="81"/>
            <rFont val="Tahoma"/>
            <family val="2"/>
          </rPr>
          <t xml:space="preserve">
Accounts payable from the previous financial year, payment term (days)
</t>
        </r>
      </text>
    </comment>
    <comment ref="F25" authorId="1" shapeId="0" xr:uid="{3C475C0F-87D1-4C5D-8609-BD17E6299AD9}">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5" authorId="0" shapeId="0" xr:uid="{B03FB0B9-B632-4335-AB32-85356FE2F694}">
      <text>
        <r>
          <rPr>
            <sz val="10"/>
            <color indexed="81"/>
            <rFont val="Tahoma"/>
            <family val="2"/>
          </rPr>
          <t xml:space="preserve">Inventories from table 1.T1 INVESTMENT Plan -&gt; 10. Inventery (stock)
Note: In business-to-business transactions, the purchase of inventory is subject to VAT at 0%. If there are multiple VAT percentages, the figure is a weighted average.
</t>
        </r>
        <r>
          <rPr>
            <sz val="9"/>
            <color indexed="81"/>
            <rFont val="Tahoma"/>
            <family val="2"/>
          </rPr>
          <t>Vaihto-omaisuus siirtyy tähän taulukosta 1.T1 INVESTOINTISUUN., kohdasta 10.
Huom. Liiketoimintakaupassa varaston osto alv 0 %. Jos useita alv-prosentteja, niin luku on painotettu keskiarvo.</t>
        </r>
      </text>
    </comment>
    <comment ref="AD25" authorId="2" shapeId="0" xr:uid="{7EC438B7-2E16-4217-B731-1E352B9D13AF}">
      <text>
        <r>
          <rPr>
            <sz val="11"/>
            <color indexed="81"/>
            <rFont val="Tahoma"/>
            <family val="2"/>
          </rPr>
          <t xml:space="preserve">
 Työntajan sairausvakuutusmaksu</t>
        </r>
      </text>
    </comment>
    <comment ref="AL25" authorId="1" shapeId="0" xr:uid="{D45667F9-EDEB-4E45-89B7-FF2790221726}">
      <text>
        <r>
          <rPr>
            <b/>
            <sz val="9"/>
            <color indexed="81"/>
            <rFont val="Tahoma"/>
            <family val="2"/>
          </rPr>
          <t xml:space="preserve">TT-vakuutusmaksu  + TyEL-maksu </t>
        </r>
        <r>
          <rPr>
            <sz val="9"/>
            <color indexed="81"/>
            <rFont val="Tahoma"/>
            <family val="2"/>
          </rPr>
          <t xml:space="preserve">
</t>
        </r>
      </text>
    </comment>
    <comment ref="AE26" authorId="1" shapeId="0" xr:uid="{A7B78AB5-776E-433E-B781-3B501C6F5885}">
      <text>
        <r>
          <rPr>
            <b/>
            <sz val="9"/>
            <color indexed="81"/>
            <rFont val="Tahoma"/>
            <family val="2"/>
          </rPr>
          <t xml:space="preserve">
TT-vakuutusmaksu yrittäjällä 0 %</t>
        </r>
        <r>
          <rPr>
            <sz val="9"/>
            <color indexed="81"/>
            <rFont val="Tahoma"/>
            <family val="2"/>
          </rPr>
          <t xml:space="preserve">
</t>
        </r>
      </text>
    </comment>
    <comment ref="F28" authorId="1" shapeId="0" xr:uid="{A24FEC1F-0C8B-4C57-8571-EAACF885B765}">
      <text>
        <r>
          <rPr>
            <sz val="10"/>
            <color indexed="81"/>
            <rFont val="Tahoma"/>
            <family val="2"/>
          </rPr>
          <t xml:space="preserve">Is your landlord liable for VAT? If not, the percentage is zero.
</t>
        </r>
        <r>
          <rPr>
            <sz val="9"/>
            <color indexed="81"/>
            <rFont val="Tahoma"/>
            <family val="2"/>
          </rPr>
          <t>Onko vuokranantajasi alv-velvollinen? Jos ei, on prosenttiluku nolla.</t>
        </r>
      </text>
    </comment>
    <comment ref="G31" authorId="1" shapeId="0" xr:uid="{B8C8A64E-BB50-4F73-B9FC-3F260D84EEB2}">
      <text>
        <r>
          <rPr>
            <sz val="10"/>
            <color indexed="81"/>
            <rFont val="Tahoma"/>
            <family val="2"/>
          </rPr>
          <t xml:space="preserve">VAT is calculated on VAT purchases and sales in the month before last.
For example:
VAT for March is calculated on transactions in January.
</t>
        </r>
        <r>
          <rPr>
            <sz val="9"/>
            <color indexed="81"/>
            <rFont val="Tahoma"/>
            <family val="2"/>
          </rPr>
          <t>Arvonlisävero lasketaan viimeistä edellisen kuukauden alv-ostoista ja -myynneistä.
Esimerkiksi:
Maaliskuun alv:t lasketaan tammikuun tapahtumista.</t>
        </r>
      </text>
    </comment>
    <comment ref="U32" authorId="2" shapeId="0" xr:uid="{7D7B4982-D639-429B-8F89-866856BC4A09}">
      <text>
        <r>
          <rPr>
            <sz val="9"/>
            <color indexed="81"/>
            <rFont val="Tahoma"/>
            <family val="2"/>
          </rPr>
          <t>The target sum comes from the table 3. E1 OPERATING COSTS -&gt; 1. Salaries and fees</t>
        </r>
      </text>
    </comment>
    <comment ref="C33" authorId="2" shapeId="0" xr:uid="{6DECB463-C57E-4A7E-8ADA-A093413FC776}">
      <text>
        <r>
          <rPr>
            <sz val="9"/>
            <color indexed="81"/>
            <rFont val="Tahoma"/>
            <family val="2"/>
          </rPr>
          <t xml:space="preserve"> YEL pension contributions and accident insurance premiums 
 YEL is mandotory pension insurance for entrepreneurs</t>
        </r>
      </text>
    </comment>
    <comment ref="F33" authorId="1" shapeId="0" xr:uid="{B0888F45-7B83-4883-9419-C589DD5AD1E5}">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T35" authorId="2" shapeId="0" xr:uid="{78C34B61-740A-45EC-9EEA-47BA6CDD4C4F}">
      <text>
        <r>
          <rPr>
            <sz val="9"/>
            <color indexed="81"/>
            <rFont val="Tahoma"/>
            <family val="2"/>
          </rPr>
          <t>If the figure is negative or positive, make adjustments to the salaries in the table 5. E1 COSTS.</t>
        </r>
      </text>
    </comment>
    <comment ref="U35" authorId="2" shapeId="0" xr:uid="{21DB33C3-84DA-40D1-B35D-534019E7F55C}">
      <text>
        <r>
          <rPr>
            <sz val="9"/>
            <color indexed="81"/>
            <rFont val="Tahoma"/>
            <family val="2"/>
          </rPr>
          <t>The target sum comes from the table 3. E1 OPERATING COSTS -&gt; 1. Salaries and fees</t>
        </r>
      </text>
    </comment>
    <comment ref="F37" authorId="1" shapeId="0" xr:uid="{DCB05877-A548-4D87-85DF-0DB087D852C4}">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41" authorId="1" shapeId="0" xr:uid="{045CF9AD-2705-44AE-8F28-7D702B85C47A}">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50" authorId="1" shapeId="0" xr:uid="{365D2D75-AE6D-45A4-A2DF-AB8E8F4AF283}">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51" authorId="1" shapeId="0" xr:uid="{1EE79EDC-368E-4C51-A501-44C341E82B5B}">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52" authorId="1" shapeId="0" xr:uid="{C797F35F-5A6A-4E08-89D3-D20B4694CBF8}">
      <text>
        <r>
          <rPr>
            <sz val="10"/>
            <color indexed="81"/>
            <rFont val="Tahoma"/>
            <family val="2"/>
          </rPr>
          <t xml:space="preserve">The program calculates loan repayments in equal monthly instalments.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53" authorId="1" shapeId="0" xr:uid="{63FE10C5-3AE1-4223-BC02-8E6EE581EF8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R59" authorId="1" shapeId="0" xr:uid="{C7F07BCB-4B9D-42D7-B431-B45750E89AC0}">
      <text>
        <r>
          <rPr>
            <sz val="10"/>
            <color indexed="81"/>
            <rFont val="Tahoma"/>
            <family val="2"/>
          </rPr>
          <t xml:space="preserve">Cash balance after 12 months
Kassavarat 12 kuukauden kuluttua </t>
        </r>
      </text>
    </comment>
    <comment ref="E70" authorId="1" shapeId="0" xr:uid="{7394596C-4CB5-4D88-AB1E-84499526003A}">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70" authorId="1" shapeId="0" xr:uid="{6FECAC9A-7750-4FF5-A1D5-7CDCAC539A78}">
      <text>
        <r>
          <rPr>
            <sz val="10"/>
            <color indexed="81"/>
            <rFont val="Tahoma"/>
            <family val="2"/>
          </rPr>
          <t>If there are several different VAT rates, set a weighted average
Jos useita arvonlisäverokantoja, aseta painotettu keskiarvo</t>
        </r>
      </text>
    </comment>
    <comment ref="G71" authorId="1" shapeId="0" xr:uid="{E27CED25-682C-4ACF-8329-5D3386C262BF}">
      <text>
        <r>
          <rPr>
            <sz val="10"/>
            <color indexed="81"/>
            <rFont val="Tahoma"/>
            <family val="2"/>
          </rPr>
          <t>The percentage of monthly sales as a percentage of total cash sales for the year. If sales are the same every month, the figure is 8.3%.
Kuukauden myynnin %-osuutta koko vuoden käteismyynnistä. Jos myynti on joka kuukausi yhtä suuri, on luku 8,3 %.</t>
        </r>
      </text>
    </comment>
    <comment ref="F72" authorId="1" shapeId="0" xr:uid="{620D43D2-0407-41D9-A4D5-E274F61C49AD}">
      <text>
        <r>
          <rPr>
            <sz val="10"/>
            <color indexed="81"/>
            <rFont val="Tahoma"/>
            <family val="2"/>
          </rPr>
          <t>If there are several different VAT rates, set a weighted average
Jos useita arvonlisäverokantoja, aseta painotettu keskiarvo</t>
        </r>
      </text>
    </comment>
    <comment ref="G73" authorId="1" shapeId="0" xr:uid="{94293311-9C20-4DFB-9949-1598078AE5B4}">
      <text>
        <r>
          <rPr>
            <sz val="10"/>
            <color indexed="81"/>
            <rFont val="Tahoma"/>
            <family val="2"/>
          </rPr>
          <t xml:space="preserve">The percentage of monthly sales as a percentage of total invoiced sales for the year. 
If sales are the same every month, the figure is 8.3%.
</t>
        </r>
        <r>
          <rPr>
            <sz val="9"/>
            <color indexed="81"/>
            <rFont val="Tahoma"/>
            <family val="2"/>
          </rPr>
          <t>Luku tarkoittaa kuukauden myynnin %-osuutta koko vuoden myynnistä. 
Jos myynti on joka kuukausi yhtä suuri, on luku 8,3 %.</t>
        </r>
      </text>
    </comment>
    <comment ref="E74" authorId="1" shapeId="0" xr:uid="{6CAEB30E-7185-4993-B522-A66C80A4D5F5}">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74" authorId="1" shapeId="0" xr:uid="{ED22200E-40C5-4593-BAF6-33E19151C29F}">
      <text>
        <r>
          <rPr>
            <sz val="10"/>
            <color indexed="81"/>
            <rFont val="Tahoma"/>
            <family val="2"/>
          </rPr>
          <t xml:space="preserve">Ohjelma laskee laskutusmyynnistä saatavat kuukausitulot maksuehdon perusteella (esim. 14 päivää). </t>
        </r>
      </text>
    </comment>
    <comment ref="G75" authorId="0" shapeId="0" xr:uid="{8672F978-0FFB-4452-8C06-11871A517615}">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76" authorId="0" shapeId="0" xr:uid="{7B61CF90-67BC-4B42-B726-5ED6077252F1}">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76" authorId="1" shapeId="0" xr:uid="{D3474B64-9C43-4B81-8223-2DF554FB69CF}">
      <text>
        <r>
          <rPr>
            <sz val="10"/>
            <color indexed="81"/>
            <rFont val="Tahoma"/>
            <family val="2"/>
          </rPr>
          <t xml:space="preserve">The grant is estimated to be received in the 7th month. 
If you know the exact date, place the amount in the correct month.
Avustus arvioidaan saatavan 7. kuukautena. Jos tiedät tarkan ajankohdan sijoitus summa oikealle kuukaudelle.  </t>
        </r>
      </text>
    </comment>
    <comment ref="F80" authorId="1" shapeId="0" xr:uid="{14D22217-6404-4F21-959B-BE91177CB563}">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80" authorId="0" shapeId="0" xr:uid="{F64B7F93-F898-4C30-9BFA-B13E6646FEED}">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80" authorId="1" shapeId="0" xr:uid="{26EE608C-A91B-41F6-8AD3-5FB6E0CBC54D}">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E81" authorId="0" shapeId="0" xr:uid="{F453097D-5972-4A70-AEE5-557C59B1C462}">
      <text>
        <r>
          <rPr>
            <sz val="10"/>
            <color indexed="81"/>
            <rFont val="Tahoma"/>
            <family val="2"/>
          </rPr>
          <t xml:space="preserve">The turnover period of accounts payable is the same as
5. T4 FINANCING PLAN table cell H56. The longest payment period is 90 days.
</t>
        </r>
        <r>
          <rPr>
            <sz val="9"/>
            <color indexed="81"/>
            <rFont val="Tahoma"/>
            <family val="2"/>
          </rPr>
          <t>Ostovelkojen kiertoaika on sama kuin 5. T4 RAHOITUSSUUN.-taulukon solussa H56. Pisin maksuaika 90 pv.</t>
        </r>
      </text>
    </comment>
    <comment ref="G81" authorId="2" shapeId="0" xr:uid="{6CFE4988-F064-4A98-B7D4-4E4A194E420E}">
      <text>
        <r>
          <rPr>
            <sz val="9"/>
            <color indexed="81"/>
            <rFont val="Tahoma"/>
            <family val="2"/>
          </rPr>
          <t xml:space="preserve">
Accounts payable from the previous financial year, payment term (days)
</t>
        </r>
      </text>
    </comment>
    <comment ref="G84" authorId="1" shapeId="0" xr:uid="{4789F416-D7A4-4F32-84EA-BAB8AF67F53D}">
      <text>
        <r>
          <rPr>
            <b/>
            <sz val="10"/>
            <color indexed="81"/>
            <rFont val="Tahoma"/>
            <family val="2"/>
          </rPr>
          <t xml:space="preserve">Invest in the month of realization. Reduce investments made with leasing financing. 
</t>
        </r>
        <r>
          <rPr>
            <sz val="10"/>
            <color indexed="81"/>
            <rFont val="Tahoma"/>
            <family val="2"/>
          </rPr>
          <t>The sum of the investments comes from the table T1 Investment Plan.</t>
        </r>
        <r>
          <rPr>
            <b/>
            <sz val="10"/>
            <color indexed="81"/>
            <rFont val="Tahoma"/>
            <family val="2"/>
          </rPr>
          <t xml:space="preserve">
</t>
        </r>
        <r>
          <rPr>
            <b/>
            <sz val="9"/>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M89" authorId="1" shapeId="0" xr:uid="{644BCC15-6849-415D-A990-A25987038A32}">
      <text>
        <r>
          <rPr>
            <sz val="10"/>
            <color indexed="81"/>
            <rFont val="Tahoma"/>
            <family val="2"/>
          </rPr>
          <t>Lomapalkkojen maksukuukauden palkka on 1,5 x kuukausipalkka</t>
        </r>
      </text>
    </comment>
    <comment ref="C90" authorId="2" shapeId="0" xr:uid="{741061B0-7FCD-481B-BAE1-202D5E425B7F}">
      <text>
        <r>
          <rPr>
            <sz val="9"/>
            <color indexed="81"/>
            <rFont val="Tahoma"/>
            <family val="2"/>
          </rPr>
          <t xml:space="preserve"> YEL pension contributions and accident insurance premiums 
 YEL is mandotory pension insurance for entrepreneurs</t>
        </r>
      </text>
    </comment>
    <comment ref="F90" authorId="1" shapeId="0" xr:uid="{68F475A4-558C-416C-BE58-27FF88230439}">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M92" authorId="1" shapeId="0" xr:uid="{AE11EC70-D840-4629-9DAD-0D7369BD1E4A}">
      <text>
        <r>
          <rPr>
            <sz val="10"/>
            <color indexed="81"/>
            <rFont val="Tahoma"/>
            <family val="2"/>
          </rPr>
          <t>Lomapalkkojen maksukuukauden palkka on 1,5 x kuukausipalkka</t>
        </r>
      </text>
    </comment>
    <comment ref="F94" authorId="1" shapeId="0" xr:uid="{8179F8F7-12AC-4EA5-94C7-BBB7F732A5EE}">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98" authorId="1" shapeId="0" xr:uid="{719A978A-CACF-433B-8996-2FF9D3E1A863}">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100" authorId="1" shapeId="0" xr:uid="{137DC610-29E4-4425-9AD9-2A627C07A10F}">
      <text>
        <r>
          <rPr>
            <sz val="10"/>
            <color indexed="81"/>
            <rFont val="Tahoma"/>
            <family val="2"/>
          </rPr>
          <t>Invest in the month of realization. Reduce investments made with leasing financing.
The sum of the investments comes from the table T1 Investment  Plan.</t>
        </r>
        <r>
          <rPr>
            <b/>
            <sz val="10"/>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G107" authorId="1" shapeId="0" xr:uid="{02699311-8D37-42C0-BE88-99D3F86CC525}">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108" authorId="1" shapeId="0" xr:uid="{DF7CAF83-6974-4F1F-89C8-44B3B7ED1AEA}">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109" authorId="1" shapeId="0" xr:uid="{DAF9C553-B0A3-421D-82C0-F558BDC845BF}">
      <text>
        <r>
          <rPr>
            <sz val="10"/>
            <color indexed="81"/>
            <rFont val="Tahoma"/>
            <family val="2"/>
          </rPr>
          <t xml:space="preserve">The program calculates loan repayments in equal monthly installments.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110" authorId="1" shapeId="0" xr:uid="{8C763698-0352-4699-8CB0-EC09794A5BC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G111" authorId="1" shapeId="0" xr:uid="{177E8C9A-40A5-40CE-80F5-9F75A096D45B}">
      <text>
        <r>
          <rPr>
            <sz val="10"/>
            <color indexed="81"/>
            <rFont val="Tahoma"/>
            <family val="2"/>
          </rPr>
          <t xml:space="preserve">Owners' investments in the company for the next financial period. The sum from the T1 INVESTMENT Plan table. Invest in the correct month.
</t>
        </r>
        <r>
          <rPr>
            <sz val="9"/>
            <color indexed="81"/>
            <rFont val="Tahoma"/>
            <family val="2"/>
          </rPr>
          <t>Omistajien sijoitukset yritykseen 1. T1 INVESTOINTISUUN-taulukosta. Sijoita oikealle kuukaudelle.</t>
        </r>
      </text>
    </comment>
    <comment ref="G112" authorId="1" shapeId="0" xr:uid="{35974396-C231-4D3E-A042-252152F380EE}">
      <text>
        <r>
          <rPr>
            <sz val="10"/>
            <color indexed="81"/>
            <rFont val="Tahoma"/>
            <family val="2"/>
          </rPr>
          <t xml:space="preserve">Capital loans issued by owners for the second financial period from the T1 INVESTMENT Plan table. Invest in the correct month.
Omistajien antamat pääomalainat 1. T1 INVESTOINTISUUN-taulukon kohdasta 15. Sijoita oikealle kuukaudelle. </t>
        </r>
      </text>
    </comment>
    <comment ref="R116" authorId="1" shapeId="0" xr:uid="{5F0D1A92-030F-420A-8FB9-557D70680B6E}">
      <text>
        <r>
          <rPr>
            <sz val="10"/>
            <color indexed="81"/>
            <rFont val="Tahoma"/>
            <family val="2"/>
          </rPr>
          <t xml:space="preserve">Cash balance after 24 months
</t>
        </r>
        <r>
          <rPr>
            <sz val="9"/>
            <color indexed="81"/>
            <rFont val="Tahoma"/>
            <family val="2"/>
          </rPr>
          <t xml:space="preserve">Kassavarat 24 kuukauden kuluttua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<sst xmlns="http://schemas.openxmlformats.org/spreadsheetml/2006/main" count="2103" uniqueCount="934">
  <si>
    <t xml:space="preserve"> </t>
  </si>
  <si>
    <t xml:space="preserve">2. VUOSI </t>
  </si>
  <si>
    <t>1.</t>
  </si>
  <si>
    <t>2.</t>
  </si>
  <si>
    <t>3.</t>
  </si>
  <si>
    <t>4.</t>
  </si>
  <si>
    <t>5.</t>
  </si>
  <si>
    <t>6.</t>
  </si>
  <si>
    <t>7.</t>
  </si>
  <si>
    <t>8.</t>
  </si>
  <si>
    <t>9.</t>
  </si>
  <si>
    <t>10.</t>
  </si>
  <si>
    <t xml:space="preserve">3. VUOSI </t>
  </si>
  <si>
    <t>%</t>
  </si>
  <si>
    <t>Tot.</t>
  </si>
  <si>
    <t xml:space="preserve">1. VUOSI </t>
  </si>
  <si>
    <t>Euroa</t>
  </si>
  <si>
    <t>YHTEENSÄ</t>
  </si>
  <si>
    <t>LIIKEVAIHTO</t>
  </si>
  <si>
    <t>Liiketoiminnan muut tuotot</t>
  </si>
  <si>
    <t>Aineet, tarvikkeet ja tavarat</t>
  </si>
  <si>
    <t>Ulkopuoliset palvelut</t>
  </si>
  <si>
    <t>Liiketoiminnan muut kulut</t>
  </si>
  <si>
    <t>LIIKETOIMINNAN TUOTOT YHTEENSÄ</t>
  </si>
  <si>
    <t>KÄYTTÖKATE</t>
  </si>
  <si>
    <t>VOITTO (TAPPIO) ENNEN TILINPÄÄTÖSSIIRTOJA JA VEROJA</t>
  </si>
  <si>
    <t>Tuloverot</t>
  </si>
  <si>
    <t>+</t>
  </si>
  <si>
    <t>-</t>
  </si>
  <si>
    <t>TILIKAUDEN VOITTO/TAPPIO</t>
  </si>
  <si>
    <t>20.</t>
  </si>
  <si>
    <t xml:space="preserve">    </t>
  </si>
  <si>
    <t>Päivämäärä</t>
  </si>
  <si>
    <t xml:space="preserve"> Maa-alueet</t>
  </si>
  <si>
    <t xml:space="preserve"> Tulorahoitus</t>
  </si>
  <si>
    <t xml:space="preserve"> Käyttöpääoman lisäys</t>
  </si>
  <si>
    <t xml:space="preserve"> Pääomantarve yhteensä</t>
  </si>
  <si>
    <t xml:space="preserve"> Omistajien sijoitukset</t>
  </si>
  <si>
    <t xml:space="preserve"> Muu oma rahoitus</t>
  </si>
  <si>
    <t xml:space="preserve"> Vieras rahoitus</t>
  </si>
  <si>
    <t>Valmistevaraston lisäys/vähennys</t>
  </si>
  <si>
    <t>+/-</t>
  </si>
  <si>
    <t>Tuotot osuuksista ja muista sijoituksista</t>
  </si>
  <si>
    <t>Ennuste 2</t>
  </si>
  <si>
    <t>Ennuste 3</t>
  </si>
  <si>
    <t>HENKILÖSTÖ KESKIMÄÄRIN</t>
  </si>
  <si>
    <t>Poistoeron lisäys/vähennys</t>
  </si>
  <si>
    <t>Investoinnin aikaansaama liikevaihdon lisäys/vuosi</t>
  </si>
  <si>
    <t>Ennuste 1</t>
  </si>
  <si>
    <t xml:space="preserve">   </t>
  </si>
  <si>
    <t>Rahoitustulos</t>
  </si>
  <si>
    <t>Omistajien lisäsijoitukset</t>
  </si>
  <si>
    <t>Osingonjako ja yksityiskäyttö</t>
  </si>
  <si>
    <t>Kumulatiivinen yli-/alijäämä</t>
  </si>
  <si>
    <t>Vaihto-omaisuus</t>
  </si>
  <si>
    <t>Muut investoinnit</t>
  </si>
  <si>
    <t>Korko-%</t>
  </si>
  <si>
    <t>Lyhennys</t>
  </si>
  <si>
    <t>Korko</t>
  </si>
  <si>
    <t>UUDET LAINAT</t>
  </si>
  <si>
    <t>KAIKKI YHTEENSÄ</t>
  </si>
  <si>
    <t>Määrä</t>
  </si>
  <si>
    <t>Nosto</t>
  </si>
  <si>
    <t>PO loppu</t>
  </si>
  <si>
    <t>Uudet lainat yhteensä</t>
  </si>
  <si>
    <t>Lyhytaikaisten lainojen lisäys</t>
  </si>
  <si>
    <t>Lyhen.</t>
  </si>
  <si>
    <t>aika'</t>
  </si>
  <si>
    <t>Laina-</t>
  </si>
  <si>
    <t>PO ka.</t>
  </si>
  <si>
    <t>=</t>
  </si>
  <si>
    <t>YHT</t>
  </si>
  <si>
    <t xml:space="preserve"> pv</t>
  </si>
  <si>
    <t>Pidätys-%</t>
  </si>
  <si>
    <t>11.</t>
  </si>
  <si>
    <t>12.</t>
  </si>
  <si>
    <t>14.</t>
  </si>
  <si>
    <t>15.</t>
  </si>
  <si>
    <t>16.</t>
  </si>
  <si>
    <t>17.</t>
  </si>
  <si>
    <t>18.</t>
  </si>
  <si>
    <t>19.</t>
  </si>
  <si>
    <t>Oma rahoitus</t>
  </si>
  <si>
    <t>Raha-</t>
  </si>
  <si>
    <t>Verottaja-</t>
  </si>
  <si>
    <t>Netto-</t>
  </si>
  <si>
    <t>palkat</t>
  </si>
  <si>
    <t>edut</t>
  </si>
  <si>
    <t>tilitykset</t>
  </si>
  <si>
    <t>Yhteensä</t>
  </si>
  <si>
    <t xml:space="preserve">YEL-henkilöt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</si>
  <si>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</si>
  <si>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</si>
  <si>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</si>
  <si>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</si>
  <si>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</si>
  <si>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</si>
  <si>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</si>
  <si>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</si>
  <si>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</si>
  <si>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I</t>
  </si>
  <si>
    <t>II</t>
  </si>
  <si>
    <t>III</t>
  </si>
  <si>
    <t>Sijoitukset</t>
  </si>
  <si>
    <t xml:space="preserve">I </t>
  </si>
  <si>
    <t>Saamiset</t>
  </si>
  <si>
    <t>1. Myyntisaamiset</t>
  </si>
  <si>
    <t>Rahoitusarvopaperit</t>
  </si>
  <si>
    <t>IV</t>
  </si>
  <si>
    <t>Rahat ja pankkisaamiset</t>
  </si>
  <si>
    <t>OMA PÄÄOMA</t>
  </si>
  <si>
    <t>B.</t>
  </si>
  <si>
    <t>VAIHTUVAT VASTAAVAT</t>
  </si>
  <si>
    <t>A.</t>
  </si>
  <si>
    <t>PYSYVÄT VASTAAVAT</t>
  </si>
  <si>
    <t>TILINPÄÄTÖSSIIRTOJEN KERTYMÄ</t>
  </si>
  <si>
    <t xml:space="preserve">C. </t>
  </si>
  <si>
    <t>PAKOLLISET VARAUKSET</t>
  </si>
  <si>
    <t xml:space="preserve">D. </t>
  </si>
  <si>
    <t>1. Lainat rahoituslaitoksilta</t>
  </si>
  <si>
    <t>Ensimmäinen kausi</t>
  </si>
  <si>
    <t>Viimeinen kausi</t>
  </si>
  <si>
    <t>Uudet osamaksuvelat 1</t>
  </si>
  <si>
    <t>Uudet osamaksuvelat 2</t>
  </si>
  <si>
    <t>Uudet osamaksuvelat 3</t>
  </si>
  <si>
    <t>Osamaksuvelkojen lisäys</t>
  </si>
  <si>
    <t>PITKÄAIKAINEN VIERAS PÄÄOMA</t>
  </si>
  <si>
    <t>E.</t>
  </si>
  <si>
    <t>LYHYTAIKAINEN VIERAS PÄÄOMA</t>
  </si>
  <si>
    <t>3. Ostovelat</t>
  </si>
  <si>
    <t>4. Muut pitkäaikaiset velat</t>
  </si>
  <si>
    <t>2. Pääomalainat</t>
  </si>
  <si>
    <t>4. Muut lyhytaikaiset velat</t>
  </si>
  <si>
    <t>5. Siirtovelat</t>
  </si>
  <si>
    <t>VASTAAVAA YHTEENSÄ</t>
  </si>
  <si>
    <t xml:space="preserve"> Aineettomat hyödykkeet</t>
  </si>
  <si>
    <t xml:space="preserve"> - arvon avustuksen jälkeen alv 0</t>
  </si>
  <si>
    <t xml:space="preserve"> Muut aineelliset hyödykkeet</t>
  </si>
  <si>
    <t>2. Osatuloutuksen saamiset</t>
  </si>
  <si>
    <t>6. Saadut ennakot</t>
  </si>
  <si>
    <t xml:space="preserve">Aineettomat hyödykkeet </t>
  </si>
  <si>
    <t xml:space="preserve">Aineelliset hyödykkeet </t>
  </si>
  <si>
    <t xml:space="preserve">2. Rakennukset ja rakennelmat </t>
  </si>
  <si>
    <t xml:space="preserve">3. Koneet ja kalusto </t>
  </si>
  <si>
    <t xml:space="preserve">4. Muut aineelliset hyödykkeet </t>
  </si>
  <si>
    <t>Osamaksuvelat yhteensä</t>
  </si>
  <si>
    <t>Ennuste 4</t>
  </si>
  <si>
    <t>VANHAT LAINAT</t>
  </si>
  <si>
    <t>VASTATTAVAA YHTEENSÄ</t>
  </si>
  <si>
    <t xml:space="preserve"> +/-</t>
  </si>
  <si>
    <t>1. Osakepääoma tms.</t>
  </si>
  <si>
    <t>2. Edellisten tilikausien voitot</t>
  </si>
  <si>
    <t xml:space="preserve">1. Maa- ja vesialueet </t>
  </si>
  <si>
    <t xml:space="preserve"> -/+</t>
  </si>
  <si>
    <t>Ennuste 5</t>
  </si>
  <si>
    <t>Uudet osamaksuvelat 4</t>
  </si>
  <si>
    <t xml:space="preserve"> Nettovarallisuus</t>
  </si>
  <si>
    <t xml:space="preserve"> Varat</t>
  </si>
  <si>
    <t>4. VUOSI</t>
  </si>
  <si>
    <t>TUNNUSLUKUJA TALOUDESTA</t>
  </si>
  <si>
    <t xml:space="preserve"> Liikevaihto</t>
  </si>
  <si>
    <t>LIIKETOIMINNAN LAAJUUS</t>
  </si>
  <si>
    <t>LIIKETOIMINNAN KANNATTAVUUS</t>
  </si>
  <si>
    <t xml:space="preserve"> Sijoitettu pääoma</t>
  </si>
  <si>
    <t xml:space="preserve"> Käyttökate-%</t>
  </si>
  <si>
    <t xml:space="preserve"> Tilikauden voitto-%</t>
  </si>
  <si>
    <t>MAKSUVALMIUS</t>
  </si>
  <si>
    <t xml:space="preserve"> Quick ratio</t>
  </si>
  <si>
    <t xml:space="preserve"> Current ratio</t>
  </si>
  <si>
    <t xml:space="preserve"> Omavaraisuusaste</t>
  </si>
  <si>
    <t>3. Osingonjako, yksityisotot</t>
  </si>
  <si>
    <t>3. Muut saamiset</t>
  </si>
  <si>
    <t>4. Siirtosaamiset</t>
  </si>
  <si>
    <t>Lyhytaik.</t>
  </si>
  <si>
    <t>Pitkäaik.</t>
  </si>
  <si>
    <t>kaudella</t>
  </si>
  <si>
    <t>OSAMAKSUVELAT TASEESSA KO. VUONNA</t>
  </si>
  <si>
    <t xml:space="preserve"> Lainojen hoitokate</t>
  </si>
  <si>
    <t>NETTOVARALLISUUSLASKELMA</t>
  </si>
  <si>
    <t>Arvonlisäverovähennys</t>
  </si>
  <si>
    <t xml:space="preserve">Avustukset (kohtiin 1 - 7) </t>
  </si>
  <si>
    <t>Rahoitus yhteensä</t>
  </si>
  <si>
    <t xml:space="preserve"> Muut kiinteät kulut sis. arvonlisäveron</t>
  </si>
  <si>
    <t>Arvosana</t>
  </si>
  <si>
    <t>Lainojen toimitusmaksut, pankkitakausmaksut</t>
  </si>
  <si>
    <t>F.</t>
  </si>
  <si>
    <t>G.</t>
  </si>
  <si>
    <t>4. Tilikauden voitto/tappio</t>
  </si>
  <si>
    <t xml:space="preserve">  </t>
  </si>
  <si>
    <t>aika</t>
  </si>
  <si>
    <t>Laina-määrä</t>
  </si>
  <si>
    <t>ALV-%</t>
  </si>
  <si>
    <t xml:space="preserve"> - Alv:n osuus</t>
  </si>
  <si>
    <t>MYYNTIEN ALV YHTEENSÄ</t>
  </si>
  <si>
    <t>OSTOJEN ALV:N MÄÄRÄ</t>
  </si>
  <si>
    <t>ALV-TILITYS KOHDEKUUKAUDELTÄ</t>
  </si>
  <si>
    <t>5. Sijoitetun vapaan pääoman rahasto</t>
  </si>
  <si>
    <t xml:space="preserve"> Pääomalaina</t>
  </si>
  <si>
    <t>Maksuehto</t>
  </si>
  <si>
    <t>Myyntisaamiset edel. Tilik</t>
  </si>
  <si>
    <t>&lt;31 pv</t>
  </si>
  <si>
    <t>Maksuehto  &lt; 30 pv</t>
  </si>
  <si>
    <t>31 - 60 pv</t>
  </si>
  <si>
    <t>Maksuehto 31 - 60 pv</t>
  </si>
  <si>
    <t>61 - 90 pv</t>
  </si>
  <si>
    <t>Maksuehto 61 - 90 pv</t>
  </si>
  <si>
    <t>91 - 120 pv</t>
  </si>
  <si>
    <t>Maksuehto 91 - 120 pv</t>
  </si>
  <si>
    <t>121 - 150 pv</t>
  </si>
  <si>
    <t>Maksuehto 121 - 150 pv</t>
  </si>
  <si>
    <t>150  - 180 pv</t>
  </si>
  <si>
    <t>Maksuehto 151 - 180 pv</t>
  </si>
  <si>
    <t>Kassaan 1. kk</t>
  </si>
  <si>
    <t>Kassaan 2. kk</t>
  </si>
  <si>
    <t>Kassaan 3. kk</t>
  </si>
  <si>
    <t>Kassaan 4. kk</t>
  </si>
  <si>
    <t>Kassaan 5. kk</t>
  </si>
  <si>
    <t>Kassaan 6. kk</t>
  </si>
  <si>
    <t>Kassaan 7. kk</t>
  </si>
  <si>
    <t>Maksut tilille myynneistä</t>
  </si>
  <si>
    <t>Kassaa 1. kk + myyntisaatavat</t>
  </si>
  <si>
    <t>Maksut yhteensä</t>
  </si>
  <si>
    <t xml:space="preserve"> Sijoitus SVOP-rahastoon</t>
  </si>
  <si>
    <t>Enn. 1</t>
  </si>
  <si>
    <t>Enn. 2</t>
  </si>
  <si>
    <t>Enn. 3</t>
  </si>
  <si>
    <t>Enn. 4</t>
  </si>
  <si>
    <t>Yht.</t>
  </si>
  <si>
    <t xml:space="preserve"> Osakepääoman korotus</t>
  </si>
  <si>
    <t xml:space="preserve">  T2 TULOSSUUNNITELMA</t>
  </si>
  <si>
    <t>1000 €</t>
  </si>
  <si>
    <t>Tilikauden pituus (kuukautta)</t>
  </si>
  <si>
    <t>Valmistus omaan käyttöön</t>
  </si>
  <si>
    <t>Henkilöstökulut</t>
  </si>
  <si>
    <t>Suunnitelman mukaiset poistot</t>
  </si>
  <si>
    <t>LIIKETULOS</t>
  </si>
  <si>
    <t>13.</t>
  </si>
  <si>
    <t>I.</t>
  </si>
  <si>
    <t>II.</t>
  </si>
  <si>
    <t>III.</t>
  </si>
  <si>
    <t>I .</t>
  </si>
  <si>
    <t>IV.</t>
  </si>
  <si>
    <t xml:space="preserve"> RAHAN LÄHTEET</t>
  </si>
  <si>
    <t xml:space="preserve">ELYn avustus, pääomalainojen ja SVOP:n lisäys, sijoitusten tuloutus     </t>
  </si>
  <si>
    <t xml:space="preserve"> RAHAN KÄYTTÖ</t>
  </si>
  <si>
    <t>Investoinnit</t>
  </si>
  <si>
    <t xml:space="preserve"> Vieraan po:n takaisinmaksuaika (vuotta)</t>
  </si>
  <si>
    <t>Verotusperusteisten varausten lisäys/vähennys</t>
  </si>
  <si>
    <t>Korko- ja rahoitustuotot</t>
  </si>
  <si>
    <t>Korko- ja rahoituskulut</t>
  </si>
  <si>
    <t xml:space="preserve"> Sijoitetun pääoman tuotto-%</t>
  </si>
  <si>
    <t xml:space="preserve"> Velat </t>
  </si>
  <si>
    <t>12</t>
  </si>
  <si>
    <t xml:space="preserve">               </t>
  </si>
  <si>
    <t>21.</t>
  </si>
  <si>
    <t>22.</t>
  </si>
  <si>
    <t>Taseen loppusumma</t>
  </si>
  <si>
    <t>Vähennetään leasingrahoitus T1:stä</t>
  </si>
  <si>
    <t xml:space="preserve"> - Poistettava kalusto sis. alv</t>
  </si>
  <si>
    <t>23.</t>
  </si>
  <si>
    <t xml:space="preserve"> - Poistettava kalusto </t>
  </si>
  <si>
    <t>Korko €</t>
  </si>
  <si>
    <t>24.</t>
  </si>
  <si>
    <t>Yli- / alijäämä (7 - 22)</t>
  </si>
  <si>
    <t>25.</t>
  </si>
  <si>
    <t>26.</t>
  </si>
  <si>
    <t>27.</t>
  </si>
  <si>
    <t>28.</t>
  </si>
  <si>
    <t>29.</t>
  </si>
  <si>
    <t>30.</t>
  </si>
  <si>
    <t>31.</t>
  </si>
  <si>
    <t>32.</t>
  </si>
  <si>
    <t>33.</t>
  </si>
  <si>
    <t>34.</t>
  </si>
  <si>
    <t>35.</t>
  </si>
  <si>
    <t xml:space="preserve"> Rakennukset ja rakennelmat alv 0 %</t>
  </si>
  <si>
    <t xml:space="preserve"> Koneet ja kalusto alv 0 %</t>
  </si>
  <si>
    <t>Leasingrahoitus Koneet sis. alv</t>
  </si>
  <si>
    <t>Leasingrahoitus Koneet alv 0 %</t>
  </si>
  <si>
    <t>1/20XX - 12/20XX</t>
  </si>
  <si>
    <t xml:space="preserve"> 1. vuonna nostettavat lainat</t>
  </si>
  <si>
    <t xml:space="preserve"> 2. vuonna nostettavat lainat</t>
  </si>
  <si>
    <t xml:space="preserve"> 3. vuonna nostettavat lainat</t>
  </si>
  <si>
    <t xml:space="preserve"> 4. vuonna nostettavat lainat</t>
  </si>
  <si>
    <t>T4 RAHOITUSSUUNNITELMA / KÄYTTÖPÄÄOMA (1000 €)</t>
  </si>
  <si>
    <t>TILINPÄÄTÖKSEN TUNNUSLUKUJA</t>
  </si>
  <si>
    <t>T7 LAINAT (1000 €)</t>
  </si>
  <si>
    <t>Lisätiedot</t>
  </si>
  <si>
    <t>Vaihto-omaisuus/liikevaihto (%)</t>
  </si>
  <si>
    <t xml:space="preserve"> Net gearing (nettovelkaantumisaste)</t>
  </si>
  <si>
    <t xml:space="preserve">                    </t>
  </si>
  <si>
    <t>36.</t>
  </si>
  <si>
    <t>PALKAT</t>
  </si>
  <si>
    <t>Luontois-</t>
  </si>
  <si>
    <t xml:space="preserve"> Lainat yhteensä</t>
  </si>
  <si>
    <t xml:space="preserve"> Osamaksuvelat yhteensä</t>
  </si>
  <si>
    <t xml:space="preserve">Lyhytaikaiset lainat </t>
  </si>
  <si>
    <t>Pitkäaikaiset velat, ei velkakirjaa</t>
  </si>
  <si>
    <t>Liiketulos EBIT-%</t>
  </si>
  <si>
    <t>Pitkäaikaisten lainojen lisäys</t>
  </si>
  <si>
    <t xml:space="preserve"> Muut kiinteät kulut alv 0 %</t>
  </si>
  <si>
    <t>Nettotulos = Liiketulos+rahoitustuotot-rahoituskulut-verot</t>
  </si>
  <si>
    <t xml:space="preserve">Nettotulos =  </t>
  </si>
  <si>
    <t>Oma pääoma alussa</t>
  </si>
  <si>
    <t>Oma pääoma lopussa</t>
  </si>
  <si>
    <t>Sijoitettu korollinen vieras pääoma alussa</t>
  </si>
  <si>
    <t>Sijoitettu korollinen vieras pääoma lopussa</t>
  </si>
  <si>
    <t>Rahat ja arvopaperit</t>
  </si>
  <si>
    <t xml:space="preserve">Korollinen vieras pääoma = </t>
  </si>
  <si>
    <t>1. Oma pääoma keskimäärin</t>
  </si>
  <si>
    <t>2. Sijoitettu korollinen vieras pääoma keskimäärin</t>
  </si>
  <si>
    <t>3. Sijoitettu pääoma keskimäärin (1 + 2)</t>
  </si>
  <si>
    <t>Net gearing - laskenta</t>
  </si>
  <si>
    <t>Sijoitetun pääoman  tuoton laskenta</t>
  </si>
  <si>
    <t>TyEL toimihenkilöt</t>
  </si>
  <si>
    <t>TyEL-työntekijät</t>
  </si>
  <si>
    <t>Ennustevuosi 1</t>
  </si>
  <si>
    <t>Ennustevuosi 2</t>
  </si>
  <si>
    <t>Korollinen vieras pääoma = Pitkäaikainen vieras pääoma pl. Saadut ennakot+korolliset lyhytaikaiset velat+Muut korolliset sisäiset velat</t>
  </si>
  <si>
    <r>
      <t xml:space="preserve">  PÄÄOMANTARVE </t>
    </r>
    <r>
      <rPr>
        <sz val="10"/>
        <color theme="0"/>
        <rFont val="Arial"/>
        <family val="2"/>
      </rPr>
      <t>(1000 euroa)</t>
    </r>
  </si>
  <si>
    <r>
      <t xml:space="preserve">  RAHOITUS </t>
    </r>
    <r>
      <rPr>
        <sz val="10"/>
        <color theme="0"/>
        <rFont val="Arial"/>
        <family val="2"/>
      </rPr>
      <t>(1000 euroa)</t>
    </r>
  </si>
  <si>
    <r>
      <t xml:space="preserve"> T3 TASE VASTAAVAA </t>
    </r>
    <r>
      <rPr>
        <sz val="10"/>
        <color theme="0"/>
        <rFont val="Arial"/>
        <family val="2"/>
      </rPr>
      <t>(1000 €)</t>
    </r>
  </si>
  <si>
    <r>
      <t xml:space="preserve"> TASE VASTATTAVAA </t>
    </r>
    <r>
      <rPr>
        <sz val="10"/>
        <color theme="0"/>
        <rFont val="Arial"/>
        <family val="2"/>
      </rPr>
      <t>(1000 €)</t>
    </r>
  </si>
  <si>
    <r>
      <t xml:space="preserve"> T4 RAHOITUSSUUNNITELMA </t>
    </r>
    <r>
      <rPr>
        <sz val="9"/>
        <color theme="0"/>
        <rFont val="Arial"/>
        <family val="2"/>
      </rPr>
      <t>(1000 €)</t>
    </r>
  </si>
  <si>
    <r>
      <rPr>
        <b/>
        <sz val="8"/>
        <color theme="0"/>
        <rFont val="Arial"/>
        <family val="2"/>
      </rPr>
      <t xml:space="preserve">  Laina-aika</t>
    </r>
    <r>
      <rPr>
        <sz val="8"/>
        <color theme="0"/>
        <rFont val="Arial"/>
        <family val="2"/>
      </rPr>
      <t xml:space="preserve"> (vuotta)</t>
    </r>
  </si>
  <si>
    <t>D.</t>
  </si>
  <si>
    <t xml:space="preserve"> Rakennukset ja rakennelmat sis. alv</t>
  </si>
  <si>
    <t xml:space="preserve"> Koneet ja kalusto sis. alv</t>
  </si>
  <si>
    <t xml:space="preserve">LIIKEVAIHTO (€) /HENKILÖ </t>
  </si>
  <si>
    <r>
      <t xml:space="preserve">PITKÄAIKAISET LAINAT       </t>
    </r>
    <r>
      <rPr>
        <sz val="9"/>
        <color theme="0"/>
        <rFont val="Arial"/>
        <family val="2"/>
      </rPr>
      <t>(ei pääomalainoja)</t>
    </r>
  </si>
  <si>
    <t>Investonnit yhteensä</t>
  </si>
  <si>
    <t>Tyont.</t>
  </si>
  <si>
    <t>maksut</t>
  </si>
  <si>
    <t>YT6 Aloittavan yrityksen tulossuunnitelma</t>
  </si>
  <si>
    <t>TASE JA RAHOITUSSUUNNITELMA</t>
  </si>
  <si>
    <t xml:space="preserve">T1 INVESTOINTISUUNNITELMA   </t>
  </si>
  <si>
    <t>€</t>
  </si>
  <si>
    <t xml:space="preserve"> Sijoitukset</t>
  </si>
  <si>
    <t xml:space="preserve"> Myyntisaamisten kiertonopeus (pv)</t>
  </si>
  <si>
    <t xml:space="preserve"> Ostovelkojen kiertonopeus (pv)</t>
  </si>
  <si>
    <t>UUDET OSAMAKSUVELAT</t>
  </si>
  <si>
    <t>Pääomalainat</t>
  </si>
  <si>
    <t>VAKAVARAISUUS</t>
  </si>
  <si>
    <t>Sähköpostiosoite</t>
  </si>
  <si>
    <t>Puhelinnumero</t>
  </si>
  <si>
    <t>Arvioitu valmistuminen</t>
  </si>
  <si>
    <t>Aloitusajankohta</t>
  </si>
  <si>
    <t>Liiketoimintakaupan tavaravarasto, alkuvarasto</t>
  </si>
  <si>
    <t>Ostovelat edell. tilikausi</t>
  </si>
  <si>
    <t>Toteutunut maksuaika pv</t>
  </si>
  <si>
    <t xml:space="preserve">Ostovelat €/pv  </t>
  </si>
  <si>
    <t>Yritys</t>
  </si>
  <si>
    <t>Laatija</t>
  </si>
  <si>
    <t>Hankekuvaus</t>
  </si>
  <si>
    <t>ALV-TILITYS KASSABUDJETISSA 2. VUOSI</t>
  </si>
  <si>
    <t>ALV-TILITYS KASSABUDJETISSA 1.VUOSI</t>
  </si>
  <si>
    <t>Ennustevuosi</t>
  </si>
  <si>
    <t>ENNUSTEVUOSI</t>
  </si>
  <si>
    <t>Laskutusmyynti kaudella</t>
  </si>
  <si>
    <t>Buildings inc. VAT</t>
  </si>
  <si>
    <t>Intangible assets</t>
  </si>
  <si>
    <t>YEAR</t>
  </si>
  <si>
    <r>
      <t xml:space="preserve">  FUNDING </t>
    </r>
    <r>
      <rPr>
        <sz val="10"/>
        <color theme="0"/>
        <rFont val="Arial"/>
        <family val="2"/>
      </rPr>
      <t>(1000 euroa)</t>
    </r>
  </si>
  <si>
    <t>Own funding</t>
  </si>
  <si>
    <t xml:space="preserve">  Total Long-term liabilities</t>
  </si>
  <si>
    <t>Leasing financing, machines inc. VAT</t>
  </si>
  <si>
    <t>Leasing financing, machines VAT 0%</t>
  </si>
  <si>
    <t>VAT deduction</t>
  </si>
  <si>
    <t>More information</t>
  </si>
  <si>
    <t>In total</t>
  </si>
  <si>
    <t xml:space="preserve">  T2 RESULT PLAN</t>
  </si>
  <si>
    <t>TURNOVER</t>
  </si>
  <si>
    <t>Production for own use</t>
  </si>
  <si>
    <t>Personnel costs</t>
  </si>
  <si>
    <t>Interest and other financial expenses</t>
  </si>
  <si>
    <t>Change in cumulative accelerated depreciation</t>
  </si>
  <si>
    <t>Change in taxation-based reserves</t>
  </si>
  <si>
    <t>PROFIT/LOSS OF THE FINANCIAL YEAR</t>
  </si>
  <si>
    <t>PROFIT/LOSS BEFORE APPROPRIATIONS AND TAXES</t>
  </si>
  <si>
    <r>
      <t xml:space="preserve"> T3 BALANCE SHEET: ASSETS </t>
    </r>
    <r>
      <rPr>
        <sz val="10"/>
        <color theme="0"/>
        <rFont val="Arial"/>
        <family val="2"/>
      </rPr>
      <t>(1000 €)</t>
    </r>
  </si>
  <si>
    <t>NON-CURRENT ASSETS</t>
  </si>
  <si>
    <t>Tangible assets</t>
  </si>
  <si>
    <t>1. Land and waters</t>
  </si>
  <si>
    <t xml:space="preserve">2. Buildings </t>
  </si>
  <si>
    <t>3. Machinery and equipment</t>
  </si>
  <si>
    <t>4. Other tangible assets</t>
  </si>
  <si>
    <t>Investments</t>
  </si>
  <si>
    <t>CURRENT ASSETS</t>
  </si>
  <si>
    <t>Receivables</t>
  </si>
  <si>
    <t>3. Other receivables</t>
  </si>
  <si>
    <t>Other investments</t>
  </si>
  <si>
    <t>Cash in hand and cash in bank</t>
  </si>
  <si>
    <t>ASSETS IN TOTAL</t>
  </si>
  <si>
    <t xml:space="preserve"> BALANCE SHEET: LIABILITIES(1000 €)</t>
  </si>
  <si>
    <t>CAPITAL AND RESERVES</t>
  </si>
  <si>
    <t>3. Dividend distribution</t>
  </si>
  <si>
    <t>4. Profit/loss of the financial year</t>
  </si>
  <si>
    <t>PROVISIONS</t>
  </si>
  <si>
    <t>1. Loans from credit institutions</t>
  </si>
  <si>
    <t>2. Capital loans</t>
  </si>
  <si>
    <t>3. Accounts Payables</t>
  </si>
  <si>
    <t>4. Other Long-term liabilities</t>
  </si>
  <si>
    <t>5. Accruals and deferred income</t>
  </si>
  <si>
    <t>LIABILITIES IN TOTAL</t>
  </si>
  <si>
    <t>Financial result</t>
  </si>
  <si>
    <t xml:space="preserve">Additional investments by the owners    </t>
  </si>
  <si>
    <t>Increase in long-term loans</t>
  </si>
  <si>
    <t>Increase in short-term loans</t>
  </si>
  <si>
    <t>TOTAL</t>
  </si>
  <si>
    <t xml:space="preserve"> SOURCES OF FUNDS</t>
  </si>
  <si>
    <t xml:space="preserve"> USE OF FUNDS</t>
  </si>
  <si>
    <t>Change in working capital</t>
  </si>
  <si>
    <t>Other increase in financial assets</t>
  </si>
  <si>
    <t>Return from reserve for invested non-restricted capital (SVOP)</t>
  </si>
  <si>
    <t>Reduction of capital loans</t>
  </si>
  <si>
    <t>Reduction of long-term accounts payables</t>
  </si>
  <si>
    <t>Reduction of short-term loans</t>
  </si>
  <si>
    <t>Surplus/deficit (7 - 22)</t>
  </si>
  <si>
    <t>CUMULATIVE SURPLUS/DEFICIT</t>
  </si>
  <si>
    <t>Prognosis Year 1</t>
  </si>
  <si>
    <t>Prognosis Year 2</t>
  </si>
  <si>
    <t>Prognosis Year 3</t>
  </si>
  <si>
    <t>Prognosis Year 4</t>
  </si>
  <si>
    <t>Other receivables</t>
  </si>
  <si>
    <t>Accounts Payables</t>
  </si>
  <si>
    <t>Accounts payables days</t>
  </si>
  <si>
    <t>Working capital</t>
  </si>
  <si>
    <t xml:space="preserve">LONG-TERM LOANS </t>
  </si>
  <si>
    <t>Loan Amount</t>
  </si>
  <si>
    <r>
      <rPr>
        <b/>
        <sz val="8"/>
        <color theme="0"/>
        <rFont val="Arial"/>
        <family val="2"/>
      </rPr>
      <t>Loan term</t>
    </r>
    <r>
      <rPr>
        <sz val="8"/>
        <color theme="0"/>
        <rFont val="Arial"/>
        <family val="2"/>
      </rPr>
      <t xml:space="preserve"> (year)</t>
    </r>
  </si>
  <si>
    <t>Interest %</t>
  </si>
  <si>
    <t>Interest</t>
  </si>
  <si>
    <t>Amount</t>
  </si>
  <si>
    <t xml:space="preserve"> 2st year loans</t>
  </si>
  <si>
    <t xml:space="preserve"> 3st year loans</t>
  </si>
  <si>
    <t xml:space="preserve"> 4st year loans</t>
  </si>
  <si>
    <t xml:space="preserve"> 1st year loans</t>
  </si>
  <si>
    <t>Total</t>
  </si>
  <si>
    <t xml:space="preserve"> Instalment loans</t>
  </si>
  <si>
    <t xml:space="preserve">Short-term loans </t>
  </si>
  <si>
    <t>Capital loans</t>
  </si>
  <si>
    <t>Long-Term loans, no payment plan</t>
  </si>
  <si>
    <t>Handling fees</t>
  </si>
  <si>
    <t xml:space="preserve"> Payback time for creditors (years)</t>
  </si>
  <si>
    <t xml:space="preserve"> Net gearing</t>
  </si>
  <si>
    <t>Value</t>
  </si>
  <si>
    <t>T1 INVESTMENT PLAN</t>
  </si>
  <si>
    <t>Date</t>
  </si>
  <si>
    <t>Company</t>
  </si>
  <si>
    <t>Email</t>
  </si>
  <si>
    <t>Phone</t>
  </si>
  <si>
    <t>Start date</t>
  </si>
  <si>
    <t>3. Accounts payables</t>
  </si>
  <si>
    <t>BALANCE SHEET AND FINANCIAL PLAN</t>
  </si>
  <si>
    <t>KEY FINANCIAL RATIOS</t>
  </si>
  <si>
    <t xml:space="preserve"> Debt service coverage ratio</t>
  </si>
  <si>
    <t xml:space="preserve"> Equity ratio</t>
  </si>
  <si>
    <t>2. Receivables booked according to percentage of completion method</t>
  </si>
  <si>
    <t>6. Advances received</t>
  </si>
  <si>
    <t>BusinessPilot offered by</t>
  </si>
  <si>
    <t>T7 LOANS (1000 €)</t>
  </si>
  <si>
    <t>1. Trade receivables</t>
  </si>
  <si>
    <t xml:space="preserve">Lisätiedot </t>
  </si>
  <si>
    <t xml:space="preserve"> Lisätietoa rahoittajista esim. sijoittajien nimet, summat, vakuudet</t>
  </si>
  <si>
    <t>Ostoihin sisältyvät alv</t>
  </si>
  <si>
    <t>ALV-vähennyskelpoiset kulut</t>
  </si>
  <si>
    <t>Hinta</t>
  </si>
  <si>
    <t>HInta</t>
  </si>
  <si>
    <t>Tilatus lehdet</t>
  </si>
  <si>
    <t>Alv-vähennyskelpoiset kulut sis. Alv yhteensä</t>
  </si>
  <si>
    <t>Alv-vähennyskelpoiset kulut Alv 0 % yhteensä</t>
  </si>
  <si>
    <t>Keskimääräinen alv-%</t>
  </si>
  <si>
    <t>Kirjat, matkaliput, majoitus, muut matkak.</t>
  </si>
  <si>
    <t>Land and water areas, connections etc.</t>
  </si>
  <si>
    <t>Real estate and buildings</t>
  </si>
  <si>
    <t>Machinery and equipment incl. VAT</t>
  </si>
  <si>
    <t>Machinery and equipment VAT 0%</t>
  </si>
  <si>
    <t>Inventory (stock)</t>
  </si>
  <si>
    <r>
      <t xml:space="preserve">FINANCING </t>
    </r>
    <r>
      <rPr>
        <sz val="11"/>
        <color theme="0"/>
        <rFont val="Arial"/>
        <family val="2"/>
      </rPr>
      <t>(euroa)</t>
    </r>
  </si>
  <si>
    <t>Owner`s Investments</t>
  </si>
  <si>
    <t>Leasing Financing (Item 4: Machinery and Equipment incl. VAT)</t>
  </si>
  <si>
    <t>Leasing Financing (Item 5: Machinery and Equipment VAT 0%)</t>
  </si>
  <si>
    <t>VAT Deduction</t>
  </si>
  <si>
    <t>Total Financing</t>
  </si>
  <si>
    <t xml:space="preserve">  T1 INVESTMENT PLAN</t>
  </si>
  <si>
    <t>Forecast 1</t>
  </si>
  <si>
    <t>Forecast 2</t>
  </si>
  <si>
    <t>Forecast 3</t>
  </si>
  <si>
    <t>Forecast 4</t>
  </si>
  <si>
    <t>In Total</t>
  </si>
  <si>
    <t>E-mail</t>
  </si>
  <si>
    <t>Company name</t>
  </si>
  <si>
    <t xml:space="preserve"> Notes</t>
  </si>
  <si>
    <r>
      <t xml:space="preserve">LONG-TERM LOANS
</t>
    </r>
    <r>
      <rPr>
        <sz val="10"/>
        <color theme="0"/>
        <rFont val="Arial"/>
        <family val="2"/>
      </rPr>
      <t>(no capital loans)</t>
    </r>
  </si>
  <si>
    <t>Loan amount</t>
  </si>
  <si>
    <t xml:space="preserve"> Loans to be drawn in the year 2</t>
  </si>
  <si>
    <t xml:space="preserve"> Loans to be drawn in the year 3</t>
  </si>
  <si>
    <t xml:space="preserve"> Loans to be drawn in the year 4</t>
  </si>
  <si>
    <t xml:space="preserve"> Loans to be drawn in the 1st year</t>
  </si>
  <si>
    <t xml:space="preserve"> Short-Term Loans</t>
  </si>
  <si>
    <t xml:space="preserve"> Capital Loan</t>
  </si>
  <si>
    <t xml:space="preserve"> Long-term liabilities,
 no promissory note</t>
  </si>
  <si>
    <t xml:space="preserve"> Loan processing fees, guarantee fees</t>
  </si>
  <si>
    <t xml:space="preserve"> TOTAL</t>
  </si>
  <si>
    <t xml:space="preserve"> TOTAL LOANS</t>
  </si>
  <si>
    <t>E1 OPERATING COSTS</t>
  </si>
  <si>
    <t xml:space="preserve"> SALARIES AND FEES</t>
  </si>
  <si>
    <t xml:space="preserve"> 1.1 YEL Entrepreneurs</t>
  </si>
  <si>
    <t xml:space="preserve"> Gross monthly salaries of YEL entrepreneurs</t>
  </si>
  <si>
    <t xml:space="preserve"> Fringe benefits of YEL entrepreneurs / month</t>
  </si>
  <si>
    <t xml:space="preserve"> Salary payment months</t>
  </si>
  <si>
    <t xml:space="preserve"> Average hourly wage / month / person</t>
  </si>
  <si>
    <t xml:space="preserve"> Working hours / month / person</t>
  </si>
  <si>
    <t xml:space="preserve"> Number of employees</t>
  </si>
  <si>
    <t xml:space="preserve"> Total annual fringe benefits</t>
  </si>
  <si>
    <t xml:space="preserve"> Average tax withholding rate for group 1.2</t>
  </si>
  <si>
    <t xml:space="preserve"> Average salaries of white-collar employees / month / person</t>
  </si>
  <si>
    <t xml:space="preserve"> Number of white-collar employees</t>
  </si>
  <si>
    <t xml:space="preserve"> Average tax withholding rate for group 1.3</t>
  </si>
  <si>
    <t xml:space="preserve"> 1.4 Received Insurance Premium Reimbursements</t>
  </si>
  <si>
    <t xml:space="preserve"> PERSONNEL-RELATED COSTS</t>
  </si>
  <si>
    <t xml:space="preserve"> 2.1 Pension Costs</t>
  </si>
  <si>
    <t xml:space="preserve"> Employer’s share of TyEL insurance premiums</t>
  </si>
  <si>
    <t xml:space="preserve"> Company’s TyEL insurance premiums</t>
  </si>
  <si>
    <t xml:space="preserve"> YEL insurance contribution rate</t>
  </si>
  <si>
    <t xml:space="preserve"> YEL insurance premiums</t>
  </si>
  <si>
    <t xml:space="preserve"> Voluntary pension insurance premiums</t>
  </si>
  <si>
    <t xml:space="preserve"> Employee’s social security and other mandatory insurance premiums</t>
  </si>
  <si>
    <t xml:space="preserve"> 2.2 Other Personnel-Related Costs</t>
  </si>
  <si>
    <t xml:space="preserve"> 2.3 YEL Entrepreneur’s Social Insurance Premiums</t>
  </si>
  <si>
    <t xml:space="preserve"> 2.4 YEL Entrepreneur’s Life Insurance Premium</t>
  </si>
  <si>
    <t xml:space="preserve"> 2.5 Other Personal Insurance Premiums</t>
  </si>
  <si>
    <t xml:space="preserve"> Total Personnel Costs </t>
  </si>
  <si>
    <t xml:space="preserve"> OTHER BUSINESS EXPENSES</t>
  </si>
  <si>
    <t xml:space="preserve"> Staff training</t>
  </si>
  <si>
    <t xml:space="preserve"> Recreation and hobby activities</t>
  </si>
  <si>
    <t xml:space="preserve"> Occupational health care</t>
  </si>
  <si>
    <t xml:space="preserve"> Workwear and protective equipment</t>
  </si>
  <si>
    <t xml:space="preserve"> Other voluntary personnel expenses</t>
  </si>
  <si>
    <t xml:space="preserve"> Rents and maintenance charges (for business use)</t>
  </si>
  <si>
    <t xml:space="preserve"> Monthly rent/maintenance charge in euros</t>
  </si>
  <si>
    <t xml:space="preserve"> Payment months during the fiscal year</t>
  </si>
  <si>
    <t xml:space="preserve"> Electricity and gas</t>
  </si>
  <si>
    <t xml:space="preserve"> Water and wastewater</t>
  </si>
  <si>
    <t xml:space="preserve"> Heating</t>
  </si>
  <si>
    <t xml:space="preserve"> Cleaning and outdoor maintenance</t>
  </si>
  <si>
    <t xml:space="preserve"> Facility repairs</t>
  </si>
  <si>
    <t xml:space="preserve"> Waste management</t>
  </si>
  <si>
    <t xml:space="preserve"> Security, locking services, other costs</t>
  </si>
  <si>
    <t xml:space="preserve"> Fire insurance value of properties and movables</t>
  </si>
  <si>
    <t xml:space="preserve"> Property tax</t>
  </si>
  <si>
    <t xml:space="preserve"> Payment months during the period</t>
  </si>
  <si>
    <t xml:space="preserve"> Total leasing agreements in euros</t>
  </si>
  <si>
    <t xml:space="preserve"> Duration of leasing agreements (months)</t>
  </si>
  <si>
    <t xml:space="preserve"> Financing interest rate %</t>
  </si>
  <si>
    <t xml:space="preserve"> Residual value % at end of agreement</t>
  </si>
  <si>
    <t xml:space="preserve"> Software, updates, and maintenance</t>
  </si>
  <si>
    <t xml:space="preserve"> Other IT costs</t>
  </si>
  <si>
    <t xml:space="preserve"> IT equipment purchases with lifespan under 3 years</t>
  </si>
  <si>
    <t xml:space="preserve"> 3.5 Work Machinery Costs, Business Use</t>
  </si>
  <si>
    <t xml:space="preserve"> Fuel</t>
  </si>
  <si>
    <t xml:space="preserve"> Maintenance, repairs, and inspections</t>
  </si>
  <si>
    <t xml:space="preserve"> Insurance and usage fees</t>
  </si>
  <si>
    <t xml:space="preserve"> Other machinery costs</t>
  </si>
  <si>
    <t xml:space="preserve"> Maintenance and repairs</t>
  </si>
  <si>
    <t xml:space="preserve"> Small equipment purchases with lifespan under 3 years</t>
  </si>
  <si>
    <t xml:space="preserve"> Other machinery and equipment costs</t>
  </si>
  <si>
    <t xml:space="preserve"> Tickets and accommodation costs</t>
  </si>
  <si>
    <t xml:space="preserve"> Meals during travel</t>
  </si>
  <si>
    <t xml:space="preserve"> Other travel expenses</t>
  </si>
  <si>
    <t xml:space="preserve"> Daily allowances, meal reimbursements, etc.</t>
  </si>
  <si>
    <t xml:space="preserve"> Mileage allowance</t>
  </si>
  <si>
    <t xml:space="preserve"> Advertising agency services</t>
  </si>
  <si>
    <t xml:space="preserve">  Direct and display advertising</t>
  </si>
  <si>
    <t xml:space="preserve"> Internet, radio, TV advertising</t>
  </si>
  <si>
    <t xml:space="preserve"> Trade fairs, exhibitions, and other sales promotion</t>
  </si>
  <si>
    <t xml:space="preserve"> Other marketing expenses</t>
  </si>
  <si>
    <t xml:space="preserve"> Product development and testing services</t>
  </si>
  <si>
    <t xml:space="preserve"> Official fees for product protection</t>
  </si>
  <si>
    <t xml:space="preserve"> Certification and quality documents</t>
  </si>
  <si>
    <t xml:space="preserve"> Other development expenses</t>
  </si>
  <si>
    <t xml:space="preserve"> Financial administration services, auditing</t>
  </si>
  <si>
    <t xml:space="preserve"> Legal and consulting services, other administrative costs</t>
  </si>
  <si>
    <t xml:space="preserve"> Official fees/permits</t>
  </si>
  <si>
    <t xml:space="preserve"> Books</t>
  </si>
  <si>
    <t xml:space="preserve"> Magazines</t>
  </si>
  <si>
    <t xml:space="preserve"> Membership fees</t>
  </si>
  <si>
    <t xml:space="preserve"> Phone and internet</t>
  </si>
  <si>
    <t xml:space="preserve"> Data transfer costs</t>
  </si>
  <si>
    <t xml:space="preserve"> Postal costs</t>
  </si>
  <si>
    <t xml:space="preserve"> Financial transaction costs</t>
  </si>
  <si>
    <t xml:space="preserve"> Liability insurance</t>
  </si>
  <si>
    <t xml:space="preserve"> Property insurance, machinery breakdown, etc.</t>
  </si>
  <si>
    <t xml:space="preserve"> Other insurance, business interruption insurance</t>
  </si>
  <si>
    <t xml:space="preserve"> 3.6 Other Machinery and Equipment Costs, Business Use</t>
  </si>
  <si>
    <t xml:space="preserve"> 3.7 Travel Expenses</t>
  </si>
  <si>
    <t xml:space="preserve"> 3.8 Compensation for Travelling Expenses</t>
  </si>
  <si>
    <t xml:space="preserve"> 3.9 Representation Expenses</t>
  </si>
  <si>
    <t xml:space="preserve"> 3.10 Sales Expenses (e.g., commissions, fees)</t>
  </si>
  <si>
    <t xml:space="preserve"> 3.11 Marketing Expenses</t>
  </si>
  <si>
    <t xml:space="preserve"> 3.12 Research and Product Development Expenses</t>
  </si>
  <si>
    <t xml:space="preserve"> 3.13 Administrative Services</t>
  </si>
  <si>
    <t xml:space="preserve"> 3.14 Information Acquisition</t>
  </si>
  <si>
    <t xml:space="preserve"> 3.15 Communication and Financial Transactions</t>
  </si>
  <si>
    <t xml:space="preserve"> 3.16 Insurance</t>
  </si>
  <si>
    <t xml:space="preserve"> 3.17 Office Supplies</t>
  </si>
  <si>
    <t xml:space="preserve"> 3.19 Other Administrative Costs</t>
  </si>
  <si>
    <t xml:space="preserve"> 3.20 Vehicle and Machinery Costs, Private Use</t>
  </si>
  <si>
    <t xml:space="preserve"> 3.21 Leasing Costs, Investments VAT 0 %</t>
  </si>
  <si>
    <t xml:space="preserve"> 3.23 Rents, Maintenance Charges, Operating Costs VAT 0 %</t>
  </si>
  <si>
    <t xml:space="preserve"> 3.24 Other Costs VAT 0 %</t>
  </si>
  <si>
    <t xml:space="preserve"> 3.2 Facility Costs</t>
  </si>
  <si>
    <t xml:space="preserve"> 3.1 Other Personnel Expenses</t>
  </si>
  <si>
    <t>Health and social services, financial and insurance services, real estate brokerage at tax-inclusive prices</t>
  </si>
  <si>
    <t xml:space="preserve"> Length of the accounting period (months)</t>
  </si>
  <si>
    <t xml:space="preserve"> Average tax withholding rate for YEL entrepreneurs</t>
  </si>
  <si>
    <t>The user acknowledges that the program may contain errors and the results provided by the program are referential and directional.</t>
  </si>
  <si>
    <t>The user uses the program and interprets results at his own risk.</t>
  </si>
  <si>
    <t xml:space="preserve"> 3.18 Meeting and conference expenses</t>
  </si>
  <si>
    <t>Notes</t>
  </si>
  <si>
    <t>E2 TURNOVER</t>
  </si>
  <si>
    <t>Change-%</t>
  </si>
  <si>
    <t>Total TURNOVER</t>
  </si>
  <si>
    <t>Total SALES VAT</t>
  </si>
  <si>
    <t>Total PURCHASE VAT</t>
  </si>
  <si>
    <t>Total MATERIAL USAGE</t>
  </si>
  <si>
    <t>Average MATERIAL USAGE -%</t>
  </si>
  <si>
    <t xml:space="preserve"> Marketing Product </t>
  </si>
  <si>
    <t xml:space="preserve"> Sales amount (pieces, quantity)</t>
  </si>
  <si>
    <t>VAT-%</t>
  </si>
  <si>
    <t>Turnover</t>
  </si>
  <si>
    <t>pcs.</t>
  </si>
  <si>
    <t>Increase in hire purchase liabilities</t>
  </si>
  <si>
    <t>Land areas</t>
  </si>
  <si>
    <t>Buildings and structures</t>
  </si>
  <si>
    <t>Machinery and equipment</t>
  </si>
  <si>
    <t>Change in working capital (line 36)</t>
  </si>
  <si>
    <t>Increase in other financial assets</t>
  </si>
  <si>
    <t>Reduction in long-term financial institution loan</t>
  </si>
  <si>
    <t>SVOP return (unrestricted equity return)</t>
  </si>
  <si>
    <t>Reduction in capital loans</t>
  </si>
  <si>
    <t>Reduction in long-term accounts payable</t>
  </si>
  <si>
    <t>Reduction in other long-term liabilities</t>
  </si>
  <si>
    <t>Reduction in hire purchase liabilities</t>
  </si>
  <si>
    <t>Other short-term external capital increase/reduction</t>
  </si>
  <si>
    <t>Reduction in short-term loans</t>
  </si>
  <si>
    <t>Dividend distribution and private withdrawals</t>
  </si>
  <si>
    <t>Surplus / Deficit (7 - 25)</t>
  </si>
  <si>
    <t>Cumulative surplus / deficit</t>
  </si>
  <si>
    <t xml:space="preserve"> WORKING CAPITAL</t>
  </si>
  <si>
    <t>Inventory</t>
  </si>
  <si>
    <t>Inventory / turnover (%)</t>
  </si>
  <si>
    <t>Trade receivables</t>
  </si>
  <si>
    <t>Accrued income</t>
  </si>
  <si>
    <t>Receivables from partial revenue recognition</t>
  </si>
  <si>
    <t>Partial revenue share of turnover (%)</t>
  </si>
  <si>
    <t>Accounts payable</t>
  </si>
  <si>
    <t>Accounts payable turnover (days)</t>
  </si>
  <si>
    <t>Advance payments received</t>
  </si>
  <si>
    <t>Advance payments share of turnover (%)</t>
  </si>
  <si>
    <t>ECONOMIC FIGURES</t>
  </si>
  <si>
    <t>BUSINESS SCALE</t>
  </si>
  <si>
    <t xml:space="preserve"> Turnover</t>
  </si>
  <si>
    <t xml:space="preserve"> Turnover per employee</t>
  </si>
  <si>
    <t xml:space="preserve"> Personnel</t>
  </si>
  <si>
    <t xml:space="preserve"> Invested capital</t>
  </si>
  <si>
    <t>BUSINESS PROFITABILITY</t>
  </si>
  <si>
    <t xml:space="preserve"> EBITDA</t>
  </si>
  <si>
    <t xml:space="preserve"> EBITDA %</t>
  </si>
  <si>
    <t xml:space="preserve"> Operating profit (EBIT)</t>
  </si>
  <si>
    <t xml:space="preserve"> EBIT %</t>
  </si>
  <si>
    <t xml:space="preserve"> Net profit for the fiscal year</t>
  </si>
  <si>
    <t xml:space="preserve"> Net profit %</t>
  </si>
  <si>
    <t xml:space="preserve"> LIQUIDITY</t>
  </si>
  <si>
    <t xml:space="preserve"> Rating</t>
  </si>
  <si>
    <t xml:space="preserve"> Repayment period of liabilities (years)</t>
  </si>
  <si>
    <t xml:space="preserve"> SOLVENCY</t>
  </si>
  <si>
    <t xml:space="preserve"> OTHER KEY FIGURES</t>
  </si>
  <si>
    <t xml:space="preserve"> Mandatory personnel costs / employee</t>
  </si>
  <si>
    <t xml:space="preserve"> Total personnel costs / employee</t>
  </si>
  <si>
    <t xml:space="preserve"> NET ASSET CALCULATION</t>
  </si>
  <si>
    <t xml:space="preserve"> Assets</t>
  </si>
  <si>
    <t xml:space="preserve"> Liabilities</t>
  </si>
  <si>
    <t xml:space="preserve"> Bank account balance</t>
  </si>
  <si>
    <t xml:space="preserve"> Apartment</t>
  </si>
  <si>
    <t xml:space="preserve"> Net assets</t>
  </si>
  <si>
    <t xml:space="preserve"> Dividend or private withdrawals from net assets</t>
  </si>
  <si>
    <t xml:space="preserve"> Dividend/private withdrawal share of net assets</t>
  </si>
  <si>
    <t xml:space="preserve"> Return on investment (ROI)</t>
  </si>
  <si>
    <t>Intangible Assets</t>
  </si>
  <si>
    <t>Additions during the financial year</t>
  </si>
  <si>
    <t>Reductions during the financial year</t>
  </si>
  <si>
    <t>Depreciation</t>
  </si>
  <si>
    <t>Annual dep.</t>
  </si>
  <si>
    <t>Tangible Assets</t>
  </si>
  <si>
    <t>1. Land and Water Areas, Connections</t>
  </si>
  <si>
    <t>2. Buildings and Structures</t>
  </si>
  <si>
    <t>3. Machinery and Equipment</t>
  </si>
  <si>
    <t>4. Other Tangible Assets</t>
  </si>
  <si>
    <t>ASSETS</t>
  </si>
  <si>
    <t>Inventories</t>
  </si>
  <si>
    <t>Inventory/Revenue ratio (%)</t>
  </si>
  <si>
    <t>Turnover rate of trade receivables (days)</t>
  </si>
  <si>
    <t>2. Receivables from Percentage-of-Completion Method</t>
  </si>
  <si>
    <t>Share of revenue from percentage-of-completion (%)</t>
  </si>
  <si>
    <t>4. Accrued Income</t>
  </si>
  <si>
    <t>Financial Securities</t>
  </si>
  <si>
    <t>Cash and Bank Receivables</t>
  </si>
  <si>
    <t>TOTAL ASSETS</t>
  </si>
  <si>
    <t>1. Share Capital or Equivalent</t>
  </si>
  <si>
    <t>2. Retained Earnings from Previous Financial Years</t>
  </si>
  <si>
    <t>ACCUMULATED APPROPRIATIONS</t>
  </si>
  <si>
    <t>Percentage of Paid Salaries</t>
  </si>
  <si>
    <t>CURRENT LIABILITIES</t>
  </si>
  <si>
    <t>5. Reserve for Invested Unrestricted Equity (SVOP)</t>
  </si>
  <si>
    <t>LIABILITIES</t>
  </si>
  <si>
    <t xml:space="preserve"> Number of months the investment has been in use since the beginning of the financial year.</t>
  </si>
  <si>
    <t xml:space="preserve">  T3 BALANCE SHEET</t>
  </si>
  <si>
    <t>Other operating income</t>
  </si>
  <si>
    <t>TOTAL OPERATING INCOME</t>
  </si>
  <si>
    <t>Materials, supplies and goods</t>
  </si>
  <si>
    <t>Other operating expenses</t>
  </si>
  <si>
    <t>Income from shares and other investments</t>
  </si>
  <si>
    <t>Tax rate-%</t>
  </si>
  <si>
    <t>Change in depreciation difference</t>
  </si>
  <si>
    <t>Change in tax-based reserves</t>
  </si>
  <si>
    <t>PROFIT/LOSS FOR THE FINANCIAL YEAR</t>
  </si>
  <si>
    <t>PERSONNEL AVERAGE</t>
  </si>
  <si>
    <t xml:space="preserve"> Other operating income, annual change (%)</t>
  </si>
  <si>
    <t>OPERATING INCOME</t>
  </si>
  <si>
    <t xml:space="preserve"> Cash at the beginning (before annual investments)</t>
  </si>
  <si>
    <t xml:space="preserve"> Cash sales and advance payment share-%</t>
  </si>
  <si>
    <t xml:space="preserve"> Invoiced sales</t>
  </si>
  <si>
    <t>Payment term </t>
  </si>
  <si>
    <t>Monthly sales in percents</t>
  </si>
  <si>
    <t xml:space="preserve"> Other income incl. VAT</t>
  </si>
  <si>
    <t>FORECAST YEAR</t>
  </si>
  <si>
    <t xml:space="preserve"> Materials and supplies</t>
  </si>
  <si>
    <t xml:space="preserve"> Inventory (stock)</t>
  </si>
  <si>
    <t xml:space="preserve"> External services</t>
  </si>
  <si>
    <t xml:space="preserve"> Investments incl. VAT</t>
  </si>
  <si>
    <t xml:space="preserve"> Facility rents incl. VAT</t>
  </si>
  <si>
    <t xml:space="preserve"> Other fixed costs incl. VAT</t>
  </si>
  <si>
    <t xml:space="preserve"> Voluntary pension and personal insurance premiums</t>
  </si>
  <si>
    <t xml:space="preserve"> Rents and maintenance charges VAT 0%</t>
  </si>
  <si>
    <t xml:space="preserve"> Other fixed costs VAT 0%</t>
  </si>
  <si>
    <t xml:space="preserve"> Financial expenses</t>
  </si>
  <si>
    <t xml:space="preserve"> Taxes</t>
  </si>
  <si>
    <t xml:space="preserve"> Investments VAT 0%</t>
  </si>
  <si>
    <t xml:space="preserve"> Leasing costs from investments VAT 0%</t>
  </si>
  <si>
    <t xml:space="preserve"> Acquisition of business premises shares</t>
  </si>
  <si>
    <t>CAPITAL FINANCING: INCOME AND EXPENSES</t>
  </si>
  <si>
    <t xml:space="preserve"> Installment payments</t>
  </si>
  <si>
    <t xml:space="preserve"> Loan repayments</t>
  </si>
  <si>
    <t xml:space="preserve"> Dividends, private use</t>
  </si>
  <si>
    <t xml:space="preserve"> Additional investments by owners</t>
  </si>
  <si>
    <t xml:space="preserve"> Other capital financing</t>
  </si>
  <si>
    <t xml:space="preserve"> Cash at the beginning </t>
  </si>
  <si>
    <t>EXPENSES</t>
  </si>
  <si>
    <t>TOTAL EXPENSES</t>
  </si>
  <si>
    <t xml:space="preserve"> INCOME - EXPENSES</t>
  </si>
  <si>
    <t xml:space="preserve"> CASH AT THE END OF THE MONTH </t>
  </si>
  <si>
    <t>JAN</t>
  </si>
  <si>
    <t>FEB</t>
  </si>
  <si>
    <t>MARS</t>
  </si>
  <si>
    <t>APR</t>
  </si>
  <si>
    <t>MAY</t>
  </si>
  <si>
    <t>JUNE</t>
  </si>
  <si>
    <t>JULY</t>
  </si>
  <si>
    <t>AUG</t>
  </si>
  <si>
    <t>SEP</t>
  </si>
  <si>
    <t>OCT</t>
  </si>
  <si>
    <t>NOV</t>
  </si>
  <si>
    <t>DEC</t>
  </si>
  <si>
    <t>Inc. VAT</t>
  </si>
  <si>
    <t>Difference</t>
  </si>
  <si>
    <t xml:space="preserve">Target </t>
  </si>
  <si>
    <t xml:space="preserve"> Material usage/purchases percentage per product</t>
  </si>
  <si>
    <t xml:space="preserve"> Sales price per unit VAT 0%</t>
  </si>
  <si>
    <t>Investment in Unrestricted Equity Fund (SVOP)</t>
  </si>
  <si>
    <t xml:space="preserve"> Accounts payable from the previous financial year</t>
  </si>
  <si>
    <t>If the images don't load, scroll your mouse wheel or press F1.</t>
  </si>
  <si>
    <t>Guide</t>
  </si>
  <si>
    <t xml:space="preserve"> Total income of YEL contributions</t>
  </si>
  <si>
    <t>Outsourced services</t>
  </si>
  <si>
    <t xml:space="preserve">Personnel expenses </t>
  </si>
  <si>
    <t>Increase/decrease in finished goods</t>
  </si>
  <si>
    <t>OPERATING MARGIN (EBITDA)</t>
  </si>
  <si>
    <t>Depreciation according to plan</t>
  </si>
  <si>
    <t>OPERATING RESULT (EBIT)</t>
  </si>
  <si>
    <t>Other interest and financial income</t>
  </si>
  <si>
    <t xml:space="preserve">Investments, acquisition of shares / business premises </t>
  </si>
  <si>
    <t xml:space="preserve"> SELF  FINANCING</t>
  </si>
  <si>
    <t>Creditor</t>
  </si>
  <si>
    <t>Subsidies (for items 1–7)</t>
  </si>
  <si>
    <t xml:space="preserve">  T7 LOANS AND LIABILITIES</t>
  </si>
  <si>
    <t>ANNUAL INSTALMENTS AND INTERESTS     Euros</t>
  </si>
  <si>
    <t xml:space="preserve">Withdrawal </t>
  </si>
  <si>
    <t>Interest  -%</t>
  </si>
  <si>
    <t xml:space="preserve">Interest </t>
  </si>
  <si>
    <t>Term, in years</t>
  </si>
  <si>
    <t xml:space="preserve"> 3.22 Outsourced services incl. VAT</t>
  </si>
  <si>
    <t>Changes in long-term loan instalments</t>
  </si>
  <si>
    <t>T4 FINANCING PLAN</t>
  </si>
  <si>
    <t>5. Accruals ja deferred incomes</t>
  </si>
  <si>
    <t>BP6 Financial Projection</t>
  </si>
  <si>
    <t xml:space="preserve"> Net gearing </t>
  </si>
  <si>
    <t>days</t>
  </si>
  <si>
    <t>T5 CASH BUDGET</t>
  </si>
  <si>
    <r>
      <t xml:space="preserve">REQUIRED CAPITAL </t>
    </r>
    <r>
      <rPr>
        <sz val="11"/>
        <color theme="0"/>
        <rFont val="Arial"/>
        <family val="2"/>
      </rPr>
      <t>(Euros)</t>
    </r>
  </si>
  <si>
    <t>Drawn by</t>
  </si>
  <si>
    <t>Venture</t>
  </si>
  <si>
    <t>Estimated time of completion</t>
  </si>
  <si>
    <t>New buildings and constructions incl. VAT</t>
  </si>
  <si>
    <t>Total capital required</t>
  </si>
  <si>
    <r>
      <t xml:space="preserve">REQUIRED CAPITAL </t>
    </r>
    <r>
      <rPr>
        <sz val="10"/>
        <color theme="0"/>
        <rFont val="Arial"/>
        <family val="2"/>
      </rPr>
      <t>(1000 Euros)</t>
    </r>
  </si>
  <si>
    <t>Total financing</t>
  </si>
  <si>
    <t>Length of the accounting period (months)</t>
  </si>
  <si>
    <t xml:space="preserve">OPERATING MARGIN  (EBITDA) </t>
  </si>
  <si>
    <t xml:space="preserve">OPERATING RESULT  (EBIT)   </t>
  </si>
  <si>
    <t xml:space="preserve">Direct taxes   </t>
  </si>
  <si>
    <t xml:space="preserve">Depreciation according to plan  </t>
  </si>
  <si>
    <t xml:space="preserve">Income on shares and other investments </t>
  </si>
  <si>
    <t xml:space="preserve">Other interest and financial income   </t>
  </si>
  <si>
    <t>4. Accrued income</t>
  </si>
  <si>
    <t>4. Profit/Loss for the financial year</t>
  </si>
  <si>
    <t>3. Dividend distribution, private withdrawals</t>
  </si>
  <si>
    <t>1. Share Capital or equivalent</t>
  </si>
  <si>
    <t>2. Untaxed reserve</t>
  </si>
  <si>
    <t>1. Increase/Decrease in depreciation reserve</t>
  </si>
  <si>
    <t>LONG-TERM DEPTS</t>
  </si>
  <si>
    <t>1. Loans from financial institutions</t>
  </si>
  <si>
    <t xml:space="preserve">   Short-Term loans from financial institutions</t>
  </si>
  <si>
    <t>3. Accounts payable</t>
  </si>
  <si>
    <t xml:space="preserve">   Trade payables</t>
  </si>
  <si>
    <t xml:space="preserve">   Hire purchase liabilities</t>
  </si>
  <si>
    <t>4. Other long-term tiabilities</t>
  </si>
  <si>
    <t xml:space="preserve">   Repayments of long-term loans</t>
  </si>
  <si>
    <t>Turnover rate of trade payables (days)</t>
  </si>
  <si>
    <t xml:space="preserve">    Withholding tax liability</t>
  </si>
  <si>
    <t>4. Other short-term liabilities</t>
  </si>
  <si>
    <t xml:space="preserve"> Average withholding tax rate on salaries</t>
  </si>
  <si>
    <t xml:space="preserve">    Social security contribution liability</t>
  </si>
  <si>
    <t xml:space="preserve">    VAT Value added tax liability</t>
  </si>
  <si>
    <t xml:space="preserve">    Other short-term liabilities</t>
  </si>
  <si>
    <t xml:space="preserve">    Accrued expenses</t>
  </si>
  <si>
    <t xml:space="preserve">    Holiday pay liability</t>
  </si>
  <si>
    <t xml:space="preserve">    Calculated pension and ancillary cost liability</t>
  </si>
  <si>
    <t xml:space="preserve"> Pension and ancillary cost liability from holiday pay (%)</t>
  </si>
  <si>
    <t xml:space="preserve"> Advances received as a percentage of turnover</t>
  </si>
  <si>
    <t>4. Other short-term liabilitie</t>
  </si>
  <si>
    <t>FINANCING PLAN</t>
  </si>
  <si>
    <t>Other funds, incomes, subsides</t>
  </si>
  <si>
    <t>Reduction of long-term loans</t>
  </si>
  <si>
    <t>T4 FINANCING PLAN/WORKING CAPITAL (1000 €)</t>
  </si>
  <si>
    <t>Inventory / turnover (%</t>
  </si>
  <si>
    <t>Trade receivables paid (in days)</t>
  </si>
  <si>
    <t xml:space="preserve"> Other income VAT 0 % (subsides, insurance compensations, etc.)</t>
  </si>
  <si>
    <t xml:space="preserve"> Outsourced services</t>
  </si>
  <si>
    <t xml:space="preserve"> Leasing costs from investments VAT 0 %</t>
  </si>
  <si>
    <t xml:space="preserve"> Rents and maintenance charges VAT 0 %</t>
  </si>
  <si>
    <t xml:space="preserve"> Other fixed costs VAT 0 %</t>
  </si>
  <si>
    <t xml:space="preserve"> Investments VAT 0 %</t>
  </si>
  <si>
    <t xml:space="preserve"> Installment credits</t>
  </si>
  <si>
    <t xml:space="preserve"> Total installment credits</t>
  </si>
  <si>
    <t xml:space="preserve"> Increase in loans and installment credits</t>
  </si>
  <si>
    <t xml:space="preserve"> CAPITAL FUNDING, NET</t>
  </si>
  <si>
    <t xml:space="preserve">                                                                                                                                                                                                                                                                                                                                                                                                                                                                                                                                                                                                                                                                                                                                                                                                                                                                                                                                                                                                                                                                                                                                                                                                                                                                                                                                                                                                                                                                                                                                                                                                                                                                                                                                                                                                                                                                                                                                                                                                                                                                                                                                                                                                                                                                                                                                                                                                                                                                                                                                                                                                                                                                                                                                                                                                                                                                                                                                                                                                                                                                                                                                                                                                                                                                                                                                                                                                                                                                                                 </t>
  </si>
  <si>
    <t>Capital loan</t>
  </si>
  <si>
    <t>Share capital</t>
  </si>
  <si>
    <t>Grants (for items 1–7)</t>
  </si>
  <si>
    <t>Instalment</t>
  </si>
  <si>
    <t xml:space="preserve"> Temporary labour</t>
  </si>
  <si>
    <t xml:space="preserve"> Material usage, procurement TOTAL</t>
  </si>
  <si>
    <t>Financial grants, capital loan increase, investment income, asset sales</t>
  </si>
  <si>
    <t>2. Retained earnings from previous financial years</t>
  </si>
  <si>
    <t xml:space="preserve"> Accounts receivables from the previous financial year</t>
  </si>
  <si>
    <t xml:space="preserve"> Hire purchase liabilities, instalment</t>
  </si>
  <si>
    <t xml:space="preserve"> Increase in loans and instalment credits</t>
  </si>
  <si>
    <t xml:space="preserve"> LIABILITIES</t>
  </si>
  <si>
    <t xml:space="preserve"> 1.3 White-Collar Employees </t>
  </si>
  <si>
    <t>T2 RESULT BUDGET</t>
  </si>
  <si>
    <t xml:space="preserve"> Credit 1st Forecast Year</t>
  </si>
  <si>
    <t xml:space="preserve"> Credit 2nd Forecast Year</t>
  </si>
  <si>
    <t xml:space="preserve"> Credit 3th Forecast Year</t>
  </si>
  <si>
    <t xml:space="preserve"> Credit 4th Forecast Year</t>
  </si>
  <si>
    <t xml:space="preserve"> VAT</t>
  </si>
  <si>
    <t>PROFIT/LOSS before extraordinary 
items and taxes</t>
  </si>
  <si>
    <t xml:space="preserve"> • area (m²)</t>
  </si>
  <si>
    <t xml:space="preserve"> • area / volume (m² / m³)</t>
  </si>
  <si>
    <t xml:space="preserve"> • grant %</t>
  </si>
  <si>
    <t xml:space="preserve"> • VAT %</t>
  </si>
  <si>
    <t xml:space="preserve"> Other equipment rental and leasing costs</t>
  </si>
  <si>
    <t xml:space="preserve"> 3.3 Leasing Costs, Investments Incl. VAT</t>
  </si>
  <si>
    <t xml:space="preserve"> 3.4 IT Equipment and Software Costs</t>
  </si>
  <si>
    <t xml:space="preserve"> Equipment and software rental costs</t>
  </si>
  <si>
    <t>• grant percentage</t>
  </si>
  <si>
    <t>Owners' investments</t>
  </si>
  <si>
    <t>Share capital increase</t>
  </si>
  <si>
    <t xml:space="preserve">Reserve for invested non-restricted capital </t>
  </si>
  <si>
    <t>Income financing</t>
  </si>
  <si>
    <t>Other own funding</t>
  </si>
  <si>
    <t>Increase in working capital</t>
  </si>
  <si>
    <t>Other tangible assets</t>
  </si>
  <si>
    <t>Machinery and equipment VAT 0 %</t>
  </si>
  <si>
    <t>Machinery and equipment inc. Vat</t>
  </si>
  <si>
    <t>Buildings VAT 0 %</t>
  </si>
  <si>
    <t>Land and waters</t>
  </si>
  <si>
    <t xml:space="preserve">Increase/decrease in finished goods </t>
  </si>
  <si>
    <t xml:space="preserve"> Staff (employee)</t>
  </si>
  <si>
    <t xml:space="preserve"> NET TURNOVER PER EMPLOYEE </t>
  </si>
  <si>
    <t xml:space="preserve"> Leasing and rental costs, investments incl. VAT</t>
  </si>
  <si>
    <t xml:space="preserve">Other tangible assets </t>
  </si>
  <si>
    <t>Company own financing</t>
  </si>
  <si>
    <t>Cash flow financing</t>
  </si>
  <si>
    <t xml:space="preserve"> Annual Increase in Turnover Generated by the Investment</t>
  </si>
  <si>
    <t>Bank, Finnvera, hire purchase financing etc.</t>
  </si>
  <si>
    <t xml:space="preserve"> Gross wages of entrepreneurs</t>
  </si>
  <si>
    <t xml:space="preserve"> Employer’s payroll costs</t>
  </si>
  <si>
    <t xml:space="preserve"> Entrepreneur´s payroll costs</t>
  </si>
  <si>
    <t xml:space="preserve"> 1.2 Employees </t>
  </si>
  <si>
    <t>Bruttopalkat</t>
  </si>
  <si>
    <t>YEL-hlöt</t>
  </si>
  <si>
    <t>TyEL-hlöt</t>
  </si>
  <si>
    <t>15.1</t>
  </si>
  <si>
    <t>15.2</t>
  </si>
  <si>
    <t>Euro</t>
  </si>
  <si>
    <t xml:space="preserve"> Gross wages, full-time employees</t>
  </si>
  <si>
    <t xml:space="preserve"> Gross Wages of Employees</t>
  </si>
  <si>
    <t xml:space="preserve"> Gross wages, part-time employees</t>
  </si>
  <si>
    <t>15.3</t>
  </si>
  <si>
    <t xml:space="preserve"> Gross Wages of Employees </t>
  </si>
  <si>
    <t>May 16, 2026</t>
  </si>
  <si>
    <t>Enontekiö, Kittilä, Kolari, Muonio, Pello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</si>
</sst>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164" formatCode="0.0\ %"/>
    <numFmt numFmtId="165" formatCode="#,##0_ ;[Red]\-#,##0\ "/>
    <numFmt numFmtId="166" formatCode="0.0"/>
    <numFmt numFmtId="167" formatCode="#,##0.0"/>
    <numFmt numFmtId="168" formatCode="#,##0\ &quot;€&quot;"/>
    <numFmt numFmtId="169" formatCode="#,##0.000"/>
    <numFmt numFmtId="170" formatCode="d\.m\.yyyy;@"/>
    <numFmt numFmtId="171" formatCode="#,##0.0_ ;[Red]\-#,##0.0\ "/>
    <numFmt numFmtId="172" formatCode="#,##0\ _€"/>
  </numFmts>
  <fonts count="95"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b/>
      <i/>
      <sz val="9"/>
      <name val="Arial"/>
      <family val="2"/>
    </font>
    <font>
      <b/>
      <u/>
      <sz val="8"/>
      <name val="Arial"/>
      <family val="2"/>
    </font>
    <font>
      <u/>
      <sz val="9"/>
      <name val="Arial"/>
      <family val="2"/>
    </font>
    <font>
      <b/>
      <sz val="10"/>
      <color rgb="FFFF0000"/>
      <name val="Arial"/>
      <family val="2"/>
    </font>
    <font>
      <sz val="9"/>
      <color rgb="FF000080"/>
      <name val="Arial"/>
      <family val="2"/>
    </font>
    <font>
      <sz val="9"/>
      <color rgb="FF000066"/>
      <name val="Arial"/>
      <family val="2"/>
    </font>
    <font>
      <sz val="10"/>
      <color rgb="FF000066"/>
      <name val="Arial"/>
      <family val="2"/>
    </font>
    <font>
      <b/>
      <sz val="9"/>
      <color rgb="FF000080"/>
      <name val="Arial"/>
      <family val="2"/>
    </font>
    <font>
      <b/>
      <sz val="9"/>
      <color rgb="FF000066"/>
      <name val="Arial"/>
      <family val="2"/>
    </font>
    <font>
      <sz val="9"/>
      <color theme="1"/>
      <name val="Arial"/>
      <family val="2"/>
    </font>
    <font>
      <i/>
      <sz val="8"/>
      <color rgb="FF002060"/>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sz val="9"/>
      <color rgb="FFFF0000"/>
      <name val="Arial"/>
      <family val="2"/>
    </font>
    <font>
      <i/>
      <sz val="8"/>
      <color theme="3"/>
      <name val="Arial"/>
      <family val="2"/>
    </font>
    <font>
      <b/>
      <sz val="9"/>
      <color rgb="FFFF0000"/>
      <name val="Arial"/>
      <family val="2"/>
    </font>
    <font>
      <b/>
      <sz val="10"/>
      <color theme="3"/>
      <name val="Arial"/>
      <family val="2"/>
    </font>
    <font>
      <sz val="8"/>
      <color rgb="FFFF0000"/>
      <name val="Arial"/>
      <family val="2"/>
    </font>
    <font>
      <b/>
      <sz val="9"/>
      <color rgb="FF404040"/>
      <name val="Arial"/>
      <family val="2"/>
    </font>
    <font>
      <b/>
      <sz val="10"/>
      <color theme="0"/>
      <name val="Arial"/>
      <family val="2"/>
    </font>
    <font>
      <b/>
      <sz val="10"/>
      <color indexed="81"/>
      <name val="Tahoma"/>
      <family val="2"/>
    </font>
    <font>
      <sz val="10"/>
      <color indexed="81"/>
      <name val="Tahoma"/>
      <family val="2"/>
    </font>
    <font>
      <b/>
      <sz val="9"/>
      <color rgb="FF002060"/>
      <name val="Arial"/>
      <family val="2"/>
    </font>
    <font>
      <sz val="9"/>
      <color rgb="FF002060"/>
      <name val="Arial"/>
      <family val="2"/>
    </font>
    <font>
      <i/>
      <sz val="9"/>
      <color theme="3"/>
      <name val="Arial"/>
      <family val="2"/>
    </font>
    <font>
      <i/>
      <sz val="8"/>
      <color rgb="FF000066"/>
      <name val="Arial"/>
      <family val="2"/>
    </font>
    <font>
      <i/>
      <sz val="9"/>
      <name val="Arial"/>
      <family val="2"/>
    </font>
    <font>
      <b/>
      <i/>
      <sz val="9"/>
      <color theme="3"/>
      <name val="Arial"/>
      <family val="2"/>
    </font>
    <font>
      <i/>
      <sz val="8"/>
      <color rgb="FF1F497D"/>
      <name val="Arial"/>
      <family val="2"/>
    </font>
    <font>
      <b/>
      <sz val="11"/>
      <color theme="1"/>
      <name val="Arial"/>
      <family val="2"/>
    </font>
    <font>
      <b/>
      <sz val="11"/>
      <color theme="0"/>
      <name val="Arial"/>
      <family val="2"/>
    </font>
    <font>
      <sz val="10"/>
      <color theme="0"/>
      <name val="Arial"/>
      <family val="2"/>
    </font>
    <font>
      <b/>
      <sz val="12"/>
      <color theme="0"/>
      <name val="Arial"/>
      <family val="2"/>
    </font>
    <font>
      <b/>
      <i/>
      <sz val="9"/>
      <color rgb="FF002060"/>
      <name val="Arial"/>
      <family val="2"/>
    </font>
    <font>
      <i/>
      <sz val="8"/>
      <color rgb="FF000080"/>
      <name val="Arial"/>
      <family val="2"/>
    </font>
    <font>
      <b/>
      <sz val="9"/>
      <color theme="0"/>
      <name val="Arial"/>
      <family val="2"/>
    </font>
    <font>
      <b/>
      <sz val="8"/>
      <color theme="0"/>
      <name val="Arial"/>
      <family val="2"/>
    </font>
    <font>
      <sz val="8"/>
      <color theme="0"/>
      <name val="Arial"/>
      <family val="2"/>
    </font>
    <font>
      <sz val="11"/>
      <color theme="0"/>
      <name val="Arial"/>
      <family val="2"/>
    </font>
    <font>
      <sz val="9"/>
      <color theme="0"/>
      <name val="Arial"/>
      <family val="2"/>
    </font>
    <font>
      <b/>
      <i/>
      <sz val="8"/>
      <color theme="0"/>
      <name val="Arial"/>
      <family val="2"/>
    </font>
    <font>
      <i/>
      <sz val="8"/>
      <color theme="1"/>
      <name val="Arial"/>
      <family val="2"/>
    </font>
    <font>
      <b/>
      <i/>
      <sz val="8"/>
      <color theme="1"/>
      <name val="Arial"/>
      <family val="2"/>
    </font>
    <font>
      <b/>
      <sz val="9"/>
      <color theme="1"/>
      <name val="Arial"/>
      <family val="2"/>
    </font>
    <font>
      <b/>
      <sz val="8"/>
      <color theme="1"/>
      <name val="Arial"/>
      <family val="2"/>
    </font>
    <font>
      <b/>
      <sz val="11"/>
      <color rgb="FFFF0000"/>
      <name val="Arial"/>
      <family val="2"/>
    </font>
    <font>
      <b/>
      <sz val="11"/>
      <color indexed="81"/>
      <name val="Tahoma"/>
      <family val="2"/>
    </font>
    <font>
      <i/>
      <sz val="10"/>
      <color indexed="81"/>
      <name val="Tahoma"/>
      <family val="2"/>
    </font>
    <font>
      <i/>
      <sz val="8"/>
      <color rgb="FFFF0000"/>
      <name val="Arial"/>
      <family val="2"/>
    </font>
    <font>
      <b/>
      <sz val="10"/>
      <color theme="1"/>
      <name val="Arial"/>
      <family val="2"/>
    </font>
    <font>
      <sz val="11"/>
      <color indexed="81"/>
      <name val="Tahoma"/>
      <family val="2"/>
    </font>
    <font>
      <b/>
      <i/>
      <sz val="9"/>
      <color indexed="81"/>
      <name val="Tahoma"/>
      <family val="2"/>
    </font>
    <font>
      <i/>
      <sz val="9"/>
      <color indexed="81"/>
      <name val="Tahoma"/>
      <family val="2"/>
    </font>
    <font>
      <b/>
      <sz val="9"/>
      <color rgb="FF242424"/>
      <name val="Arial"/>
      <family val="2"/>
    </font>
    <font>
      <b/>
      <i/>
      <sz val="10"/>
      <color indexed="81"/>
      <name val="Tahoma"/>
      <family val="2"/>
    </font>
    <font>
      <i/>
      <sz val="8"/>
      <color theme="0"/>
      <name val="Arial"/>
      <family val="2"/>
    </font>
  </fonts>
  <fills count="1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152A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C000"/>
        <bgColor indexed="64"/>
      </patternFill>
    </fill>
    <fill>
      <patternFill patternType="solid">
        <fgColor rgb="FFE1E1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4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theme="4" tint="0.39994506668294322"/>
      </top>
      <bottom style="thin">
        <color theme="4" tint="0.399945066682943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top/>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medium">
        <color theme="0" tint="-0.34998626667073579"/>
      </top>
      <bottom/>
      <diagonal/>
    </border>
    <border>
      <left/>
      <right style="thin">
        <color indexed="64"/>
      </right>
      <top/>
      <bottom style="medium">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right/>
      <top style="dashed">
        <color theme="0" tint="-0.34998626667073579"/>
      </top>
      <bottom style="dashed">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theme="0" tint="-0.34998626667073579"/>
      </bottom>
      <diagonal/>
    </border>
    <border>
      <left style="thin">
        <color theme="0" tint="-0.24994659260841701"/>
      </left>
      <right style="thin">
        <color theme="0" tint="-0.24994659260841701"/>
      </right>
      <top/>
      <bottom/>
      <diagonal/>
    </border>
    <border>
      <left/>
      <right style="thin">
        <color theme="0" tint="-0.24994659260841701"/>
      </right>
      <top style="dashed">
        <color theme="0" tint="-0.34998626667073579"/>
      </top>
      <bottom style="dashed">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indexed="64"/>
      </left>
      <right style="medium">
        <color theme="0" tint="-0.34998626667073579"/>
      </right>
      <top style="medium">
        <color theme="0" tint="-0.34998626667073579"/>
      </top>
      <bottom style="thin">
        <color indexed="64"/>
      </bottom>
      <diagonal/>
    </border>
    <border>
      <left style="thin">
        <color indexed="64"/>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medium">
        <color theme="0" tint="-0.34998626667073579"/>
      </right>
      <top style="thin">
        <color indexed="64"/>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indexed="64"/>
      </right>
      <top/>
      <bottom/>
      <diagonal/>
    </border>
    <border>
      <left style="thin">
        <color indexed="64"/>
      </left>
      <right style="thin">
        <color indexed="64"/>
      </right>
      <top/>
      <bottom style="medium">
        <color theme="0" tint="-0.34998626667073579"/>
      </bottom>
      <diagonal/>
    </border>
    <border>
      <left/>
      <right/>
      <top style="medium">
        <color theme="0" tint="-0.34998626667073579"/>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tted">
        <color indexed="64"/>
      </top>
      <bottom style="hair">
        <color indexed="64"/>
      </bottom>
      <diagonal/>
    </border>
    <border>
      <left style="thin">
        <color indexed="64"/>
      </left>
      <right style="medium">
        <color theme="0" tint="-0.34998626667073579"/>
      </right>
      <top/>
      <bottom/>
      <diagonal/>
    </border>
    <border>
      <left style="thin">
        <color indexed="64"/>
      </left>
      <right style="medium">
        <color theme="0" tint="-0.34998626667073579"/>
      </right>
      <top style="thin">
        <color indexed="64"/>
      </top>
      <bottom/>
      <diagonal/>
    </border>
    <border>
      <left/>
      <right/>
      <top style="hair">
        <color indexed="64"/>
      </top>
      <bottom style="medium">
        <color theme="0" tint="-0.34998626667073579"/>
      </bottom>
      <diagonal/>
    </border>
    <border>
      <left/>
      <right style="thin">
        <color indexed="64"/>
      </right>
      <top style="hair">
        <color indexed="64"/>
      </top>
      <bottom style="medium">
        <color theme="0" tint="-0.34998626667073579"/>
      </bottom>
      <diagonal/>
    </border>
    <border>
      <left/>
      <right style="thin">
        <color indexed="64"/>
      </right>
      <top style="hair">
        <color indexed="64"/>
      </top>
      <bottom style="thin">
        <color theme="0" tint="-0.34998626667073579"/>
      </bottom>
      <diagonal/>
    </border>
    <border>
      <left/>
      <right/>
      <top style="hair">
        <color indexed="64"/>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top style="dotted">
        <color theme="0" tint="-0.34998626667073579"/>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theme="0" tint="-0.34998626667073579"/>
      </right>
      <top style="medium">
        <color indexed="64"/>
      </top>
      <bottom style="medium">
        <color indexed="64"/>
      </bottom>
      <diagonal/>
    </border>
    <border>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right style="thin">
        <color theme="0" tint="-0.24994659260841701"/>
      </right>
      <top style="dotted">
        <color theme="0" tint="-0.34998626667073579"/>
      </top>
      <bottom style="dotted">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24994659260841701"/>
      </left>
      <right/>
      <top style="dotted">
        <color theme="0" tint="-0.34998626667073579"/>
      </top>
      <bottom style="dott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dashed">
        <color theme="0" tint="-0.34998626667073579"/>
      </top>
      <bottom/>
      <diagonal/>
    </border>
    <border>
      <left/>
      <right style="thin">
        <color indexed="64"/>
      </right>
      <top style="dashed">
        <color theme="0" tint="-0.34998626667073579"/>
      </top>
      <bottom/>
      <diagonal/>
    </border>
    <border>
      <left/>
      <right style="thin">
        <color indexed="64"/>
      </right>
      <top style="dotted">
        <color theme="0" tint="-0.34998626667073579"/>
      </top>
      <bottom style="dotted">
        <color theme="0" tint="-0.34998626667073579"/>
      </bottom>
      <diagonal/>
    </border>
    <border>
      <left/>
      <right style="thin">
        <color theme="0" tint="-0.34998626667073579"/>
      </right>
      <top/>
      <bottom style="hair">
        <color indexed="64"/>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style="thin">
        <color theme="0" tint="-0.24994659260841701"/>
      </top>
      <bottom/>
      <diagonal/>
    </border>
    <border>
      <left/>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thin">
        <color theme="0" tint="-0.34998626667073579"/>
      </left>
      <right style="dotted">
        <color auto="1"/>
      </right>
      <top style="dashed">
        <color theme="0" tint="-0.34998626667073579"/>
      </top>
      <bottom style="dashed">
        <color theme="0" tint="-0.34998626667073579"/>
      </bottom>
      <diagonal/>
    </border>
    <border>
      <left style="dotted">
        <color auto="1"/>
      </left>
      <right style="thin">
        <color theme="0" tint="-0.34998626667073579"/>
      </right>
      <top style="dashed">
        <color theme="0" tint="-0.34998626667073579"/>
      </top>
      <bottom style="dashed">
        <color theme="0" tint="-0.34998626667073579"/>
      </bottom>
      <diagonal/>
    </border>
    <border>
      <left style="thin">
        <color theme="0" tint="-0.34998626667073579"/>
      </left>
      <right style="dotted">
        <color auto="1"/>
      </right>
      <top style="dashed">
        <color theme="0" tint="-0.34998626667073579"/>
      </top>
      <bottom/>
      <diagonal/>
    </border>
    <border>
      <left style="dotted">
        <color auto="1"/>
      </left>
      <right style="thin">
        <color theme="0" tint="-0.34998626667073579"/>
      </right>
      <top style="dashed">
        <color theme="0" tint="-0.34998626667073579"/>
      </top>
      <bottom/>
      <diagonal/>
    </border>
    <border>
      <left style="thin">
        <color theme="0" tint="-0.34998626667073579"/>
      </left>
      <right style="dotted">
        <color auto="1"/>
      </right>
      <top/>
      <bottom style="thin">
        <color theme="0" tint="-0.34998626667073579"/>
      </bottom>
      <diagonal/>
    </border>
    <border>
      <left style="dotted">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right style="dashed">
        <color theme="0" tint="-0.34998626667073579"/>
      </right>
      <top/>
      <bottom/>
      <diagonal/>
    </border>
    <border>
      <left style="dashed">
        <color theme="0" tint="-0.34998626667073579"/>
      </left>
      <right style="dashed">
        <color theme="0" tint="-0.34998626667073579"/>
      </right>
      <top/>
      <bottom/>
      <diagonal/>
    </border>
    <border>
      <left/>
      <right style="dashed">
        <color theme="0" tint="-0.34998626667073579"/>
      </right>
      <top style="dashed">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thin">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dotted">
        <color auto="1"/>
      </right>
      <top/>
      <bottom/>
      <diagonal/>
    </border>
    <border>
      <left style="dotted">
        <color auto="1"/>
      </left>
      <right style="thin">
        <color theme="0" tint="-0.34998626667073579"/>
      </right>
      <top/>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top/>
      <bottom style="thin">
        <color theme="0" tint="-0.249977111117893"/>
      </bottom>
      <diagonal/>
    </border>
    <border>
      <left/>
      <right/>
      <top style="dashed">
        <color theme="0" tint="-0.34998626667073579"/>
      </top>
      <bottom style="thin">
        <color theme="0" tint="-0.34998626667073579"/>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249977111117893"/>
      </left>
      <right/>
      <top/>
      <bottom style="dashed">
        <color theme="0" tint="-0.34998626667073579"/>
      </bottom>
      <diagonal/>
    </border>
    <border>
      <left style="thin">
        <color theme="0" tint="-0.249977111117893"/>
      </left>
      <right/>
      <top style="dashed">
        <color theme="0" tint="-0.34998626667073579"/>
      </top>
      <bottom style="dashed">
        <color theme="0" tint="-0.34998626667073579"/>
      </bottom>
      <diagonal/>
    </border>
    <border>
      <left style="thin">
        <color theme="0" tint="-0.249977111117893"/>
      </left>
      <right/>
      <top style="dashed">
        <color theme="0" tint="-0.34998626667073579"/>
      </top>
      <bottom/>
      <diagonal/>
    </border>
    <border>
      <left style="thin">
        <color theme="0" tint="-0.249977111117893"/>
      </left>
      <right/>
      <top/>
      <bottom style="dotted">
        <color indexed="64"/>
      </bottom>
      <diagonal/>
    </border>
    <border>
      <left style="thin">
        <color theme="0" tint="-0.249977111117893"/>
      </left>
      <right/>
      <top style="dotted">
        <color indexed="64"/>
      </top>
      <bottom style="dotted">
        <color indexed="64"/>
      </bottom>
      <diagonal/>
    </border>
    <border>
      <left style="thin">
        <color theme="0" tint="-0.249977111117893"/>
      </left>
      <right/>
      <top style="dotted">
        <color indexed="64"/>
      </top>
      <bottom/>
      <diagonal/>
    </border>
    <border>
      <left style="thin">
        <color theme="0" tint="-0.249977111117893"/>
      </left>
      <right/>
      <top style="dashed">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dashed">
        <color theme="0" tint="-0.34998626667073579"/>
      </bottom>
      <diagonal/>
    </border>
    <border>
      <left style="thin">
        <color theme="0" tint="-0.249977111117893"/>
      </left>
      <right/>
      <top/>
      <bottom style="thin">
        <color theme="0" tint="-0.34998626667073579"/>
      </bottom>
      <diagonal/>
    </border>
    <border>
      <left style="dashed">
        <color theme="0" tint="-0.34998626667073579"/>
      </left>
      <right style="thin">
        <color theme="0" tint="-0.249977111117893"/>
      </right>
      <top/>
      <bottom style="dashed">
        <color theme="0" tint="-0.34998626667073579"/>
      </bottom>
      <diagonal/>
    </border>
    <border>
      <left style="dashed">
        <color theme="0" tint="-0.34998626667073579"/>
      </left>
      <right style="thin">
        <color theme="0" tint="-0.249977111117893"/>
      </right>
      <top style="dashed">
        <color theme="0" tint="-0.34998626667073579"/>
      </top>
      <bottom style="dashed">
        <color theme="0" tint="-0.34998626667073579"/>
      </bottom>
      <diagonal/>
    </border>
    <border>
      <left style="dashed">
        <color theme="0" tint="-0.34998626667073579"/>
      </left>
      <right style="thin">
        <color theme="0" tint="-0.249977111117893"/>
      </right>
      <top style="dashed">
        <color theme="0" tint="-0.34998626667073579"/>
      </top>
      <bottom/>
      <diagonal/>
    </border>
    <border>
      <left style="dotted">
        <color auto="1"/>
      </left>
      <right style="thin">
        <color theme="0" tint="-0.249977111117893"/>
      </right>
      <top/>
      <bottom style="dotted">
        <color auto="1"/>
      </bottom>
      <diagonal/>
    </border>
    <border>
      <left style="dotted">
        <color auto="1"/>
      </left>
      <right style="thin">
        <color theme="0" tint="-0.249977111117893"/>
      </right>
      <top style="dotted">
        <color auto="1"/>
      </top>
      <bottom style="dotted">
        <color auto="1"/>
      </bottom>
      <diagonal/>
    </border>
    <border>
      <left style="dotted">
        <color auto="1"/>
      </left>
      <right style="thin">
        <color theme="0" tint="-0.249977111117893"/>
      </right>
      <top style="dotted">
        <color auto="1"/>
      </top>
      <bottom/>
      <diagonal/>
    </border>
    <border>
      <left style="dashed">
        <color theme="0" tint="-0.34998626667073579"/>
      </left>
      <right style="thin">
        <color theme="0" tint="-0.249977111117893"/>
      </right>
      <top/>
      <bottom/>
      <diagonal/>
    </border>
    <border>
      <left style="dashed">
        <color theme="0" tint="-0.34998626667073579"/>
      </left>
      <right style="thin">
        <color theme="0" tint="-0.249977111117893"/>
      </right>
      <top style="dashed">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dashed">
        <color theme="0" tint="-0.34998626667073579"/>
      </left>
      <right style="thin">
        <color theme="0" tint="-0.249977111117893"/>
      </right>
      <top style="thin">
        <color theme="0" tint="-0.34998626667073579"/>
      </top>
      <bottom style="dashed">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style="thin">
        <color theme="0" tint="-0.249977111117893"/>
      </right>
      <top/>
      <bottom style="dashed">
        <color theme="0" tint="-0.34998626667073579"/>
      </bottom>
      <diagonal/>
    </border>
    <border>
      <left/>
      <right style="thin">
        <color theme="0" tint="-0.249977111117893"/>
      </right>
      <top style="dashed">
        <color theme="0" tint="-0.34998626667073579"/>
      </top>
      <bottom style="dashed">
        <color theme="0" tint="-0.34998626667073579"/>
      </bottom>
      <diagonal/>
    </border>
    <border>
      <left/>
      <right style="thin">
        <color theme="0" tint="-0.249977111117893"/>
      </right>
      <top style="dashed">
        <color theme="0" tint="-0.34998626667073579"/>
      </top>
      <bottom/>
      <diagonal/>
    </border>
    <border>
      <left/>
      <right style="thin">
        <color theme="0" tint="-0.249977111117893"/>
      </right>
      <top/>
      <bottom style="dotted">
        <color auto="1"/>
      </bottom>
      <diagonal/>
    </border>
    <border>
      <left/>
      <right style="thin">
        <color theme="0" tint="-0.249977111117893"/>
      </right>
      <top style="dotted">
        <color auto="1"/>
      </top>
      <bottom style="dotted">
        <color auto="1"/>
      </bottom>
      <diagonal/>
    </border>
    <border>
      <left/>
      <right style="thin">
        <color theme="0" tint="-0.249977111117893"/>
      </right>
      <top style="dotted">
        <color auto="1"/>
      </top>
      <bottom/>
      <diagonal/>
    </border>
    <border>
      <left/>
      <right style="thin">
        <color theme="0" tint="-0.249977111117893"/>
      </right>
      <top style="dashed">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dashed">
        <color theme="0" tint="-0.34998626667073579"/>
      </bottom>
      <diagonal/>
    </border>
    <border>
      <left style="thin">
        <color theme="0" tint="-0.249977111117893"/>
      </left>
      <right style="dashed">
        <color theme="0" tint="-0.34998626667073579"/>
      </right>
      <top/>
      <bottom style="dashed">
        <color theme="0" tint="-0.34998626667073579"/>
      </bottom>
      <diagonal/>
    </border>
    <border>
      <left style="thin">
        <color theme="0" tint="-0.249977111117893"/>
      </left>
      <right style="dashed">
        <color theme="0" tint="-0.34998626667073579"/>
      </right>
      <top style="dashed">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diagonal/>
    </border>
    <border>
      <left style="thin">
        <color theme="0" tint="-0.249977111117893"/>
      </left>
      <right style="dotted">
        <color auto="1"/>
      </right>
      <top/>
      <bottom style="dotted">
        <color auto="1"/>
      </bottom>
      <diagonal/>
    </border>
    <border>
      <left style="thin">
        <color theme="0" tint="-0.249977111117893"/>
      </left>
      <right style="dotted">
        <color auto="1"/>
      </right>
      <top style="dotted">
        <color auto="1"/>
      </top>
      <bottom style="dotted">
        <color auto="1"/>
      </bottom>
      <diagonal/>
    </border>
    <border>
      <left style="thin">
        <color theme="0" tint="-0.249977111117893"/>
      </left>
      <right style="dotted">
        <color auto="1"/>
      </right>
      <top style="dotted">
        <color auto="1"/>
      </top>
      <bottom/>
      <diagonal/>
    </border>
    <border>
      <left style="thin">
        <color theme="0" tint="-0.249977111117893"/>
      </left>
      <right style="dashed">
        <color theme="0" tint="-0.34998626667073579"/>
      </right>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dashed">
        <color theme="0" tint="-0.34998626667073579"/>
      </right>
      <top style="thin">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34998626667073579"/>
      </top>
      <bottom/>
      <diagonal/>
    </border>
    <border>
      <left/>
      <right style="thin">
        <color theme="0" tint="-0.249977111117893"/>
      </right>
      <top/>
      <bottom style="thin">
        <color theme="0" tint="-0.34998626667073579"/>
      </bottom>
      <diagonal/>
    </border>
    <border>
      <left/>
      <right style="thin">
        <color theme="0" tint="-0.499984740745262"/>
      </right>
      <top/>
      <bottom style="medium">
        <color indexed="64"/>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right style="thin">
        <color theme="0" tint="-0.34998626667073579"/>
      </right>
      <top style="dotted">
        <color theme="0" tint="-0.34998626667073579"/>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theme="3" tint="0.59996337778862885"/>
      </bottom>
      <diagonal/>
    </border>
    <border>
      <left/>
      <right/>
      <top style="medium">
        <color theme="1" tint="0.499984740745262"/>
      </top>
      <bottom style="thin">
        <color indexed="64"/>
      </bottom>
      <diagonal/>
    </border>
    <border>
      <left/>
      <right style="thin">
        <color indexed="64"/>
      </right>
      <top style="medium">
        <color theme="1" tint="0.499984740745262"/>
      </top>
      <bottom style="thin">
        <color indexed="64"/>
      </bottom>
      <diagonal/>
    </border>
    <border>
      <left style="thin">
        <color indexed="64"/>
      </left>
      <right style="thin">
        <color indexed="64"/>
      </right>
      <top style="medium">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right/>
      <top style="medium">
        <color theme="1" tint="0.499984740745262"/>
      </top>
      <bottom/>
      <diagonal/>
    </border>
    <border>
      <left/>
      <right style="thin">
        <color indexed="64"/>
      </right>
      <top style="medium">
        <color theme="1" tint="0.499984740745262"/>
      </top>
      <bottom/>
      <diagonal/>
    </border>
    <border>
      <left style="thin">
        <color indexed="64"/>
      </left>
      <right style="thin">
        <color indexed="64"/>
      </right>
      <top style="medium">
        <color theme="1" tint="0.499984740745262"/>
      </top>
      <bottom/>
      <diagonal/>
    </border>
    <border>
      <left/>
      <right/>
      <top style="thin">
        <color theme="1" tint="0.499984740745262"/>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style="thin">
        <color theme="1"/>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indexed="64"/>
      </left>
      <right style="thin">
        <color indexed="64"/>
      </right>
      <top style="thin">
        <color theme="1"/>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thin">
        <color indexed="64"/>
      </right>
      <top style="medium">
        <color theme="0" tint="-0.24994659260841701"/>
      </top>
      <bottom/>
      <diagonal/>
    </border>
    <border>
      <left style="thin">
        <color indexed="64"/>
      </left>
      <right style="thin">
        <color indexed="64"/>
      </right>
      <top style="medium">
        <color theme="0" tint="-0.24994659260841701"/>
      </top>
      <bottom/>
      <diagonal/>
    </border>
    <border>
      <left style="thin">
        <color indexed="64"/>
      </left>
      <right style="medium">
        <color theme="0" tint="-0.24994659260841701"/>
      </right>
      <top style="medium">
        <color theme="0" tint="-0.24994659260841701"/>
      </top>
      <bottom/>
      <diagonal/>
    </border>
    <border>
      <left style="medium">
        <color theme="0" tint="-0.24994659260841701"/>
      </left>
      <right/>
      <top/>
      <bottom/>
      <diagonal/>
    </border>
    <border>
      <left style="thin">
        <color indexed="64"/>
      </left>
      <right style="medium">
        <color theme="0" tint="-0.24994659260841701"/>
      </right>
      <top/>
      <bottom/>
      <diagonal/>
    </border>
    <border>
      <left style="thin">
        <color indexed="64"/>
      </left>
      <right style="medium">
        <color theme="0" tint="-0.24994659260841701"/>
      </right>
      <top/>
      <bottom style="thin">
        <color indexed="64"/>
      </bottom>
      <diagonal/>
    </border>
    <border>
      <left style="thin">
        <color indexed="64"/>
      </left>
      <right style="medium">
        <color theme="0" tint="-0.24994659260841701"/>
      </right>
      <top style="thin">
        <color indexed="64"/>
      </top>
      <bottom style="thin">
        <color indexed="64"/>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thin">
        <color indexed="64"/>
      </bottom>
      <diagonal/>
    </border>
    <border>
      <left style="thin">
        <color indexed="64"/>
      </left>
      <right style="thin">
        <color indexed="64"/>
      </right>
      <top style="thin">
        <color indexed="64"/>
      </top>
      <bottom style="medium">
        <color theme="0" tint="-0.24994659260841701"/>
      </bottom>
      <diagonal/>
    </border>
    <border>
      <left style="thin">
        <color indexed="64"/>
      </left>
      <right style="medium">
        <color theme="0" tint="-0.24994659260841701"/>
      </right>
      <top/>
      <bottom style="medium">
        <color theme="0" tint="-0.24994659260841701"/>
      </bottom>
      <diagonal/>
    </border>
    <border>
      <left style="thin">
        <color indexed="64"/>
      </left>
      <right style="thin">
        <color indexed="64"/>
      </right>
      <top/>
      <bottom style="medium">
        <color theme="0" tint="-0.24994659260841701"/>
      </bottom>
      <diagonal/>
    </border>
    <border>
      <left style="medium">
        <color theme="0" tint="-0.24994659260841701"/>
      </left>
      <right/>
      <top style="medium">
        <color indexed="64"/>
      </top>
      <bottom style="thin">
        <color indexed="64"/>
      </bottom>
      <diagonal/>
    </border>
    <border>
      <left style="thin">
        <color indexed="64"/>
      </left>
      <right style="medium">
        <color theme="0" tint="-0.24994659260841701"/>
      </right>
      <top style="medium">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top style="thin">
        <color indexed="64"/>
      </top>
      <bottom/>
      <diagonal/>
    </border>
    <border>
      <left style="medium">
        <color theme="0" tint="-0.24994659260841701"/>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style="medium">
        <color theme="0" tint="-0.24994659260841701"/>
      </right>
      <top style="medium">
        <color theme="0" tint="-0.24994659260841701"/>
      </top>
      <bottom/>
      <diagonal/>
    </border>
    <border>
      <left style="thin">
        <color theme="0" tint="-0.34998626667073579"/>
      </left>
      <right style="medium">
        <color auto="1"/>
      </right>
      <top style="medium">
        <color auto="1"/>
      </top>
      <bottom style="medium">
        <color auto="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thin">
        <color indexed="64"/>
      </right>
      <top style="medium">
        <color indexed="64"/>
      </top>
      <bottom style="medium">
        <color indexed="64"/>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style="hair">
        <color theme="1"/>
      </top>
      <bottom style="hair">
        <color theme="1"/>
      </bottom>
      <diagonal/>
    </border>
    <border>
      <left/>
      <right/>
      <top style="hair">
        <color theme="1"/>
      </top>
      <bottom style="hair">
        <color theme="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diagonal/>
    </border>
    <border>
      <left style="hair">
        <color theme="1"/>
      </left>
      <right/>
      <top style="hair">
        <color theme="1"/>
      </top>
      <bottom style="hair">
        <color theme="1"/>
      </bottom>
      <diagonal/>
    </border>
    <border>
      <left style="hair">
        <color theme="1"/>
      </left>
      <right style="hair">
        <color theme="1"/>
      </right>
      <top style="hair">
        <color theme="1"/>
      </top>
      <bottom style="thin">
        <color theme="0" tint="-0.34998626667073579"/>
      </bottom>
      <diagonal/>
    </border>
    <border>
      <left style="hair">
        <color theme="1"/>
      </left>
      <right/>
      <top style="hair">
        <color theme="1"/>
      </top>
      <bottom style="thin">
        <color theme="0" tint="-0.34998626667073579"/>
      </bottom>
      <diagonal/>
    </border>
    <border>
      <left/>
      <right/>
      <top style="hair">
        <color theme="1"/>
      </top>
      <bottom style="thin">
        <color theme="0" tint="-0.34998626667073579"/>
      </bottom>
      <diagonal/>
    </border>
    <border>
      <left/>
      <right style="hair">
        <color theme="1"/>
      </right>
      <top style="hair">
        <color theme="1"/>
      </top>
      <bottom style="thin">
        <color theme="0" tint="-0.34998626667073579"/>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medium">
        <color theme="0" tint="-0.34998626667073579"/>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indexed="64"/>
      </top>
      <bottom style="medium">
        <color indexed="64"/>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top style="medium">
        <color theme="0" tint="-0.34998626667073579"/>
      </top>
      <bottom/>
      <diagonal/>
    </border>
    <border>
      <left/>
      <right style="thin">
        <color theme="1"/>
      </right>
      <top style="medium">
        <color theme="0" tint="-0.34998626667073579"/>
      </top>
      <bottom style="thin">
        <color theme="0" tint="-0.34998626667073579"/>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diagonal/>
    </border>
    <border>
      <left style="thin">
        <color theme="1"/>
      </left>
      <right/>
      <top style="dotted">
        <color theme="0" tint="-0.24994659260841701"/>
      </top>
      <bottom style="dotted">
        <color theme="0" tint="-0.24994659260841701"/>
      </bottom>
      <diagonal/>
    </border>
    <border>
      <left style="thin">
        <color theme="1"/>
      </left>
      <right/>
      <top style="dashed">
        <color theme="0" tint="-0.34998626667073579"/>
      </top>
      <bottom/>
      <diagonal/>
    </border>
    <border>
      <left style="thin">
        <color theme="1"/>
      </left>
      <right/>
      <top style="dotted">
        <color theme="0" tint="-0.34998626667073579"/>
      </top>
      <bottom style="dotted">
        <color theme="0" tint="-0.34998626667073579"/>
      </bottom>
      <diagonal/>
    </border>
    <border>
      <left style="thin">
        <color theme="1"/>
      </left>
      <right/>
      <top style="dotted">
        <color theme="0" tint="-0.34998626667073579"/>
      </top>
      <bottom/>
      <diagonal/>
    </border>
    <border>
      <left/>
      <right style="thin">
        <color theme="1"/>
      </right>
      <top/>
      <bottom/>
      <diagonal/>
    </border>
    <border>
      <left/>
      <right style="thin">
        <color theme="1"/>
      </right>
      <top/>
      <bottom style="thin">
        <color theme="1"/>
      </bottom>
      <diagonal/>
    </border>
    <border>
      <left style="thin">
        <color indexed="64"/>
      </left>
      <right/>
      <top style="medium">
        <color theme="1" tint="0.499984740745262"/>
      </top>
      <bottom style="thin">
        <color indexed="64"/>
      </bottom>
      <diagonal/>
    </border>
    <border>
      <left style="thin">
        <color indexed="64"/>
      </left>
      <right/>
      <top style="medium">
        <color theme="1" tint="0.499984740745262"/>
      </top>
      <bottom/>
      <diagonal/>
    </border>
    <border>
      <left style="thin">
        <color indexed="64"/>
      </left>
      <right/>
      <top style="thin">
        <color theme="1" tint="0.499984740745262"/>
      </top>
      <bottom style="thin">
        <color indexed="64"/>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8" fillId="0" borderId="0"/>
    <xf numFmtId="9" fontId="6" fillId="0" borderId="0" applyFont="0" applyFill="0" applyBorder="0" applyAlignment="0" applyProtection="0"/>
  </cellStyleXfs>
  <cellXfs count="2944">
    <xf numFmtId="0" fontId="0" fillId="0" borderId="0" xfId="0"/>
    <xf numFmtId="0" fontId="8" fillId="0" borderId="0" xfId="0" applyFont="1"/>
    <xf numFmtId="0" fontId="9" fillId="0" borderId="0" xfId="0" applyFont="1"/>
    <xf numFmtId="3" fontId="9" fillId="0" borderId="0" xfId="0" applyNumberFormat="1" applyFont="1" applyProtection="1">
      <protection hidden="1"/>
    </xf>
    <xf numFmtId="0" fontId="15" fillId="0" borderId="0" xfId="0" applyFont="1"/>
    <xf numFmtId="14" fontId="9" fillId="0" borderId="0" xfId="0" applyNumberFormat="1" applyFont="1" applyAlignment="1">
      <alignment horizontal="center"/>
    </xf>
    <xf numFmtId="0" fontId="9" fillId="0" borderId="0" xfId="0" applyFont="1" applyAlignment="1">
      <alignment horizontal="center"/>
    </xf>
    <xf numFmtId="3" fontId="8" fillId="0" borderId="0" xfId="0" applyNumberFormat="1" applyFont="1" applyProtection="1">
      <protection hidden="1"/>
    </xf>
    <xf numFmtId="0" fontId="0" fillId="2" borderId="0" xfId="0" applyFill="1"/>
    <xf numFmtId="3" fontId="9" fillId="2" borderId="0" xfId="0" applyNumberFormat="1" applyFont="1" applyFill="1" applyProtection="1">
      <protection hidden="1"/>
    </xf>
    <xf numFmtId="0" fontId="9" fillId="2" borderId="0" xfId="0" applyFont="1" applyFill="1" applyProtection="1">
      <protection hidden="1"/>
    </xf>
    <xf numFmtId="4" fontId="8" fillId="2" borderId="0" xfId="0" applyNumberFormat="1" applyFont="1" applyFill="1" applyProtection="1">
      <protection hidden="1"/>
    </xf>
    <xf numFmtId="3" fontId="8" fillId="2" borderId="0" xfId="0" applyNumberFormat="1" applyFont="1" applyFill="1" applyProtection="1">
      <protection hidden="1"/>
    </xf>
    <xf numFmtId="0" fontId="13" fillId="2" borderId="0" xfId="0" applyFont="1" applyFill="1"/>
    <xf numFmtId="164" fontId="8" fillId="2" borderId="0" xfId="0" applyNumberFormat="1" applyFont="1" applyFill="1" applyProtection="1">
      <protection hidden="1"/>
    </xf>
    <xf numFmtId="4" fontId="9" fillId="2" borderId="0" xfId="0" applyNumberFormat="1" applyFont="1" applyFill="1" applyProtection="1">
      <protection hidden="1"/>
    </xf>
    <xf numFmtId="3" fontId="0" fillId="2" borderId="0" xfId="0" applyNumberFormat="1" applyFill="1" applyProtection="1">
      <protection hidden="1"/>
    </xf>
    <xf numFmtId="167" fontId="9" fillId="2" borderId="0" xfId="0" applyNumberFormat="1" applyFont="1" applyFill="1" applyProtection="1">
      <protection hidden="1"/>
    </xf>
    <xf numFmtId="14" fontId="0" fillId="0" borderId="0" xfId="0" applyNumberFormat="1"/>
    <xf numFmtId="0" fontId="18" fillId="0" borderId="0" xfId="0" applyFont="1"/>
    <xf numFmtId="0" fontId="8" fillId="2" borderId="0" xfId="0" applyFont="1" applyFill="1"/>
    <xf numFmtId="1" fontId="0" fillId="0" borderId="0" xfId="0" applyNumberFormat="1"/>
    <xf numFmtId="0" fontId="0" fillId="0" borderId="0" xfId="0" applyAlignment="1">
      <alignment horizontal="right" vertical="top" wrapText="1"/>
    </xf>
    <xf numFmtId="3" fontId="22" fillId="2" borderId="0" xfId="0" applyNumberFormat="1" applyFont="1" applyFill="1" applyProtection="1">
      <protection hidden="1"/>
    </xf>
    <xf numFmtId="0" fontId="11" fillId="0" borderId="0" xfId="0" applyFont="1"/>
    <xf numFmtId="0" fontId="7" fillId="0" borderId="0" xfId="0" applyFont="1" applyAlignment="1">
      <alignment horizontal="center"/>
    </xf>
    <xf numFmtId="1" fontId="9" fillId="0" borderId="0" xfId="0" applyNumberFormat="1" applyFont="1" applyAlignment="1">
      <alignment horizontal="center"/>
    </xf>
    <xf numFmtId="164" fontId="8" fillId="0" borderId="0" xfId="0" applyNumberFormat="1" applyFont="1"/>
    <xf numFmtId="0" fontId="19" fillId="2" borderId="0" xfId="0" applyFont="1" applyFill="1"/>
    <xf numFmtId="0" fontId="18" fillId="0" borderId="0" xfId="0" applyFont="1" applyAlignment="1">
      <alignment horizontal="right"/>
    </xf>
    <xf numFmtId="0" fontId="14" fillId="0" borderId="0" xfId="0" applyFont="1"/>
    <xf numFmtId="3" fontId="15" fillId="0" borderId="0" xfId="0" applyNumberFormat="1" applyFont="1" applyProtection="1">
      <protection hidden="1"/>
    </xf>
    <xf numFmtId="3" fontId="15" fillId="0" borderId="0" xfId="0" applyNumberFormat="1" applyFont="1"/>
    <xf numFmtId="0" fontId="8" fillId="2" borderId="0" xfId="0" applyFont="1" applyFill="1" applyAlignment="1">
      <alignment horizontal="right"/>
    </xf>
    <xf numFmtId="49" fontId="8" fillId="2"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7" fontId="8" fillId="2" borderId="0" xfId="0" applyNumberFormat="1" applyFont="1" applyFill="1"/>
    <xf numFmtId="0" fontId="9" fillId="2" borderId="0" xfId="0" applyFont="1" applyFill="1" applyAlignment="1">
      <alignment horizontal="left"/>
    </xf>
    <xf numFmtId="3" fontId="0" fillId="0" borderId="0" xfId="0" applyNumberFormat="1"/>
    <xf numFmtId="0" fontId="0" fillId="0" borderId="0" xfId="0" applyAlignment="1">
      <alignment horizontal="center"/>
    </xf>
    <xf numFmtId="0" fontId="13" fillId="0" borderId="0" xfId="0" applyFont="1" applyAlignment="1">
      <alignment horizontal="left"/>
    </xf>
    <xf numFmtId="0" fontId="8" fillId="0" borderId="0" xfId="0" applyFont="1" applyAlignment="1">
      <alignment horizontal="center"/>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12" fillId="0" borderId="0" xfId="0" applyFont="1"/>
    <xf numFmtId="0" fontId="7" fillId="3" borderId="1" xfId="0" applyFont="1" applyFill="1" applyBorder="1" applyAlignment="1">
      <alignment horizontal="center"/>
    </xf>
    <xf numFmtId="0" fontId="18" fillId="0" borderId="0" xfId="0" applyFont="1" applyAlignment="1">
      <alignment vertical="center"/>
    </xf>
    <xf numFmtId="0" fontId="7" fillId="3" borderId="2" xfId="0" applyFont="1" applyFill="1" applyBorder="1" applyAlignment="1">
      <alignment horizontal="center"/>
    </xf>
    <xf numFmtId="0" fontId="12" fillId="0" borderId="0" xfId="0" applyFont="1" applyAlignment="1">
      <alignment horizontal="left"/>
    </xf>
    <xf numFmtId="0" fontId="10" fillId="0" borderId="0" xfId="0" applyFont="1" applyAlignment="1">
      <alignment vertical="center"/>
    </xf>
    <xf numFmtId="3" fontId="14" fillId="0" borderId="0" xfId="0" applyNumberFormat="1" applyFont="1" applyProtection="1">
      <protection hidden="1"/>
    </xf>
    <xf numFmtId="0" fontId="10" fillId="0" borderId="0" xfId="0" applyFont="1"/>
    <xf numFmtId="0" fontId="0" fillId="0" borderId="0" xfId="0" applyAlignment="1">
      <alignment vertical="center"/>
    </xf>
    <xf numFmtId="0" fontId="18" fillId="0" borderId="0" xfId="0" applyFont="1" applyAlignment="1">
      <alignment horizontal="center"/>
    </xf>
    <xf numFmtId="3" fontId="10" fillId="0" borderId="0" xfId="0" applyNumberFormat="1" applyFont="1"/>
    <xf numFmtId="3" fontId="7" fillId="0" borderId="0" xfId="0" applyNumberFormat="1" applyFont="1" applyProtection="1">
      <protection hidden="1"/>
    </xf>
    <xf numFmtId="3" fontId="10" fillId="0" borderId="0" xfId="0" applyNumberFormat="1" applyFont="1" applyProtection="1">
      <protection hidden="1"/>
    </xf>
    <xf numFmtId="3" fontId="14" fillId="0" borderId="0" xfId="0" applyNumberFormat="1" applyFont="1"/>
    <xf numFmtId="0" fontId="12" fillId="0" borderId="0" xfId="0" applyFont="1" applyAlignment="1">
      <alignment horizontal="center"/>
    </xf>
    <xf numFmtId="0" fontId="15" fillId="0" borderId="0" xfId="0" applyFont="1" applyAlignment="1">
      <alignment horizontal="center"/>
    </xf>
    <xf numFmtId="0" fontId="25" fillId="0" borderId="0" xfId="0" applyFont="1" applyAlignment="1">
      <alignment horizontal="right"/>
    </xf>
    <xf numFmtId="6" fontId="9" fillId="0" borderId="0" xfId="0" applyNumberFormat="1" applyFont="1" applyAlignment="1">
      <alignment horizontal="center" vertical="center"/>
    </xf>
    <xf numFmtId="0" fontId="22" fillId="0" borderId="8" xfId="0" applyFont="1" applyBorder="1"/>
    <xf numFmtId="0" fontId="22" fillId="0" borderId="0" xfId="0" applyFont="1"/>
    <xf numFmtId="0" fontId="27" fillId="0" borderId="0" xfId="0" applyFont="1"/>
    <xf numFmtId="14" fontId="11" fillId="0" borderId="0" xfId="0" applyNumberFormat="1" applyFont="1" applyAlignment="1">
      <alignment horizontal="center"/>
    </xf>
    <xf numFmtId="3" fontId="0" fillId="0" borderId="0" xfId="0" applyNumberFormat="1" applyAlignment="1">
      <alignment horizontal="center" vertical="center"/>
    </xf>
    <xf numFmtId="3" fontId="11" fillId="0" borderId="0" xfId="0" applyNumberFormat="1"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1" fontId="11" fillId="0" borderId="0" xfId="0" applyNumberFormat="1"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xf>
    <xf numFmtId="0" fontId="26" fillId="0" borderId="0" xfId="0" applyFont="1" applyAlignment="1">
      <alignment horizontal="left"/>
    </xf>
    <xf numFmtId="0" fontId="26" fillId="0" borderId="0" xfId="0" applyFont="1"/>
    <xf numFmtId="0" fontId="8" fillId="0" borderId="0" xfId="0" applyFont="1" applyAlignment="1">
      <alignment horizontal="center" vertical="center"/>
    </xf>
    <xf numFmtId="0" fontId="25" fillId="0" borderId="0" xfId="0" applyFont="1" applyAlignment="1">
      <alignment horizontal="center"/>
    </xf>
    <xf numFmtId="0" fontId="0" fillId="0" borderId="3" xfId="0" applyBorder="1"/>
    <xf numFmtId="0" fontId="15" fillId="0" borderId="16" xfId="0" applyFont="1" applyBorder="1" applyAlignment="1">
      <alignment horizontal="center" vertical="center"/>
    </xf>
    <xf numFmtId="167" fontId="8" fillId="0" borderId="0" xfId="0" applyNumberFormat="1" applyFont="1" applyAlignment="1">
      <alignment horizontal="center"/>
    </xf>
    <xf numFmtId="14" fontId="9" fillId="0" borderId="0" xfId="0" applyNumberFormat="1" applyFont="1"/>
    <xf numFmtId="0" fontId="0" fillId="0" borderId="17" xfId="0" applyBorder="1"/>
    <xf numFmtId="0" fontId="0" fillId="0" borderId="18" xfId="0" applyBorder="1"/>
    <xf numFmtId="0" fontId="10" fillId="0" borderId="0" xfId="0" applyFont="1" applyAlignment="1">
      <alignment horizontal="right" vertical="center"/>
    </xf>
    <xf numFmtId="0" fontId="21" fillId="0" borderId="0" xfId="0" applyFont="1"/>
    <xf numFmtId="0" fontId="10" fillId="0" borderId="0" xfId="0" applyFont="1" applyAlignment="1">
      <alignment horizontal="center"/>
    </xf>
    <xf numFmtId="0" fontId="11" fillId="0" borderId="0" xfId="0" applyFont="1" applyAlignment="1">
      <alignment horizontal="left"/>
    </xf>
    <xf numFmtId="0" fontId="9" fillId="0" borderId="20" xfId="0" applyFont="1" applyBorder="1" applyAlignment="1">
      <alignment horizontal="center" vertical="center"/>
    </xf>
    <xf numFmtId="166" fontId="0" fillId="0" borderId="18" xfId="0" applyNumberFormat="1" applyBorder="1"/>
    <xf numFmtId="164" fontId="0" fillId="0" borderId="21" xfId="2" applyNumberFormat="1" applyFont="1" applyBorder="1"/>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6" fontId="9" fillId="0" borderId="0" xfId="0" applyNumberFormat="1" applyFont="1" applyAlignment="1">
      <alignment vertical="center"/>
    </xf>
    <xf numFmtId="0" fontId="25" fillId="0" borderId="0" xfId="0" applyFont="1" applyAlignment="1">
      <alignment vertical="center"/>
    </xf>
    <xf numFmtId="1" fontId="0" fillId="0" borderId="18" xfId="0" applyNumberFormat="1" applyBorder="1"/>
    <xf numFmtId="0" fontId="40" fillId="0" borderId="0" xfId="0" applyFont="1" applyAlignment="1" applyProtection="1">
      <alignment vertical="center"/>
      <protection hidden="1"/>
    </xf>
    <xf numFmtId="0" fontId="28" fillId="2" borderId="0" xfId="0" applyFont="1" applyFill="1"/>
    <xf numFmtId="0" fontId="29" fillId="2" borderId="0" xfId="0" applyFont="1" applyFill="1" applyAlignment="1" applyProtection="1">
      <alignment horizontal="left" vertical="center"/>
      <protection hidden="1"/>
    </xf>
    <xf numFmtId="0" fontId="28" fillId="2" borderId="0" xfId="0" applyFont="1" applyFill="1" applyAlignment="1">
      <alignment horizontal="center"/>
    </xf>
    <xf numFmtId="0" fontId="26" fillId="2" borderId="0" xfId="0" applyFont="1" applyFill="1"/>
    <xf numFmtId="49" fontId="8" fillId="2" borderId="0" xfId="0" applyNumberFormat="1" applyFont="1" applyFill="1" applyAlignment="1">
      <alignment horizontal="right" vertical="center"/>
    </xf>
    <xf numFmtId="3" fontId="8" fillId="0" borderId="0" xfId="0" applyNumberFormat="1" applyFont="1"/>
    <xf numFmtId="0" fontId="12" fillId="0" borderId="0" xfId="0" applyFont="1" applyAlignment="1">
      <alignment horizontal="right"/>
    </xf>
    <xf numFmtId="0" fontId="32" fillId="0" borderId="0" xfId="0" applyFont="1"/>
    <xf numFmtId="3" fontId="33" fillId="0" borderId="0" xfId="0" applyNumberFormat="1" applyFont="1"/>
    <xf numFmtId="0" fontId="34" fillId="0" borderId="0" xfId="0" applyFont="1" applyAlignment="1">
      <alignment horizontal="center"/>
    </xf>
    <xf numFmtId="0" fontId="7" fillId="0" borderId="0" xfId="0" applyFont="1"/>
    <xf numFmtId="0" fontId="9" fillId="0" borderId="26" xfId="0" applyFont="1" applyBorder="1"/>
    <xf numFmtId="0" fontId="8" fillId="0" borderId="0" xfId="0" applyFont="1" applyAlignment="1" applyProtection="1">
      <alignment horizontal="left"/>
      <protection hidden="1"/>
    </xf>
    <xf numFmtId="0" fontId="8" fillId="0" borderId="26" xfId="0" applyFont="1" applyBorder="1"/>
    <xf numFmtId="0" fontId="8" fillId="0" borderId="26" xfId="0" applyFont="1" applyBorder="1" applyAlignment="1" applyProtection="1">
      <alignment horizontal="center"/>
      <protection hidden="1"/>
    </xf>
    <xf numFmtId="0" fontId="8" fillId="0" borderId="26" xfId="0" applyFont="1" applyBorder="1" applyAlignment="1" applyProtection="1">
      <alignment horizontal="left"/>
      <protection hidden="1"/>
    </xf>
    <xf numFmtId="0" fontId="9" fillId="0" borderId="26" xfId="0" applyFont="1" applyBorder="1" applyAlignment="1" applyProtection="1">
      <alignment horizontal="left"/>
      <protection hidden="1"/>
    </xf>
    <xf numFmtId="1" fontId="8"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8"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pplyProtection="1">
      <alignment horizontal="center"/>
      <protection hidden="1"/>
    </xf>
    <xf numFmtId="1" fontId="27" fillId="0" borderId="0" xfId="0" applyNumberFormat="1" applyFont="1" applyAlignment="1" applyProtection="1">
      <alignment horizontal="center"/>
      <protection hidden="1"/>
    </xf>
    <xf numFmtId="0" fontId="32" fillId="0" borderId="0" xfId="0" applyFont="1" applyAlignment="1">
      <alignment horizontal="center"/>
    </xf>
    <xf numFmtId="0" fontId="29" fillId="2" borderId="0" xfId="0" applyFont="1" applyFill="1" applyAlignment="1" applyProtection="1">
      <alignment horizontal="center" vertical="center"/>
      <protection hidden="1"/>
    </xf>
    <xf numFmtId="0" fontId="0" fillId="0" borderId="0" xfId="0"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3" fontId="0" fillId="0" borderId="0" xfId="0" applyNumberFormat="1" applyAlignment="1" applyProtection="1">
      <alignment horizontal="right"/>
      <protection hidden="1"/>
    </xf>
    <xf numFmtId="0" fontId="14" fillId="0" borderId="0" xfId="0" applyFont="1" applyAlignment="1" applyProtection="1">
      <alignment horizontal="center"/>
      <protection hidden="1"/>
    </xf>
    <xf numFmtId="0" fontId="15" fillId="0" borderId="0" xfId="0" applyFont="1" applyAlignment="1" applyProtection="1">
      <alignment horizontal="left"/>
      <protection hidden="1"/>
    </xf>
    <xf numFmtId="0" fontId="0" fillId="0" borderId="0" xfId="0" applyAlignment="1" applyProtection="1">
      <alignment horizontal="center"/>
      <protection hidden="1"/>
    </xf>
    <xf numFmtId="0" fontId="8" fillId="0" borderId="0" xfId="0" applyFont="1" applyProtection="1">
      <protection hidden="1"/>
    </xf>
    <xf numFmtId="164" fontId="8" fillId="0" borderId="0" xfId="0" applyNumberFormat="1" applyFont="1" applyAlignment="1" applyProtection="1">
      <alignment horizontal="right"/>
      <protection hidden="1"/>
    </xf>
    <xf numFmtId="0" fontId="12" fillId="0" borderId="0" xfId="0" applyFont="1" applyProtection="1">
      <protection hidden="1"/>
    </xf>
    <xf numFmtId="0" fontId="8"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1" fontId="14" fillId="0" borderId="0" xfId="0" applyNumberFormat="1" applyFont="1" applyAlignment="1" applyProtection="1">
      <alignment horizontal="center"/>
      <protection hidden="1"/>
    </xf>
    <xf numFmtId="0" fontId="15" fillId="0" borderId="0" xfId="0" applyFont="1" applyAlignment="1" applyProtection="1">
      <alignment horizontal="right"/>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right" vertical="center"/>
      <protection hidden="1"/>
    </xf>
    <xf numFmtId="1" fontId="15" fillId="0" borderId="0" xfId="0" applyNumberFormat="1" applyFont="1" applyAlignment="1" applyProtection="1">
      <alignment horizontal="right"/>
      <protection hidden="1"/>
    </xf>
    <xf numFmtId="3" fontId="15" fillId="0" borderId="0" xfId="0" applyNumberFormat="1" applyFont="1" applyAlignment="1" applyProtection="1">
      <alignment horizontal="right"/>
      <protection hidden="1"/>
    </xf>
    <xf numFmtId="0" fontId="15" fillId="0" borderId="0" xfId="0" applyFont="1" applyAlignment="1" applyProtection="1">
      <alignment vertical="center"/>
      <protection hidden="1"/>
    </xf>
    <xf numFmtId="0" fontId="10" fillId="0" borderId="0" xfId="0" applyFont="1" applyAlignment="1">
      <alignment horizontal="right"/>
    </xf>
    <xf numFmtId="0" fontId="10" fillId="2" borderId="0" xfId="0" applyFont="1" applyFill="1"/>
    <xf numFmtId="3" fontId="10" fillId="0" borderId="0" xfId="0" applyNumberFormat="1" applyFont="1" applyAlignment="1">
      <alignment horizontal="right"/>
    </xf>
    <xf numFmtId="0" fontId="36" fillId="0" borderId="0" xfId="0" applyFont="1"/>
    <xf numFmtId="0" fontId="36" fillId="0" borderId="0" xfId="0" applyFont="1" applyAlignment="1">
      <alignment horizontal="center"/>
    </xf>
    <xf numFmtId="0" fontId="28" fillId="2" borderId="0" xfId="0" applyFont="1" applyFill="1" applyAlignment="1">
      <alignment horizontal="left"/>
    </xf>
    <xf numFmtId="0" fontId="23" fillId="2" borderId="0" xfId="0" applyFont="1" applyFill="1" applyAlignment="1">
      <alignment horizontal="center"/>
    </xf>
    <xf numFmtId="0" fontId="12" fillId="0" borderId="0" xfId="0" applyFont="1" applyAlignment="1">
      <alignment horizontal="left" vertical="center"/>
    </xf>
    <xf numFmtId="0" fontId="9" fillId="0" borderId="17" xfId="0" applyFont="1" applyBorder="1" applyAlignment="1">
      <alignment horizontal="left" vertical="center"/>
    </xf>
    <xf numFmtId="0" fontId="23" fillId="0" borderId="0" xfId="0" applyFont="1"/>
    <xf numFmtId="0" fontId="9" fillId="0" borderId="27" xfId="0" applyFont="1" applyBorder="1" applyAlignment="1" applyProtection="1">
      <alignment horizontal="left" vertical="center"/>
      <protection hidden="1"/>
    </xf>
    <xf numFmtId="0" fontId="15" fillId="0" borderId="0" xfId="0" applyFont="1" applyAlignment="1">
      <alignment vertical="center"/>
    </xf>
    <xf numFmtId="0" fontId="15" fillId="0" borderId="0" xfId="0" applyFont="1" applyAlignment="1">
      <alignment horizontal="center" vertical="center"/>
    </xf>
    <xf numFmtId="0" fontId="15" fillId="0" borderId="25" xfId="0" applyFont="1" applyBorder="1" applyAlignment="1">
      <alignment vertical="center"/>
    </xf>
    <xf numFmtId="0" fontId="9" fillId="0" borderId="0" xfId="0" applyFont="1" applyAlignment="1">
      <alignment horizontal="right"/>
    </xf>
    <xf numFmtId="3" fontId="0" fillId="0" borderId="35" xfId="0" applyNumberFormat="1" applyBorder="1"/>
    <xf numFmtId="3" fontId="0" fillId="0" borderId="36" xfId="0" applyNumberFormat="1" applyBorder="1"/>
    <xf numFmtId="3" fontId="9" fillId="0" borderId="0" xfId="0" applyNumberFormat="1" applyFont="1"/>
    <xf numFmtId="0" fontId="9" fillId="0" borderId="38" xfId="0" applyFont="1" applyBorder="1" applyAlignment="1" applyProtection="1">
      <alignment horizontal="center" vertical="center"/>
      <protection hidden="1"/>
    </xf>
    <xf numFmtId="1" fontId="9" fillId="3" borderId="39" xfId="0" applyNumberFormat="1" applyFont="1" applyFill="1" applyBorder="1" applyAlignment="1">
      <alignment horizontal="center"/>
    </xf>
    <xf numFmtId="0" fontId="15" fillId="0" borderId="18" xfId="0" applyFont="1" applyBorder="1"/>
    <xf numFmtId="164" fontId="15" fillId="0" borderId="18" xfId="2" applyNumberFormat="1" applyFont="1" applyBorder="1"/>
    <xf numFmtId="3" fontId="15" fillId="0" borderId="18" xfId="2" applyNumberFormat="1" applyFont="1" applyBorder="1"/>
    <xf numFmtId="164" fontId="0" fillId="0" borderId="18" xfId="2" applyNumberFormat="1" applyFont="1" applyBorder="1"/>
    <xf numFmtId="0" fontId="15" fillId="0" borderId="17" xfId="0" applyFont="1" applyBorder="1" applyAlignment="1">
      <alignment vertical="center"/>
    </xf>
    <xf numFmtId="3" fontId="15" fillId="0" borderId="0" xfId="0" applyNumberFormat="1" applyFont="1" applyAlignment="1">
      <alignment horizontal="center" vertical="center"/>
    </xf>
    <xf numFmtId="0" fontId="15" fillId="0" borderId="0" xfId="0" applyFont="1" applyAlignment="1" applyProtection="1">
      <alignment horizontal="left" vertical="center"/>
      <protection locked="0"/>
    </xf>
    <xf numFmtId="3" fontId="14" fillId="0" borderId="0" xfId="0" applyNumberFormat="1" applyFont="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9" fillId="0" borderId="0" xfId="0" applyFont="1" applyAlignment="1">
      <alignment vertical="center"/>
    </xf>
    <xf numFmtId="0" fontId="0" fillId="0" borderId="34" xfId="0" applyBorder="1"/>
    <xf numFmtId="0" fontId="9" fillId="0" borderId="31" xfId="0" applyFont="1" applyBorder="1" applyAlignment="1">
      <alignment horizontal="right" vertical="center"/>
    </xf>
    <xf numFmtId="167" fontId="9" fillId="0" borderId="0" xfId="0" applyNumberFormat="1" applyFont="1"/>
    <xf numFmtId="0" fontId="14" fillId="0" borderId="8" xfId="0" applyFont="1" applyBorder="1" applyAlignment="1">
      <alignment vertical="center"/>
    </xf>
    <xf numFmtId="0" fontId="15" fillId="0" borderId="17" xfId="0" applyFont="1" applyBorder="1" applyAlignment="1">
      <alignment horizontal="right" vertical="center"/>
    </xf>
    <xf numFmtId="0" fontId="14" fillId="0" borderId="0" xfId="0" applyFont="1" applyAlignment="1">
      <alignment vertical="center"/>
    </xf>
    <xf numFmtId="0" fontId="14" fillId="0" borderId="31" xfId="0" applyFont="1" applyBorder="1" applyAlignment="1">
      <alignment horizontal="right" vertical="center"/>
    </xf>
    <xf numFmtId="3" fontId="0" fillId="0" borderId="18" xfId="0" applyNumberFormat="1" applyBorder="1"/>
    <xf numFmtId="0" fontId="9" fillId="0" borderId="21" xfId="0" applyFont="1" applyBorder="1" applyAlignment="1">
      <alignment horizontal="right"/>
    </xf>
    <xf numFmtId="0" fontId="9" fillId="0" borderId="11" xfId="0" applyFont="1" applyBorder="1"/>
    <xf numFmtId="0" fontId="20" fillId="0" borderId="11" xfId="0" applyFont="1" applyBorder="1"/>
    <xf numFmtId="3" fontId="9" fillId="0" borderId="11" xfId="0" applyNumberFormat="1" applyFont="1" applyBorder="1"/>
    <xf numFmtId="3" fontId="9" fillId="0" borderId="20" xfId="0" applyNumberFormat="1" applyFont="1" applyBorder="1" applyAlignment="1" applyProtection="1">
      <alignment horizontal="center" vertical="center"/>
      <protection hidden="1"/>
    </xf>
    <xf numFmtId="0" fontId="14" fillId="0" borderId="5" xfId="0" applyFont="1" applyBorder="1" applyAlignment="1">
      <alignment vertical="center"/>
    </xf>
    <xf numFmtId="3" fontId="0" fillId="0" borderId="36" xfId="2" applyNumberFormat="1" applyFont="1" applyBorder="1"/>
    <xf numFmtId="3" fontId="0" fillId="0" borderId="43" xfId="0" applyNumberFormat="1" applyBorder="1"/>
    <xf numFmtId="0" fontId="40" fillId="0" borderId="0" xfId="0" applyFont="1" applyProtection="1">
      <protection hidden="1"/>
    </xf>
    <xf numFmtId="0" fontId="15" fillId="0" borderId="44" xfId="0" applyFont="1" applyBorder="1" applyAlignment="1">
      <alignment vertical="center"/>
    </xf>
    <xf numFmtId="0" fontId="14" fillId="0" borderId="45" xfId="0" applyFont="1" applyBorder="1" applyAlignment="1">
      <alignment horizontal="right" vertical="center"/>
    </xf>
    <xf numFmtId="0" fontId="9" fillId="0" borderId="45" xfId="0" applyFont="1" applyBorder="1" applyAlignment="1">
      <alignment horizontal="right" vertical="center"/>
    </xf>
    <xf numFmtId="0" fontId="15" fillId="0" borderId="45" xfId="0" applyFont="1" applyBorder="1" applyAlignment="1">
      <alignment horizontal="right" vertical="center"/>
    </xf>
    <xf numFmtId="0" fontId="15" fillId="0" borderId="44" xfId="0" applyFont="1" applyBorder="1" applyAlignment="1">
      <alignment horizontal="right" vertical="center"/>
    </xf>
    <xf numFmtId="0" fontId="14" fillId="0" borderId="44" xfId="0" applyFont="1" applyBorder="1" applyAlignment="1">
      <alignment vertical="center"/>
    </xf>
    <xf numFmtId="0" fontId="9" fillId="0" borderId="48" xfId="0" applyFont="1" applyBorder="1" applyAlignment="1">
      <alignment vertical="center"/>
    </xf>
    <xf numFmtId="0" fontId="15" fillId="0" borderId="51" xfId="0" applyFont="1" applyBorder="1" applyAlignment="1">
      <alignment vertical="center"/>
    </xf>
    <xf numFmtId="0" fontId="10" fillId="0" borderId="51" xfId="0" applyFont="1" applyBorder="1" applyAlignment="1">
      <alignment vertical="center"/>
    </xf>
    <xf numFmtId="0" fontId="10" fillId="0" borderId="21" xfId="0" applyFont="1" applyBorder="1" applyAlignment="1">
      <alignment vertical="center"/>
    </xf>
    <xf numFmtId="0" fontId="10" fillId="0" borderId="53" xfId="0" applyFont="1" applyBorder="1" applyAlignment="1">
      <alignment vertical="center"/>
    </xf>
    <xf numFmtId="0" fontId="9" fillId="0" borderId="54" xfId="0" applyFont="1" applyBorder="1" applyAlignment="1">
      <alignment vertical="center"/>
    </xf>
    <xf numFmtId="0" fontId="10" fillId="0" borderId="26" xfId="0" applyFont="1" applyBorder="1" applyAlignment="1">
      <alignment vertical="center"/>
    </xf>
    <xf numFmtId="0" fontId="9" fillId="0" borderId="7" xfId="0" applyFont="1" applyBorder="1" applyAlignment="1">
      <alignment vertical="center"/>
    </xf>
    <xf numFmtId="0" fontId="14" fillId="0" borderId="48" xfId="0" applyFont="1" applyBorder="1" applyAlignment="1">
      <alignment vertical="center"/>
    </xf>
    <xf numFmtId="0" fontId="10" fillId="0" borderId="51" xfId="0" applyFont="1" applyBorder="1" applyAlignment="1">
      <alignment horizontal="right" vertical="center"/>
    </xf>
    <xf numFmtId="0" fontId="10" fillId="0" borderId="56" xfId="0" applyFont="1" applyBorder="1" applyAlignment="1">
      <alignment vertical="center"/>
    </xf>
    <xf numFmtId="0" fontId="14" fillId="0" borderId="24" xfId="0" applyFont="1" applyBorder="1" applyAlignment="1">
      <alignment vertical="center"/>
    </xf>
    <xf numFmtId="0" fontId="10" fillId="0" borderId="19" xfId="0" applyFont="1" applyBorder="1" applyAlignment="1">
      <alignment vertical="center"/>
    </xf>
    <xf numFmtId="0" fontId="14" fillId="0" borderId="7" xfId="0" applyFont="1" applyBorder="1" applyAlignment="1">
      <alignment vertical="center"/>
    </xf>
    <xf numFmtId="0" fontId="14" fillId="0" borderId="57" xfId="0" applyFont="1" applyBorder="1" applyAlignment="1">
      <alignment horizontal="left" vertical="center"/>
    </xf>
    <xf numFmtId="0" fontId="15" fillId="0" borderId="51" xfId="0" applyFont="1" applyBorder="1" applyAlignment="1">
      <alignment horizontal="right" vertical="center"/>
    </xf>
    <xf numFmtId="0" fontId="15" fillId="0" borderId="53" xfId="0" applyFont="1" applyBorder="1" applyAlignment="1">
      <alignment horizontal="right" vertical="center"/>
    </xf>
    <xf numFmtId="0" fontId="0" fillId="0" borderId="0" xfId="0" applyAlignment="1">
      <alignment horizontal="center" vertical="center"/>
    </xf>
    <xf numFmtId="0" fontId="9" fillId="0" borderId="17" xfId="0" applyFont="1" applyBorder="1" applyAlignment="1">
      <alignment vertical="center"/>
    </xf>
    <xf numFmtId="49" fontId="15" fillId="0" borderId="40" xfId="0" applyNumberFormat="1" applyFont="1" applyBorder="1" applyAlignment="1">
      <alignment horizontal="center"/>
    </xf>
    <xf numFmtId="0" fontId="15" fillId="0" borderId="33" xfId="0" applyFont="1" applyBorder="1" applyAlignment="1">
      <alignment horizontal="center"/>
    </xf>
    <xf numFmtId="3" fontId="0" fillId="0" borderId="0" xfId="2" applyNumberFormat="1" applyFont="1"/>
    <xf numFmtId="0" fontId="8" fillId="0" borderId="0" xfId="0" applyFont="1" applyAlignment="1">
      <alignment horizontal="left" vertical="center" wrapText="1"/>
    </xf>
    <xf numFmtId="0" fontId="0" fillId="0" borderId="0" xfId="0"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protection hidden="1"/>
    </xf>
    <xf numFmtId="166" fontId="0" fillId="0" borderId="0" xfId="0" applyNumberFormat="1" applyAlignment="1" applyProtection="1">
      <alignment horizontal="right" vertical="center"/>
      <protection hidden="1"/>
    </xf>
    <xf numFmtId="3" fontId="8" fillId="0" borderId="0" xfId="0" applyNumberFormat="1" applyFont="1" applyAlignment="1" applyProtection="1">
      <alignment vertical="center"/>
      <protection hidden="1"/>
    </xf>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3" fontId="9" fillId="0" borderId="3" xfId="0" applyNumberFormat="1" applyFont="1" applyBorder="1"/>
    <xf numFmtId="3" fontId="9" fillId="0" borderId="2" xfId="0" applyNumberFormat="1" applyFont="1" applyBorder="1"/>
    <xf numFmtId="3" fontId="0" fillId="0" borderId="34" xfId="0" applyNumberFormat="1" applyBorder="1"/>
    <xf numFmtId="3" fontId="9" fillId="0" borderId="62" xfId="0" applyNumberFormat="1"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54" xfId="0" applyFont="1" applyBorder="1" applyAlignment="1" applyProtection="1">
      <alignment vertical="center"/>
      <protection hidden="1"/>
    </xf>
    <xf numFmtId="49" fontId="9" fillId="0" borderId="57" xfId="0" applyNumberFormat="1" applyFont="1" applyBorder="1" applyAlignment="1" applyProtection="1">
      <alignment horizontal="center" vertical="center"/>
      <protection hidden="1"/>
    </xf>
    <xf numFmtId="9" fontId="15" fillId="0" borderId="18" xfId="2" applyFont="1" applyBorder="1"/>
    <xf numFmtId="1" fontId="9" fillId="3" borderId="62" xfId="0" applyNumberFormat="1" applyFont="1" applyFill="1" applyBorder="1" applyAlignment="1" applyProtection="1">
      <alignment horizontal="center" vertical="center"/>
      <protection hidden="1"/>
    </xf>
    <xf numFmtId="0" fontId="9" fillId="0" borderId="13" xfId="0" applyFont="1" applyBorder="1" applyAlignment="1" applyProtection="1">
      <alignment horizontal="left" vertical="center"/>
      <protection hidden="1"/>
    </xf>
    <xf numFmtId="3" fontId="0" fillId="0" borderId="0" xfId="0" applyNumberFormat="1" applyAlignment="1">
      <alignment vertical="center"/>
    </xf>
    <xf numFmtId="49" fontId="14" fillId="0" borderId="7" xfId="0" applyNumberFormat="1" applyFont="1" applyBorder="1" applyAlignment="1" applyProtection="1">
      <alignment horizontal="left" vertical="center"/>
      <protection hidden="1"/>
    </xf>
    <xf numFmtId="1" fontId="14" fillId="0" borderId="18" xfId="0" applyNumberFormat="1" applyFont="1" applyBorder="1" applyAlignment="1" applyProtection="1">
      <alignment horizontal="center"/>
      <protection hidden="1"/>
    </xf>
    <xf numFmtId="1" fontId="14" fillId="0" borderId="18" xfId="0" applyNumberFormat="1" applyFont="1" applyBorder="1" applyAlignment="1">
      <alignment horizontal="center"/>
    </xf>
    <xf numFmtId="166" fontId="9" fillId="0" borderId="0" xfId="0" applyNumberFormat="1" applyFont="1"/>
    <xf numFmtId="0" fontId="20" fillId="0" borderId="0" xfId="0" applyFont="1"/>
    <xf numFmtId="0" fontId="9" fillId="8" borderId="27" xfId="0" applyFont="1" applyFill="1" applyBorder="1" applyAlignment="1">
      <alignment horizontal="center" vertical="center"/>
    </xf>
    <xf numFmtId="0" fontId="9" fillId="8" borderId="0" xfId="0" applyFont="1" applyFill="1" applyAlignment="1">
      <alignment horizontal="center" vertical="center"/>
    </xf>
    <xf numFmtId="0" fontId="9" fillId="8" borderId="28" xfId="0" applyFont="1" applyFill="1" applyBorder="1" applyAlignment="1">
      <alignment horizontal="center" vertical="center"/>
    </xf>
    <xf numFmtId="3" fontId="9" fillId="0" borderId="8" xfId="0" applyNumberFormat="1" applyFont="1" applyBorder="1"/>
    <xf numFmtId="3" fontId="9" fillId="0" borderId="66" xfId="0" applyNumberFormat="1" applyFont="1" applyBorder="1"/>
    <xf numFmtId="3" fontId="9" fillId="0" borderId="67" xfId="0" applyNumberFormat="1" applyFont="1" applyBorder="1"/>
    <xf numFmtId="3" fontId="9" fillId="0" borderId="58" xfId="0" applyNumberFormat="1" applyFont="1" applyBorder="1"/>
    <xf numFmtId="3" fontId="9" fillId="0" borderId="40" xfId="0" applyNumberFormat="1" applyFont="1" applyBorder="1"/>
    <xf numFmtId="3" fontId="9" fillId="0" borderId="17" xfId="0" applyNumberFormat="1" applyFont="1" applyBorder="1"/>
    <xf numFmtId="3" fontId="9" fillId="0" borderId="68" xfId="0" applyNumberFormat="1" applyFont="1" applyBorder="1"/>
    <xf numFmtId="3" fontId="9" fillId="0" borderId="13" xfId="0" applyNumberFormat="1" applyFont="1" applyBorder="1"/>
    <xf numFmtId="0" fontId="9" fillId="0" borderId="3" xfId="0" applyFont="1" applyBorder="1" applyAlignment="1">
      <alignment horizontal="center"/>
    </xf>
    <xf numFmtId="166" fontId="9" fillId="0" borderId="3" xfId="0" applyNumberFormat="1" applyFont="1" applyBorder="1"/>
    <xf numFmtId="3" fontId="9" fillId="0" borderId="34" xfId="0" applyNumberFormat="1" applyFont="1" applyBorder="1"/>
    <xf numFmtId="0" fontId="9" fillId="0" borderId="34" xfId="0" applyFont="1" applyBorder="1" applyAlignment="1">
      <alignment horizontal="center"/>
    </xf>
    <xf numFmtId="0" fontId="9" fillId="0" borderId="62" xfId="0" applyFont="1" applyBorder="1" applyAlignment="1">
      <alignment horizontal="center" vertical="center"/>
    </xf>
    <xf numFmtId="3" fontId="9" fillId="0" borderId="69" xfId="0" applyNumberFormat="1" applyFont="1" applyBorder="1"/>
    <xf numFmtId="3" fontId="9" fillId="0" borderId="14" xfId="0" applyNumberFormat="1" applyFont="1" applyBorder="1" applyAlignment="1">
      <alignment horizontal="center"/>
    </xf>
    <xf numFmtId="0" fontId="8" fillId="0" borderId="3" xfId="0" applyFont="1" applyBorder="1" applyProtection="1">
      <protection hidden="1"/>
    </xf>
    <xf numFmtId="0" fontId="8" fillId="0" borderId="3" xfId="0" applyFont="1" applyBorder="1"/>
    <xf numFmtId="0" fontId="8" fillId="0" borderId="2" xfId="0" applyFont="1" applyBorder="1"/>
    <xf numFmtId="0" fontId="15" fillId="0" borderId="0" xfId="0" applyFont="1" applyAlignment="1" applyProtection="1">
      <alignment horizontal="left" vertical="center"/>
      <protection hidden="1"/>
    </xf>
    <xf numFmtId="0" fontId="15" fillId="0" borderId="71" xfId="0" applyFont="1" applyBorder="1" applyProtection="1">
      <protection hidden="1"/>
    </xf>
    <xf numFmtId="0" fontId="15" fillId="0" borderId="73" xfId="0" applyFont="1" applyBorder="1" applyProtection="1">
      <protection hidden="1"/>
    </xf>
    <xf numFmtId="0" fontId="15" fillId="0" borderId="0" xfId="0" applyFont="1" applyAlignment="1" applyProtection="1">
      <alignment vertical="center"/>
      <protection locked="0"/>
    </xf>
    <xf numFmtId="0" fontId="15" fillId="0" borderId="74" xfId="0" applyFont="1" applyBorder="1" applyAlignment="1" applyProtection="1">
      <alignment horizontal="center" vertical="center"/>
      <protection hidden="1"/>
    </xf>
    <xf numFmtId="0" fontId="15" fillId="0" borderId="44" xfId="0" applyFont="1" applyBorder="1" applyAlignment="1" applyProtection="1">
      <alignment vertical="center"/>
      <protection hidden="1"/>
    </xf>
    <xf numFmtId="0" fontId="14" fillId="0" borderId="75" xfId="0" applyFont="1" applyBorder="1" applyAlignment="1">
      <alignment horizontal="right" vertical="center"/>
    </xf>
    <xf numFmtId="0" fontId="14" fillId="0" borderId="44" xfId="0" applyFont="1" applyBorder="1" applyAlignment="1" applyProtection="1">
      <alignment vertical="center"/>
      <protection hidden="1"/>
    </xf>
    <xf numFmtId="0" fontId="15" fillId="0" borderId="75" xfId="0" applyFont="1" applyBorder="1" applyAlignment="1">
      <alignment horizontal="right" vertical="center"/>
    </xf>
    <xf numFmtId="3" fontId="14" fillId="0" borderId="35" xfId="0" applyNumberFormat="1" applyFont="1" applyBorder="1" applyAlignment="1" applyProtection="1">
      <alignment horizontal="center" vertical="center"/>
      <protection hidden="1"/>
    </xf>
    <xf numFmtId="166" fontId="15" fillId="0" borderId="35" xfId="0" applyNumberFormat="1" applyFont="1" applyBorder="1" applyAlignment="1" applyProtection="1">
      <alignment horizontal="center" vertical="center"/>
      <protection hidden="1"/>
    </xf>
    <xf numFmtId="166" fontId="15" fillId="7" borderId="35" xfId="0" applyNumberFormat="1" applyFont="1" applyFill="1" applyBorder="1" applyAlignment="1" applyProtection="1">
      <alignment horizontal="center" vertical="center"/>
      <protection locked="0" hidden="1"/>
    </xf>
    <xf numFmtId="0" fontId="15" fillId="0" borderId="44" xfId="0" applyFont="1" applyBorder="1" applyAlignment="1" applyProtection="1">
      <alignment horizontal="left" vertical="center"/>
      <protection hidden="1"/>
    </xf>
    <xf numFmtId="0" fontId="14" fillId="0" borderId="75" xfId="0" quotePrefix="1" applyFont="1" applyBorder="1" applyAlignment="1">
      <alignment horizontal="right" vertical="center"/>
    </xf>
    <xf numFmtId="0" fontId="14" fillId="0" borderId="44" xfId="0" applyFont="1" applyBorder="1" applyAlignment="1" applyProtection="1">
      <alignment horizontal="left" vertical="center"/>
      <protection hidden="1"/>
    </xf>
    <xf numFmtId="0" fontId="15" fillId="0" borderId="75" xfId="0" applyFont="1" applyBorder="1" applyAlignment="1" applyProtection="1">
      <alignment horizontal="right" vertical="center"/>
      <protection hidden="1"/>
    </xf>
    <xf numFmtId="0" fontId="14" fillId="0" borderId="75" xfId="0" applyFont="1" applyBorder="1" applyAlignment="1" applyProtection="1">
      <alignment horizontal="right" vertical="center"/>
      <protection hidden="1"/>
    </xf>
    <xf numFmtId="0" fontId="15" fillId="0" borderId="76" xfId="0" applyFont="1" applyBorder="1" applyAlignment="1" applyProtection="1">
      <alignment horizontal="center" vertical="center"/>
      <protection hidden="1"/>
    </xf>
    <xf numFmtId="0" fontId="15" fillId="0" borderId="77" xfId="0" applyFont="1" applyBorder="1" applyAlignment="1" applyProtection="1">
      <alignment vertical="center"/>
      <protection hidden="1"/>
    </xf>
    <xf numFmtId="0" fontId="14" fillId="0" borderId="28" xfId="0" applyFont="1" applyBorder="1" applyAlignment="1">
      <alignment horizontal="right" vertical="center"/>
    </xf>
    <xf numFmtId="0" fontId="15" fillId="0" borderId="14" xfId="0" applyFont="1" applyBorder="1" applyAlignment="1" applyProtection="1">
      <alignment horizontal="center" vertical="center"/>
      <protection hidden="1"/>
    </xf>
    <xf numFmtId="0" fontId="14" fillId="0" borderId="34" xfId="0" applyFont="1" applyBorder="1" applyAlignment="1" applyProtection="1">
      <alignment horizontal="left" vertical="center"/>
      <protection hidden="1"/>
    </xf>
    <xf numFmtId="0" fontId="14" fillId="0" borderId="69" xfId="0" applyFont="1" applyBorder="1" applyAlignment="1" applyProtection="1">
      <alignment horizontal="left" vertical="center"/>
      <protection hidden="1"/>
    </xf>
    <xf numFmtId="166" fontId="15" fillId="0" borderId="55" xfId="0" applyNumberFormat="1" applyFont="1" applyBorder="1" applyAlignment="1" applyProtection="1">
      <alignment horizontal="center" vertical="center"/>
      <protection hidden="1"/>
    </xf>
    <xf numFmtId="167" fontId="15" fillId="0" borderId="0" xfId="0" applyNumberFormat="1" applyFont="1" applyAlignment="1">
      <alignment horizontal="center"/>
    </xf>
    <xf numFmtId="164" fontId="15" fillId="0" borderId="0" xfId="0" applyNumberFormat="1" applyFont="1" applyAlignment="1" applyProtection="1">
      <alignment horizontal="right"/>
      <protection hidden="1"/>
    </xf>
    <xf numFmtId="0" fontId="37" fillId="0" borderId="0" xfId="0" applyFont="1" applyProtection="1">
      <protection hidden="1"/>
    </xf>
    <xf numFmtId="3" fontId="15" fillId="0" borderId="32" xfId="0" applyNumberFormat="1" applyFont="1" applyBorder="1" applyAlignment="1" applyProtection="1">
      <alignment vertical="center"/>
      <protection hidden="1"/>
    </xf>
    <xf numFmtId="0" fontId="15" fillId="0" borderId="78" xfId="0" applyFont="1" applyBorder="1" applyAlignment="1">
      <alignment vertical="center"/>
    </xf>
    <xf numFmtId="0" fontId="15" fillId="0" borderId="45" xfId="0" quotePrefix="1" applyFont="1" applyBorder="1" applyAlignment="1">
      <alignment horizontal="right" vertical="center"/>
    </xf>
    <xf numFmtId="9" fontId="15" fillId="0" borderId="45" xfId="0" applyNumberFormat="1" applyFont="1" applyBorder="1" applyAlignment="1">
      <alignment horizontal="left" vertical="center"/>
    </xf>
    <xf numFmtId="0" fontId="15" fillId="0" borderId="0" xfId="0" applyFont="1" applyAlignment="1" applyProtection="1">
      <alignment horizontal="left"/>
      <protection locked="0"/>
    </xf>
    <xf numFmtId="0" fontId="15" fillId="0" borderId="26" xfId="0" applyFont="1" applyBorder="1" applyAlignment="1" applyProtection="1">
      <alignment horizontal="left" vertical="center"/>
      <protection locked="0"/>
    </xf>
    <xf numFmtId="0" fontId="15" fillId="0" borderId="27" xfId="0" applyFont="1" applyBorder="1" applyAlignment="1">
      <alignment horizontal="right" vertical="center"/>
    </xf>
    <xf numFmtId="0" fontId="8"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8"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69" xfId="0" applyFont="1" applyBorder="1" applyAlignment="1" applyProtection="1">
      <alignment vertical="center"/>
      <protection locked="0"/>
    </xf>
    <xf numFmtId="0" fontId="15" fillId="0" borderId="71" xfId="0" applyFont="1" applyBorder="1" applyAlignment="1" applyProtection="1">
      <alignment vertical="center"/>
      <protection hidden="1"/>
    </xf>
    <xf numFmtId="0" fontId="15" fillId="0" borderId="80" xfId="0" applyFont="1" applyBorder="1" applyAlignment="1" applyProtection="1">
      <alignment horizontal="right" vertical="center"/>
      <protection hidden="1"/>
    </xf>
    <xf numFmtId="0" fontId="15" fillId="0" borderId="73" xfId="0" applyFont="1" applyBorder="1" applyAlignment="1">
      <alignment vertical="center"/>
    </xf>
    <xf numFmtId="0" fontId="15" fillId="0" borderId="81" xfId="0" applyFont="1" applyBorder="1" applyAlignment="1">
      <alignment horizontal="right" vertical="center"/>
    </xf>
    <xf numFmtId="0" fontId="15" fillId="0" borderId="18" xfId="0" applyFont="1" applyBorder="1" applyAlignment="1" applyProtection="1">
      <alignment horizontal="center" vertical="center"/>
      <protection hidden="1"/>
    </xf>
    <xf numFmtId="0" fontId="9" fillId="0" borderId="27" xfId="0" applyFont="1" applyBorder="1" applyProtection="1">
      <protection hidden="1"/>
    </xf>
    <xf numFmtId="0" fontId="15" fillId="0" borderId="31" xfId="0" applyFont="1" applyBorder="1" applyAlignment="1">
      <alignment horizontal="right" vertical="center"/>
    </xf>
    <xf numFmtId="0" fontId="0" fillId="0" borderId="81" xfId="0" applyBorder="1"/>
    <xf numFmtId="0" fontId="0" fillId="0" borderId="80" xfId="0" applyBorder="1"/>
    <xf numFmtId="0" fontId="15" fillId="0" borderId="82" xfId="0" applyFont="1" applyBorder="1" applyProtection="1">
      <protection hidden="1"/>
    </xf>
    <xf numFmtId="0" fontId="0" fillId="0" borderId="83" xfId="0" applyBorder="1"/>
    <xf numFmtId="0" fontId="7" fillId="0" borderId="42" xfId="0" applyFont="1" applyBorder="1" applyAlignment="1">
      <alignment horizontal="center" vertical="center"/>
    </xf>
    <xf numFmtId="167" fontId="8" fillId="0" borderId="0" xfId="0" applyNumberFormat="1" applyFont="1" applyAlignment="1" applyProtection="1">
      <alignment vertical="center"/>
      <protection hidden="1"/>
    </xf>
    <xf numFmtId="0" fontId="15" fillId="0" borderId="11" xfId="0" applyFont="1" applyBorder="1" applyAlignment="1">
      <alignment vertical="center"/>
    </xf>
    <xf numFmtId="0" fontId="15" fillId="0" borderId="14"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6" xfId="0" applyFont="1" applyBorder="1" applyAlignment="1" applyProtection="1">
      <alignment vertical="center"/>
      <protection locked="0"/>
    </xf>
    <xf numFmtId="0" fontId="15" fillId="0" borderId="28" xfId="0" applyFont="1" applyBorder="1" applyAlignment="1" applyProtection="1">
      <alignment horizontal="left"/>
      <protection locked="0"/>
    </xf>
    <xf numFmtId="0" fontId="15" fillId="0" borderId="69" xfId="0" applyFont="1" applyBorder="1" applyAlignment="1" applyProtection="1">
      <alignment horizontal="left" vertical="center"/>
      <protection locked="0"/>
    </xf>
    <xf numFmtId="164" fontId="15" fillId="7" borderId="18" xfId="0" applyNumberFormat="1" applyFont="1" applyFill="1" applyBorder="1" applyAlignment="1" applyProtection="1">
      <alignment horizontal="center" vertical="center"/>
      <protection locked="0"/>
    </xf>
    <xf numFmtId="0" fontId="15" fillId="0" borderId="27" xfId="0" applyFont="1" applyBorder="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166" fontId="15" fillId="0" borderId="35" xfId="0" applyNumberFormat="1" applyFont="1" applyBorder="1" applyAlignment="1">
      <alignment horizontal="center" vertical="center"/>
    </xf>
    <xf numFmtId="0" fontId="0" fillId="0" borderId="2" xfId="0" applyBorder="1"/>
    <xf numFmtId="0" fontId="49" fillId="0" borderId="0" xfId="0" applyFont="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xf numFmtId="0" fontId="52" fillId="0" borderId="0" xfId="0" applyFont="1" applyAlignment="1">
      <alignment vertical="center"/>
    </xf>
    <xf numFmtId="0" fontId="38" fillId="0" borderId="0" xfId="0" applyFont="1"/>
    <xf numFmtId="0" fontId="10" fillId="0" borderId="0" xfId="0" applyFont="1" applyProtection="1">
      <protection hidden="1"/>
    </xf>
    <xf numFmtId="0" fontId="9" fillId="0" borderId="0" xfId="0" applyFont="1" applyProtection="1">
      <protection hidden="1"/>
    </xf>
    <xf numFmtId="3" fontId="15" fillId="7" borderId="18" xfId="0" applyNumberFormat="1" applyFont="1" applyFill="1" applyBorder="1" applyAlignment="1" applyProtection="1">
      <alignment horizontal="center" vertical="center"/>
      <protection locked="0" hidden="1"/>
    </xf>
    <xf numFmtId="0" fontId="15" fillId="0" borderId="14" xfId="0" applyFont="1" applyBorder="1" applyAlignment="1" applyProtection="1">
      <alignment vertical="center"/>
      <protection locked="0"/>
    </xf>
    <xf numFmtId="0" fontId="10" fillId="0" borderId="21" xfId="0" applyFont="1" applyBorder="1" applyAlignment="1">
      <alignment horizontal="center" vertical="center"/>
    </xf>
    <xf numFmtId="0" fontId="10" fillId="0" borderId="0" xfId="0" applyFont="1" applyAlignment="1" applyProtection="1">
      <alignment horizontal="right" vertical="center"/>
      <protection hidden="1"/>
    </xf>
    <xf numFmtId="3" fontId="0" fillId="0" borderId="0" xfId="0" applyNumberFormat="1" applyProtection="1">
      <protection hidden="1"/>
    </xf>
    <xf numFmtId="1" fontId="14" fillId="0" borderId="18" xfId="0" applyNumberFormat="1" applyFont="1" applyBorder="1" applyAlignment="1">
      <alignment horizontal="center" vertical="center"/>
    </xf>
    <xf numFmtId="1" fontId="15" fillId="7" borderId="18" xfId="0" applyNumberFormat="1" applyFont="1" applyFill="1" applyBorder="1" applyAlignment="1" applyProtection="1">
      <alignment horizontal="center" vertical="center"/>
      <protection locked="0"/>
    </xf>
    <xf numFmtId="0" fontId="10" fillId="0" borderId="24" xfId="0" applyFont="1" applyBorder="1" applyAlignment="1">
      <alignment vertical="center"/>
    </xf>
    <xf numFmtId="1" fontId="15" fillId="7" borderId="32"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vertical="center"/>
      <protection locked="0"/>
    </xf>
    <xf numFmtId="1" fontId="15" fillId="7" borderId="86"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horizontal="left" vertical="center"/>
      <protection locked="0"/>
    </xf>
    <xf numFmtId="0" fontId="15" fillId="7" borderId="89" xfId="0" applyFont="1" applyFill="1" applyBorder="1" applyAlignment="1" applyProtection="1">
      <alignment horizontal="left" vertical="center"/>
      <protection locked="0"/>
    </xf>
    <xf numFmtId="0" fontId="14" fillId="8" borderId="53" xfId="0" applyFont="1" applyFill="1" applyBorder="1" applyAlignment="1" applyProtection="1">
      <alignment vertical="center"/>
      <protection hidden="1"/>
    </xf>
    <xf numFmtId="0" fontId="14" fillId="0" borderId="4" xfId="0" applyFont="1" applyBorder="1" applyAlignment="1">
      <alignment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55"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5" fillId="0" borderId="26" xfId="0" applyFont="1" applyBorder="1" applyAlignment="1">
      <alignment vertical="center"/>
    </xf>
    <xf numFmtId="3" fontId="15" fillId="0" borderId="43" xfId="0" applyNumberFormat="1" applyFont="1" applyBorder="1" applyAlignment="1" applyProtection="1">
      <alignment vertical="center"/>
      <protection hidden="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xf>
    <xf numFmtId="0" fontId="40" fillId="0" borderId="0" xfId="0" applyFont="1"/>
    <xf numFmtId="1" fontId="8" fillId="0" borderId="0" xfId="0" applyNumberFormat="1" applyFont="1"/>
    <xf numFmtId="17" fontId="0" fillId="3" borderId="0" xfId="0" applyNumberFormat="1" applyFill="1"/>
    <xf numFmtId="166" fontId="40" fillId="0" borderId="0" xfId="0" applyNumberFormat="1" applyFont="1"/>
    <xf numFmtId="1" fontId="40" fillId="0" borderId="0" xfId="0" applyNumberFormat="1" applyFont="1" applyAlignment="1">
      <alignment horizontal="center"/>
    </xf>
    <xf numFmtId="1" fontId="50" fillId="0" borderId="0" xfId="0" applyNumberFormat="1" applyFont="1"/>
    <xf numFmtId="0" fontId="15" fillId="0" borderId="3" xfId="0" applyFont="1" applyBorder="1" applyAlignment="1" applyProtection="1">
      <alignment vertical="center"/>
      <protection locked="0"/>
    </xf>
    <xf numFmtId="0" fontId="15" fillId="2" borderId="0" xfId="0" applyFont="1" applyFill="1" applyAlignment="1" applyProtection="1">
      <alignment vertical="center"/>
      <protection locked="0"/>
    </xf>
    <xf numFmtId="0" fontId="15" fillId="0" borderId="31" xfId="0" applyFont="1" applyBorder="1" applyAlignment="1" applyProtection="1">
      <alignment vertical="center"/>
      <protection locked="0"/>
    </xf>
    <xf numFmtId="0" fontId="15" fillId="2" borderId="31" xfId="0" applyFont="1" applyFill="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52" fillId="0" borderId="0" xfId="0" applyFont="1" applyAlignment="1" applyProtection="1">
      <alignment vertical="center"/>
      <protection locked="0"/>
    </xf>
    <xf numFmtId="0" fontId="15" fillId="0" borderId="0" xfId="2" applyNumberFormat="1" applyFont="1" applyAlignment="1" applyProtection="1">
      <alignment vertical="center"/>
      <protection locked="0"/>
    </xf>
    <xf numFmtId="1" fontId="40" fillId="0" borderId="0" xfId="0" applyNumberFormat="1" applyFont="1" applyAlignment="1">
      <alignment horizontal="left"/>
    </xf>
    <xf numFmtId="0" fontId="15" fillId="0" borderId="28" xfId="0" applyFont="1" applyBorder="1" applyAlignment="1" applyProtection="1">
      <alignment horizontal="left" vertical="center"/>
      <protection hidden="1"/>
    </xf>
    <xf numFmtId="0" fontId="15" fillId="0" borderId="28" xfId="0" applyFont="1" applyBorder="1" applyAlignment="1" applyProtection="1">
      <alignment vertical="center"/>
      <protection hidden="1"/>
    </xf>
    <xf numFmtId="0" fontId="15" fillId="0" borderId="17" xfId="0" applyFont="1" applyBorder="1" applyAlignment="1">
      <alignment horizontal="left" vertical="center"/>
    </xf>
    <xf numFmtId="0" fontId="54" fillId="0" borderId="27" xfId="0" applyFont="1" applyBorder="1" applyAlignment="1" applyProtection="1">
      <alignment vertical="center"/>
      <protection hidden="1"/>
    </xf>
    <xf numFmtId="0" fontId="49" fillId="0" borderId="27"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27"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15" fillId="7" borderId="96" xfId="0" applyFont="1" applyFill="1" applyBorder="1" applyAlignment="1" applyProtection="1">
      <alignment vertical="center"/>
      <protection locked="0"/>
    </xf>
    <xf numFmtId="17" fontId="14" fillId="0" borderId="0" xfId="0" applyNumberFormat="1" applyFont="1"/>
    <xf numFmtId="1" fontId="14" fillId="0" borderId="0" xfId="0" applyNumberFormat="1" applyFont="1"/>
    <xf numFmtId="0" fontId="14" fillId="0" borderId="0" xfId="0" applyFont="1" applyAlignment="1">
      <alignment horizontal="right"/>
    </xf>
    <xf numFmtId="0" fontId="15" fillId="10" borderId="0" xfId="0" applyFont="1" applyFill="1"/>
    <xf numFmtId="3" fontId="15" fillId="10" borderId="0" xfId="0" applyNumberFormat="1" applyFont="1" applyFill="1"/>
    <xf numFmtId="0" fontId="7" fillId="0" borderId="0" xfId="0" applyFont="1" applyAlignment="1" applyProtection="1">
      <alignment horizontal="right"/>
      <protection hidden="1"/>
    </xf>
    <xf numFmtId="0" fontId="7" fillId="0" borderId="0" xfId="0" applyFont="1" applyAlignment="1">
      <alignment horizontal="right"/>
    </xf>
    <xf numFmtId="0" fontId="7" fillId="0" borderId="0" xfId="0" applyFont="1" applyAlignment="1" applyProtection="1">
      <alignment horizontal="right" vertical="center"/>
      <protection hidden="1"/>
    </xf>
    <xf numFmtId="0" fontId="14" fillId="0" borderId="98" xfId="0" applyFont="1" applyBorder="1" applyAlignment="1">
      <alignment vertical="center"/>
    </xf>
    <xf numFmtId="0" fontId="14" fillId="0" borderId="98" xfId="0" applyFont="1" applyBorder="1" applyAlignment="1">
      <alignment horizontal="right" vertical="center"/>
    </xf>
    <xf numFmtId="0" fontId="15" fillId="0" borderId="77" xfId="0" applyFont="1" applyBorder="1" applyAlignment="1">
      <alignment vertical="center"/>
    </xf>
    <xf numFmtId="0" fontId="15" fillId="0" borderId="78" xfId="0" applyFont="1" applyBorder="1" applyAlignment="1">
      <alignment horizontal="right" vertical="center"/>
    </xf>
    <xf numFmtId="1" fontId="15" fillId="0" borderId="0" xfId="0" applyNumberFormat="1" applyFont="1" applyAlignment="1" applyProtection="1">
      <alignment horizontal="center" vertical="center"/>
      <protection locked="0"/>
    </xf>
    <xf numFmtId="0" fontId="8" fillId="0" borderId="19"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49" fillId="0" borderId="8" xfId="0" applyFont="1" applyBorder="1" applyAlignment="1">
      <alignment vertical="center"/>
    </xf>
    <xf numFmtId="0" fontId="8" fillId="0" borderId="9"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15" fillId="0" borderId="31" xfId="0" applyFont="1" applyBorder="1" applyAlignment="1">
      <alignment vertical="center"/>
    </xf>
    <xf numFmtId="0" fontId="15" fillId="0" borderId="31" xfId="0" applyFont="1" applyBorder="1" applyAlignment="1" applyProtection="1">
      <alignment vertical="center"/>
      <protection hidden="1"/>
    </xf>
    <xf numFmtId="0" fontId="52" fillId="0" borderId="26" xfId="0" applyFont="1" applyBorder="1" applyAlignment="1">
      <alignment vertical="center"/>
    </xf>
    <xf numFmtId="0" fontId="15" fillId="0" borderId="57"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54" fillId="0" borderId="26" xfId="0" applyFont="1" applyBorder="1" applyAlignment="1" applyProtection="1">
      <alignment vertical="center"/>
      <protection hidden="1"/>
    </xf>
    <xf numFmtId="0" fontId="15" fillId="0" borderId="24" xfId="0" applyFont="1" applyBorder="1" applyAlignment="1" applyProtection="1">
      <alignment vertical="center"/>
      <protection locked="0"/>
    </xf>
    <xf numFmtId="0" fontId="15" fillId="0" borderId="44" xfId="0" applyFont="1" applyBorder="1" applyAlignment="1">
      <alignment horizontal="left" vertical="center"/>
    </xf>
    <xf numFmtId="0" fontId="15" fillId="0" borderId="72" xfId="0" applyFont="1" applyBorder="1" applyAlignment="1" applyProtection="1">
      <alignment horizontal="left" vertical="center"/>
      <protection hidden="1"/>
    </xf>
    <xf numFmtId="0" fontId="15" fillId="0" borderId="70" xfId="0" applyFont="1" applyBorder="1" applyAlignment="1" applyProtection="1">
      <alignment horizontal="left" vertical="center"/>
      <protection hidden="1"/>
    </xf>
    <xf numFmtId="0" fontId="15" fillId="0" borderId="72" xfId="0" applyFont="1" applyBorder="1" applyAlignment="1" applyProtection="1">
      <alignment vertical="center"/>
      <protection hidden="1"/>
    </xf>
    <xf numFmtId="0" fontId="15" fillId="0" borderId="73" xfId="0" applyFont="1" applyBorder="1" applyAlignment="1">
      <alignment horizontal="left" vertical="center"/>
    </xf>
    <xf numFmtId="0" fontId="10" fillId="0" borderId="0" xfId="0" applyFont="1" applyAlignment="1" applyProtection="1">
      <alignment horizontal="center"/>
      <protection hidden="1"/>
    </xf>
    <xf numFmtId="0" fontId="7" fillId="0" borderId="0" xfId="0" applyFont="1" applyProtection="1">
      <protection hidden="1"/>
    </xf>
    <xf numFmtId="0" fontId="10" fillId="7" borderId="111" xfId="0" applyFont="1" applyFill="1" applyBorder="1" applyAlignment="1" applyProtection="1">
      <alignment vertical="center"/>
      <protection locked="0"/>
    </xf>
    <xf numFmtId="0" fontId="10" fillId="7" borderId="118" xfId="0" applyFont="1" applyFill="1" applyBorder="1" applyAlignment="1" applyProtection="1">
      <alignment vertical="center"/>
      <protection locked="0"/>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3"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7" fillId="0" borderId="0" xfId="0" applyFont="1" applyAlignment="1" applyProtection="1">
      <alignment vertical="center"/>
      <protection hidden="1"/>
    </xf>
    <xf numFmtId="3" fontId="7" fillId="0" borderId="0" xfId="0" applyNumberFormat="1" applyFont="1" applyAlignment="1" applyProtection="1">
      <alignment vertical="center"/>
      <protection hidden="1"/>
    </xf>
    <xf numFmtId="167" fontId="7" fillId="0" borderId="0" xfId="0" applyNumberFormat="1" applyFont="1" applyAlignment="1" applyProtection="1">
      <alignment horizontal="center"/>
      <protection hidden="1"/>
    </xf>
    <xf numFmtId="166" fontId="14" fillId="0" borderId="35" xfId="0" applyNumberFormat="1" applyFont="1" applyBorder="1" applyAlignment="1" applyProtection="1">
      <alignment horizontal="center" vertical="center"/>
      <protection hidden="1"/>
    </xf>
    <xf numFmtId="1" fontId="15" fillId="3" borderId="18" xfId="0" applyNumberFormat="1" applyFont="1" applyFill="1" applyBorder="1" applyAlignment="1" applyProtection="1">
      <alignment horizontal="center" vertical="center"/>
      <protection hidden="1"/>
    </xf>
    <xf numFmtId="0" fontId="15" fillId="0" borderId="0" xfId="0" applyFont="1" applyAlignment="1">
      <alignment horizontal="right" vertical="center"/>
    </xf>
    <xf numFmtId="3" fontId="15" fillId="0" borderId="9" xfId="0" applyNumberFormat="1" applyFont="1" applyBorder="1" applyAlignment="1">
      <alignment horizontal="center" vertical="center"/>
    </xf>
    <xf numFmtId="3" fontId="15" fillId="0" borderId="129" xfId="0" applyNumberFormat="1" applyFont="1" applyBorder="1" applyAlignment="1">
      <alignment horizontal="center" vertical="center"/>
    </xf>
    <xf numFmtId="0" fontId="15" fillId="0" borderId="131" xfId="0" applyFont="1" applyBorder="1" applyAlignment="1" applyProtection="1">
      <alignment vertical="center"/>
      <protection hidden="1"/>
    </xf>
    <xf numFmtId="0" fontId="15" fillId="0" borderId="131" xfId="0" quotePrefix="1" applyFont="1" applyBorder="1" applyAlignment="1">
      <alignment vertical="center"/>
    </xf>
    <xf numFmtId="0" fontId="15" fillId="0" borderId="131" xfId="0" applyFont="1" applyBorder="1" applyAlignment="1">
      <alignment horizontal="right" vertical="center"/>
    </xf>
    <xf numFmtId="0" fontId="15" fillId="0" borderId="131" xfId="0" applyFont="1" applyBorder="1" applyAlignment="1">
      <alignment vertical="center"/>
    </xf>
    <xf numFmtId="0" fontId="14" fillId="0" borderId="131" xfId="0" quotePrefix="1" applyFont="1" applyBorder="1" applyAlignment="1">
      <alignment horizontal="right" vertical="center"/>
    </xf>
    <xf numFmtId="0" fontId="15" fillId="0" borderId="131" xfId="0" quotePrefix="1" applyFont="1" applyBorder="1" applyAlignment="1">
      <alignment horizontal="right" vertical="center"/>
    </xf>
    <xf numFmtId="0" fontId="0" fillId="0" borderId="60" xfId="0" applyBorder="1"/>
    <xf numFmtId="0" fontId="0" fillId="0" borderId="31" xfId="0" applyBorder="1"/>
    <xf numFmtId="0" fontId="15" fillId="0" borderId="129" xfId="0" applyFont="1" applyBorder="1" applyAlignment="1">
      <alignment horizontal="right" vertical="center"/>
    </xf>
    <xf numFmtId="0" fontId="15" fillId="0" borderId="129" xfId="0" quotePrefix="1" applyFont="1" applyBorder="1" applyAlignment="1">
      <alignment horizontal="right" vertical="center"/>
    </xf>
    <xf numFmtId="0" fontId="15" fillId="0" borderId="131" xfId="0" applyFont="1" applyBorder="1" applyAlignment="1" applyProtection="1">
      <alignment horizontal="left" vertical="center"/>
      <protection hidden="1"/>
    </xf>
    <xf numFmtId="0" fontId="15" fillId="0" borderId="129" xfId="0" applyFont="1" applyBorder="1" applyAlignment="1" applyProtection="1">
      <alignment vertical="center"/>
      <protection hidden="1"/>
    </xf>
    <xf numFmtId="14" fontId="6" fillId="0" borderId="0" xfId="0" applyNumberFormat="1" applyFont="1"/>
    <xf numFmtId="0" fontId="57" fillId="0" borderId="0" xfId="0" applyFont="1" applyAlignment="1">
      <alignment horizontal="center" vertical="center" readingOrder="1"/>
    </xf>
    <xf numFmtId="0" fontId="14" fillId="0" borderId="0" xfId="0" applyFont="1" applyProtection="1">
      <protection hidden="1"/>
    </xf>
    <xf numFmtId="0" fontId="9" fillId="0" borderId="0" xfId="0" applyFont="1" applyAlignment="1" applyProtection="1">
      <alignment horizontal="center" vertical="center"/>
      <protection hidden="1"/>
    </xf>
    <xf numFmtId="166" fontId="15" fillId="0" borderId="27" xfId="0" applyNumberFormat="1" applyFont="1" applyBorder="1" applyAlignment="1">
      <alignment vertical="center"/>
    </xf>
    <xf numFmtId="166" fontId="15" fillId="0" borderId="0" xfId="0" applyNumberFormat="1" applyFont="1" applyAlignment="1">
      <alignment vertical="center"/>
    </xf>
    <xf numFmtId="0" fontId="14" fillId="0" borderId="34" xfId="0" applyFont="1" applyBorder="1" applyAlignment="1">
      <alignment horizontal="center" vertical="center"/>
    </xf>
    <xf numFmtId="0" fontId="14" fillId="0" borderId="34" xfId="0" applyFont="1" applyBorder="1" applyAlignment="1">
      <alignment vertical="center"/>
    </xf>
    <xf numFmtId="0" fontId="14" fillId="0" borderId="34" xfId="0" applyFont="1" applyBorder="1" applyAlignment="1">
      <alignment horizontal="right" vertical="center"/>
    </xf>
    <xf numFmtId="3" fontId="14" fillId="0" borderId="34" xfId="0" applyNumberFormat="1" applyFont="1" applyBorder="1" applyAlignment="1">
      <alignment vertical="center"/>
    </xf>
    <xf numFmtId="0" fontId="9" fillId="0" borderId="107" xfId="0" applyFont="1" applyBorder="1" applyAlignment="1">
      <alignment vertical="center"/>
    </xf>
    <xf numFmtId="0" fontId="0" fillId="0" borderId="115" xfId="0" applyBorder="1" applyAlignment="1">
      <alignment vertical="center"/>
    </xf>
    <xf numFmtId="0" fontId="14" fillId="0" borderId="112" xfId="0" applyFont="1" applyBorder="1" applyAlignment="1">
      <alignment horizontal="center" vertical="center"/>
    </xf>
    <xf numFmtId="0" fontId="15" fillId="0" borderId="112" xfId="0" applyFont="1" applyBorder="1" applyAlignment="1">
      <alignment horizontal="center" vertical="center"/>
    </xf>
    <xf numFmtId="0" fontId="14" fillId="0" borderId="108" xfId="0" applyFont="1" applyBorder="1" applyAlignment="1">
      <alignment horizontal="center" vertical="center"/>
    </xf>
    <xf numFmtId="0" fontId="14" fillId="0" borderId="110" xfId="0" applyFont="1" applyBorder="1" applyAlignment="1">
      <alignment vertical="center"/>
    </xf>
    <xf numFmtId="0" fontId="14" fillId="0" borderId="116" xfId="0" applyFont="1" applyBorder="1" applyAlignment="1">
      <alignment horizontal="right" vertical="center"/>
    </xf>
    <xf numFmtId="0" fontId="9" fillId="0" borderId="115" xfId="0" applyFont="1" applyBorder="1" applyAlignment="1">
      <alignment vertical="center"/>
    </xf>
    <xf numFmtId="0" fontId="8" fillId="0" borderId="112" xfId="0" applyFont="1" applyBorder="1" applyAlignment="1">
      <alignment horizontal="left" vertical="center"/>
    </xf>
    <xf numFmtId="0" fontId="9" fillId="0" borderId="112" xfId="0" applyFont="1" applyBorder="1" applyAlignment="1">
      <alignment horizontal="center" vertical="center"/>
    </xf>
    <xf numFmtId="0" fontId="0" fillId="0" borderId="112" xfId="0" applyBorder="1" applyAlignment="1">
      <alignment horizontal="center" vertical="center"/>
    </xf>
    <xf numFmtId="0" fontId="15" fillId="0" borderId="141" xfId="0" applyFont="1" applyBorder="1" applyAlignment="1">
      <alignment horizontal="center" vertical="center"/>
    </xf>
    <xf numFmtId="0" fontId="0" fillId="0" borderId="0" xfId="0" applyAlignment="1">
      <alignment horizontal="right" vertical="center"/>
    </xf>
    <xf numFmtId="3" fontId="9" fillId="0" borderId="0" xfId="0" applyNumberFormat="1" applyFont="1" applyAlignment="1">
      <alignment vertical="center"/>
    </xf>
    <xf numFmtId="164" fontId="7" fillId="0" borderId="18" xfId="2" applyNumberFormat="1" applyFont="1" applyBorder="1" applyAlignment="1" applyProtection="1">
      <alignment vertical="center"/>
      <protection hidden="1"/>
    </xf>
    <xf numFmtId="0" fontId="10" fillId="0" borderId="43" xfId="0" applyFont="1" applyBorder="1" applyAlignment="1">
      <alignment horizontal="center" vertical="center"/>
    </xf>
    <xf numFmtId="0" fontId="10" fillId="0" borderId="93"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pplyProtection="1">
      <alignment vertical="center"/>
      <protection hidden="1"/>
    </xf>
    <xf numFmtId="0" fontId="15" fillId="0" borderId="27" xfId="0" applyFont="1" applyBorder="1" applyAlignment="1" applyProtection="1">
      <alignment vertical="center"/>
      <protection locked="0" hidden="1"/>
    </xf>
    <xf numFmtId="0" fontId="15" fillId="0" borderId="45" xfId="0" applyFont="1" applyBorder="1" applyAlignment="1">
      <alignment vertical="center"/>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10" fillId="0" borderId="0" xfId="0" applyFont="1" applyAlignment="1">
      <alignment horizontal="right" vertical="top"/>
    </xf>
    <xf numFmtId="0" fontId="14" fillId="0" borderId="0" xfId="0" applyFont="1" applyAlignment="1" applyProtection="1">
      <alignment horizontal="center" vertical="center"/>
      <protection hidden="1"/>
    </xf>
    <xf numFmtId="0" fontId="14" fillId="0" borderId="0" xfId="0" applyFont="1" applyAlignment="1" applyProtection="1">
      <alignment horizontal="right" vertical="center"/>
      <protection hidden="1"/>
    </xf>
    <xf numFmtId="166" fontId="14" fillId="0" borderId="0" xfId="0" applyNumberFormat="1" applyFont="1" applyAlignment="1" applyProtection="1">
      <alignment horizontal="right" vertical="center"/>
      <protection hidden="1"/>
    </xf>
    <xf numFmtId="3" fontId="14" fillId="0" borderId="0" xfId="0" applyNumberFormat="1" applyFont="1" applyAlignment="1" applyProtection="1">
      <alignment vertical="center"/>
      <protection hidden="1"/>
    </xf>
    <xf numFmtId="0" fontId="15" fillId="0" borderId="149" xfId="0" applyFont="1" applyBorder="1" applyAlignment="1">
      <alignment vertical="center"/>
    </xf>
    <xf numFmtId="0" fontId="9" fillId="0" borderId="150" xfId="0" applyFont="1" applyBorder="1" applyAlignment="1">
      <alignment horizontal="right" vertical="center"/>
    </xf>
    <xf numFmtId="0" fontId="14" fillId="0" borderId="0" xfId="0" applyFont="1" applyAlignment="1">
      <alignment horizontal="left" vertical="center"/>
    </xf>
    <xf numFmtId="0" fontId="14" fillId="0" borderId="31" xfId="0" applyFont="1" applyBorder="1" applyAlignment="1">
      <alignment vertical="center"/>
    </xf>
    <xf numFmtId="0" fontId="14" fillId="0" borderId="99" xfId="0" applyFont="1" applyBorder="1" applyAlignment="1">
      <alignment horizontal="right" vertical="center"/>
    </xf>
    <xf numFmtId="0" fontId="14" fillId="0" borderId="77" xfId="0" applyFont="1" applyBorder="1" applyAlignment="1">
      <alignment horizontal="left" vertical="center"/>
    </xf>
    <xf numFmtId="0" fontId="14" fillId="0" borderId="78" xfId="0" applyFont="1" applyBorder="1" applyAlignment="1">
      <alignment vertical="center"/>
    </xf>
    <xf numFmtId="0" fontId="15" fillId="0" borderId="152" xfId="0" applyFont="1" applyBorder="1" applyAlignment="1">
      <alignment vertical="center"/>
    </xf>
    <xf numFmtId="0" fontId="9" fillId="0" borderId="151" xfId="0" applyFont="1" applyBorder="1" applyAlignment="1">
      <alignment horizontal="right" vertical="center"/>
    </xf>
    <xf numFmtId="0" fontId="15" fillId="0" borderId="152" xfId="0" applyFont="1" applyBorder="1" applyAlignment="1">
      <alignment horizontal="right" vertical="center"/>
    </xf>
    <xf numFmtId="9" fontId="15" fillId="7" borderId="151" xfId="2" applyFont="1" applyFill="1" applyBorder="1" applyAlignment="1" applyProtection="1">
      <alignment horizontal="center" vertical="center"/>
      <protection locked="0"/>
    </xf>
    <xf numFmtId="0" fontId="10" fillId="7" borderId="100" xfId="0" applyFont="1" applyFill="1" applyBorder="1" applyAlignment="1" applyProtection="1">
      <alignment vertical="center"/>
      <protection locked="0"/>
    </xf>
    <xf numFmtId="3" fontId="15" fillId="0" borderId="72" xfId="0" applyNumberFormat="1" applyFont="1" applyBorder="1" applyAlignment="1" applyProtection="1">
      <alignment horizontal="left" vertical="center"/>
      <protection hidden="1"/>
    </xf>
    <xf numFmtId="3" fontId="15" fillId="0" borderId="43" xfId="0" applyNumberFormat="1" applyFont="1" applyBorder="1" applyAlignment="1">
      <alignment vertical="center"/>
    </xf>
    <xf numFmtId="164" fontId="15" fillId="0" borderId="43" xfId="0" applyNumberFormat="1" applyFont="1" applyBorder="1" applyAlignment="1">
      <alignment horizontal="right" vertical="center"/>
    </xf>
    <xf numFmtId="3" fontId="15" fillId="0" borderId="43" xfId="0" applyNumberFormat="1" applyFont="1" applyBorder="1" applyAlignment="1">
      <alignment horizontal="right" vertical="center"/>
    </xf>
    <xf numFmtId="0" fontId="15" fillId="0" borderId="43" xfId="0" applyFont="1" applyBorder="1" applyAlignment="1">
      <alignment horizontal="right" vertical="center"/>
    </xf>
    <xf numFmtId="0" fontId="8" fillId="0" borderId="10" xfId="0" applyFont="1" applyBorder="1" applyAlignment="1" applyProtection="1">
      <alignment vertical="center"/>
      <protection hidden="1"/>
    </xf>
    <xf numFmtId="3" fontId="15" fillId="0" borderId="18" xfId="0" applyNumberFormat="1" applyFont="1" applyBorder="1"/>
    <xf numFmtId="0" fontId="6" fillId="0" borderId="0" xfId="0" applyFont="1"/>
    <xf numFmtId="0" fontId="14" fillId="0" borderId="16" xfId="0" applyFont="1" applyBorder="1" applyAlignment="1">
      <alignment vertical="center"/>
    </xf>
    <xf numFmtId="0" fontId="6" fillId="0" borderId="0" xfId="0" applyFont="1" applyAlignment="1">
      <alignment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1" xfId="0" applyFont="1" applyBorder="1" applyAlignment="1">
      <alignment horizontal="left" vertical="center"/>
    </xf>
    <xf numFmtId="0" fontId="55" fillId="0" borderId="0" xfId="0" applyFont="1" applyAlignment="1">
      <alignment horizontal="center" vertical="center"/>
    </xf>
    <xf numFmtId="0" fontId="7" fillId="0" borderId="0" xfId="0" applyFont="1" applyAlignment="1">
      <alignment horizontal="left"/>
    </xf>
    <xf numFmtId="0" fontId="15" fillId="7" borderId="18" xfId="0" applyFont="1" applyFill="1" applyBorder="1" applyAlignment="1" applyProtection="1">
      <alignment horizontal="center" vertical="center"/>
      <protection locked="0"/>
    </xf>
    <xf numFmtId="0" fontId="42" fillId="0" borderId="21" xfId="0" applyFont="1" applyBorder="1" applyAlignment="1">
      <alignment horizontal="center" vertical="center"/>
    </xf>
    <xf numFmtId="0" fontId="42" fillId="0" borderId="43" xfId="0" applyFont="1" applyBorder="1" applyAlignment="1">
      <alignment horizontal="center" vertical="center"/>
    </xf>
    <xf numFmtId="166" fontId="42" fillId="7" borderId="97" xfId="0" applyNumberFormat="1" applyFont="1" applyFill="1" applyBorder="1" applyAlignment="1" applyProtection="1">
      <alignment horizontal="center" vertical="center"/>
      <protection locked="0"/>
    </xf>
    <xf numFmtId="0" fontId="42" fillId="0" borderId="59" xfId="0" applyFont="1" applyBorder="1" applyAlignment="1">
      <alignment horizontal="center" vertical="center"/>
    </xf>
    <xf numFmtId="166" fontId="42" fillId="0" borderId="43" xfId="0" applyNumberFormat="1" applyFont="1" applyBorder="1" applyAlignment="1" applyProtection="1">
      <alignment horizontal="center" vertical="center"/>
      <protection hidden="1"/>
    </xf>
    <xf numFmtId="0" fontId="42" fillId="0" borderId="9" xfId="0" applyFont="1" applyBorder="1" applyAlignment="1">
      <alignment horizontal="center" vertical="center"/>
    </xf>
    <xf numFmtId="0" fontId="42" fillId="0" borderId="9" xfId="0" applyFont="1" applyBorder="1" applyAlignment="1" applyProtection="1">
      <alignment horizontal="center" vertical="center"/>
      <protection hidden="1"/>
    </xf>
    <xf numFmtId="0" fontId="6" fillId="2" borderId="0" xfId="0" applyFont="1" applyFill="1" applyAlignment="1">
      <alignment vertical="center"/>
    </xf>
    <xf numFmtId="0" fontId="6" fillId="2" borderId="0" xfId="0" applyFont="1" applyFill="1" applyAlignment="1">
      <alignment horizontal="center" vertical="center"/>
    </xf>
    <xf numFmtId="0" fontId="15" fillId="0" borderId="11" xfId="0" applyFont="1" applyBorder="1" applyAlignment="1" applyProtection="1">
      <alignment vertical="center"/>
      <protection hidden="1"/>
    </xf>
    <xf numFmtId="0" fontId="15" fillId="7" borderId="52" xfId="0" applyFont="1" applyFill="1" applyBorder="1" applyAlignment="1" applyProtection="1">
      <alignment vertical="center"/>
      <protection locked="0"/>
    </xf>
    <xf numFmtId="1" fontId="15" fillId="7" borderId="38" xfId="0" applyNumberFormat="1" applyFont="1" applyFill="1" applyBorder="1" applyAlignment="1" applyProtection="1">
      <alignment horizontal="center" vertical="center"/>
      <protection locked="0"/>
    </xf>
    <xf numFmtId="0" fontId="15" fillId="7" borderId="37" xfId="0" applyFont="1" applyFill="1" applyBorder="1" applyAlignment="1" applyProtection="1">
      <alignment vertical="center"/>
      <protection locked="0"/>
    </xf>
    <xf numFmtId="0" fontId="42" fillId="0" borderId="18" xfId="0" applyFont="1" applyBorder="1" applyAlignment="1">
      <alignment horizontal="left"/>
    </xf>
    <xf numFmtId="3" fontId="15" fillId="0" borderId="59" xfId="0" applyNumberFormat="1" applyFont="1" applyBorder="1" applyAlignment="1">
      <alignment horizontal="right" vertical="center"/>
    </xf>
    <xf numFmtId="3" fontId="15" fillId="0" borderId="59" xfId="0" applyNumberFormat="1" applyFont="1" applyBorder="1" applyAlignment="1" applyProtection="1">
      <alignment horizontal="right" vertical="center"/>
      <protection hidden="1"/>
    </xf>
    <xf numFmtId="0" fontId="15" fillId="7" borderId="11" xfId="0" applyFont="1" applyFill="1" applyBorder="1" applyAlignment="1" applyProtection="1">
      <alignment horizontal="left" vertical="center"/>
      <protection locked="0"/>
    </xf>
    <xf numFmtId="3" fontId="15" fillId="7" borderId="59" xfId="0" applyNumberFormat="1" applyFont="1" applyFill="1" applyBorder="1" applyAlignment="1">
      <alignment horizontal="right" vertical="center"/>
    </xf>
    <xf numFmtId="0" fontId="15" fillId="0" borderId="9" xfId="0" applyFont="1" applyBorder="1" applyAlignment="1" applyProtection="1">
      <alignment vertical="center"/>
      <protection hidden="1"/>
    </xf>
    <xf numFmtId="0" fontId="15" fillId="7" borderId="17" xfId="0" applyFont="1" applyFill="1" applyBorder="1" applyAlignment="1" applyProtection="1">
      <alignment horizontal="left" vertical="center"/>
      <protection locked="0"/>
    </xf>
    <xf numFmtId="0" fontId="0" fillId="7" borderId="43" xfId="0" applyFill="1" applyBorder="1" applyAlignment="1">
      <alignment vertical="center"/>
    </xf>
    <xf numFmtId="0" fontId="0" fillId="0" borderId="43" xfId="0" applyBorder="1" applyAlignment="1">
      <alignment vertical="center"/>
    </xf>
    <xf numFmtId="0" fontId="0" fillId="0" borderId="31" xfId="0" applyBorder="1" applyAlignment="1">
      <alignment vertical="center"/>
    </xf>
    <xf numFmtId="0" fontId="6" fillId="0" borderId="0" xfId="0" applyFont="1" applyAlignment="1">
      <alignment horizontal="center"/>
    </xf>
    <xf numFmtId="0" fontId="15" fillId="0" borderId="108" xfId="0" applyFont="1" applyBorder="1" applyAlignment="1">
      <alignment horizontal="center" vertical="center"/>
    </xf>
    <xf numFmtId="0" fontId="18" fillId="0" borderId="110" xfId="0" applyFont="1" applyBorder="1" applyAlignment="1" applyProtection="1">
      <alignment horizontal="right" vertical="center"/>
      <protection hidden="1"/>
    </xf>
    <xf numFmtId="169" fontId="15" fillId="0" borderId="110" xfId="0" applyNumberFormat="1" applyFont="1" applyBorder="1" applyAlignment="1" applyProtection="1">
      <alignment vertical="center"/>
      <protection hidden="1"/>
    </xf>
    <xf numFmtId="0" fontId="0" fillId="0" borderId="119" xfId="0" applyBorder="1" applyAlignment="1" applyProtection="1">
      <alignment horizontal="center" vertical="center"/>
      <protection hidden="1"/>
    </xf>
    <xf numFmtId="0" fontId="10" fillId="7" borderId="111" xfId="0" applyFont="1" applyFill="1" applyBorder="1" applyProtection="1">
      <protection locked="0"/>
    </xf>
    <xf numFmtId="0" fontId="10" fillId="7" borderId="100" xfId="0" applyFont="1" applyFill="1" applyBorder="1" applyProtection="1">
      <protection locked="0"/>
    </xf>
    <xf numFmtId="3" fontId="8" fillId="0" borderId="0" xfId="0" applyNumberFormat="1" applyFont="1" applyAlignment="1">
      <alignment vertical="center"/>
    </xf>
    <xf numFmtId="2" fontId="8" fillId="0" borderId="0" xfId="0" applyNumberFormat="1" applyFont="1" applyAlignment="1">
      <alignment vertical="center"/>
    </xf>
    <xf numFmtId="2" fontId="8" fillId="0" borderId="0" xfId="0" applyNumberFormat="1" applyFont="1" applyAlignment="1" applyProtection="1">
      <alignment horizontal="left"/>
      <protection hidden="1"/>
    </xf>
    <xf numFmtId="14" fontId="0" fillId="0" borderId="0" xfId="0" applyNumberFormat="1" applyAlignment="1" applyProtection="1">
      <alignment horizontal="center" vertical="center"/>
      <protection hidden="1"/>
    </xf>
    <xf numFmtId="14" fontId="0" fillId="0" borderId="0" xfId="0" applyNumberFormat="1" applyAlignment="1">
      <alignment horizontal="center" vertical="center"/>
    </xf>
    <xf numFmtId="0" fontId="12" fillId="0" borderId="0" xfId="0" applyFont="1" applyAlignment="1">
      <alignment vertical="center"/>
    </xf>
    <xf numFmtId="2" fontId="8" fillId="0" borderId="0" xfId="0" applyNumberFormat="1" applyFont="1" applyAlignment="1">
      <alignment horizontal="left" vertical="center"/>
    </xf>
    <xf numFmtId="1" fontId="8" fillId="0" borderId="0" xfId="0" applyNumberFormat="1" applyFont="1" applyAlignment="1">
      <alignment vertical="center"/>
    </xf>
    <xf numFmtId="0" fontId="9" fillId="0" borderId="159" xfId="0" applyFont="1" applyBorder="1" applyAlignment="1">
      <alignment vertical="center"/>
    </xf>
    <xf numFmtId="0" fontId="0" fillId="0" borderId="160" xfId="0" applyBorder="1" applyAlignment="1">
      <alignment vertical="center"/>
    </xf>
    <xf numFmtId="14" fontId="8" fillId="0" borderId="0" xfId="0" applyNumberFormat="1" applyFont="1" applyAlignment="1">
      <alignment vertical="center"/>
    </xf>
    <xf numFmtId="6" fontId="58" fillId="0" borderId="0" xfId="0" applyNumberFormat="1" applyFont="1" applyAlignment="1">
      <alignment vertical="center"/>
    </xf>
    <xf numFmtId="14" fontId="9" fillId="0" borderId="17" xfId="0" applyNumberFormat="1" applyFont="1" applyBorder="1" applyAlignment="1" applyProtection="1">
      <alignment horizontal="left" vertical="center"/>
      <protection hidden="1"/>
    </xf>
    <xf numFmtId="14" fontId="9" fillId="0" borderId="17" xfId="0" applyNumberFormat="1" applyFont="1" applyBorder="1" applyAlignment="1">
      <alignment horizontal="left" vertical="center"/>
    </xf>
    <xf numFmtId="1" fontId="14" fillId="6" borderId="62" xfId="0" applyNumberFormat="1" applyFont="1" applyFill="1" applyBorder="1" applyAlignment="1" applyProtection="1">
      <alignment horizontal="center" vertical="center"/>
      <protection hidden="1"/>
    </xf>
    <xf numFmtId="3" fontId="15" fillId="7" borderId="18" xfId="0" applyNumberFormat="1" applyFont="1" applyFill="1" applyBorder="1" applyAlignment="1" applyProtection="1">
      <alignment horizontal="center" vertical="center"/>
      <protection locked="0"/>
    </xf>
    <xf numFmtId="3" fontId="9" fillId="0" borderId="38" xfId="0" applyNumberFormat="1" applyFont="1" applyBorder="1" applyAlignment="1" applyProtection="1">
      <alignment horizontal="center" vertical="center"/>
      <protection hidden="1"/>
    </xf>
    <xf numFmtId="3" fontId="15" fillId="0" borderId="35"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locked="0"/>
    </xf>
    <xf numFmtId="3" fontId="15" fillId="0" borderId="33" xfId="0" applyNumberFormat="1" applyFont="1" applyBorder="1" applyAlignment="1" applyProtection="1">
      <alignment horizontal="center" vertical="center"/>
      <protection hidden="1"/>
    </xf>
    <xf numFmtId="3" fontId="15" fillId="0" borderId="137" xfId="0" applyNumberFormat="1" applyFont="1" applyBorder="1" applyAlignment="1" applyProtection="1">
      <alignment horizontal="center" vertical="center"/>
      <protection hidden="1"/>
    </xf>
    <xf numFmtId="3" fontId="15" fillId="0" borderId="32" xfId="0" applyNumberFormat="1" applyFont="1" applyBorder="1" applyAlignment="1" applyProtection="1">
      <alignment horizontal="center" vertical="center"/>
      <protection hidden="1"/>
    </xf>
    <xf numFmtId="3" fontId="15" fillId="0" borderId="140" xfId="0" applyNumberFormat="1"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3" fontId="15" fillId="0" borderId="18" xfId="0" applyNumberFormat="1" applyFont="1" applyBorder="1" applyAlignment="1" applyProtection="1">
      <alignment horizontal="center" vertical="center"/>
      <protection hidden="1"/>
    </xf>
    <xf numFmtId="167" fontId="9" fillId="0" borderId="0" xfId="0" applyNumberFormat="1" applyFont="1" applyAlignment="1">
      <alignment horizontal="center" vertical="center"/>
    </xf>
    <xf numFmtId="0" fontId="10" fillId="0" borderId="0" xfId="0" applyFont="1" applyAlignment="1" applyProtection="1">
      <alignment shrinkToFit="1"/>
      <protection hidden="1"/>
    </xf>
    <xf numFmtId="0" fontId="6" fillId="0" borderId="0" xfId="0" applyFont="1" applyAlignment="1">
      <alignment shrinkToFit="1"/>
    </xf>
    <xf numFmtId="0" fontId="15" fillId="0" borderId="123" xfId="0" applyFont="1" applyBorder="1" applyAlignment="1" applyProtection="1">
      <alignment horizontal="left" vertical="center"/>
      <protection hidden="1"/>
    </xf>
    <xf numFmtId="3" fontId="15" fillId="6" borderId="18" xfId="0" applyNumberFormat="1" applyFont="1" applyFill="1" applyBorder="1" applyAlignment="1">
      <alignment vertical="center"/>
    </xf>
    <xf numFmtId="3" fontId="15" fillId="6" borderId="18" xfId="0" applyNumberFormat="1" applyFont="1" applyFill="1" applyBorder="1" applyAlignment="1" applyProtection="1">
      <alignment vertical="center"/>
      <protection hidden="1"/>
    </xf>
    <xf numFmtId="3" fontId="9" fillId="6" borderId="135" xfId="0" applyNumberFormat="1" applyFont="1" applyFill="1" applyBorder="1" applyAlignment="1" applyProtection="1">
      <alignment vertical="center"/>
      <protection hidden="1"/>
    </xf>
    <xf numFmtId="3" fontId="15" fillId="6" borderId="38" xfId="0" applyNumberFormat="1" applyFont="1" applyFill="1" applyBorder="1" applyAlignment="1" applyProtection="1">
      <alignment vertical="center"/>
      <protection hidden="1"/>
    </xf>
    <xf numFmtId="3" fontId="15" fillId="6" borderId="20" xfId="0" applyNumberFormat="1" applyFont="1" applyFill="1" applyBorder="1" applyAlignment="1">
      <alignment vertical="center"/>
    </xf>
    <xf numFmtId="3" fontId="15" fillId="6" borderId="18" xfId="0" applyNumberFormat="1" applyFont="1" applyFill="1" applyBorder="1" applyProtection="1">
      <protection hidden="1"/>
    </xf>
    <xf numFmtId="3" fontId="15" fillId="6" borderId="18" xfId="0" applyNumberFormat="1" applyFont="1" applyFill="1" applyBorder="1" applyAlignment="1" applyProtection="1">
      <alignment horizontal="right" vertical="center"/>
      <protection hidden="1"/>
    </xf>
    <xf numFmtId="3" fontId="15" fillId="6" borderId="20" xfId="0" applyNumberFormat="1" applyFont="1" applyFill="1" applyBorder="1" applyAlignment="1" applyProtection="1">
      <alignment horizontal="right" vertical="center"/>
      <protection hidden="1"/>
    </xf>
    <xf numFmtId="164" fontId="15" fillId="6" borderId="18" xfId="2" applyNumberFormat="1" applyFont="1" applyFill="1" applyBorder="1" applyAlignment="1" applyProtection="1">
      <alignment horizontal="right" vertical="center"/>
      <protection hidden="1"/>
    </xf>
    <xf numFmtId="0" fontId="48" fillId="6" borderId="18" xfId="0" applyFont="1" applyFill="1" applyBorder="1" applyAlignment="1" applyProtection="1">
      <alignment horizontal="left" vertical="center"/>
      <protection hidden="1"/>
    </xf>
    <xf numFmtId="4" fontId="15" fillId="6" borderId="18" xfId="0" applyNumberFormat="1" applyFont="1" applyFill="1" applyBorder="1" applyProtection="1">
      <protection hidden="1"/>
    </xf>
    <xf numFmtId="4" fontId="15" fillId="6" borderId="18" xfId="0" applyNumberFormat="1" applyFont="1" applyFill="1" applyBorder="1" applyAlignment="1" applyProtection="1">
      <alignment horizontal="right" vertical="center"/>
      <protection hidden="1"/>
    </xf>
    <xf numFmtId="164" fontId="15" fillId="6" borderId="18" xfId="2" applyNumberFormat="1" applyFont="1" applyFill="1" applyBorder="1" applyProtection="1">
      <protection hidden="1"/>
    </xf>
    <xf numFmtId="0" fontId="15" fillId="6" borderId="18" xfId="0" applyFont="1" applyFill="1" applyBorder="1" applyAlignment="1" applyProtection="1">
      <alignment horizontal="center" vertical="center"/>
      <protection hidden="1"/>
    </xf>
    <xf numFmtId="3" fontId="9" fillId="6" borderId="161" xfId="0" applyNumberFormat="1" applyFont="1" applyFill="1" applyBorder="1" applyAlignment="1" applyProtection="1">
      <alignment vertical="center"/>
      <protection hidden="1"/>
    </xf>
    <xf numFmtId="3" fontId="14" fillId="6" borderId="32" xfId="0" applyNumberFormat="1" applyFont="1" applyFill="1" applyBorder="1" applyAlignment="1" applyProtection="1">
      <alignment vertical="center"/>
      <protection hidden="1"/>
    </xf>
    <xf numFmtId="3" fontId="14" fillId="6" borderId="60" xfId="0" applyNumberFormat="1" applyFont="1" applyFill="1" applyBorder="1" applyAlignment="1" applyProtection="1">
      <alignment vertical="center"/>
      <protection hidden="1"/>
    </xf>
    <xf numFmtId="3" fontId="14" fillId="6" borderId="18" xfId="0" applyNumberFormat="1" applyFont="1" applyFill="1" applyBorder="1" applyAlignment="1" applyProtection="1">
      <alignment vertical="center"/>
      <protection hidden="1"/>
    </xf>
    <xf numFmtId="3" fontId="15" fillId="6" borderId="20" xfId="0" applyNumberFormat="1" applyFont="1" applyFill="1" applyBorder="1" applyAlignment="1" applyProtection="1">
      <alignment vertical="center"/>
      <protection hidden="1"/>
    </xf>
    <xf numFmtId="3" fontId="14" fillId="6" borderId="142" xfId="0" applyNumberFormat="1" applyFont="1" applyFill="1" applyBorder="1" applyAlignment="1" applyProtection="1">
      <alignment vertical="center"/>
      <protection hidden="1"/>
    </xf>
    <xf numFmtId="3" fontId="15" fillId="6" borderId="32"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horizontal="right" vertical="center"/>
      <protection hidden="1"/>
    </xf>
    <xf numFmtId="164" fontId="18" fillId="6" borderId="18" xfId="0" applyNumberFormat="1" applyFont="1" applyFill="1" applyBorder="1" applyAlignment="1" applyProtection="1">
      <alignment vertical="center"/>
      <protection hidden="1"/>
    </xf>
    <xf numFmtId="3" fontId="8" fillId="6" borderId="18"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vertical="center"/>
      <protection hidden="1"/>
    </xf>
    <xf numFmtId="3" fontId="15" fillId="6" borderId="0" xfId="0" applyNumberFormat="1" applyFont="1" applyFill="1" applyProtection="1">
      <protection hidden="1"/>
    </xf>
    <xf numFmtId="3" fontId="15" fillId="6" borderId="18" xfId="0" applyNumberFormat="1" applyFont="1" applyFill="1" applyBorder="1"/>
    <xf numFmtId="164" fontId="18" fillId="6" borderId="18" xfId="0" applyNumberFormat="1" applyFont="1" applyFill="1" applyBorder="1" applyAlignment="1" applyProtection="1">
      <alignment horizontal="center" vertical="center"/>
      <protection hidden="1"/>
    </xf>
    <xf numFmtId="164" fontId="53" fillId="6" borderId="18" xfId="0" applyNumberFormat="1" applyFont="1" applyFill="1" applyBorder="1" applyAlignment="1" applyProtection="1">
      <alignment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164" fontId="53" fillId="0" borderId="0" xfId="2" applyNumberFormat="1" applyFont="1" applyAlignment="1" applyProtection="1">
      <alignment horizontal="left" vertical="center"/>
      <protection hidden="1"/>
    </xf>
    <xf numFmtId="1" fontId="14" fillId="6" borderId="145" xfId="0" applyNumberFormat="1" applyFont="1" applyFill="1" applyBorder="1" applyAlignment="1" applyProtection="1">
      <alignment horizontal="center" vertical="center"/>
      <protection hidden="1"/>
    </xf>
    <xf numFmtId="166" fontId="15" fillId="6" borderId="67" xfId="0" applyNumberFormat="1" applyFont="1" applyFill="1" applyBorder="1" applyAlignment="1" applyProtection="1">
      <alignment horizontal="center" vertical="center"/>
      <protection hidden="1"/>
    </xf>
    <xf numFmtId="3" fontId="14" fillId="6" borderId="66" xfId="0" applyNumberFormat="1" applyFont="1" applyFill="1" applyBorder="1" applyAlignment="1" applyProtection="1">
      <alignment vertical="center"/>
      <protection hidden="1"/>
    </xf>
    <xf numFmtId="3" fontId="14" fillId="6" borderId="67" xfId="0" applyNumberFormat="1" applyFont="1" applyFill="1" applyBorder="1" applyAlignment="1" applyProtection="1">
      <alignment horizontal="center" vertical="center"/>
      <protection hidden="1"/>
    </xf>
    <xf numFmtId="3" fontId="15" fillId="6" borderId="12" xfId="0" applyNumberFormat="1" applyFont="1" applyFill="1" applyBorder="1" applyAlignment="1" applyProtection="1">
      <alignment vertical="center"/>
      <protection hidden="1"/>
    </xf>
    <xf numFmtId="3" fontId="14" fillId="6" borderId="41" xfId="0" applyNumberFormat="1" applyFont="1" applyFill="1" applyBorder="1" applyAlignment="1" applyProtection="1">
      <alignment vertical="center"/>
      <protection hidden="1"/>
    </xf>
    <xf numFmtId="166" fontId="15" fillId="6" borderId="144" xfId="0" applyNumberFormat="1" applyFont="1" applyFill="1" applyBorder="1" applyAlignment="1" applyProtection="1">
      <alignment horizontal="center" vertical="center"/>
      <protection hidden="1"/>
    </xf>
    <xf numFmtId="1" fontId="14" fillId="6" borderId="33" xfId="0" applyNumberFormat="1" applyFont="1" applyFill="1" applyBorder="1" applyAlignment="1" applyProtection="1">
      <alignment horizontal="center" vertical="center"/>
      <protection hidden="1"/>
    </xf>
    <xf numFmtId="166" fontId="15" fillId="6" borderId="35" xfId="0" applyNumberFormat="1" applyFont="1" applyFill="1" applyBorder="1" applyAlignment="1" applyProtection="1">
      <alignment horizontal="center" vertical="center"/>
      <protection hidden="1"/>
    </xf>
    <xf numFmtId="1" fontId="14" fillId="6" borderId="36" xfId="0" applyNumberFormat="1" applyFont="1" applyFill="1" applyBorder="1" applyAlignment="1" applyProtection="1">
      <alignment horizontal="center"/>
      <protection hidden="1"/>
    </xf>
    <xf numFmtId="164" fontId="15" fillId="6" borderId="36" xfId="0" applyNumberFormat="1" applyFont="1" applyFill="1" applyBorder="1" applyAlignment="1">
      <alignment horizontal="center" vertical="center"/>
    </xf>
    <xf numFmtId="0" fontId="61" fillId="0" borderId="75" xfId="0" applyFont="1" applyBorder="1" applyAlignment="1">
      <alignment horizontal="right" vertical="center"/>
    </xf>
    <xf numFmtId="3" fontId="42" fillId="7" borderId="60" xfId="0" applyNumberFormat="1" applyFont="1" applyFill="1" applyBorder="1" applyAlignment="1" applyProtection="1">
      <alignment horizontal="center" vertical="center"/>
      <protection locked="0" hidden="1"/>
    </xf>
    <xf numFmtId="3" fontId="42" fillId="0" borderId="18" xfId="0" applyNumberFormat="1" applyFont="1" applyBorder="1" applyAlignment="1" applyProtection="1">
      <alignment horizontal="center" vertical="center"/>
      <protection hidden="1"/>
    </xf>
    <xf numFmtId="164" fontId="42" fillId="7" borderId="18" xfId="0" applyNumberFormat="1" applyFont="1" applyFill="1" applyBorder="1" applyAlignment="1" applyProtection="1">
      <alignment horizontal="center" vertical="center"/>
      <protection locked="0"/>
    </xf>
    <xf numFmtId="3" fontId="42" fillId="7" borderId="18"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 vertical="center"/>
    </xf>
    <xf numFmtId="3" fontId="6" fillId="2" borderId="0" xfId="0" applyNumberFormat="1" applyFont="1" applyFill="1" applyAlignment="1" applyProtection="1">
      <alignment horizontal="center" vertical="center"/>
      <protection hidden="1"/>
    </xf>
    <xf numFmtId="3" fontId="42" fillId="6" borderId="63" xfId="0" applyNumberFormat="1" applyFont="1" applyFill="1" applyBorder="1" applyAlignment="1" applyProtection="1">
      <alignment horizontal="center" vertical="center"/>
      <protection hidden="1"/>
    </xf>
    <xf numFmtId="3" fontId="42" fillId="6" borderId="32" xfId="0" applyNumberFormat="1" applyFont="1" applyFill="1" applyBorder="1" applyAlignment="1" applyProtection="1">
      <alignment horizontal="center" vertical="center"/>
      <protection hidden="1"/>
    </xf>
    <xf numFmtId="0" fontId="8" fillId="2" borderId="0" xfId="0" applyFont="1" applyFill="1" applyAlignment="1">
      <alignment horizontal="left" vertical="center"/>
    </xf>
    <xf numFmtId="3" fontId="8" fillId="6" borderId="18" xfId="0" applyNumberFormat="1" applyFont="1" applyFill="1" applyBorder="1" applyAlignment="1" applyProtection="1">
      <alignment horizontal="center" vertical="center"/>
      <protection hidden="1"/>
    </xf>
    <xf numFmtId="3" fontId="8" fillId="6" borderId="9" xfId="0" applyNumberFormat="1" applyFont="1" applyFill="1" applyBorder="1" applyAlignment="1" applyProtection="1">
      <alignment horizontal="center" vertical="center"/>
      <protection hidden="1"/>
    </xf>
    <xf numFmtId="167" fontId="8" fillId="6" borderId="59" xfId="0" applyNumberFormat="1"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103" xfId="0" applyFont="1" applyBorder="1" applyAlignment="1" applyProtection="1">
      <alignment horizontal="left" vertical="center"/>
      <protection hidden="1"/>
    </xf>
    <xf numFmtId="164" fontId="10" fillId="0" borderId="11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7" fillId="0" borderId="123" xfId="0" applyFont="1" applyBorder="1" applyAlignment="1">
      <alignment horizontal="right" vertical="center"/>
    </xf>
    <xf numFmtId="0" fontId="14" fillId="0" borderId="103" xfId="0" applyFont="1" applyBorder="1" applyProtection="1">
      <protection hidden="1"/>
    </xf>
    <xf numFmtId="0" fontId="15" fillId="7" borderId="52" xfId="0" applyFont="1" applyFill="1" applyBorder="1" applyAlignment="1" applyProtection="1">
      <alignment horizontal="left" vertical="center"/>
      <protection locked="0"/>
    </xf>
    <xf numFmtId="0" fontId="57" fillId="0" borderId="0" xfId="0" applyFont="1" applyAlignment="1">
      <alignment horizontal="left" vertical="center" readingOrder="1"/>
    </xf>
    <xf numFmtId="0" fontId="14" fillId="0" borderId="123" xfId="0" applyFont="1" applyBorder="1" applyProtection="1">
      <protection hidden="1"/>
    </xf>
    <xf numFmtId="0" fontId="15" fillId="0" borderId="123" xfId="0" applyFont="1" applyBorder="1" applyProtection="1">
      <protection hidden="1"/>
    </xf>
    <xf numFmtId="0" fontId="15" fillId="0" borderId="167" xfId="0" applyFont="1" applyBorder="1" applyProtection="1">
      <protection hidden="1"/>
    </xf>
    <xf numFmtId="0" fontId="14" fillId="0" borderId="167" xfId="0" applyFont="1" applyBorder="1" applyProtection="1">
      <protection hidden="1"/>
    </xf>
    <xf numFmtId="0" fontId="15" fillId="0" borderId="167" xfId="0" applyFont="1" applyBorder="1" applyAlignment="1" applyProtection="1">
      <alignment horizontal="left"/>
      <protection hidden="1"/>
    </xf>
    <xf numFmtId="0" fontId="14" fillId="0" borderId="167" xfId="0" applyFont="1" applyBorder="1" applyAlignment="1" applyProtection="1">
      <alignment horizontal="left" vertical="center"/>
      <protection hidden="1"/>
    </xf>
    <xf numFmtId="0" fontId="15" fillId="0" borderId="111" xfId="0" applyFont="1" applyBorder="1" applyAlignment="1" applyProtection="1">
      <alignment horizontal="center" vertical="center"/>
      <protection hidden="1"/>
    </xf>
    <xf numFmtId="0" fontId="15" fillId="0" borderId="134" xfId="0" applyFont="1" applyBorder="1" applyProtection="1">
      <protection hidden="1"/>
    </xf>
    <xf numFmtId="0" fontId="15" fillId="0" borderId="123" xfId="0" applyFont="1" applyBorder="1" applyAlignment="1" applyProtection="1">
      <alignment vertical="center"/>
      <protection hidden="1"/>
    </xf>
    <xf numFmtId="0" fontId="14" fillId="0" borderId="123" xfId="0" applyFont="1" applyBorder="1" applyAlignment="1" applyProtection="1">
      <alignment horizontal="left" vertical="center"/>
      <protection hidden="1"/>
    </xf>
    <xf numFmtId="0" fontId="14" fillId="0" borderId="123" xfId="0" applyFont="1" applyBorder="1" applyAlignment="1" applyProtection="1">
      <alignment vertical="center"/>
      <protection hidden="1"/>
    </xf>
    <xf numFmtId="0" fontId="14" fillId="0" borderId="134" xfId="0" applyFont="1" applyBorder="1" applyProtection="1">
      <protection hidden="1"/>
    </xf>
    <xf numFmtId="0" fontId="15" fillId="0" borderId="111" xfId="0" applyFont="1" applyBorder="1" applyAlignment="1" applyProtection="1">
      <alignment horizontal="left" vertical="center"/>
      <protection hidden="1"/>
    </xf>
    <xf numFmtId="3" fontId="14" fillId="0" borderId="123" xfId="0" applyNumberFormat="1" applyFont="1" applyBorder="1" applyAlignment="1" applyProtection="1">
      <alignment vertical="center"/>
      <protection hidden="1"/>
    </xf>
    <xf numFmtId="0" fontId="15" fillId="0" borderId="123" xfId="0" applyFont="1" applyBorder="1" applyAlignment="1" applyProtection="1">
      <alignment shrinkToFit="1"/>
      <protection hidden="1"/>
    </xf>
    <xf numFmtId="3" fontId="15" fillId="0" borderId="123" xfId="0" applyNumberFormat="1" applyFont="1" applyBorder="1" applyAlignment="1">
      <alignment horizontal="right" vertical="center"/>
    </xf>
    <xf numFmtId="167" fontId="15" fillId="0" borderId="123" xfId="0" applyNumberFormat="1" applyFont="1" applyBorder="1" applyAlignment="1" applyProtection="1">
      <alignment vertical="center"/>
      <protection hidden="1"/>
    </xf>
    <xf numFmtId="167" fontId="14" fillId="0" borderId="123" xfId="0" applyNumberFormat="1" applyFont="1" applyBorder="1" applyAlignment="1" applyProtection="1">
      <alignment vertical="center"/>
      <protection hidden="1"/>
    </xf>
    <xf numFmtId="0" fontId="15" fillId="0" borderId="103" xfId="0" applyFont="1" applyBorder="1" applyAlignment="1" applyProtection="1">
      <alignment vertical="center"/>
      <protection hidden="1"/>
    </xf>
    <xf numFmtId="0" fontId="15" fillId="0" borderId="105" xfId="0" applyFont="1" applyBorder="1" applyAlignment="1" applyProtection="1">
      <alignment horizontal="center" vertical="center"/>
      <protection hidden="1"/>
    </xf>
    <xf numFmtId="0" fontId="15" fillId="0" borderId="111" xfId="0" applyFont="1" applyBorder="1" applyAlignment="1" applyProtection="1">
      <alignment horizontal="center"/>
      <protection hidden="1"/>
    </xf>
    <xf numFmtId="0" fontId="15" fillId="0" borderId="166" xfId="0" applyFont="1" applyBorder="1" applyProtection="1">
      <protection hidden="1"/>
    </xf>
    <xf numFmtId="3" fontId="15" fillId="0" borderId="117" xfId="0" applyNumberFormat="1" applyFont="1" applyBorder="1" applyAlignment="1" applyProtection="1">
      <alignment horizontal="center" vertical="center"/>
      <protection hidden="1"/>
    </xf>
    <xf numFmtId="3" fontId="15" fillId="0" borderId="111" xfId="0" applyNumberFormat="1" applyFont="1" applyBorder="1" applyAlignment="1" applyProtection="1">
      <alignment horizontal="center" vertical="center"/>
      <protection hidden="1"/>
    </xf>
    <xf numFmtId="0" fontId="15" fillId="0" borderId="166" xfId="0" applyFont="1" applyBorder="1" applyAlignment="1" applyProtection="1">
      <alignment horizontal="left"/>
      <protection hidden="1"/>
    </xf>
    <xf numFmtId="3" fontId="15" fillId="0" borderId="114" xfId="0" applyNumberFormat="1"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164" fontId="63" fillId="0" borderId="0" xfId="2" applyNumberFormat="1" applyFont="1" applyBorder="1" applyAlignment="1" applyProtection="1">
      <alignment horizontal="left" vertical="center"/>
      <protection hidden="1"/>
    </xf>
    <xf numFmtId="4" fontId="63" fillId="0" borderId="0" xfId="0" applyNumberFormat="1" applyFont="1" applyAlignment="1" applyProtection="1">
      <alignment horizontal="left" vertical="center"/>
      <protection hidden="1"/>
    </xf>
    <xf numFmtId="164" fontId="53" fillId="0" borderId="0" xfId="2" applyNumberFormat="1" applyFont="1" applyBorder="1" applyAlignment="1" applyProtection="1">
      <alignment horizontal="left" vertical="center"/>
      <protection hidden="1"/>
    </xf>
    <xf numFmtId="167" fontId="14" fillId="0" borderId="0" xfId="0" applyNumberFormat="1" applyFont="1" applyAlignment="1" applyProtection="1">
      <alignment horizontal="center"/>
      <protection hidden="1"/>
    </xf>
    <xf numFmtId="14" fontId="15" fillId="0" borderId="0" xfId="0" applyNumberFormat="1" applyFont="1" applyAlignment="1" applyProtection="1">
      <alignment horizontal="left" vertical="center"/>
      <protection hidden="1"/>
    </xf>
    <xf numFmtId="0" fontId="25" fillId="0" borderId="0" xfId="0" applyFont="1" applyAlignment="1" applyProtection="1">
      <alignment horizontal="left" vertical="center"/>
      <protection hidden="1"/>
    </xf>
    <xf numFmtId="3" fontId="10" fillId="0" borderId="0" xfId="0" applyNumberFormat="1" applyFont="1" applyAlignment="1" applyProtection="1">
      <alignment horizontal="right"/>
      <protection hidden="1"/>
    </xf>
    <xf numFmtId="0" fontId="7" fillId="0" borderId="0" xfId="0" applyFont="1" applyAlignment="1" applyProtection="1">
      <alignment vertical="center" shrinkToFit="1"/>
      <protection hidden="1"/>
    </xf>
    <xf numFmtId="0" fontId="7" fillId="0" borderId="0" xfId="0" applyFont="1" applyAlignment="1">
      <alignment vertical="center" shrinkToFit="1"/>
    </xf>
    <xf numFmtId="3" fontId="15" fillId="0" borderId="2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167" fontId="10" fillId="6" borderId="114" xfId="0" applyNumberFormat="1" applyFont="1" applyFill="1" applyBorder="1" applyAlignment="1" applyProtection="1">
      <alignment horizontal="center" vertical="center"/>
      <protection hidden="1"/>
    </xf>
    <xf numFmtId="0" fontId="15" fillId="7" borderId="37" xfId="0" applyFont="1" applyFill="1" applyBorder="1" applyAlignment="1" applyProtection="1">
      <alignment horizontal="left" vertical="center"/>
      <protection locked="0"/>
    </xf>
    <xf numFmtId="1" fontId="14" fillId="0" borderId="32" xfId="0" applyNumberFormat="1" applyFont="1" applyBorder="1" applyAlignment="1">
      <alignment horizontal="center"/>
    </xf>
    <xf numFmtId="0" fontId="15" fillId="0" borderId="103" xfId="0" applyFont="1" applyBorder="1" applyAlignment="1" applyProtection="1">
      <alignment vertical="center"/>
      <protection locked="0"/>
    </xf>
    <xf numFmtId="0" fontId="15" fillId="2" borderId="103" xfId="0" applyFont="1" applyFill="1" applyBorder="1" applyAlignment="1" applyProtection="1">
      <alignment vertical="center"/>
      <protection locked="0"/>
    </xf>
    <xf numFmtId="0" fontId="15" fillId="0" borderId="173" xfId="0" applyFont="1" applyBorder="1" applyAlignment="1" applyProtection="1">
      <alignment vertical="center"/>
      <protection locked="0"/>
    </xf>
    <xf numFmtId="14" fontId="8" fillId="0" borderId="0" xfId="0" applyNumberFormat="1" applyFont="1" applyAlignment="1">
      <alignment horizontal="left"/>
    </xf>
    <xf numFmtId="14" fontId="0" fillId="0" borderId="0" xfId="0" applyNumberFormat="1" applyAlignment="1">
      <alignment horizontal="left" vertical="center"/>
    </xf>
    <xf numFmtId="0" fontId="0" fillId="0" borderId="32" xfId="0" applyBorder="1"/>
    <xf numFmtId="166" fontId="0" fillId="0" borderId="32" xfId="0" applyNumberFormat="1" applyBorder="1"/>
    <xf numFmtId="1" fontId="0" fillId="0" borderId="32" xfId="0" applyNumberFormat="1" applyBorder="1"/>
    <xf numFmtId="164" fontId="0" fillId="0" borderId="24" xfId="2" applyNumberFormat="1" applyFont="1" applyBorder="1"/>
    <xf numFmtId="3" fontId="0" fillId="0" borderId="52" xfId="2" applyNumberFormat="1" applyFont="1" applyBorder="1"/>
    <xf numFmtId="3" fontId="0" fillId="0" borderId="32" xfId="0" applyNumberFormat="1" applyBorder="1"/>
    <xf numFmtId="3" fontId="0" fillId="0" borderId="33" xfId="0" applyNumberFormat="1" applyBorder="1"/>
    <xf numFmtId="3" fontId="0" fillId="0" borderId="59" xfId="0" applyNumberFormat="1" applyBorder="1"/>
    <xf numFmtId="3" fontId="0" fillId="0" borderId="52" xfId="0" applyNumberFormat="1" applyBorder="1"/>
    <xf numFmtId="3" fontId="9" fillId="0" borderId="60" xfId="0" applyNumberFormat="1" applyFont="1" applyBorder="1" applyAlignment="1" applyProtection="1">
      <alignment horizontal="center" vertical="center"/>
      <protection hidden="1"/>
    </xf>
    <xf numFmtId="0" fontId="0" fillId="0" borderId="49" xfId="0" applyBorder="1"/>
    <xf numFmtId="166" fontId="0" fillId="0" borderId="63" xfId="0" applyNumberFormat="1" applyBorder="1"/>
    <xf numFmtId="1" fontId="0" fillId="0" borderId="63" xfId="0" applyNumberFormat="1" applyBorder="1"/>
    <xf numFmtId="164" fontId="0" fillId="0" borderId="48" xfId="2" applyNumberFormat="1" applyFont="1" applyBorder="1"/>
    <xf numFmtId="3" fontId="0" fillId="0" borderId="49" xfId="2" applyNumberFormat="1" applyFont="1" applyBorder="1"/>
    <xf numFmtId="3" fontId="0" fillId="0" borderId="63" xfId="0" applyNumberFormat="1" applyBorder="1"/>
    <xf numFmtId="3" fontId="0" fillId="0" borderId="50" xfId="0" applyNumberFormat="1" applyBorder="1"/>
    <xf numFmtId="3" fontId="0" fillId="0" borderId="93" xfId="0" applyNumberFormat="1" applyBorder="1"/>
    <xf numFmtId="3" fontId="0" fillId="0" borderId="49" xfId="0" applyNumberFormat="1" applyBorder="1"/>
    <xf numFmtId="3" fontId="9" fillId="0" borderId="29" xfId="0" applyNumberFormat="1" applyFont="1" applyBorder="1" applyAlignment="1" applyProtection="1">
      <alignment horizontal="center" vertical="center"/>
      <protection hidden="1"/>
    </xf>
    <xf numFmtId="0" fontId="0" fillId="0" borderId="36" xfId="0" applyBorder="1"/>
    <xf numFmtId="0" fontId="0" fillId="0" borderId="37" xfId="0" applyBorder="1"/>
    <xf numFmtId="166" fontId="0" fillId="0" borderId="38" xfId="0" applyNumberFormat="1" applyBorder="1"/>
    <xf numFmtId="1" fontId="0" fillId="0" borderId="38" xfId="0" applyNumberFormat="1" applyBorder="1"/>
    <xf numFmtId="164" fontId="0" fillId="0" borderId="56" xfId="2" applyNumberFormat="1" applyFont="1" applyBorder="1"/>
    <xf numFmtId="3" fontId="0" fillId="0" borderId="37" xfId="2" applyNumberFormat="1" applyFont="1" applyBorder="1"/>
    <xf numFmtId="3" fontId="0" fillId="0" borderId="38" xfId="0" applyNumberFormat="1" applyBorder="1"/>
    <xf numFmtId="3" fontId="0" fillId="0" borderId="55" xfId="0" applyNumberFormat="1" applyBorder="1"/>
    <xf numFmtId="3" fontId="0" fillId="0" borderId="88" xfId="0" applyNumberFormat="1" applyBorder="1"/>
    <xf numFmtId="3" fontId="0" fillId="0" borderId="37" xfId="0" applyNumberFormat="1" applyBorder="1"/>
    <xf numFmtId="0" fontId="0" fillId="0" borderId="20" xfId="0" applyBorder="1"/>
    <xf numFmtId="166" fontId="0" fillId="0" borderId="20" xfId="0" applyNumberFormat="1" applyBorder="1"/>
    <xf numFmtId="1" fontId="0" fillId="0" borderId="20" xfId="0" applyNumberFormat="1" applyBorder="1"/>
    <xf numFmtId="164" fontId="0" fillId="0" borderId="19" xfId="2" applyNumberFormat="1" applyFont="1" applyBorder="1"/>
    <xf numFmtId="3" fontId="0" fillId="0" borderId="22" xfId="2" applyNumberFormat="1" applyFont="1" applyBorder="1"/>
    <xf numFmtId="3" fontId="0" fillId="0" borderId="20" xfId="0" applyNumberFormat="1" applyBorder="1"/>
    <xf numFmtId="3" fontId="0" fillId="0" borderId="23" xfId="0" applyNumberFormat="1" applyBorder="1"/>
    <xf numFmtId="3" fontId="0" fillId="0" borderId="9" xfId="0" applyNumberFormat="1" applyBorder="1"/>
    <xf numFmtId="3" fontId="0" fillId="0" borderId="22" xfId="0" applyNumberFormat="1" applyBorder="1"/>
    <xf numFmtId="0" fontId="0" fillId="0" borderId="38" xfId="0" applyBorder="1"/>
    <xf numFmtId="0" fontId="0" fillId="0" borderId="63" xfId="0" applyBorder="1"/>
    <xf numFmtId="3" fontId="0" fillId="0" borderId="34" xfId="2" applyNumberFormat="1" applyFont="1" applyBorder="1"/>
    <xf numFmtId="3" fontId="15" fillId="6" borderId="113" xfId="0" applyNumberFormat="1" applyFont="1" applyFill="1" applyBorder="1" applyAlignment="1" applyProtection="1">
      <alignment horizontal="center" vertical="center"/>
      <protection hidden="1"/>
    </xf>
    <xf numFmtId="3" fontId="15" fillId="6" borderId="114" xfId="0" applyNumberFormat="1" applyFont="1" applyFill="1" applyBorder="1" applyAlignment="1" applyProtection="1">
      <alignment horizontal="center" vertical="center"/>
      <protection hidden="1"/>
    </xf>
    <xf numFmtId="0" fontId="15" fillId="0" borderId="168" xfId="0" applyFont="1" applyBorder="1" applyProtection="1">
      <protection hidden="1"/>
    </xf>
    <xf numFmtId="0" fontId="15" fillId="0" borderId="169" xfId="0" applyFont="1" applyBorder="1" applyProtection="1">
      <protection hidden="1"/>
    </xf>
    <xf numFmtId="0" fontId="15" fillId="0" borderId="168" xfId="0" applyFont="1" applyBorder="1" applyAlignment="1" applyProtection="1">
      <alignment horizontal="left"/>
      <protection hidden="1"/>
    </xf>
    <xf numFmtId="0" fontId="15" fillId="0" borderId="169" xfId="0" applyFont="1" applyBorder="1" applyAlignment="1" applyProtection="1">
      <alignment horizontal="left"/>
      <protection hidden="1"/>
    </xf>
    <xf numFmtId="0" fontId="14" fillId="0" borderId="100" xfId="0" applyFont="1" applyBorder="1" applyAlignment="1" applyProtection="1">
      <alignment horizontal="left"/>
      <protection hidden="1"/>
    </xf>
    <xf numFmtId="0" fontId="15" fillId="8" borderId="0" xfId="0" applyFont="1" applyFill="1" applyAlignment="1" applyProtection="1">
      <alignment horizontal="left" vertical="center"/>
      <protection hidden="1"/>
    </xf>
    <xf numFmtId="3" fontId="14" fillId="8" borderId="0" xfId="0" applyNumberFormat="1" applyFont="1" applyFill="1" applyAlignment="1" applyProtection="1">
      <alignment vertical="center"/>
      <protection hidden="1"/>
    </xf>
    <xf numFmtId="0" fontId="14" fillId="8" borderId="0" xfId="0" applyFont="1" applyFill="1" applyProtection="1">
      <protection hidden="1"/>
    </xf>
    <xf numFmtId="0" fontId="15" fillId="8" borderId="0" xfId="0" applyFont="1" applyFill="1" applyAlignment="1" applyProtection="1">
      <alignment shrinkToFit="1"/>
      <protection hidden="1"/>
    </xf>
    <xf numFmtId="3" fontId="15" fillId="8" borderId="0" xfId="0" quotePrefix="1" applyNumberFormat="1" applyFont="1" applyFill="1" applyAlignment="1">
      <alignment horizontal="right" vertical="center"/>
    </xf>
    <xf numFmtId="167" fontId="15" fillId="8" borderId="0" xfId="0" applyNumberFormat="1" applyFont="1" applyFill="1" applyAlignment="1">
      <alignment horizontal="center" vertical="center" shrinkToFit="1"/>
    </xf>
    <xf numFmtId="0" fontId="47" fillId="0" borderId="123" xfId="0" applyFont="1" applyBorder="1" applyAlignment="1" applyProtection="1">
      <alignment horizontal="right" vertical="center"/>
      <protection hidden="1"/>
    </xf>
    <xf numFmtId="0" fontId="15" fillId="0" borderId="125" xfId="0" applyFont="1" applyBorder="1" applyAlignment="1" applyProtection="1">
      <alignment horizontal="center"/>
      <protection hidden="1"/>
    </xf>
    <xf numFmtId="4" fontId="7"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4" fontId="53" fillId="0" borderId="0" xfId="0" applyNumberFormat="1" applyFont="1" applyAlignment="1" applyProtection="1">
      <alignment horizontal="left"/>
      <protection hidden="1"/>
    </xf>
    <xf numFmtId="166" fontId="10" fillId="0" borderId="0" xfId="2" applyNumberFormat="1" applyFont="1" applyAlignment="1" applyProtection="1">
      <alignment horizontal="center" vertical="center"/>
      <protection hidden="1"/>
    </xf>
    <xf numFmtId="164" fontId="10" fillId="0" borderId="0" xfId="2" applyNumberFormat="1" applyFont="1" applyAlignment="1" applyProtection="1">
      <alignment horizontal="center" vertical="center"/>
      <protection hidden="1"/>
    </xf>
    <xf numFmtId="0" fontId="64" fillId="0" borderId="123" xfId="0" applyFont="1" applyBorder="1" applyAlignment="1">
      <alignment horizontal="right" vertical="center"/>
    </xf>
    <xf numFmtId="0" fontId="47" fillId="0" borderId="167" xfId="0" applyFont="1" applyBorder="1" applyAlignment="1" applyProtection="1">
      <alignment horizontal="right"/>
      <protection hidden="1"/>
    </xf>
    <xf numFmtId="0" fontId="48" fillId="0" borderId="73" xfId="0" applyFont="1" applyBorder="1"/>
    <xf numFmtId="0" fontId="48" fillId="0" borderId="81" xfId="0" applyFont="1" applyBorder="1"/>
    <xf numFmtId="0" fontId="48" fillId="0" borderId="73" xfId="0" applyFont="1" applyBorder="1" applyAlignment="1">
      <alignment horizontal="left"/>
    </xf>
    <xf numFmtId="3" fontId="62" fillId="6" borderId="18" xfId="0" applyNumberFormat="1" applyFont="1" applyFill="1" applyBorder="1" applyAlignment="1" applyProtection="1">
      <alignment horizontal="right" vertical="center"/>
      <protection hidden="1"/>
    </xf>
    <xf numFmtId="0" fontId="62" fillId="0" borderId="129" xfId="0" applyFont="1" applyBorder="1" applyAlignment="1">
      <alignment horizontal="center" vertical="center"/>
    </xf>
    <xf numFmtId="164" fontId="62" fillId="6" borderId="18" xfId="2" applyNumberFormat="1" applyFont="1" applyFill="1" applyBorder="1" applyAlignment="1">
      <alignment vertical="center"/>
    </xf>
    <xf numFmtId="0" fontId="47" fillId="0" borderId="129" xfId="0" applyFont="1" applyBorder="1" applyAlignment="1">
      <alignment horizontal="center" vertical="center"/>
    </xf>
    <xf numFmtId="166" fontId="47" fillId="6" borderId="18" xfId="0" applyNumberFormat="1" applyFont="1" applyFill="1" applyBorder="1" applyAlignment="1">
      <alignment vertical="center"/>
    </xf>
    <xf numFmtId="164" fontId="47" fillId="6" borderId="18" xfId="2" applyNumberFormat="1" applyFont="1" applyFill="1" applyBorder="1" applyAlignment="1">
      <alignment vertical="center"/>
    </xf>
    <xf numFmtId="164" fontId="47" fillId="6" borderId="20" xfId="2" applyNumberFormat="1" applyFont="1" applyFill="1" applyBorder="1" applyAlignment="1">
      <alignment vertical="center"/>
    </xf>
    <xf numFmtId="167" fontId="14" fillId="0" borderId="0" xfId="0" applyNumberFormat="1" applyFont="1" applyAlignment="1" applyProtection="1">
      <alignment horizontal="center" vertical="center"/>
      <protection hidden="1"/>
    </xf>
    <xf numFmtId="3" fontId="15" fillId="8" borderId="0" xfId="0" applyNumberFormat="1" applyFont="1" applyFill="1" applyAlignment="1" applyProtection="1">
      <alignment horizontal="center" vertical="center"/>
      <protection hidden="1"/>
    </xf>
    <xf numFmtId="166" fontId="15" fillId="0" borderId="123" xfId="0" applyNumberFormat="1" applyFont="1" applyBorder="1" applyAlignment="1" applyProtection="1">
      <alignment horizontal="center" vertical="center"/>
      <protection hidden="1"/>
    </xf>
    <xf numFmtId="3" fontId="14" fillId="0" borderId="123" xfId="0" applyNumberFormat="1" applyFont="1" applyBorder="1" applyAlignment="1" applyProtection="1">
      <alignment horizontal="center" vertical="center"/>
      <protection hidden="1"/>
    </xf>
    <xf numFmtId="166" fontId="14" fillId="0" borderId="123" xfId="0" applyNumberFormat="1" applyFont="1" applyBorder="1" applyAlignment="1" applyProtection="1">
      <alignment horizontal="center" vertical="center"/>
      <protection hidden="1"/>
    </xf>
    <xf numFmtId="167" fontId="15" fillId="8" borderId="123" xfId="0" applyNumberFormat="1" applyFont="1" applyFill="1" applyBorder="1" applyAlignment="1" applyProtection="1">
      <alignment vertical="center"/>
      <protection hidden="1"/>
    </xf>
    <xf numFmtId="167" fontId="14" fillId="8" borderId="123" xfId="0" applyNumberFormat="1" applyFont="1" applyFill="1" applyBorder="1" applyAlignment="1" applyProtection="1">
      <alignment vertical="center"/>
      <protection hidden="1"/>
    </xf>
    <xf numFmtId="14" fontId="14" fillId="0" borderId="0" xfId="0" applyNumberFormat="1" applyFont="1" applyAlignment="1" applyProtection="1">
      <alignment horizontal="left" vertical="center"/>
      <protection hidden="1"/>
    </xf>
    <xf numFmtId="167" fontId="63" fillId="0" borderId="0" xfId="0" applyNumberFormat="1" applyFont="1" applyAlignment="1" applyProtection="1">
      <alignment horizontal="left" vertical="center"/>
      <protection hidden="1"/>
    </xf>
    <xf numFmtId="14" fontId="14" fillId="0" borderId="0" xfId="0" applyNumberFormat="1" applyFont="1" applyAlignment="1">
      <alignment horizontal="left" shrinkToFit="1"/>
    </xf>
    <xf numFmtId="0" fontId="14" fillId="0" borderId="27" xfId="0" applyFont="1" applyBorder="1" applyAlignment="1" applyProtection="1">
      <alignment horizontal="left" vertical="center" indent="1"/>
      <protection hidden="1"/>
    </xf>
    <xf numFmtId="0" fontId="14" fillId="0" borderId="118" xfId="0" applyFont="1" applyBorder="1" applyAlignment="1" applyProtection="1">
      <alignment horizontal="center"/>
      <protection hidden="1"/>
    </xf>
    <xf numFmtId="0" fontId="15" fillId="0" borderId="118" xfId="0" applyFont="1" applyBorder="1" applyAlignment="1" applyProtection="1">
      <alignment horizontal="center"/>
      <protection hidden="1"/>
    </xf>
    <xf numFmtId="0" fontId="10" fillId="0" borderId="118" xfId="0" applyFont="1" applyBorder="1" applyAlignment="1" applyProtection="1">
      <alignment horizontal="center"/>
      <protection hidden="1"/>
    </xf>
    <xf numFmtId="3" fontId="6" fillId="0" borderId="0" xfId="0" applyNumberFormat="1" applyFont="1" applyAlignment="1">
      <alignment vertical="center"/>
    </xf>
    <xf numFmtId="3" fontId="6" fillId="0" borderId="0" xfId="0" applyNumberFormat="1" applyFont="1" applyAlignment="1">
      <alignment horizontal="left" vertical="center"/>
    </xf>
    <xf numFmtId="0" fontId="14" fillId="0" borderId="53" xfId="0" applyFont="1" applyBorder="1" applyAlignment="1">
      <alignment horizontal="center" vertical="center"/>
    </xf>
    <xf numFmtId="3" fontId="15" fillId="0" borderId="20" xfId="0" applyNumberFormat="1" applyFont="1" applyBorder="1" applyAlignment="1" applyProtection="1">
      <alignment horizontal="center" vertical="center"/>
      <protection hidden="1"/>
    </xf>
    <xf numFmtId="164" fontId="47" fillId="7" borderId="18" xfId="0" applyNumberFormat="1" applyFont="1" applyFill="1" applyBorder="1" applyAlignment="1" applyProtection="1">
      <alignment horizontal="center" vertical="center"/>
      <protection locked="0" hidden="1"/>
    </xf>
    <xf numFmtId="164" fontId="47" fillId="7" borderId="18" xfId="2" applyNumberFormat="1" applyFont="1" applyFill="1" applyBorder="1" applyAlignment="1" applyProtection="1">
      <alignment horizontal="center" vertical="center"/>
      <protection locked="0" hidden="1"/>
    </xf>
    <xf numFmtId="164" fontId="47" fillId="7" borderId="20" xfId="2" applyNumberFormat="1" applyFont="1" applyFill="1" applyBorder="1" applyAlignment="1" applyProtection="1">
      <alignment horizontal="center" vertical="center"/>
      <protection locked="0" hidden="1"/>
    </xf>
    <xf numFmtId="3" fontId="15" fillId="0" borderId="38" xfId="0" applyNumberFormat="1" applyFont="1" applyBorder="1" applyAlignment="1" applyProtection="1">
      <alignment horizontal="center" vertical="center"/>
      <protection hidden="1"/>
    </xf>
    <xf numFmtId="3" fontId="15" fillId="0" borderId="55" xfId="0" applyNumberFormat="1" applyFont="1" applyBorder="1" applyAlignment="1" applyProtection="1">
      <alignment horizontal="center" vertical="center"/>
      <protection hidden="1"/>
    </xf>
    <xf numFmtId="3" fontId="14" fillId="0" borderId="18" xfId="0" applyNumberFormat="1" applyFont="1" applyBorder="1" applyAlignment="1" applyProtection="1">
      <alignment horizontal="center" vertical="center"/>
      <protection hidden="1"/>
    </xf>
    <xf numFmtId="3" fontId="14" fillId="0" borderId="21" xfId="0" applyNumberFormat="1" applyFont="1" applyBorder="1" applyAlignment="1" applyProtection="1">
      <alignment horizontal="center" vertical="center"/>
      <protection hidden="1"/>
    </xf>
    <xf numFmtId="3" fontId="14" fillId="0" borderId="137" xfId="0" applyNumberFormat="1" applyFont="1" applyBorder="1" applyAlignment="1" applyProtection="1">
      <alignment horizontal="center" vertical="center"/>
      <protection hidden="1"/>
    </xf>
    <xf numFmtId="167" fontId="47" fillId="0" borderId="18" xfId="0" applyNumberFormat="1" applyFont="1" applyBorder="1" applyAlignment="1" applyProtection="1">
      <alignment horizontal="center" vertical="center"/>
      <protection hidden="1"/>
    </xf>
    <xf numFmtId="164" fontId="47" fillId="0" borderId="18" xfId="0" applyNumberFormat="1" applyFont="1" applyBorder="1" applyAlignment="1" applyProtection="1">
      <alignment horizontal="center" vertical="center"/>
      <protection hidden="1"/>
    </xf>
    <xf numFmtId="164" fontId="47" fillId="0" borderId="137" xfId="0" applyNumberFormat="1" applyFont="1" applyBorder="1" applyAlignment="1" applyProtection="1">
      <alignment horizontal="center" vertical="center"/>
      <protection hidden="1"/>
    </xf>
    <xf numFmtId="3" fontId="15" fillId="7" borderId="137" xfId="0" applyNumberFormat="1" applyFont="1" applyFill="1" applyBorder="1" applyAlignment="1" applyProtection="1">
      <alignment horizontal="center" vertical="center"/>
      <protection locked="0" hidden="1"/>
    </xf>
    <xf numFmtId="3" fontId="14" fillId="7" borderId="18" xfId="0" applyNumberFormat="1" applyFont="1" applyFill="1" applyBorder="1" applyAlignment="1" applyProtection="1">
      <alignment horizontal="center" vertical="center"/>
      <protection locked="0"/>
    </xf>
    <xf numFmtId="3" fontId="14" fillId="7" borderId="137" xfId="0" applyNumberFormat="1" applyFont="1" applyFill="1" applyBorder="1" applyAlignment="1" applyProtection="1">
      <alignment horizontal="center" vertical="center"/>
      <protection locked="0"/>
    </xf>
    <xf numFmtId="3" fontId="14" fillId="0" borderId="138" xfId="0" applyNumberFormat="1" applyFont="1" applyBorder="1" applyAlignment="1" applyProtection="1">
      <alignment horizontal="center" vertical="center"/>
      <protection hidden="1"/>
    </xf>
    <xf numFmtId="3" fontId="14" fillId="0" borderId="34" xfId="0" applyNumberFormat="1" applyFont="1" applyBorder="1" applyAlignment="1" applyProtection="1">
      <alignment horizontal="center" vertical="center"/>
      <protection hidden="1"/>
    </xf>
    <xf numFmtId="3" fontId="9" fillId="0" borderId="62" xfId="0" applyNumberFormat="1" applyFont="1" applyBorder="1" applyAlignment="1" applyProtection="1">
      <alignment horizontal="center" vertical="center"/>
      <protection hidden="1"/>
    </xf>
    <xf numFmtId="3" fontId="9" fillId="0" borderId="57" xfId="0" applyNumberFormat="1" applyFont="1" applyBorder="1" applyAlignment="1" applyProtection="1">
      <alignment horizontal="center" vertical="center"/>
      <protection hidden="1"/>
    </xf>
    <xf numFmtId="3" fontId="9" fillId="0" borderId="6" xfId="0" applyNumberFormat="1" applyFont="1" applyBorder="1" applyAlignment="1" applyProtection="1">
      <alignment horizontal="center" vertical="center"/>
      <protection hidden="1"/>
    </xf>
    <xf numFmtId="10" fontId="10" fillId="7" borderId="155" xfId="0" applyNumberFormat="1" applyFont="1" applyFill="1" applyBorder="1" applyAlignment="1" applyProtection="1">
      <alignment horizontal="center" vertical="center"/>
      <protection locked="0"/>
    </xf>
    <xf numFmtId="3" fontId="15" fillId="0" borderId="24" xfId="0" applyNumberFormat="1" applyFont="1" applyBorder="1" applyAlignment="1" applyProtection="1">
      <alignment horizontal="center" vertical="center"/>
      <protection hidden="1"/>
    </xf>
    <xf numFmtId="3" fontId="0" fillId="0" borderId="18" xfId="0" applyNumberFormat="1" applyBorder="1" applyAlignment="1">
      <alignment horizontal="center"/>
    </xf>
    <xf numFmtId="3" fontId="15" fillId="0" borderId="17" xfId="0" applyNumberFormat="1" applyFont="1" applyBorder="1" applyAlignment="1" applyProtection="1">
      <alignment horizontal="center" vertical="center"/>
      <protection hidden="1"/>
    </xf>
    <xf numFmtId="3" fontId="15" fillId="6" borderId="21"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13" xfId="0" applyNumberFormat="1" applyFont="1" applyBorder="1" applyAlignment="1" applyProtection="1">
      <alignment horizontal="center" vertical="center"/>
      <protection hidden="1"/>
    </xf>
    <xf numFmtId="3" fontId="15" fillId="0" borderId="52" xfId="0" applyNumberFormat="1" applyFont="1" applyBorder="1" applyAlignment="1" applyProtection="1">
      <alignment horizontal="center" vertical="center"/>
      <protection hidden="1"/>
    </xf>
    <xf numFmtId="3" fontId="15" fillId="7" borderId="36" xfId="0" applyNumberFormat="1" applyFont="1" applyFill="1" applyBorder="1" applyAlignment="1" applyProtection="1">
      <alignment horizontal="center" vertical="center"/>
      <protection locked="0"/>
    </xf>
    <xf numFmtId="3" fontId="14" fillId="0" borderId="36" xfId="0" applyNumberFormat="1" applyFont="1" applyBorder="1" applyAlignment="1" applyProtection="1">
      <alignment horizontal="center" vertical="center"/>
      <protection hidden="1"/>
    </xf>
    <xf numFmtId="3" fontId="15" fillId="0" borderId="36" xfId="0" applyNumberFormat="1" applyFont="1" applyBorder="1" applyAlignment="1" applyProtection="1">
      <alignment horizontal="center" vertical="center"/>
      <protection hidden="1"/>
    </xf>
    <xf numFmtId="3" fontId="15" fillId="6" borderId="36"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hidden="1"/>
    </xf>
    <xf numFmtId="3" fontId="15" fillId="7" borderId="22" xfId="0" applyNumberFormat="1" applyFont="1" applyFill="1" applyBorder="1" applyAlignment="1" applyProtection="1">
      <alignment horizontal="center" vertical="center"/>
      <protection locked="0" hidden="1"/>
    </xf>
    <xf numFmtId="164" fontId="47" fillId="7" borderId="22" xfId="0" applyNumberFormat="1" applyFont="1" applyFill="1" applyBorder="1" applyAlignment="1" applyProtection="1">
      <alignment horizontal="center" vertical="center"/>
      <protection locked="0"/>
    </xf>
    <xf numFmtId="164" fontId="47" fillId="0" borderId="35" xfId="0" applyNumberFormat="1" applyFont="1" applyBorder="1" applyAlignment="1">
      <alignment horizontal="center" vertical="center"/>
    </xf>
    <xf numFmtId="3" fontId="15" fillId="0" borderId="22" xfId="0" applyNumberFormat="1" applyFont="1" applyBorder="1" applyAlignment="1" applyProtection="1">
      <alignment horizontal="center" vertical="center"/>
      <protection hidden="1"/>
    </xf>
    <xf numFmtId="3" fontId="14" fillId="0" borderId="37" xfId="0" applyNumberFormat="1" applyFont="1" applyBorder="1" applyAlignment="1" applyProtection="1">
      <alignment horizontal="center" vertical="center"/>
      <protection hidden="1"/>
    </xf>
    <xf numFmtId="0" fontId="65" fillId="0" borderId="73" xfId="0" applyFont="1" applyBorder="1"/>
    <xf numFmtId="164" fontId="15" fillId="0" borderId="18" xfId="2" applyNumberFormat="1" applyFont="1" applyBorder="1" applyAlignment="1" applyProtection="1">
      <alignment horizontal="center" vertical="center"/>
      <protection hidden="1"/>
    </xf>
    <xf numFmtId="0" fontId="15" fillId="0" borderId="179" xfId="0" applyFont="1" applyBorder="1" applyAlignment="1" applyProtection="1">
      <alignment horizontal="left" vertical="center"/>
      <protection hidden="1"/>
    </xf>
    <xf numFmtId="0" fontId="15" fillId="0" borderId="180" xfId="0" applyFont="1" applyBorder="1" applyAlignment="1" applyProtection="1">
      <alignment horizontal="left" vertical="center"/>
      <protection hidden="1"/>
    </xf>
    <xf numFmtId="164" fontId="15" fillId="6" borderId="20" xfId="0" applyNumberFormat="1" applyFont="1" applyFill="1" applyBorder="1" applyAlignment="1" applyProtection="1">
      <alignment horizontal="right"/>
      <protection hidden="1"/>
    </xf>
    <xf numFmtId="167" fontId="15" fillId="0" borderId="0" xfId="0" applyNumberFormat="1" applyFont="1" applyAlignment="1" applyProtection="1">
      <alignment horizontal="center"/>
      <protection hidden="1"/>
    </xf>
    <xf numFmtId="0" fontId="15" fillId="0" borderId="17" xfId="0" applyFont="1" applyBorder="1"/>
    <xf numFmtId="164" fontId="15" fillId="7" borderId="24" xfId="0" applyNumberFormat="1" applyFont="1" applyFill="1" applyBorder="1" applyAlignment="1" applyProtection="1">
      <alignment horizontal="center" vertical="center"/>
      <protection locked="0"/>
    </xf>
    <xf numFmtId="3" fontId="15" fillId="7" borderId="52" xfId="0" applyNumberFormat="1" applyFont="1" applyFill="1" applyBorder="1" applyAlignment="1" applyProtection="1">
      <alignment horizontal="center" vertical="center"/>
      <protection locked="0"/>
    </xf>
    <xf numFmtId="3" fontId="15" fillId="7" borderId="17"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164" fontId="15" fillId="7" borderId="56" xfId="0" applyNumberFormat="1" applyFont="1" applyFill="1" applyBorder="1" applyAlignment="1" applyProtection="1">
      <alignment horizontal="center" vertical="center"/>
      <protection locked="0"/>
    </xf>
    <xf numFmtId="3" fontId="15" fillId="7" borderId="37" xfId="0" applyNumberFormat="1" applyFont="1" applyFill="1" applyBorder="1" applyAlignment="1" applyProtection="1">
      <alignment horizontal="center" vertical="center"/>
      <protection locked="0"/>
    </xf>
    <xf numFmtId="3" fontId="15" fillId="7" borderId="15" xfId="0" applyNumberFormat="1" applyFont="1" applyFill="1" applyBorder="1" applyAlignment="1" applyProtection="1">
      <alignment horizontal="center" vertical="center"/>
      <protection locked="0"/>
    </xf>
    <xf numFmtId="3" fontId="15" fillId="0" borderId="56" xfId="0" applyNumberFormat="1" applyFont="1" applyBorder="1" applyAlignment="1" applyProtection="1">
      <alignment horizontal="center" vertical="center"/>
      <protection hidden="1"/>
    </xf>
    <xf numFmtId="3" fontId="15" fillId="0" borderId="37"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5" fillId="0" borderId="17" xfId="0" applyNumberFormat="1" applyFont="1" applyBorder="1" applyAlignment="1">
      <alignment horizontal="center" vertical="center"/>
    </xf>
    <xf numFmtId="3" fontId="15" fillId="0" borderId="2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1" xfId="0" applyNumberFormat="1" applyFont="1" applyBorder="1" applyAlignment="1" applyProtection="1">
      <alignment horizontal="center" vertical="center"/>
      <protection hidden="1"/>
    </xf>
    <xf numFmtId="3" fontId="15" fillId="0" borderId="26" xfId="0" applyNumberFormat="1" applyFont="1" applyBorder="1" applyAlignment="1">
      <alignment horizontal="center" vertical="center"/>
    </xf>
    <xf numFmtId="3" fontId="15" fillId="0" borderId="26" xfId="0" applyNumberFormat="1" applyFont="1" applyBorder="1" applyAlignment="1" applyProtection="1">
      <alignment horizontal="center" vertical="center"/>
      <protection hidden="1"/>
    </xf>
    <xf numFmtId="3" fontId="15" fillId="0" borderId="61" xfId="0" applyNumberFormat="1" applyFont="1" applyBorder="1" applyAlignment="1" applyProtection="1">
      <alignment horizontal="center" vertical="center"/>
      <protection hidden="1"/>
    </xf>
    <xf numFmtId="3" fontId="15" fillId="7" borderId="86" xfId="0" applyNumberFormat="1" applyFont="1" applyFill="1" applyBorder="1" applyAlignment="1" applyProtection="1">
      <alignment horizontal="center" vertical="center"/>
      <protection locked="0"/>
    </xf>
    <xf numFmtId="164" fontId="15" fillId="7" borderId="90" xfId="0" applyNumberFormat="1" applyFont="1" applyFill="1" applyBorder="1" applyAlignment="1" applyProtection="1">
      <alignment horizontal="center" vertical="center"/>
      <protection locked="0"/>
    </xf>
    <xf numFmtId="3" fontId="15" fillId="0" borderId="89" xfId="0" applyNumberFormat="1" applyFont="1" applyBorder="1" applyAlignment="1" applyProtection="1">
      <alignment horizontal="center" vertical="center"/>
      <protection hidden="1"/>
    </xf>
    <xf numFmtId="3" fontId="15" fillId="0" borderId="91" xfId="0" applyNumberFormat="1" applyFont="1" applyBorder="1" applyAlignment="1">
      <alignment horizontal="center" vertical="center"/>
    </xf>
    <xf numFmtId="3" fontId="15" fillId="0" borderId="90" xfId="0" applyNumberFormat="1" applyFont="1" applyBorder="1" applyAlignment="1">
      <alignment horizontal="center" vertical="center"/>
    </xf>
    <xf numFmtId="3" fontId="15" fillId="0" borderId="90" xfId="0" applyNumberFormat="1" applyFont="1" applyBorder="1" applyAlignment="1" applyProtection="1">
      <alignment horizontal="center" vertical="center"/>
      <protection hidden="1"/>
    </xf>
    <xf numFmtId="3" fontId="15" fillId="0" borderId="85" xfId="0" applyNumberFormat="1" applyFont="1" applyBorder="1" applyAlignment="1" applyProtection="1">
      <alignment horizontal="center" vertical="center"/>
      <protection hidden="1"/>
    </xf>
    <xf numFmtId="3" fontId="15" fillId="7" borderId="89" xfId="0" applyNumberFormat="1" applyFont="1" applyFill="1" applyBorder="1" applyAlignment="1" applyProtection="1">
      <alignment horizontal="center" vertical="center"/>
      <protection locked="0"/>
    </xf>
    <xf numFmtId="3" fontId="15" fillId="7" borderId="91" xfId="0" applyNumberFormat="1" applyFont="1" applyFill="1" applyBorder="1" applyAlignment="1" applyProtection="1">
      <alignment horizontal="center" vertical="center"/>
      <protection locked="0"/>
    </xf>
    <xf numFmtId="3" fontId="14" fillId="0" borderId="62" xfId="0" applyNumberFormat="1" applyFont="1" applyBorder="1" applyAlignment="1" applyProtection="1">
      <alignment horizontal="center" vertical="center"/>
      <protection hidden="1"/>
    </xf>
    <xf numFmtId="0" fontId="14" fillId="6" borderId="34" xfId="0" applyFont="1" applyFill="1" applyBorder="1" applyAlignment="1" applyProtection="1">
      <alignment horizontal="center" vertical="center"/>
      <protection hidden="1"/>
    </xf>
    <xf numFmtId="3" fontId="14" fillId="0" borderId="53" xfId="0" applyNumberFormat="1" applyFont="1" applyBorder="1" applyAlignment="1" applyProtection="1">
      <alignment horizontal="center" vertical="center"/>
      <protection hidden="1"/>
    </xf>
    <xf numFmtId="3" fontId="14" fillId="0" borderId="57" xfId="0" applyNumberFormat="1" applyFont="1" applyBorder="1" applyAlignment="1" applyProtection="1">
      <alignment horizontal="center" vertical="center"/>
      <protection hidden="1"/>
    </xf>
    <xf numFmtId="3" fontId="14" fillId="0" borderId="92" xfId="0" applyNumberFormat="1" applyFont="1" applyBorder="1" applyAlignment="1" applyProtection="1">
      <alignment horizontal="center" vertical="center"/>
      <protection hidden="1"/>
    </xf>
    <xf numFmtId="3" fontId="14" fillId="0" borderId="65" xfId="0" applyNumberFormat="1" applyFont="1" applyBorder="1" applyAlignment="1" applyProtection="1">
      <alignment horizontal="center" vertical="center"/>
      <protection hidden="1"/>
    </xf>
    <xf numFmtId="3" fontId="14" fillId="0" borderId="42" xfId="0" applyNumberFormat="1" applyFont="1" applyBorder="1" applyAlignment="1" applyProtection="1">
      <alignment horizontal="center" vertical="center"/>
      <protection hidden="1"/>
    </xf>
    <xf numFmtId="3" fontId="15" fillId="8" borderId="17" xfId="0" applyNumberFormat="1" applyFont="1" applyFill="1" applyBorder="1" applyAlignment="1" applyProtection="1">
      <alignment horizontal="center" vertical="center"/>
      <protection hidden="1"/>
    </xf>
    <xf numFmtId="3" fontId="15" fillId="8" borderId="59" xfId="0" applyNumberFormat="1" applyFont="1" applyFill="1" applyBorder="1" applyAlignment="1" applyProtection="1">
      <alignment horizontal="center" vertical="center"/>
      <protection hidden="1"/>
    </xf>
    <xf numFmtId="3" fontId="15" fillId="8" borderId="52" xfId="0" applyNumberFormat="1" applyFont="1" applyFill="1" applyBorder="1" applyAlignment="1" applyProtection="1">
      <alignment horizontal="center" vertical="center"/>
      <protection hidden="1"/>
    </xf>
    <xf numFmtId="164" fontId="15" fillId="7" borderId="21" xfId="0" applyNumberFormat="1" applyFont="1" applyFill="1" applyBorder="1" applyAlignment="1" applyProtection="1">
      <alignment horizontal="center" vertical="center"/>
      <protection locked="0"/>
    </xf>
    <xf numFmtId="3" fontId="15" fillId="6" borderId="52" xfId="0" applyNumberFormat="1" applyFont="1" applyFill="1" applyBorder="1" applyAlignment="1" applyProtection="1">
      <alignment horizontal="center" vertical="center"/>
      <protection hidden="1"/>
    </xf>
    <xf numFmtId="3" fontId="15" fillId="6" borderId="17" xfId="0" applyNumberFormat="1" applyFont="1" applyFill="1" applyBorder="1" applyAlignment="1" applyProtection="1">
      <alignment horizontal="center" vertical="center"/>
      <protection hidden="1"/>
    </xf>
    <xf numFmtId="3" fontId="15" fillId="6" borderId="24" xfId="0" applyNumberFormat="1" applyFont="1" applyFill="1" applyBorder="1" applyAlignment="1" applyProtection="1">
      <alignment horizontal="center" vertical="center"/>
      <protection hidden="1"/>
    </xf>
    <xf numFmtId="3" fontId="15" fillId="6" borderId="11" xfId="0" applyNumberFormat="1" applyFont="1" applyFill="1" applyBorder="1" applyAlignment="1">
      <alignment horizontal="center" vertical="center"/>
    </xf>
    <xf numFmtId="3" fontId="15" fillId="6" borderId="11" xfId="0" applyNumberFormat="1" applyFont="1" applyFill="1" applyBorder="1" applyAlignment="1" applyProtection="1">
      <alignment horizontal="center" vertical="center"/>
      <protection hidden="1"/>
    </xf>
    <xf numFmtId="3" fontId="15" fillId="6" borderId="35" xfId="0" applyNumberFormat="1" applyFont="1" applyFill="1" applyBorder="1" applyAlignment="1" applyProtection="1">
      <alignment horizontal="center" vertical="center"/>
      <protection hidden="1"/>
    </xf>
    <xf numFmtId="3" fontId="15" fillId="7" borderId="43" xfId="0" applyNumberFormat="1" applyFont="1" applyFill="1" applyBorder="1" applyAlignment="1" applyProtection="1">
      <alignment horizontal="center" vertical="center"/>
      <protection locked="0"/>
    </xf>
    <xf numFmtId="3" fontId="15" fillId="8" borderId="11" xfId="0" applyNumberFormat="1" applyFont="1" applyFill="1" applyBorder="1" applyAlignment="1" applyProtection="1">
      <alignment horizontal="center" vertical="center"/>
      <protection hidden="1"/>
    </xf>
    <xf numFmtId="3" fontId="15" fillId="0" borderId="36" xfId="0" applyNumberFormat="1" applyFont="1" applyBorder="1" applyAlignment="1">
      <alignment horizontal="center" vertical="center"/>
    </xf>
    <xf numFmtId="3" fontId="15" fillId="6" borderId="94" xfId="0" applyNumberFormat="1" applyFont="1" applyFill="1" applyBorder="1" applyAlignment="1">
      <alignment horizontal="center" vertical="center"/>
    </xf>
    <xf numFmtId="3" fontId="15" fillId="6" borderId="91" xfId="0" applyNumberFormat="1" applyFont="1" applyFill="1" applyBorder="1" applyAlignment="1">
      <alignment horizontal="center" vertical="center"/>
    </xf>
    <xf numFmtId="3" fontId="15" fillId="6" borderId="90" xfId="0" applyNumberFormat="1" applyFont="1" applyFill="1" applyBorder="1" applyAlignment="1">
      <alignment horizontal="center" vertical="center"/>
    </xf>
    <xf numFmtId="3" fontId="15" fillId="6" borderId="89" xfId="0" applyNumberFormat="1" applyFont="1" applyFill="1" applyBorder="1" applyAlignment="1">
      <alignment horizontal="center" vertical="center"/>
    </xf>
    <xf numFmtId="3" fontId="15" fillId="6" borderId="91" xfId="0" applyNumberFormat="1" applyFont="1" applyFill="1" applyBorder="1" applyAlignment="1" applyProtection="1">
      <alignment horizontal="center" vertical="center"/>
      <protection hidden="1"/>
    </xf>
    <xf numFmtId="3" fontId="15" fillId="6" borderId="85" xfId="0" applyNumberFormat="1" applyFont="1" applyFill="1" applyBorder="1" applyAlignment="1" applyProtection="1">
      <alignment horizontal="center" vertical="center"/>
      <protection hidden="1"/>
    </xf>
    <xf numFmtId="3" fontId="15" fillId="0" borderId="94" xfId="0" applyNumberFormat="1" applyFont="1" applyBorder="1" applyAlignment="1">
      <alignment horizontal="center" vertical="center"/>
    </xf>
    <xf numFmtId="3" fontId="15" fillId="8" borderId="91" xfId="0" applyNumberFormat="1" applyFont="1" applyFill="1" applyBorder="1" applyAlignment="1" applyProtection="1">
      <alignment horizontal="center" vertical="center"/>
      <protection hidden="1"/>
    </xf>
    <xf numFmtId="3" fontId="14" fillId="8" borderId="62" xfId="0" applyNumberFormat="1" applyFont="1" applyFill="1" applyBorder="1" applyAlignment="1" applyProtection="1">
      <alignment horizontal="center" vertical="center"/>
      <protection hidden="1"/>
    </xf>
    <xf numFmtId="164" fontId="14" fillId="6" borderId="57" xfId="0" applyNumberFormat="1" applyFont="1" applyFill="1" applyBorder="1" applyAlignment="1" applyProtection="1">
      <alignment horizontal="center" vertical="center"/>
      <protection hidden="1"/>
    </xf>
    <xf numFmtId="3" fontId="14" fillId="8" borderId="53" xfId="0" applyNumberFormat="1" applyFont="1" applyFill="1" applyBorder="1" applyAlignment="1" applyProtection="1">
      <alignment horizontal="center" vertical="center"/>
      <protection hidden="1"/>
    </xf>
    <xf numFmtId="3" fontId="14" fillId="8" borderId="65" xfId="0" applyNumberFormat="1" applyFont="1" applyFill="1" applyBorder="1" applyAlignment="1" applyProtection="1">
      <alignment horizontal="center" vertical="center"/>
      <protection hidden="1"/>
    </xf>
    <xf numFmtId="3" fontId="14" fillId="8" borderId="42" xfId="0" applyNumberFormat="1" applyFont="1" applyFill="1" applyBorder="1" applyAlignment="1" applyProtection="1">
      <alignment horizontal="center" vertical="center"/>
      <protection hidden="1"/>
    </xf>
    <xf numFmtId="3" fontId="14" fillId="8" borderId="69" xfId="0" applyNumberFormat="1" applyFont="1" applyFill="1" applyBorder="1" applyAlignment="1" applyProtection="1">
      <alignment horizontal="center" vertical="center"/>
      <protection hidden="1"/>
    </xf>
    <xf numFmtId="3" fontId="14" fillId="7" borderId="46" xfId="0" applyNumberFormat="1"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hidden="1"/>
    </xf>
    <xf numFmtId="164" fontId="14" fillId="7" borderId="7" xfId="0" applyNumberFormat="1" applyFont="1" applyFill="1" applyBorder="1" applyAlignment="1" applyProtection="1">
      <alignment horizontal="center" vertical="center"/>
      <protection locked="0"/>
    </xf>
    <xf numFmtId="3" fontId="14" fillId="6" borderId="4" xfId="0" applyNumberFormat="1" applyFont="1" applyFill="1" applyBorder="1" applyAlignment="1">
      <alignment horizontal="center" vertical="center"/>
    </xf>
    <xf numFmtId="3" fontId="14" fillId="6" borderId="46" xfId="0" applyNumberFormat="1" applyFont="1" applyFill="1" applyBorder="1" applyAlignment="1">
      <alignment horizontal="center" vertical="center"/>
    </xf>
    <xf numFmtId="3" fontId="14" fillId="0" borderId="60" xfId="0" applyNumberFormat="1" applyFont="1" applyBorder="1" applyAlignment="1" applyProtection="1">
      <alignment horizontal="center" vertical="center"/>
      <protection hidden="1"/>
    </xf>
    <xf numFmtId="3" fontId="14" fillId="0" borderId="46" xfId="0" applyNumberFormat="1" applyFont="1" applyBorder="1" applyAlignment="1" applyProtection="1">
      <alignment horizontal="center" vertical="center"/>
      <protection hidden="1"/>
    </xf>
    <xf numFmtId="0" fontId="14" fillId="6" borderId="46"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3" fontId="14" fillId="0" borderId="163" xfId="0" applyNumberFormat="1" applyFont="1" applyBorder="1" applyAlignment="1" applyProtection="1">
      <alignment horizontal="center" vertical="center"/>
      <protection hidden="1"/>
    </xf>
    <xf numFmtId="3" fontId="14" fillId="0" borderId="164" xfId="0" applyNumberFormat="1" applyFont="1" applyBorder="1" applyAlignment="1" applyProtection="1">
      <alignment horizontal="center" vertical="center"/>
      <protection hidden="1"/>
    </xf>
    <xf numFmtId="3" fontId="14" fillId="0" borderId="165" xfId="0" applyNumberFormat="1" applyFont="1" applyBorder="1" applyAlignment="1" applyProtection="1">
      <alignment horizontal="center" vertical="center"/>
      <protection hidden="1"/>
    </xf>
    <xf numFmtId="3" fontId="9" fillId="0" borderId="49" xfId="0" applyNumberFormat="1" applyFont="1" applyBorder="1" applyAlignment="1" applyProtection="1">
      <alignment horizontal="center" vertical="center"/>
      <protection hidden="1"/>
    </xf>
    <xf numFmtId="167" fontId="9" fillId="0" borderId="50" xfId="0" applyNumberFormat="1" applyFont="1" applyBorder="1" applyAlignment="1" applyProtection="1">
      <alignment horizontal="center" vertical="center"/>
      <protection hidden="1"/>
    </xf>
    <xf numFmtId="3" fontId="15" fillId="2" borderId="36" xfId="0" applyNumberFormat="1" applyFont="1" applyFill="1" applyBorder="1" applyAlignment="1" applyProtection="1">
      <alignment horizontal="center" vertical="center"/>
      <protection hidden="1"/>
    </xf>
    <xf numFmtId="167" fontId="15" fillId="0" borderId="35" xfId="0" applyNumberFormat="1" applyFont="1" applyBorder="1" applyAlignment="1" applyProtection="1">
      <alignment horizontal="center" vertical="center"/>
      <protection hidden="1"/>
    </xf>
    <xf numFmtId="3"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pplyProtection="1">
      <alignment horizontal="center" vertical="center"/>
      <protection hidden="1"/>
    </xf>
    <xf numFmtId="167"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lignment horizontal="center" vertical="center"/>
    </xf>
    <xf numFmtId="3" fontId="15" fillId="7" borderId="51" xfId="0" applyNumberFormat="1" applyFont="1" applyFill="1" applyBorder="1" applyAlignment="1" applyProtection="1">
      <alignment horizontal="center" vertical="center"/>
      <protection locked="0"/>
    </xf>
    <xf numFmtId="167" fontId="15" fillId="6" borderId="33" xfId="0" applyNumberFormat="1" applyFont="1" applyFill="1" applyBorder="1" applyAlignment="1">
      <alignment horizontal="center" vertical="center"/>
    </xf>
    <xf numFmtId="167" fontId="15" fillId="6" borderId="33" xfId="0" applyNumberFormat="1" applyFont="1" applyFill="1" applyBorder="1" applyAlignment="1" applyProtection="1">
      <alignment horizontal="center" vertical="center"/>
      <protection hidden="1"/>
    </xf>
    <xf numFmtId="167" fontId="10" fillId="6" borderId="33" xfId="0" applyNumberFormat="1" applyFont="1" applyFill="1" applyBorder="1" applyAlignment="1" applyProtection="1">
      <alignment horizontal="center" vertical="center"/>
      <protection hidden="1"/>
    </xf>
    <xf numFmtId="3" fontId="9" fillId="0" borderId="47" xfId="0" applyNumberFormat="1" applyFont="1" applyBorder="1" applyAlignment="1" applyProtection="1">
      <alignment horizontal="center" vertical="center"/>
      <protection hidden="1"/>
    </xf>
    <xf numFmtId="167" fontId="15" fillId="6" borderId="35" xfId="0" applyNumberFormat="1" applyFont="1" applyFill="1" applyBorder="1" applyAlignment="1" applyProtection="1">
      <alignment horizontal="center" vertical="center"/>
      <protection hidden="1"/>
    </xf>
    <xf numFmtId="164" fontId="10"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xf>
    <xf numFmtId="164" fontId="10" fillId="6" borderId="18" xfId="0" applyNumberFormat="1" applyFont="1" applyFill="1" applyBorder="1" applyAlignment="1" applyProtection="1">
      <alignment horizontal="center" vertical="center"/>
      <protection hidden="1"/>
    </xf>
    <xf numFmtId="3" fontId="10" fillId="0" borderId="36" xfId="0" applyNumberFormat="1" applyFont="1" applyBorder="1" applyAlignment="1" applyProtection="1">
      <alignment horizontal="center" vertical="center"/>
      <protection hidden="1"/>
    </xf>
    <xf numFmtId="167" fontId="10" fillId="6" borderId="18" xfId="0" applyNumberFormat="1" applyFont="1" applyFill="1" applyBorder="1" applyAlignment="1" applyProtection="1">
      <alignment horizontal="center" vertical="center"/>
      <protection hidden="1"/>
    </xf>
    <xf numFmtId="3" fontId="56" fillId="7" borderId="36" xfId="0" applyNumberFormat="1" applyFont="1" applyFill="1" applyBorder="1" applyAlignment="1" applyProtection="1">
      <alignment horizontal="center" vertical="center"/>
      <protection locked="0"/>
    </xf>
    <xf numFmtId="167" fontId="56" fillId="6" borderId="18" xfId="0" applyNumberFormat="1" applyFont="1" applyFill="1" applyBorder="1" applyAlignment="1" applyProtection="1">
      <alignment horizontal="center" vertical="center"/>
      <protection hidden="1"/>
    </xf>
    <xf numFmtId="167" fontId="56"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hidden="1"/>
    </xf>
    <xf numFmtId="167" fontId="15" fillId="6" borderId="18" xfId="0" applyNumberFormat="1" applyFont="1" applyFill="1" applyBorder="1" applyAlignment="1" applyProtection="1">
      <alignment horizontal="center" vertical="center"/>
      <protection hidden="1"/>
    </xf>
    <xf numFmtId="167" fontId="15" fillId="6" borderId="21" xfId="0" applyNumberFormat="1" applyFont="1" applyFill="1" applyBorder="1" applyAlignment="1" applyProtection="1">
      <alignment horizontal="center" vertical="center"/>
      <protection hidden="1"/>
    </xf>
    <xf numFmtId="3" fontId="52" fillId="7" borderId="36" xfId="0" applyNumberFormat="1" applyFont="1" applyFill="1" applyBorder="1" applyAlignment="1" applyProtection="1">
      <alignment horizontal="center" vertical="center"/>
      <protection locked="0"/>
    </xf>
    <xf numFmtId="167" fontId="52" fillId="6" borderId="35" xfId="0" applyNumberFormat="1" applyFont="1" applyFill="1" applyBorder="1" applyAlignment="1" applyProtection="1">
      <alignment horizontal="center" vertical="center"/>
      <protection hidden="1"/>
    </xf>
    <xf numFmtId="167" fontId="52" fillId="6" borderId="21" xfId="0" applyNumberFormat="1" applyFont="1" applyFill="1" applyBorder="1" applyAlignment="1" applyProtection="1">
      <alignment horizontal="center" vertical="center"/>
      <protection hidden="1"/>
    </xf>
    <xf numFmtId="3" fontId="10" fillId="0" borderId="37" xfId="0" applyNumberFormat="1" applyFont="1" applyBorder="1" applyAlignment="1" applyProtection="1">
      <alignment horizontal="center" vertical="center"/>
      <protection hidden="1"/>
    </xf>
    <xf numFmtId="167" fontId="10" fillId="0" borderId="55" xfId="0" applyNumberFormat="1" applyFont="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7" fontId="9" fillId="0" borderId="6" xfId="0" applyNumberFormat="1" applyFont="1" applyBorder="1" applyAlignment="1" applyProtection="1">
      <alignment horizontal="center" vertical="center"/>
      <protection hidden="1"/>
    </xf>
    <xf numFmtId="3" fontId="9" fillId="0" borderId="4" xfId="0" applyNumberFormat="1" applyFont="1" applyBorder="1" applyAlignment="1" applyProtection="1">
      <alignment horizontal="center" vertical="center"/>
      <protection hidden="1"/>
    </xf>
    <xf numFmtId="167" fontId="9" fillId="0" borderId="30" xfId="0" applyNumberFormat="1" applyFont="1" applyBorder="1" applyAlignment="1" applyProtection="1">
      <alignment horizontal="center" vertical="center"/>
      <protection hidden="1"/>
    </xf>
    <xf numFmtId="3" fontId="15" fillId="0" borderId="49" xfId="0" applyNumberFormat="1" applyFont="1" applyBorder="1" applyAlignment="1" applyProtection="1">
      <alignment horizontal="center" vertical="center"/>
      <protection hidden="1"/>
    </xf>
    <xf numFmtId="167" fontId="15" fillId="0" borderId="50" xfId="0" applyNumberFormat="1" applyFont="1" applyBorder="1" applyAlignment="1" applyProtection="1">
      <alignment horizontal="center" vertical="center"/>
      <protection hidden="1"/>
    </xf>
    <xf numFmtId="167" fontId="10" fillId="6" borderId="23" xfId="0" applyNumberFormat="1" applyFont="1" applyFill="1" applyBorder="1" applyAlignment="1" applyProtection="1">
      <alignment horizontal="center" vertical="center"/>
      <protection hidden="1"/>
    </xf>
    <xf numFmtId="3" fontId="10" fillId="7" borderId="22" xfId="0" applyNumberFormat="1" applyFont="1" applyFill="1" applyBorder="1" applyAlignment="1" applyProtection="1">
      <alignment horizontal="center" vertical="center"/>
      <protection locked="0"/>
    </xf>
    <xf numFmtId="167" fontId="10" fillId="6" borderId="55" xfId="0" applyNumberFormat="1" applyFont="1" applyFill="1" applyBorder="1" applyAlignment="1" applyProtection="1">
      <alignment horizontal="center" vertical="center"/>
      <protection hidden="1"/>
    </xf>
    <xf numFmtId="1" fontId="10" fillId="7" borderId="36" xfId="0" applyNumberFormat="1" applyFont="1" applyFill="1" applyBorder="1" applyAlignment="1" applyProtection="1">
      <alignment horizontal="center" vertical="center"/>
      <protection locked="0"/>
    </xf>
    <xf numFmtId="1" fontId="10" fillId="6" borderId="35" xfId="0" applyNumberFormat="1" applyFont="1" applyFill="1" applyBorder="1" applyAlignment="1" applyProtection="1">
      <alignment horizontal="center" vertical="center"/>
      <protection hidden="1"/>
    </xf>
    <xf numFmtId="3" fontId="10" fillId="7" borderId="52" xfId="0" applyNumberFormat="1" applyFont="1" applyFill="1" applyBorder="1" applyAlignment="1" applyProtection="1">
      <alignment horizontal="center" vertical="center"/>
      <protection locked="0"/>
    </xf>
    <xf numFmtId="3" fontId="10" fillId="6" borderId="33" xfId="0" applyNumberFormat="1" applyFont="1" applyFill="1" applyBorder="1" applyAlignment="1" applyProtection="1">
      <alignment horizontal="center" vertical="center"/>
      <protection hidden="1"/>
    </xf>
    <xf numFmtId="164" fontId="10" fillId="7" borderId="52" xfId="0" applyNumberFormat="1" applyFont="1" applyFill="1" applyBorder="1" applyAlignment="1" applyProtection="1">
      <alignment horizontal="center" vertical="center"/>
      <protection locked="0"/>
    </xf>
    <xf numFmtId="3" fontId="10" fillId="7" borderId="37" xfId="0" applyNumberFormat="1" applyFont="1" applyFill="1" applyBorder="1" applyAlignment="1" applyProtection="1">
      <alignment horizontal="center" vertical="center"/>
      <protection locked="0"/>
    </xf>
    <xf numFmtId="3" fontId="15" fillId="0" borderId="79" xfId="0" applyNumberFormat="1" applyFont="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locked="0"/>
    </xf>
    <xf numFmtId="167" fontId="15" fillId="0" borderId="30" xfId="0" applyNumberFormat="1" applyFont="1" applyBorder="1" applyAlignment="1" applyProtection="1">
      <alignment horizontal="center" vertical="center"/>
      <protection hidden="1"/>
    </xf>
    <xf numFmtId="3" fontId="15" fillId="7" borderId="47" xfId="0" applyNumberFormat="1" applyFont="1" applyFill="1" applyBorder="1" applyAlignment="1" applyProtection="1">
      <alignment horizontal="center" vertical="center"/>
      <protection locked="0"/>
    </xf>
    <xf numFmtId="167" fontId="15" fillId="0" borderId="6" xfId="0" applyNumberFormat="1" applyFont="1" applyBorder="1" applyAlignment="1" applyProtection="1">
      <alignment horizontal="center" vertical="center"/>
      <protection hidden="1"/>
    </xf>
    <xf numFmtId="167" fontId="15" fillId="0" borderId="33" xfId="0" applyNumberFormat="1" applyFont="1" applyBorder="1" applyAlignment="1" applyProtection="1">
      <alignment horizontal="center" vertical="center"/>
      <protection hidden="1"/>
    </xf>
    <xf numFmtId="167" fontId="10" fillId="5" borderId="35" xfId="0" applyNumberFormat="1" applyFont="1" applyFill="1" applyBorder="1" applyAlignment="1" applyProtection="1">
      <alignment horizontal="center" vertical="center"/>
      <protection hidden="1"/>
    </xf>
    <xf numFmtId="167" fontId="10" fillId="5" borderId="23" xfId="0" applyNumberFormat="1" applyFont="1" applyFill="1" applyBorder="1" applyAlignment="1" applyProtection="1">
      <alignment horizontal="center" vertical="center"/>
      <protection hidden="1"/>
    </xf>
    <xf numFmtId="167" fontId="10" fillId="6" borderId="61" xfId="0" applyNumberFormat="1" applyFont="1" applyFill="1" applyBorder="1" applyAlignment="1" applyProtection="1">
      <alignment horizontal="center" vertical="center"/>
      <protection hidden="1"/>
    </xf>
    <xf numFmtId="3" fontId="10" fillId="7" borderId="18" xfId="0" quotePrefix="1" applyNumberFormat="1" applyFont="1" applyFill="1" applyBorder="1" applyAlignment="1" applyProtection="1">
      <alignment horizontal="center" vertical="center"/>
      <protection locked="0"/>
    </xf>
    <xf numFmtId="3" fontId="10" fillId="7" borderId="18" xfId="0" applyNumberFormat="1" applyFont="1" applyFill="1" applyBorder="1" applyAlignment="1" applyProtection="1">
      <alignment horizontal="center" vertical="center"/>
      <protection locked="0"/>
    </xf>
    <xf numFmtId="4" fontId="10" fillId="7" borderId="18" xfId="0" applyNumberFormat="1" applyFont="1" applyFill="1" applyBorder="1" applyAlignment="1" applyProtection="1">
      <alignment horizontal="center" vertical="center"/>
      <protection locked="0"/>
    </xf>
    <xf numFmtId="164" fontId="10" fillId="7" borderId="18" xfId="0" applyNumberFormat="1" applyFont="1" applyFill="1" applyBorder="1" applyAlignment="1" applyProtection="1">
      <alignment horizontal="center" vertical="center"/>
      <protection locked="0"/>
    </xf>
    <xf numFmtId="3" fontId="7" fillId="0" borderId="63" xfId="0" applyNumberFormat="1" applyFont="1" applyBorder="1" applyAlignment="1" applyProtection="1">
      <alignment horizontal="center"/>
      <protection hidden="1"/>
    </xf>
    <xf numFmtId="3" fontId="7" fillId="0" borderId="18" xfId="0" applyNumberFormat="1" applyFont="1" applyBorder="1" applyAlignment="1" applyProtection="1">
      <alignment horizontal="center"/>
      <protection hidden="1"/>
    </xf>
    <xf numFmtId="164" fontId="7" fillId="0" borderId="18" xfId="2" applyNumberFormat="1" applyFont="1" applyBorder="1" applyAlignment="1" applyProtection="1">
      <alignment horizontal="center"/>
      <protection hidden="1"/>
    </xf>
    <xf numFmtId="0" fontId="0" fillId="0" borderId="60" xfId="0" applyBorder="1" applyAlignment="1">
      <alignment horizontal="center"/>
    </xf>
    <xf numFmtId="3" fontId="9" fillId="0" borderId="0" xfId="0" applyNumberFormat="1" applyFont="1" applyAlignment="1" applyProtection="1">
      <alignment horizontal="center" vertical="center"/>
      <protection hidden="1"/>
    </xf>
    <xf numFmtId="3" fontId="9" fillId="0" borderId="135" xfId="0" applyNumberFormat="1" applyFont="1" applyBorder="1" applyAlignment="1" applyProtection="1">
      <alignment horizontal="center" vertical="center"/>
      <protection hidden="1"/>
    </xf>
    <xf numFmtId="4" fontId="15" fillId="0" borderId="18" xfId="0" applyNumberFormat="1" applyFont="1" applyBorder="1" applyAlignment="1" applyProtection="1">
      <alignment horizontal="center" vertical="center"/>
      <protection hidden="1"/>
    </xf>
    <xf numFmtId="3" fontId="15" fillId="0" borderId="18" xfId="0" applyNumberFormat="1" applyFont="1" applyBorder="1" applyAlignment="1" applyProtection="1">
      <alignment horizontal="center"/>
      <protection hidden="1"/>
    </xf>
    <xf numFmtId="3" fontId="15" fillId="7" borderId="137" xfId="0" applyNumberFormat="1" applyFont="1" applyFill="1" applyBorder="1" applyAlignment="1" applyProtection="1">
      <alignment horizontal="center" vertical="center"/>
      <protection locked="0"/>
    </xf>
    <xf numFmtId="3" fontId="47" fillId="0" borderId="18" xfId="0" applyNumberFormat="1" applyFont="1" applyBorder="1" applyAlignment="1" applyProtection="1">
      <alignment horizontal="center" vertical="center"/>
      <protection hidden="1"/>
    </xf>
    <xf numFmtId="166" fontId="15" fillId="0" borderId="18" xfId="0" applyNumberFormat="1" applyFont="1" applyBorder="1" applyAlignment="1">
      <alignment horizontal="center" vertical="center"/>
    </xf>
    <xf numFmtId="3" fontId="9" fillId="0" borderId="161" xfId="0" applyNumberFormat="1" applyFont="1" applyBorder="1" applyAlignment="1" applyProtection="1">
      <alignment horizontal="center" vertical="center"/>
      <protection hidden="1"/>
    </xf>
    <xf numFmtId="3" fontId="9" fillId="0" borderId="162" xfId="0" applyNumberFormat="1" applyFont="1" applyBorder="1" applyAlignment="1" applyProtection="1">
      <alignment horizontal="center" vertical="center"/>
      <protection hidden="1"/>
    </xf>
    <xf numFmtId="3" fontId="14" fillId="0" borderId="32" xfId="0" applyNumberFormat="1" applyFont="1" applyBorder="1" applyAlignment="1" applyProtection="1">
      <alignment horizontal="center" vertical="center"/>
      <protection hidden="1"/>
    </xf>
    <xf numFmtId="3" fontId="14" fillId="0" borderId="24" xfId="0" applyNumberFormat="1" applyFont="1" applyBorder="1" applyAlignment="1" applyProtection="1">
      <alignment horizontal="center" vertical="center"/>
      <protection hidden="1"/>
    </xf>
    <xf numFmtId="3" fontId="14" fillId="0" borderId="140" xfId="0" applyNumberFormat="1" applyFont="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hidden="1"/>
    </xf>
    <xf numFmtId="3" fontId="14" fillId="0" borderId="147" xfId="0" applyNumberFormat="1" applyFont="1" applyBorder="1" applyAlignment="1" applyProtection="1">
      <alignment horizontal="center" vertical="center"/>
      <protection hidden="1"/>
    </xf>
    <xf numFmtId="3" fontId="15" fillId="0" borderId="138" xfId="0" applyNumberFormat="1" applyFont="1" applyBorder="1" applyAlignment="1">
      <alignment horizontal="center" vertical="center"/>
    </xf>
    <xf numFmtId="3" fontId="15" fillId="7" borderId="138" xfId="0" applyNumberFormat="1" applyFont="1" applyFill="1" applyBorder="1" applyAlignment="1" applyProtection="1">
      <alignment horizontal="center" vertical="center"/>
      <protection locked="0" hidden="1"/>
    </xf>
    <xf numFmtId="3" fontId="15" fillId="7" borderId="139" xfId="0" applyNumberFormat="1" applyFont="1" applyFill="1" applyBorder="1" applyAlignment="1" applyProtection="1">
      <alignment horizontal="center" vertical="center"/>
      <protection locked="0" hidden="1"/>
    </xf>
    <xf numFmtId="3" fontId="14" fillId="0" borderId="0" xfId="0" applyNumberFormat="1" applyFont="1" applyAlignment="1" applyProtection="1">
      <alignment horizontal="center" vertical="center"/>
      <protection hidden="1"/>
    </xf>
    <xf numFmtId="3" fontId="9" fillId="0" borderId="136" xfId="0" applyNumberFormat="1" applyFont="1" applyBorder="1" applyAlignment="1" applyProtection="1">
      <alignment horizontal="center" vertical="center"/>
      <protection hidden="1"/>
    </xf>
    <xf numFmtId="3" fontId="15" fillId="9" borderId="32" xfId="0" applyNumberFormat="1" applyFont="1" applyFill="1" applyBorder="1" applyAlignment="1" applyProtection="1">
      <alignment horizontal="center" vertical="center"/>
      <protection hidden="1"/>
    </xf>
    <xf numFmtId="3" fontId="15" fillId="0" borderId="32" xfId="0" applyNumberFormat="1" applyFont="1" applyBorder="1" applyAlignment="1">
      <alignment horizontal="center" vertical="center"/>
    </xf>
    <xf numFmtId="3" fontId="9" fillId="0" borderId="18" xfId="0" applyNumberFormat="1" applyFont="1" applyBorder="1" applyAlignment="1" applyProtection="1">
      <alignment horizontal="center" vertical="center"/>
      <protection hidden="1"/>
    </xf>
    <xf numFmtId="3" fontId="9" fillId="0" borderId="21" xfId="0" applyNumberFormat="1" applyFont="1" applyBorder="1" applyAlignment="1" applyProtection="1">
      <alignment horizontal="center" vertical="center"/>
      <protection hidden="1"/>
    </xf>
    <xf numFmtId="3" fontId="9" fillId="0" borderId="137" xfId="0" applyNumberFormat="1" applyFont="1" applyBorder="1" applyAlignment="1" applyProtection="1">
      <alignment horizontal="center" vertical="center"/>
      <protection hidden="1"/>
    </xf>
    <xf numFmtId="164" fontId="18" fillId="7" borderId="18" xfId="2" applyNumberFormat="1" applyFont="1" applyFill="1" applyBorder="1" applyAlignment="1" applyProtection="1">
      <alignment horizontal="center" vertical="center"/>
      <protection locked="0"/>
    </xf>
    <xf numFmtId="164" fontId="18" fillId="7" borderId="21" xfId="2" applyNumberFormat="1" applyFont="1" applyFill="1" applyBorder="1" applyAlignment="1" applyProtection="1">
      <alignment horizontal="center" vertical="center"/>
      <protection locked="0"/>
    </xf>
    <xf numFmtId="164" fontId="18" fillId="7" borderId="137" xfId="2" applyNumberFormat="1" applyFont="1" applyFill="1" applyBorder="1" applyAlignment="1" applyProtection="1">
      <alignment horizontal="center" vertical="center"/>
      <protection locked="0"/>
    </xf>
    <xf numFmtId="3" fontId="9" fillId="7" borderId="18" xfId="0" applyNumberFormat="1" applyFont="1" applyFill="1" applyBorder="1" applyAlignment="1" applyProtection="1">
      <alignment horizontal="center" vertical="center"/>
      <protection locked="0"/>
    </xf>
    <xf numFmtId="3" fontId="9" fillId="7" borderId="21" xfId="0" applyNumberFormat="1" applyFont="1" applyFill="1" applyBorder="1" applyAlignment="1" applyProtection="1">
      <alignment horizontal="center" vertical="center"/>
      <protection locked="0"/>
    </xf>
    <xf numFmtId="3" fontId="9" fillId="7" borderId="137" xfId="0" applyNumberFormat="1" applyFont="1" applyFill="1" applyBorder="1" applyAlignment="1" applyProtection="1">
      <alignment horizontal="center" vertical="center"/>
      <protection locked="0"/>
    </xf>
    <xf numFmtId="3" fontId="0" fillId="0" borderId="137" xfId="0" applyNumberFormat="1" applyBorder="1" applyAlignment="1">
      <alignment horizontal="center"/>
    </xf>
    <xf numFmtId="3" fontId="15" fillId="0" borderId="137" xfId="0" applyNumberFormat="1" applyFont="1" applyBorder="1" applyAlignment="1" applyProtection="1">
      <alignment horizontal="center"/>
      <protection hidden="1"/>
    </xf>
    <xf numFmtId="164" fontId="53" fillId="7" borderId="18" xfId="0" applyNumberFormat="1" applyFont="1" applyFill="1" applyBorder="1" applyAlignment="1" applyProtection="1">
      <alignment horizontal="center" vertical="center"/>
      <protection locked="0"/>
    </xf>
    <xf numFmtId="164" fontId="53" fillId="7" borderId="137" xfId="0" applyNumberFormat="1" applyFont="1" applyFill="1" applyBorder="1" applyAlignment="1" applyProtection="1">
      <alignment horizontal="center" vertical="center"/>
      <protection locked="0"/>
    </xf>
    <xf numFmtId="3" fontId="15" fillId="7" borderId="140" xfId="0" applyNumberFormat="1" applyFont="1" applyFill="1" applyBorder="1" applyAlignment="1" applyProtection="1">
      <alignment horizontal="center" vertical="center"/>
      <protection locked="0"/>
    </xf>
    <xf numFmtId="3" fontId="15" fillId="8" borderId="32" xfId="0" applyNumberFormat="1" applyFont="1" applyFill="1" applyBorder="1" applyAlignment="1" applyProtection="1">
      <alignment horizontal="center" vertical="center"/>
      <protection hidden="1"/>
    </xf>
    <xf numFmtId="3" fontId="15" fillId="8" borderId="137" xfId="0" applyNumberFormat="1" applyFont="1" applyFill="1" applyBorder="1" applyAlignment="1" applyProtection="1">
      <alignment horizontal="center" vertical="center"/>
      <protection hidden="1"/>
    </xf>
    <xf numFmtId="164" fontId="47" fillId="0" borderId="32" xfId="0" applyNumberFormat="1" applyFont="1" applyBorder="1" applyAlignment="1" applyProtection="1">
      <alignment horizontal="center" vertical="center"/>
      <protection hidden="1"/>
    </xf>
    <xf numFmtId="167" fontId="47" fillId="0" borderId="110" xfId="0" applyNumberFormat="1" applyFont="1" applyBorder="1" applyAlignment="1" applyProtection="1">
      <alignment horizontal="center" vertical="center"/>
      <protection hidden="1"/>
    </xf>
    <xf numFmtId="167" fontId="47" fillId="0" borderId="109" xfId="0" applyNumberFormat="1" applyFon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9" fillId="0" borderId="156" xfId="0" applyNumberFormat="1" applyFont="1" applyBorder="1" applyAlignment="1" applyProtection="1">
      <alignment horizontal="center" vertical="center"/>
      <protection hidden="1"/>
    </xf>
    <xf numFmtId="3" fontId="9" fillId="0" borderId="157" xfId="0" applyNumberFormat="1" applyFont="1" applyBorder="1" applyAlignment="1" applyProtection="1">
      <alignment horizontal="center" vertical="center"/>
      <protection hidden="1"/>
    </xf>
    <xf numFmtId="3" fontId="9" fillId="0" borderId="158" xfId="0" applyNumberFormat="1" applyFont="1" applyBorder="1" applyAlignment="1" applyProtection="1">
      <alignment horizontal="center" vertical="center"/>
      <protection hidden="1"/>
    </xf>
    <xf numFmtId="10" fontId="53" fillId="7" borderId="18" xfId="0" applyNumberFormat="1" applyFont="1" applyFill="1" applyBorder="1" applyAlignment="1" applyProtection="1">
      <alignment horizontal="center" vertical="center"/>
      <protection locked="0"/>
    </xf>
    <xf numFmtId="10" fontId="53" fillId="7" borderId="137" xfId="0" applyNumberFormat="1" applyFont="1" applyFill="1" applyBorder="1" applyAlignment="1" applyProtection="1">
      <alignment horizontal="center" vertical="center"/>
      <protection locked="0"/>
    </xf>
    <xf numFmtId="0" fontId="10" fillId="8" borderId="0" xfId="0" applyFont="1" applyFill="1" applyAlignment="1">
      <alignment horizontal="left" vertical="center"/>
    </xf>
    <xf numFmtId="0" fontId="48" fillId="0" borderId="18" xfId="0" applyFont="1" applyBorder="1" applyAlignment="1" applyProtection="1">
      <alignment horizontal="center" vertical="center"/>
      <protection hidden="1"/>
    </xf>
    <xf numFmtId="0" fontId="0" fillId="0" borderId="31" xfId="0" applyBorder="1" applyAlignment="1" applyProtection="1">
      <alignment vertical="center"/>
      <protection hidden="1"/>
    </xf>
    <xf numFmtId="0" fontId="0" fillId="0" borderId="60"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9" fillId="0" borderId="106" xfId="0" applyFont="1" applyBorder="1" applyAlignment="1">
      <alignment horizontal="center" vertical="center"/>
    </xf>
    <xf numFmtId="3" fontId="15" fillId="6" borderId="43" xfId="0" applyNumberFormat="1" applyFont="1" applyFill="1" applyBorder="1" applyAlignment="1" applyProtection="1">
      <alignment vertical="center"/>
      <protection hidden="1"/>
    </xf>
    <xf numFmtId="3" fontId="14" fillId="0" borderId="6" xfId="0" applyNumberFormat="1" applyFont="1" applyBorder="1" applyAlignment="1" applyProtection="1">
      <alignment horizontal="center" vertical="center"/>
      <protection hidden="1"/>
    </xf>
    <xf numFmtId="0" fontId="14" fillId="0" borderId="182" xfId="0" quotePrefix="1" applyFont="1" applyBorder="1" applyAlignment="1">
      <alignment horizontal="right" vertical="center"/>
    </xf>
    <xf numFmtId="164" fontId="15" fillId="0" borderId="0" xfId="2" applyNumberFormat="1" applyFont="1" applyBorder="1" applyAlignment="1" applyProtection="1">
      <alignment horizontal="center" vertical="center"/>
      <protection hidden="1"/>
    </xf>
    <xf numFmtId="3" fontId="15" fillId="6" borderId="79" xfId="0" applyNumberFormat="1" applyFont="1" applyFill="1" applyBorder="1" applyAlignment="1">
      <alignment vertical="center"/>
    </xf>
    <xf numFmtId="3" fontId="15" fillId="6" borderId="66" xfId="0" applyNumberFormat="1" applyFont="1" applyFill="1" applyBorder="1" applyAlignment="1">
      <alignment vertical="center"/>
    </xf>
    <xf numFmtId="166" fontId="15" fillId="6" borderId="67" xfId="0" applyNumberFormat="1" applyFont="1" applyFill="1" applyBorder="1" applyAlignment="1">
      <alignment horizontal="center" vertical="center"/>
    </xf>
    <xf numFmtId="3" fontId="15" fillId="6" borderId="12" xfId="0" applyNumberFormat="1" applyFont="1" applyFill="1" applyBorder="1" applyAlignment="1">
      <alignment vertical="center"/>
    </xf>
    <xf numFmtId="3" fontId="62" fillId="6" borderId="12" xfId="0" applyNumberFormat="1" applyFont="1" applyFill="1" applyBorder="1" applyAlignment="1">
      <alignment vertical="center"/>
    </xf>
    <xf numFmtId="166" fontId="62" fillId="6" borderId="67" xfId="0" applyNumberFormat="1" applyFont="1" applyFill="1" applyBorder="1" applyAlignment="1">
      <alignment horizontal="center" vertical="center"/>
    </xf>
    <xf numFmtId="3" fontId="15" fillId="0" borderId="21" xfId="0" applyNumberFormat="1" applyFont="1" applyBorder="1" applyAlignment="1">
      <alignment horizontal="center" vertical="center"/>
    </xf>
    <xf numFmtId="3" fontId="15" fillId="0" borderId="137" xfId="0" applyNumberFormat="1" applyFont="1" applyBorder="1" applyAlignment="1">
      <alignment horizontal="center" vertical="center"/>
    </xf>
    <xf numFmtId="0" fontId="15" fillId="0" borderId="21" xfId="0" applyFont="1" applyBorder="1" applyAlignment="1" applyProtection="1">
      <alignment vertical="center"/>
      <protection hidden="1"/>
    </xf>
    <xf numFmtId="9" fontId="15" fillId="0" borderId="26" xfId="0" applyNumberFormat="1" applyFont="1" applyBorder="1" applyAlignment="1">
      <alignment horizontal="left" vertical="center"/>
    </xf>
    <xf numFmtId="9" fontId="15" fillId="0" borderId="0" xfId="0" applyNumberFormat="1" applyFont="1" applyAlignment="1">
      <alignment horizontal="left"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8" fillId="0" borderId="0" xfId="0" applyFont="1" applyProtection="1">
      <protection locked="0"/>
    </xf>
    <xf numFmtId="0" fontId="20" fillId="0" borderId="0" xfId="0" applyFont="1" applyProtection="1">
      <protection locked="0"/>
    </xf>
    <xf numFmtId="0" fontId="39" fillId="0" borderId="0" xfId="0" applyFont="1" applyAlignment="1" applyProtection="1">
      <alignment vertical="center"/>
      <protection locked="0"/>
    </xf>
    <xf numFmtId="0" fontId="8" fillId="0" borderId="17" xfId="0" applyFont="1" applyBorder="1"/>
    <xf numFmtId="0" fontId="0" fillId="2" borderId="17" xfId="0" applyFill="1" applyBorder="1"/>
    <xf numFmtId="0" fontId="15" fillId="0" borderId="1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72" xfId="0" applyFont="1" applyBorder="1" applyAlignment="1" applyProtection="1">
      <alignment vertical="center"/>
      <protection locked="0"/>
    </xf>
    <xf numFmtId="3" fontId="14" fillId="6" borderId="18" xfId="0" applyNumberFormat="1" applyFont="1" applyFill="1" applyBorder="1" applyAlignment="1" applyProtection="1">
      <alignment horizontal="center" vertical="center"/>
      <protection hidden="1"/>
    </xf>
    <xf numFmtId="3" fontId="14" fillId="0" borderId="11" xfId="0" applyNumberFormat="1" applyFont="1" applyBorder="1" applyAlignment="1" applyProtection="1">
      <alignment horizontal="center" vertical="center"/>
      <protection hidden="1"/>
    </xf>
    <xf numFmtId="3" fontId="44" fillId="6" borderId="18" xfId="0" applyNumberFormat="1" applyFont="1" applyFill="1" applyBorder="1" applyAlignment="1" applyProtection="1">
      <alignment horizontal="center" vertical="center"/>
      <protection hidden="1"/>
    </xf>
    <xf numFmtId="3" fontId="14" fillId="0" borderId="8"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3" fontId="6" fillId="0" borderId="8"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7" xfId="0" applyNumberFormat="1" applyFont="1" applyBorder="1" applyAlignment="1">
      <alignment horizontal="center" vertical="center"/>
    </xf>
    <xf numFmtId="164" fontId="10" fillId="7" borderId="36" xfId="0" applyNumberFormat="1" applyFont="1" applyFill="1" applyBorder="1" applyAlignment="1" applyProtection="1">
      <alignment horizontal="center" vertical="center"/>
      <protection locked="0"/>
    </xf>
    <xf numFmtId="0" fontId="52" fillId="0" borderId="19" xfId="0" applyFont="1" applyBorder="1" applyAlignment="1" applyProtection="1">
      <alignment vertical="center"/>
      <protection locked="0"/>
    </xf>
    <xf numFmtId="0" fontId="70" fillId="0" borderId="0" xfId="0" applyFont="1" applyProtection="1">
      <protection hidden="1"/>
    </xf>
    <xf numFmtId="165" fontId="0" fillId="0" borderId="43" xfId="0" applyNumberFormat="1" applyBorder="1" applyAlignment="1">
      <alignment horizontal="center" vertical="center"/>
    </xf>
    <xf numFmtId="165" fontId="6" fillId="0" borderId="11" xfId="0" applyNumberFormat="1" applyFont="1" applyBorder="1" applyAlignment="1">
      <alignment horizontal="center" vertical="center"/>
    </xf>
    <xf numFmtId="171" fontId="0" fillId="0" borderId="43" xfId="0" applyNumberFormat="1" applyBorder="1" applyAlignment="1">
      <alignment horizontal="center" vertical="center"/>
    </xf>
    <xf numFmtId="171" fontId="6" fillId="0" borderId="11" xfId="0" applyNumberFormat="1" applyFont="1" applyBorder="1" applyAlignment="1">
      <alignment horizontal="center" vertical="center"/>
    </xf>
    <xf numFmtId="0" fontId="7" fillId="0" borderId="0" xfId="0" applyFont="1" applyAlignment="1" applyProtection="1">
      <alignment horizontal="right" vertical="top" wrapText="1"/>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9" fillId="0" borderId="0" xfId="0" applyFont="1" applyAlignment="1">
      <alignment horizontal="left" vertical="center"/>
    </xf>
    <xf numFmtId="0" fontId="27"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Alignment="1" applyProtection="1">
      <alignment horizontal="left"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6" fillId="0" borderId="107" xfId="0" applyFont="1" applyBorder="1" applyAlignment="1" applyProtection="1">
      <alignment horizontal="left" vertical="center"/>
      <protection hidden="1"/>
    </xf>
    <xf numFmtId="0" fontId="6" fillId="0" borderId="143" xfId="0" applyFont="1" applyBorder="1" applyAlignment="1" applyProtection="1">
      <alignment horizontal="left" vertical="center"/>
      <protection hidden="1"/>
    </xf>
    <xf numFmtId="0" fontId="15" fillId="0" borderId="21" xfId="0" applyFont="1" applyBorder="1" applyAlignment="1" applyProtection="1">
      <alignment horizontal="center" vertical="center"/>
      <protection hidden="1"/>
    </xf>
    <xf numFmtId="164" fontId="15" fillId="0" borderId="21" xfId="2" applyNumberFormat="1" applyFont="1" applyBorder="1" applyAlignment="1" applyProtection="1">
      <alignment horizontal="center" vertical="center"/>
      <protection hidden="1"/>
    </xf>
    <xf numFmtId="4" fontId="15" fillId="0" borderId="21" xfId="0" applyNumberFormat="1" applyFont="1" applyBorder="1" applyAlignment="1" applyProtection="1">
      <alignment horizontal="center" vertical="center"/>
      <protection hidden="1"/>
    </xf>
    <xf numFmtId="3" fontId="15" fillId="0" borderId="19" xfId="0" applyNumberFormat="1" applyFont="1" applyBorder="1" applyAlignment="1" applyProtection="1">
      <alignment horizontal="center" vertical="center"/>
      <protection hidden="1"/>
    </xf>
    <xf numFmtId="3" fontId="15" fillId="0" borderId="0" xfId="0" applyNumberFormat="1" applyFont="1" applyAlignment="1">
      <alignment vertical="center"/>
    </xf>
    <xf numFmtId="164" fontId="15" fillId="0" borderId="0" xfId="2" applyNumberFormat="1" applyFont="1" applyAlignment="1">
      <alignment vertical="center"/>
    </xf>
    <xf numFmtId="0" fontId="39" fillId="0" borderId="0" xfId="0" applyFont="1"/>
    <xf numFmtId="0" fontId="15" fillId="0" borderId="185" xfId="0" applyFont="1" applyBorder="1" applyProtection="1">
      <protection hidden="1"/>
    </xf>
    <xf numFmtId="0" fontId="15" fillId="0" borderId="185" xfId="0" applyFont="1" applyBorder="1"/>
    <xf numFmtId="3" fontId="15" fillId="0" borderId="185" xfId="0" applyNumberFormat="1" applyFont="1" applyBorder="1"/>
    <xf numFmtId="0" fontId="14" fillId="0" borderId="185" xfId="0" applyFont="1" applyBorder="1" applyProtection="1">
      <protection hidden="1"/>
    </xf>
    <xf numFmtId="0" fontId="15" fillId="0" borderId="11" xfId="0" applyFont="1" applyBorder="1" applyProtection="1">
      <protection hidden="1"/>
    </xf>
    <xf numFmtId="3" fontId="15" fillId="0" borderId="11" xfId="0" applyNumberFormat="1" applyFont="1" applyBorder="1" applyProtection="1">
      <protection hidden="1"/>
    </xf>
    <xf numFmtId="3" fontId="14" fillId="0" borderId="185" xfId="0" applyNumberFormat="1" applyFont="1" applyBorder="1" applyProtection="1">
      <protection hidden="1"/>
    </xf>
    <xf numFmtId="0" fontId="9" fillId="0" borderId="0" xfId="0" applyFont="1" applyAlignment="1">
      <alignment horizontal="center" vertical="center"/>
    </xf>
    <xf numFmtId="3" fontId="44" fillId="0" borderId="0" xfId="0" applyNumberFormat="1" applyFont="1" applyAlignment="1" applyProtection="1">
      <alignment horizontal="center" vertical="center"/>
      <protection hidden="1"/>
    </xf>
    <xf numFmtId="3" fontId="9" fillId="0" borderId="0" xfId="0" applyNumberFormat="1" applyFont="1" applyAlignment="1">
      <alignment horizontal="center" vertical="center"/>
    </xf>
    <xf numFmtId="167" fontId="47" fillId="0" borderId="137" xfId="0" applyNumberFormat="1" applyFont="1" applyBorder="1" applyAlignment="1" applyProtection="1">
      <alignment horizontal="center" vertical="center"/>
      <protection hidden="1"/>
    </xf>
    <xf numFmtId="3" fontId="15" fillId="9" borderId="140" xfId="0" applyNumberFormat="1" applyFont="1" applyFill="1" applyBorder="1" applyAlignment="1" applyProtection="1">
      <alignment horizontal="center" vertical="center"/>
      <protection hidden="1"/>
    </xf>
    <xf numFmtId="164" fontId="47" fillId="0" borderId="140" xfId="0" applyNumberFormat="1" applyFont="1" applyBorder="1" applyAlignment="1" applyProtection="1">
      <alignment horizontal="center" vertical="center"/>
      <protection hidden="1"/>
    </xf>
    <xf numFmtId="0" fontId="0" fillId="0" borderId="11" xfId="0" applyBorder="1"/>
    <xf numFmtId="0" fontId="10" fillId="0" borderId="20" xfId="0" applyFont="1" applyBorder="1" applyAlignment="1" applyProtection="1">
      <alignment vertical="center"/>
      <protection hidden="1"/>
    </xf>
    <xf numFmtId="0" fontId="10" fillId="0" borderId="20"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pplyProtection="1">
      <alignment vertical="center"/>
      <protection hidden="1"/>
    </xf>
    <xf numFmtId="0" fontId="10" fillId="0" borderId="32" xfId="0" applyFont="1" applyBorder="1" applyAlignment="1" applyProtection="1">
      <alignment horizontal="center" vertical="center"/>
      <protection hidden="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pplyProtection="1">
      <alignment horizontal="center" vertical="center"/>
      <protection hidden="1"/>
    </xf>
    <xf numFmtId="10" fontId="7" fillId="5" borderId="18" xfId="0" applyNumberFormat="1" applyFont="1" applyFill="1" applyBorder="1" applyAlignment="1">
      <alignment horizontal="center" vertical="center"/>
    </xf>
    <xf numFmtId="3" fontId="10" fillId="0" borderId="18" xfId="0" applyNumberFormat="1" applyFont="1" applyBorder="1" applyAlignment="1" applyProtection="1">
      <alignment horizontal="center" vertical="center"/>
      <protection hidden="1"/>
    </xf>
    <xf numFmtId="3" fontId="10" fillId="0" borderId="18" xfId="0" applyNumberFormat="1" applyFont="1" applyBorder="1" applyAlignment="1">
      <alignment horizontal="center" vertical="center"/>
    </xf>
    <xf numFmtId="3" fontId="73" fillId="0" borderId="35" xfId="2" applyNumberFormat="1" applyFont="1" applyBorder="1" applyAlignment="1" applyProtection="1">
      <alignment horizontal="center" vertical="center"/>
      <protection locked="0"/>
    </xf>
    <xf numFmtId="3" fontId="73" fillId="0" borderId="21" xfId="2"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52" xfId="0" applyFont="1" applyBorder="1" applyAlignment="1">
      <alignment horizontal="center" vertical="center"/>
    </xf>
    <xf numFmtId="0" fontId="10" fillId="0" borderId="9"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3" fontId="10" fillId="0" borderId="43" xfId="0" applyNumberFormat="1"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52" xfId="0" applyFont="1" applyBorder="1" applyAlignment="1" applyProtection="1">
      <alignment horizontal="center" vertical="center"/>
      <protection hidden="1"/>
    </xf>
    <xf numFmtId="0" fontId="10" fillId="0" borderId="19"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10" fillId="0" borderId="21" xfId="0" applyFont="1" applyBorder="1" applyAlignment="1" applyProtection="1">
      <alignment horizontal="center" vertical="center"/>
      <protection hidden="1"/>
    </xf>
    <xf numFmtId="164" fontId="10" fillId="0" borderId="18" xfId="2" applyNumberFormat="1" applyFont="1" applyFill="1" applyBorder="1" applyAlignment="1" applyProtection="1">
      <alignment horizontal="center" vertical="center"/>
      <protection hidden="1"/>
    </xf>
    <xf numFmtId="3" fontId="10" fillId="5" borderId="20" xfId="2"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7" fillId="5" borderId="18" xfId="2" applyNumberFormat="1" applyFont="1" applyFill="1" applyBorder="1" applyAlignment="1" applyProtection="1">
      <alignment horizontal="center" vertical="center"/>
      <protection hidden="1"/>
    </xf>
    <xf numFmtId="10" fontId="7" fillId="5" borderId="20" xfId="2" applyNumberFormat="1" applyFont="1" applyFill="1" applyBorder="1" applyAlignment="1" applyProtection="1">
      <alignment horizontal="center" vertical="center"/>
      <protection hidden="1"/>
    </xf>
    <xf numFmtId="10" fontId="10" fillId="5" borderId="35"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0" fillId="5" borderId="36" xfId="0" applyNumberFormat="1" applyFill="1" applyBorder="1"/>
    <xf numFmtId="10" fontId="0" fillId="5" borderId="35" xfId="0" applyNumberFormat="1" applyFill="1" applyBorder="1"/>
    <xf numFmtId="3" fontId="10" fillId="5" borderId="18" xfId="0" applyNumberFormat="1" applyFont="1" applyFill="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10" fontId="10" fillId="5" borderId="18" xfId="0" applyNumberFormat="1" applyFont="1" applyFill="1" applyBorder="1" applyAlignment="1">
      <alignment horizontal="center" vertical="center"/>
    </xf>
    <xf numFmtId="10" fontId="7" fillId="7" borderId="20" xfId="0" applyNumberFormat="1" applyFont="1" applyFill="1" applyBorder="1" applyAlignment="1">
      <alignment horizontal="center" vertical="center"/>
    </xf>
    <xf numFmtId="10" fontId="7" fillId="7" borderId="18" xfId="0" applyNumberFormat="1" applyFont="1" applyFill="1" applyBorder="1" applyAlignment="1">
      <alignment horizontal="center" vertical="center"/>
    </xf>
    <xf numFmtId="17"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3" fontId="10" fillId="0" borderId="8" xfId="0" applyNumberFormat="1" applyFont="1" applyBorder="1" applyAlignment="1" applyProtection="1">
      <alignment horizontal="center" vertical="center"/>
      <protection hidden="1"/>
    </xf>
    <xf numFmtId="3" fontId="10" fillId="0" borderId="8" xfId="0" applyNumberFormat="1" applyFont="1" applyBorder="1" applyAlignment="1">
      <alignment horizontal="center" vertical="center"/>
    </xf>
    <xf numFmtId="3" fontId="73" fillId="0" borderId="8" xfId="2" applyNumberFormat="1" applyFont="1" applyBorder="1" applyAlignment="1" applyProtection="1">
      <alignment horizontal="center" vertical="center"/>
    </xf>
    <xf numFmtId="1" fontId="10" fillId="0" borderId="8" xfId="0" applyNumberFormat="1" applyFont="1" applyBorder="1" applyAlignment="1">
      <alignment horizontal="center" vertical="center"/>
    </xf>
    <xf numFmtId="17" fontId="10" fillId="0" borderId="0" xfId="0" applyNumberFormat="1" applyFont="1" applyAlignment="1" applyProtection="1">
      <alignment horizontal="center" vertical="center"/>
      <protection hidden="1"/>
    </xf>
    <xf numFmtId="3" fontId="10" fillId="0" borderId="0" xfId="0" applyNumberFormat="1" applyFont="1" applyAlignment="1">
      <alignment horizontal="center" vertical="center"/>
    </xf>
    <xf numFmtId="3" fontId="73" fillId="0" borderId="0" xfId="2" applyNumberFormat="1" applyFont="1" applyBorder="1" applyAlignment="1" applyProtection="1">
      <alignment horizontal="center" vertical="center"/>
    </xf>
    <xf numFmtId="1" fontId="10" fillId="0" borderId="0" xfId="0" applyNumberFormat="1" applyFont="1" applyAlignment="1">
      <alignment horizontal="center" vertical="center"/>
    </xf>
    <xf numFmtId="6" fontId="10" fillId="0" borderId="0" xfId="0" applyNumberFormat="1" applyFont="1" applyAlignment="1" applyProtection="1">
      <alignment horizontal="center" vertical="center"/>
      <protection hidden="1"/>
    </xf>
    <xf numFmtId="164" fontId="53" fillId="0" borderId="18" xfId="0" applyNumberFormat="1" applyFont="1" applyBorder="1" applyAlignment="1" applyProtection="1">
      <alignment horizontal="center" vertical="center"/>
      <protection hidden="1"/>
    </xf>
    <xf numFmtId="164" fontId="53" fillId="0" borderId="137" xfId="0" applyNumberFormat="1" applyFont="1" applyBorder="1" applyAlignment="1" applyProtection="1">
      <alignment horizontal="center" vertical="center"/>
      <protection hidden="1"/>
    </xf>
    <xf numFmtId="14" fontId="7" fillId="0" borderId="0" xfId="0" applyNumberFormat="1" applyFont="1" applyAlignment="1">
      <alignment horizontal="right"/>
    </xf>
    <xf numFmtId="3" fontId="10" fillId="0" borderId="113" xfId="0" applyNumberFormat="1" applyFont="1" applyBorder="1" applyAlignment="1" applyProtection="1">
      <alignment horizontal="center" vertical="center"/>
      <protection hidden="1"/>
    </xf>
    <xf numFmtId="3" fontId="7" fillId="0" borderId="113" xfId="0" applyNumberFormat="1" applyFont="1" applyBorder="1" applyAlignment="1" applyProtection="1">
      <alignment horizontal="center" vertical="center"/>
      <protection hidden="1"/>
    </xf>
    <xf numFmtId="167" fontId="10" fillId="0" borderId="113" xfId="0" applyNumberFormat="1" applyFont="1" applyBorder="1" applyAlignment="1" applyProtection="1">
      <alignment horizontal="center" vertical="center"/>
      <protection hidden="1"/>
    </xf>
    <xf numFmtId="167" fontId="7" fillId="0" borderId="113" xfId="0" applyNumberFormat="1" applyFont="1" applyBorder="1" applyAlignment="1" applyProtection="1">
      <alignment horizontal="center" vertical="center"/>
      <protection hidden="1"/>
    </xf>
    <xf numFmtId="3" fontId="14" fillId="0" borderId="113" xfId="0" applyNumberFormat="1" applyFont="1" applyBorder="1" applyAlignment="1" applyProtection="1">
      <alignment horizontal="center" vertical="center"/>
      <protection hidden="1"/>
    </xf>
    <xf numFmtId="0" fontId="15" fillId="0" borderId="123" xfId="0" applyFont="1" applyBorder="1" applyAlignment="1" applyProtection="1">
      <alignment horizontal="left" vertical="center" wrapText="1"/>
      <protection hidden="1"/>
    </xf>
    <xf numFmtId="0" fontId="15" fillId="0" borderId="103"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5" fillId="0" borderId="134" xfId="0" applyFont="1" applyBorder="1" applyAlignment="1" applyProtection="1">
      <alignment horizontal="left" vertical="center" wrapText="1"/>
      <protection hidden="1"/>
    </xf>
    <xf numFmtId="0" fontId="58" fillId="11" borderId="42" xfId="0" applyFont="1" applyFill="1" applyBorder="1" applyAlignment="1" applyProtection="1">
      <alignment horizontal="center" vertical="center"/>
      <protection hidden="1"/>
    </xf>
    <xf numFmtId="0" fontId="74" fillId="11" borderId="79" xfId="0" applyFont="1" applyFill="1" applyBorder="1" applyAlignment="1">
      <alignment horizontal="left" vertical="center"/>
    </xf>
    <xf numFmtId="0" fontId="76" fillId="11" borderId="64" xfId="0" applyFont="1" applyFill="1" applyBorder="1" applyAlignment="1">
      <alignment horizontal="center" vertical="center"/>
    </xf>
    <xf numFmtId="0" fontId="76" fillId="11" borderId="64" xfId="0" applyFont="1" applyFill="1" applyBorder="1" applyAlignment="1">
      <alignment horizontal="center" vertical="center" wrapText="1"/>
    </xf>
    <xf numFmtId="0" fontId="75" fillId="11" borderId="64" xfId="0" applyFont="1" applyFill="1" applyBorder="1" applyAlignment="1">
      <alignment horizontal="center" vertical="center"/>
    </xf>
    <xf numFmtId="0" fontId="77" fillId="11" borderId="27" xfId="0" applyFont="1" applyFill="1" applyBorder="1" applyAlignment="1">
      <alignment horizontal="center" wrapText="1"/>
    </xf>
    <xf numFmtId="0" fontId="74" fillId="11" borderId="69" xfId="0" applyFont="1" applyFill="1" applyBorder="1" applyAlignment="1">
      <alignment horizontal="right" vertical="center" indent="1"/>
    </xf>
    <xf numFmtId="1" fontId="58" fillId="11" borderId="59" xfId="0" applyNumberFormat="1" applyFont="1" applyFill="1" applyBorder="1" applyAlignment="1" applyProtection="1">
      <alignment horizontal="center" vertical="center"/>
      <protection hidden="1"/>
    </xf>
    <xf numFmtId="1" fontId="58" fillId="11" borderId="32" xfId="0" applyNumberFormat="1" applyFont="1" applyFill="1" applyBorder="1" applyAlignment="1" applyProtection="1">
      <alignment horizontal="center" vertical="center"/>
      <protection hidden="1"/>
    </xf>
    <xf numFmtId="1" fontId="58" fillId="11" borderId="26" xfId="0" applyNumberFormat="1" applyFont="1" applyFill="1" applyBorder="1" applyAlignment="1" applyProtection="1">
      <alignment horizontal="center" vertical="center"/>
      <protection hidden="1"/>
    </xf>
    <xf numFmtId="1" fontId="58" fillId="11" borderId="61" xfId="0" applyNumberFormat="1" applyFont="1" applyFill="1" applyBorder="1" applyAlignment="1" applyProtection="1">
      <alignment horizontal="center" vertical="center"/>
      <protection hidden="1"/>
    </xf>
    <xf numFmtId="0" fontId="70" fillId="11" borderId="13" xfId="0" applyFont="1" applyFill="1" applyBorder="1" applyAlignment="1">
      <alignment horizontal="center" vertical="center"/>
    </xf>
    <xf numFmtId="0" fontId="70" fillId="11" borderId="3" xfId="0" applyFont="1" applyFill="1" applyBorder="1" applyAlignment="1">
      <alignment vertical="center"/>
    </xf>
    <xf numFmtId="0" fontId="70" fillId="11" borderId="10" xfId="0" applyFont="1" applyFill="1" applyBorder="1" applyAlignment="1">
      <alignment vertical="center"/>
    </xf>
    <xf numFmtId="0" fontId="77" fillId="11" borderId="0" xfId="0" applyFont="1" applyFill="1" applyAlignment="1">
      <alignment vertical="center"/>
    </xf>
    <xf numFmtId="0" fontId="70" fillId="11" borderId="31" xfId="0" applyFont="1" applyFill="1" applyBorder="1" applyAlignment="1">
      <alignment vertical="center"/>
    </xf>
    <xf numFmtId="1" fontId="58" fillId="11" borderId="60" xfId="0" applyNumberFormat="1" applyFont="1" applyFill="1" applyBorder="1" applyAlignment="1">
      <alignment horizontal="center" vertical="center"/>
    </xf>
    <xf numFmtId="1" fontId="58" fillId="11" borderId="32" xfId="0" applyNumberFormat="1" applyFont="1" applyFill="1" applyBorder="1" applyAlignment="1">
      <alignment horizontal="center" vertical="center"/>
    </xf>
    <xf numFmtId="0" fontId="77" fillId="11" borderId="17" xfId="0" applyFont="1" applyFill="1" applyBorder="1" applyAlignment="1">
      <alignment vertical="center"/>
    </xf>
    <xf numFmtId="0" fontId="70" fillId="11" borderId="59" xfId="0" applyFont="1" applyFill="1" applyBorder="1" applyAlignment="1">
      <alignment vertical="center"/>
    </xf>
    <xf numFmtId="168" fontId="70" fillId="11" borderId="32" xfId="0" applyNumberFormat="1" applyFont="1" applyFill="1" applyBorder="1" applyAlignment="1">
      <alignment horizontal="center" vertical="center"/>
    </xf>
    <xf numFmtId="168" fontId="70" fillId="11" borderId="18" xfId="0" applyNumberFormat="1" applyFont="1" applyFill="1" applyBorder="1" applyAlignment="1">
      <alignment horizontal="center" vertical="center"/>
    </xf>
    <xf numFmtId="0" fontId="75" fillId="11" borderId="29" xfId="0" applyFont="1" applyFill="1" applyBorder="1" applyAlignment="1" applyProtection="1">
      <alignment horizontal="center" vertical="center"/>
      <protection hidden="1"/>
    </xf>
    <xf numFmtId="0" fontId="75" fillId="11" borderId="30" xfId="0" applyFont="1" applyFill="1" applyBorder="1" applyAlignment="1" applyProtection="1">
      <alignment horizontal="center" vertical="center"/>
      <protection hidden="1"/>
    </xf>
    <xf numFmtId="1" fontId="58" fillId="11" borderId="31" xfId="0" applyNumberFormat="1" applyFont="1" applyFill="1" applyBorder="1" applyAlignment="1" applyProtection="1">
      <alignment horizontal="center" vertical="center"/>
      <protection hidden="1"/>
    </xf>
    <xf numFmtId="1" fontId="58" fillId="11" borderId="60" xfId="0" applyNumberFormat="1" applyFont="1" applyFill="1" applyBorder="1" applyAlignment="1" applyProtection="1">
      <alignment horizontal="center" vertical="center"/>
      <protection hidden="1"/>
    </xf>
    <xf numFmtId="0" fontId="75" fillId="11" borderId="17" xfId="0" applyFont="1" applyFill="1" applyBorder="1" applyAlignment="1">
      <alignment horizontal="center" vertical="center"/>
    </xf>
    <xf numFmtId="0" fontId="74" fillId="11" borderId="18" xfId="0" applyFont="1" applyFill="1" applyBorder="1" applyAlignment="1" applyProtection="1">
      <alignment horizontal="center" vertical="center"/>
      <protection hidden="1"/>
    </xf>
    <xf numFmtId="0" fontId="74" fillId="11" borderId="21" xfId="0" applyFont="1" applyFill="1" applyBorder="1" applyAlignment="1" applyProtection="1">
      <alignment horizontal="center" vertical="center"/>
      <protection hidden="1"/>
    </xf>
    <xf numFmtId="0" fontId="75" fillId="11" borderId="54" xfId="0" applyFont="1" applyFill="1" applyBorder="1" applyAlignment="1" applyProtection="1">
      <alignment horizontal="center" vertical="center"/>
      <protection hidden="1"/>
    </xf>
    <xf numFmtId="1" fontId="58" fillId="11" borderId="24" xfId="0" applyNumberFormat="1" applyFont="1" applyFill="1" applyBorder="1" applyAlignment="1" applyProtection="1">
      <alignment horizontal="center" vertical="center"/>
      <protection hidden="1"/>
    </xf>
    <xf numFmtId="0" fontId="77" fillId="11" borderId="14" xfId="0" applyFont="1" applyFill="1" applyBorder="1" applyAlignment="1">
      <alignment horizontal="center" vertical="center"/>
    </xf>
    <xf numFmtId="0" fontId="77" fillId="11" borderId="34" xfId="0" applyFont="1" applyFill="1" applyBorder="1" applyAlignment="1">
      <alignment vertical="center"/>
    </xf>
    <xf numFmtId="0" fontId="70" fillId="11" borderId="42" xfId="0" applyFont="1" applyFill="1" applyBorder="1" applyAlignment="1">
      <alignment vertical="center"/>
    </xf>
    <xf numFmtId="168" fontId="70" fillId="11" borderId="62" xfId="0" applyNumberFormat="1" applyFont="1" applyFill="1" applyBorder="1" applyAlignment="1" applyProtection="1">
      <alignment horizontal="center" vertical="center"/>
      <protection hidden="1"/>
    </xf>
    <xf numFmtId="0" fontId="77" fillId="11" borderId="27" xfId="0" applyFont="1" applyFill="1" applyBorder="1" applyAlignment="1">
      <alignment horizontal="center" vertical="center"/>
    </xf>
    <xf numFmtId="168" fontId="58" fillId="11" borderId="60" xfId="0" applyNumberFormat="1"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49" fontId="78" fillId="11" borderId="27" xfId="0" applyNumberFormat="1" applyFont="1" applyFill="1" applyBorder="1" applyAlignment="1">
      <alignment horizontal="center"/>
    </xf>
    <xf numFmtId="0" fontId="78" fillId="11" borderId="28" xfId="0" applyFont="1" applyFill="1" applyBorder="1" applyAlignment="1">
      <alignment horizontal="center"/>
    </xf>
    <xf numFmtId="49" fontId="78" fillId="11" borderId="12" xfId="0" applyNumberFormat="1" applyFont="1" applyFill="1" applyBorder="1" applyAlignment="1">
      <alignment horizontal="center"/>
    </xf>
    <xf numFmtId="0" fontId="78" fillId="11" borderId="23" xfId="0" applyFont="1" applyFill="1" applyBorder="1" applyAlignment="1">
      <alignment horizontal="center"/>
    </xf>
    <xf numFmtId="0" fontId="78" fillId="11" borderId="41" xfId="0" applyFont="1" applyFill="1" applyBorder="1" applyAlignment="1">
      <alignment horizontal="center" vertical="center"/>
    </xf>
    <xf numFmtId="0" fontId="78" fillId="11" borderId="15" xfId="0" applyFont="1" applyFill="1" applyBorder="1" applyAlignment="1">
      <alignment horizontal="center" vertical="center"/>
    </xf>
    <xf numFmtId="49" fontId="78" fillId="11" borderId="41" xfId="0" applyNumberFormat="1" applyFont="1" applyFill="1" applyBorder="1" applyAlignment="1">
      <alignment horizontal="center"/>
    </xf>
    <xf numFmtId="0" fontId="78" fillId="11" borderId="144" xfId="0" applyFont="1" applyFill="1" applyBorder="1" applyAlignment="1">
      <alignment horizontal="center"/>
    </xf>
    <xf numFmtId="0" fontId="74" fillId="11" borderId="41" xfId="0" applyFont="1" applyFill="1" applyBorder="1" applyAlignment="1">
      <alignment horizontal="center"/>
    </xf>
    <xf numFmtId="0" fontId="74" fillId="11" borderId="55" xfId="0" applyFont="1" applyFill="1" applyBorder="1" applyAlignment="1">
      <alignment horizontal="center"/>
    </xf>
    <xf numFmtId="0" fontId="78" fillId="11" borderId="55" xfId="0" applyFont="1" applyFill="1" applyBorder="1" applyAlignment="1">
      <alignment horizontal="center"/>
    </xf>
    <xf numFmtId="0" fontId="74" fillId="11" borderId="144" xfId="0" applyFont="1" applyFill="1" applyBorder="1" applyAlignment="1">
      <alignment horizontal="right" vertical="center" indent="1"/>
    </xf>
    <xf numFmtId="0" fontId="58" fillId="11" borderId="39" xfId="0" applyFont="1" applyFill="1" applyBorder="1" applyAlignment="1">
      <alignment horizontal="center" vertical="center"/>
    </xf>
    <xf numFmtId="0" fontId="74" fillId="11" borderId="183" xfId="0" applyFont="1" applyFill="1" applyBorder="1" applyAlignment="1">
      <alignment horizontal="center" vertical="center"/>
    </xf>
    <xf numFmtId="0" fontId="7" fillId="0" borderId="0" xfId="0" applyFont="1" applyAlignment="1" applyProtection="1">
      <alignment horizontal="center" vertical="center"/>
      <protection hidden="1"/>
    </xf>
    <xf numFmtId="0" fontId="78" fillId="11" borderId="0" xfId="0" applyFont="1" applyFill="1" applyAlignment="1" applyProtection="1">
      <alignment horizontal="center" vertical="center" wrapText="1"/>
      <protection hidden="1"/>
    </xf>
    <xf numFmtId="1" fontId="14"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67" fontId="15" fillId="0" borderId="0" xfId="0" applyNumberFormat="1" applyFont="1" applyAlignment="1" applyProtection="1">
      <alignment horizontal="center" vertical="center" shrinkToFit="1"/>
      <protection hidden="1"/>
    </xf>
    <xf numFmtId="166"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67" fontId="14" fillId="0" borderId="0" xfId="0" applyNumberFormat="1" applyFont="1" applyAlignment="1" applyProtection="1">
      <alignment horizontal="center" vertical="center" shrinkToFit="1"/>
      <protection hidden="1"/>
    </xf>
    <xf numFmtId="0" fontId="74" fillId="11" borderId="191" xfId="0" applyFont="1" applyFill="1" applyBorder="1" applyAlignment="1">
      <alignment horizontal="left" vertical="center"/>
    </xf>
    <xf numFmtId="0" fontId="74" fillId="11" borderId="191" xfId="0" applyFont="1" applyFill="1" applyBorder="1" applyAlignment="1" applyProtection="1">
      <alignment horizontal="left" vertical="center"/>
      <protection hidden="1"/>
    </xf>
    <xf numFmtId="0" fontId="76" fillId="11" borderId="192" xfId="0" applyFont="1" applyFill="1" applyBorder="1" applyAlignment="1">
      <alignment horizontal="center" vertical="center"/>
    </xf>
    <xf numFmtId="0" fontId="76" fillId="11" borderId="191" xfId="0" applyFont="1" applyFill="1" applyBorder="1" applyAlignment="1">
      <alignment horizontal="center" vertical="center"/>
    </xf>
    <xf numFmtId="0" fontId="76" fillId="11" borderId="194" xfId="0" applyFont="1" applyFill="1" applyBorder="1" applyAlignment="1">
      <alignment horizontal="center" vertical="center"/>
    </xf>
    <xf numFmtId="1" fontId="15" fillId="8" borderId="196" xfId="0" applyNumberFormat="1" applyFont="1" applyFill="1" applyBorder="1" applyAlignment="1" applyProtection="1">
      <alignment horizontal="center" vertical="center"/>
      <protection hidden="1"/>
    </xf>
    <xf numFmtId="167" fontId="15" fillId="8" borderId="196" xfId="0" applyNumberFormat="1" applyFont="1" applyFill="1" applyBorder="1" applyAlignment="1" applyProtection="1">
      <alignment horizontal="center" vertical="center"/>
      <protection hidden="1"/>
    </xf>
    <xf numFmtId="1" fontId="15" fillId="8" borderId="198" xfId="0" applyNumberFormat="1" applyFont="1" applyFill="1" applyBorder="1" applyAlignment="1" applyProtection="1">
      <alignment horizontal="center" vertical="center"/>
      <protection hidden="1"/>
    </xf>
    <xf numFmtId="167" fontId="15" fillId="8" borderId="198" xfId="0" applyNumberFormat="1" applyFont="1" applyFill="1" applyBorder="1" applyAlignment="1" applyProtection="1">
      <alignment horizontal="center" vertical="center"/>
      <protection hidden="1"/>
    </xf>
    <xf numFmtId="1" fontId="15" fillId="8" borderId="200" xfId="0" applyNumberFormat="1" applyFont="1" applyFill="1" applyBorder="1" applyAlignment="1" applyProtection="1">
      <alignment horizontal="center" vertical="center"/>
      <protection hidden="1"/>
    </xf>
    <xf numFmtId="167" fontId="15" fillId="8" borderId="200" xfId="0" applyNumberFormat="1" applyFont="1" applyFill="1" applyBorder="1" applyAlignment="1" applyProtection="1">
      <alignment horizontal="center" vertical="center"/>
      <protection hidden="1"/>
    </xf>
    <xf numFmtId="0" fontId="15" fillId="0" borderId="0" xfId="0" applyFont="1" applyAlignment="1" applyProtection="1">
      <alignment shrinkToFit="1"/>
      <protection hidden="1"/>
    </xf>
    <xf numFmtId="3" fontId="15" fillId="0" borderId="0" xfId="0" applyNumberFormat="1" applyFont="1" applyAlignment="1">
      <alignment horizontal="right" vertical="center"/>
    </xf>
    <xf numFmtId="0" fontId="47" fillId="0" borderId="179" xfId="0" applyFont="1" applyBorder="1" applyAlignment="1">
      <alignment horizontal="right" vertical="center"/>
    </xf>
    <xf numFmtId="0" fontId="58" fillId="11" borderId="101" xfId="0" applyFont="1" applyFill="1" applyBorder="1" applyAlignment="1">
      <alignment vertical="center"/>
    </xf>
    <xf numFmtId="0" fontId="15" fillId="0" borderId="208" xfId="0" applyFont="1" applyBorder="1" applyAlignment="1" applyProtection="1">
      <alignment horizontal="left" vertical="center"/>
      <protection hidden="1"/>
    </xf>
    <xf numFmtId="0" fontId="15" fillId="0" borderId="209" xfId="0" applyFont="1" applyBorder="1" applyAlignment="1" applyProtection="1">
      <alignment horizontal="left" vertical="center"/>
      <protection hidden="1"/>
    </xf>
    <xf numFmtId="0" fontId="15" fillId="0" borderId="105" xfId="0" applyFont="1" applyBorder="1" applyAlignment="1" applyProtection="1">
      <alignment horizontal="left" vertical="center"/>
      <protection hidden="1"/>
    </xf>
    <xf numFmtId="3" fontId="14" fillId="0" borderId="103" xfId="0" applyNumberFormat="1" applyFont="1" applyBorder="1" applyAlignment="1" applyProtection="1">
      <alignment vertical="center"/>
      <protection hidden="1"/>
    </xf>
    <xf numFmtId="0" fontId="15" fillId="0" borderId="103" xfId="0" applyFont="1" applyBorder="1" applyAlignment="1" applyProtection="1">
      <alignment shrinkToFit="1"/>
      <protection hidden="1"/>
    </xf>
    <xf numFmtId="3" fontId="15" fillId="0" borderId="103" xfId="0" quotePrefix="1" applyNumberFormat="1" applyFont="1" applyBorder="1" applyAlignment="1">
      <alignment horizontal="right" vertical="center"/>
    </xf>
    <xf numFmtId="1" fontId="15" fillId="8" borderId="211" xfId="0" applyNumberFormat="1" applyFont="1" applyFill="1" applyBorder="1" applyAlignment="1" applyProtection="1">
      <alignment horizontal="center" vertical="center"/>
      <protection hidden="1"/>
    </xf>
    <xf numFmtId="167" fontId="15" fillId="8" borderId="211" xfId="0" applyNumberFormat="1" applyFont="1" applyFill="1" applyBorder="1" applyAlignment="1" applyProtection="1">
      <alignment horizontal="center" vertical="center"/>
      <protection hidden="1"/>
    </xf>
    <xf numFmtId="1" fontId="15" fillId="8" borderId="213" xfId="0" applyNumberFormat="1" applyFont="1" applyFill="1" applyBorder="1" applyAlignment="1" applyProtection="1">
      <alignment horizontal="center" vertical="center"/>
      <protection hidden="1"/>
    </xf>
    <xf numFmtId="167" fontId="15" fillId="8" borderId="213" xfId="0" applyNumberFormat="1" applyFont="1" applyFill="1" applyBorder="1" applyAlignment="1" applyProtection="1">
      <alignment horizontal="center" vertical="center"/>
      <protection hidden="1"/>
    </xf>
    <xf numFmtId="1" fontId="15" fillId="8" borderId="215" xfId="0" applyNumberFormat="1" applyFont="1" applyFill="1" applyBorder="1" applyAlignment="1" applyProtection="1">
      <alignment horizontal="center" vertical="center"/>
      <protection hidden="1"/>
    </xf>
    <xf numFmtId="167" fontId="15" fillId="8" borderId="215" xfId="0" applyNumberFormat="1" applyFont="1" applyFill="1" applyBorder="1" applyAlignment="1" applyProtection="1">
      <alignment horizontal="center" vertical="center"/>
      <protection hidden="1"/>
    </xf>
    <xf numFmtId="1" fontId="15" fillId="8" borderId="217" xfId="0" applyNumberFormat="1" applyFont="1" applyFill="1" applyBorder="1" applyAlignment="1" applyProtection="1">
      <alignment horizontal="center" vertical="center"/>
      <protection hidden="1"/>
    </xf>
    <xf numFmtId="167" fontId="15" fillId="8" borderId="217" xfId="0" applyNumberFormat="1" applyFont="1" applyFill="1" applyBorder="1" applyAlignment="1" applyProtection="1">
      <alignment horizontal="center" vertical="center"/>
      <protection hidden="1"/>
    </xf>
    <xf numFmtId="167" fontId="15" fillId="8" borderId="219" xfId="0" applyNumberFormat="1" applyFont="1" applyFill="1" applyBorder="1" applyAlignment="1" applyProtection="1">
      <alignment horizontal="center" vertical="center"/>
      <protection hidden="1"/>
    </xf>
    <xf numFmtId="3" fontId="15" fillId="8" borderId="210" xfId="0" applyNumberFormat="1" applyFont="1" applyFill="1" applyBorder="1" applyAlignment="1" applyProtection="1">
      <alignment horizontal="center" vertical="center"/>
      <protection hidden="1"/>
    </xf>
    <xf numFmtId="3" fontId="15" fillId="8" borderId="212" xfId="0" applyNumberFormat="1" applyFont="1" applyFill="1" applyBorder="1" applyAlignment="1" applyProtection="1">
      <alignment horizontal="center" vertical="center"/>
      <protection hidden="1"/>
    </xf>
    <xf numFmtId="3" fontId="15" fillId="8" borderId="214" xfId="0" applyNumberFormat="1" applyFont="1" applyFill="1" applyBorder="1" applyAlignment="1" applyProtection="1">
      <alignment horizontal="center" vertical="center"/>
      <protection hidden="1"/>
    </xf>
    <xf numFmtId="3" fontId="15" fillId="8" borderId="195" xfId="0" applyNumberFormat="1" applyFont="1" applyFill="1" applyBorder="1" applyAlignment="1" applyProtection="1">
      <alignment horizontal="center" vertical="center"/>
      <protection hidden="1"/>
    </xf>
    <xf numFmtId="3" fontId="15" fillId="8" borderId="197" xfId="0" applyNumberFormat="1" applyFont="1" applyFill="1" applyBorder="1" applyAlignment="1" applyProtection="1">
      <alignment horizontal="center" vertical="center"/>
      <protection hidden="1"/>
    </xf>
    <xf numFmtId="3" fontId="15" fillId="8" borderId="199" xfId="0" applyNumberFormat="1" applyFont="1" applyFill="1" applyBorder="1" applyAlignment="1" applyProtection="1">
      <alignment horizontal="center" vertical="center"/>
      <protection hidden="1"/>
    </xf>
    <xf numFmtId="3" fontId="15" fillId="8" borderId="216" xfId="0" applyNumberFormat="1" applyFont="1" applyFill="1" applyBorder="1" applyAlignment="1" applyProtection="1">
      <alignment horizontal="center" vertical="center"/>
      <protection hidden="1"/>
    </xf>
    <xf numFmtId="3" fontId="15" fillId="8" borderId="218" xfId="0" applyNumberFormat="1" applyFont="1" applyFill="1" applyBorder="1" applyAlignment="1" applyProtection="1">
      <alignment horizontal="center" vertical="center"/>
      <protection hidden="1"/>
    </xf>
    <xf numFmtId="167" fontId="14" fillId="8" borderId="113" xfId="0" applyNumberFormat="1" applyFont="1" applyFill="1" applyBorder="1" applyAlignment="1" applyProtection="1">
      <alignment horizontal="center" vertical="center"/>
      <protection hidden="1"/>
    </xf>
    <xf numFmtId="3" fontId="15" fillId="8" borderId="221" xfId="0" applyNumberFormat="1" applyFont="1" applyFill="1" applyBorder="1" applyAlignment="1" applyProtection="1">
      <alignment horizontal="center" vertical="center"/>
      <protection hidden="1"/>
    </xf>
    <xf numFmtId="167" fontId="15" fillId="8" borderId="221" xfId="0" applyNumberFormat="1" applyFont="1" applyFill="1" applyBorder="1" applyAlignment="1" applyProtection="1">
      <alignment horizontal="center" vertical="center"/>
      <protection hidden="1"/>
    </xf>
    <xf numFmtId="0" fontId="74" fillId="11" borderId="222" xfId="0" applyFont="1" applyFill="1" applyBorder="1" applyAlignment="1" applyProtection="1">
      <alignment horizontal="center" vertical="center"/>
      <protection hidden="1"/>
    </xf>
    <xf numFmtId="0" fontId="10" fillId="7" borderId="0" xfId="0" applyFont="1" applyFill="1" applyProtection="1">
      <protection locked="0"/>
    </xf>
    <xf numFmtId="0" fontId="10" fillId="7" borderId="0" xfId="0" applyFont="1" applyFill="1" applyAlignment="1" applyProtection="1">
      <alignment vertical="center"/>
      <protection locked="0"/>
    </xf>
    <xf numFmtId="0" fontId="7" fillId="0" borderId="0" xfId="0" applyFont="1" applyAlignment="1">
      <alignment horizontal="center" vertical="center"/>
    </xf>
    <xf numFmtId="0" fontId="0" fillId="7" borderId="0" xfId="0" applyFill="1" applyProtection="1">
      <protection locked="0"/>
    </xf>
    <xf numFmtId="164" fontId="10" fillId="7" borderId="0" xfId="0" applyNumberFormat="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3" fontId="14" fillId="0" borderId="171" xfId="0" applyNumberFormat="1" applyFont="1" applyBorder="1" applyAlignment="1" applyProtection="1">
      <alignment horizontal="center" vertical="center"/>
      <protection hidden="1"/>
    </xf>
    <xf numFmtId="0" fontId="10" fillId="7" borderId="224" xfId="0" applyFont="1" applyFill="1" applyBorder="1" applyAlignment="1" applyProtection="1">
      <alignment vertical="center"/>
      <protection locked="0"/>
    </xf>
    <xf numFmtId="0" fontId="10" fillId="7" borderId="103" xfId="0" applyFont="1" applyFill="1" applyBorder="1" applyAlignment="1" applyProtection="1">
      <alignment vertical="center"/>
      <protection locked="0"/>
    </xf>
    <xf numFmtId="0" fontId="10" fillId="7" borderId="104" xfId="0" applyFont="1" applyFill="1" applyBorder="1" applyAlignment="1" applyProtection="1">
      <alignment vertical="center"/>
      <protection locked="0"/>
    </xf>
    <xf numFmtId="1" fontId="74" fillId="11" borderId="121" xfId="0" applyNumberFormat="1" applyFont="1" applyFill="1" applyBorder="1" applyAlignment="1" applyProtection="1">
      <alignment horizontal="center" vertical="center"/>
      <protection hidden="1"/>
    </xf>
    <xf numFmtId="3" fontId="14" fillId="0" borderId="222" xfId="0" applyNumberFormat="1" applyFont="1" applyBorder="1" applyAlignment="1" applyProtection="1">
      <alignment horizontal="center" vertical="center"/>
      <protection hidden="1"/>
    </xf>
    <xf numFmtId="0" fontId="15" fillId="0" borderId="117" xfId="0" applyFont="1" applyBorder="1" applyAlignment="1" applyProtection="1">
      <alignment horizontal="center" vertical="center"/>
      <protection hidden="1"/>
    </xf>
    <xf numFmtId="167" fontId="15" fillId="0" borderId="111" xfId="0" applyNumberFormat="1" applyFont="1" applyBorder="1" applyAlignment="1" applyProtection="1">
      <alignment horizontal="center" vertical="center"/>
      <protection hidden="1"/>
    </xf>
    <xf numFmtId="0" fontId="58" fillId="11" borderId="101" xfId="0" applyFont="1" applyFill="1" applyBorder="1" applyAlignment="1" applyProtection="1">
      <alignment horizontal="left" vertical="center" indent="1"/>
      <protection hidden="1"/>
    </xf>
    <xf numFmtId="0" fontId="75" fillId="11" borderId="222" xfId="0" applyFont="1" applyFill="1" applyBorder="1" applyAlignment="1" applyProtection="1">
      <alignment horizontal="center" vertical="center"/>
      <protection hidden="1"/>
    </xf>
    <xf numFmtId="0" fontId="58" fillId="11" borderId="103" xfId="0" applyFont="1" applyFill="1" applyBorder="1" applyAlignment="1" applyProtection="1">
      <alignment horizontal="left" vertical="center" indent="1"/>
      <protection hidden="1"/>
    </xf>
    <xf numFmtId="0" fontId="75" fillId="11" borderId="121" xfId="0" applyFont="1" applyFill="1" applyBorder="1" applyAlignment="1" applyProtection="1">
      <alignment horizontal="center" vertical="center"/>
      <protection hidden="1"/>
    </xf>
    <xf numFmtId="49" fontId="75" fillId="11" borderId="121" xfId="0" applyNumberFormat="1" applyFont="1" applyFill="1" applyBorder="1" applyAlignment="1" applyProtection="1">
      <alignment horizontal="center" vertical="center"/>
      <protection hidden="1"/>
    </xf>
    <xf numFmtId="0" fontId="70" fillId="11" borderId="101" xfId="0" applyFont="1" applyFill="1" applyBorder="1" applyAlignment="1" applyProtection="1">
      <alignment horizontal="left" vertical="center" indent="1"/>
      <protection hidden="1"/>
    </xf>
    <xf numFmtId="0" fontId="70" fillId="11" borderId="0" xfId="0" applyFont="1" applyFill="1" applyAlignment="1" applyProtection="1">
      <alignment horizontal="left" vertical="center" indent="1"/>
      <protection hidden="1"/>
    </xf>
    <xf numFmtId="0" fontId="70" fillId="11" borderId="103" xfId="0" applyFont="1" applyFill="1" applyBorder="1" applyAlignment="1">
      <alignment horizontal="left" vertical="center" indent="1"/>
    </xf>
    <xf numFmtId="49" fontId="76" fillId="11" borderId="103" xfId="0" applyNumberFormat="1" applyFont="1" applyFill="1" applyBorder="1" applyAlignment="1" applyProtection="1">
      <alignment horizontal="center"/>
      <protection hidden="1"/>
    </xf>
    <xf numFmtId="0" fontId="76" fillId="11" borderId="103" xfId="0" applyFont="1" applyFill="1" applyBorder="1" applyAlignment="1" applyProtection="1">
      <alignment horizontal="center"/>
      <protection hidden="1"/>
    </xf>
    <xf numFmtId="49" fontId="76" fillId="11" borderId="223" xfId="0" applyNumberFormat="1" applyFont="1" applyFill="1" applyBorder="1" applyAlignment="1" applyProtection="1">
      <alignment horizontal="center"/>
      <protection hidden="1"/>
    </xf>
    <xf numFmtId="0" fontId="76" fillId="11" borderId="113" xfId="0" applyFont="1" applyFill="1" applyBorder="1" applyAlignment="1" applyProtection="1">
      <alignment horizontal="center"/>
      <protection hidden="1"/>
    </xf>
    <xf numFmtId="167" fontId="14" fillId="0" borderId="132" xfId="0" applyNumberFormat="1" applyFont="1" applyBorder="1" applyAlignment="1" applyProtection="1">
      <alignment vertical="center"/>
      <protection hidden="1"/>
    </xf>
    <xf numFmtId="1" fontId="14" fillId="0" borderId="132" xfId="0" applyNumberFormat="1" applyFont="1" applyBorder="1" applyAlignment="1" applyProtection="1">
      <alignment horizontal="center" vertical="center"/>
      <protection hidden="1"/>
    </xf>
    <xf numFmtId="167" fontId="14" fillId="8" borderId="132" xfId="0" applyNumberFormat="1" applyFont="1" applyFill="1" applyBorder="1" applyAlignment="1" applyProtection="1">
      <alignment vertical="center"/>
      <protection hidden="1"/>
    </xf>
    <xf numFmtId="3" fontId="7" fillId="0" borderId="117" xfId="0" applyNumberFormat="1" applyFont="1" applyBorder="1" applyAlignment="1" applyProtection="1">
      <alignment horizontal="center" vertical="center"/>
      <protection hidden="1"/>
    </xf>
    <xf numFmtId="0" fontId="10" fillId="6" borderId="114" xfId="0" applyFont="1" applyFill="1" applyBorder="1" applyAlignment="1" applyProtection="1">
      <alignment horizontal="center" vertical="center"/>
      <protection hidden="1"/>
    </xf>
    <xf numFmtId="0" fontId="14" fillId="6" borderId="124"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49" fontId="76" fillId="11" borderId="113" xfId="0" applyNumberFormat="1" applyFont="1" applyFill="1" applyBorder="1" applyAlignment="1" applyProtection="1">
      <alignment horizontal="center"/>
      <protection hidden="1"/>
    </xf>
    <xf numFmtId="0" fontId="58" fillId="11" borderId="226" xfId="0" applyFont="1" applyFill="1" applyBorder="1" applyAlignment="1" applyProtection="1">
      <alignment horizontal="left" vertical="center" indent="1"/>
      <protection hidden="1"/>
    </xf>
    <xf numFmtId="0" fontId="58" fillId="11" borderId="125" xfId="0" applyFont="1" applyFill="1" applyBorder="1" applyAlignment="1" applyProtection="1">
      <alignment horizontal="left" vertical="center" indent="1"/>
      <protection hidden="1"/>
    </xf>
    <xf numFmtId="0" fontId="74" fillId="11" borderId="226" xfId="0" applyFont="1" applyFill="1" applyBorder="1" applyAlignment="1" applyProtection="1">
      <alignment horizontal="left" vertical="center" indent="1"/>
      <protection hidden="1"/>
    </xf>
    <xf numFmtId="0" fontId="74" fillId="11" borderId="125" xfId="0" applyFont="1" applyFill="1" applyBorder="1" applyAlignment="1" applyProtection="1">
      <alignment horizontal="left" vertical="center" indent="1"/>
      <protection hidden="1"/>
    </xf>
    <xf numFmtId="0" fontId="58" fillId="11" borderId="103" xfId="0" applyFont="1" applyFill="1" applyBorder="1" applyAlignment="1">
      <alignment vertical="center"/>
    </xf>
    <xf numFmtId="0" fontId="14" fillId="0" borderId="229" xfId="0" applyFont="1" applyBorder="1" applyAlignment="1" applyProtection="1">
      <alignment horizontal="center"/>
      <protection hidden="1"/>
    </xf>
    <xf numFmtId="0" fontId="14" fillId="0" borderId="125" xfId="0" applyFont="1" applyBorder="1" applyAlignment="1" applyProtection="1">
      <alignment horizontal="left"/>
      <protection hidden="1"/>
    </xf>
    <xf numFmtId="0" fontId="14" fillId="0" borderId="125" xfId="0" applyFont="1" applyBorder="1" applyAlignment="1" applyProtection="1">
      <alignment horizontal="right"/>
      <protection hidden="1"/>
    </xf>
    <xf numFmtId="0" fontId="15" fillId="0" borderId="229" xfId="0" applyFont="1" applyBorder="1" applyAlignment="1" applyProtection="1">
      <alignment horizontal="center"/>
      <protection hidden="1"/>
    </xf>
    <xf numFmtId="0" fontId="14" fillId="0" borderId="239" xfId="0" applyFont="1" applyBorder="1" applyAlignment="1" applyProtection="1">
      <alignment horizontal="left" vertical="center"/>
      <protection hidden="1"/>
    </xf>
    <xf numFmtId="0" fontId="14" fillId="0" borderId="240" xfId="0" applyFont="1" applyBorder="1" applyAlignment="1" applyProtection="1">
      <alignment vertical="center"/>
      <protection hidden="1"/>
    </xf>
    <xf numFmtId="0" fontId="14" fillId="0" borderId="101" xfId="0" applyFont="1" applyBorder="1" applyAlignment="1" applyProtection="1">
      <alignment vertical="center"/>
      <protection hidden="1"/>
    </xf>
    <xf numFmtId="0" fontId="15" fillId="0" borderId="101" xfId="0" applyFont="1" applyBorder="1" applyAlignment="1" applyProtection="1">
      <alignment vertical="center"/>
      <protection hidden="1"/>
    </xf>
    <xf numFmtId="0" fontId="15" fillId="0" borderId="101" xfId="0" applyFont="1" applyBorder="1" applyProtection="1">
      <protection hidden="1"/>
    </xf>
    <xf numFmtId="0" fontId="14" fillId="0" borderId="103" xfId="0" applyFont="1" applyBorder="1" applyAlignment="1" applyProtection="1">
      <alignment horizontal="right" vertical="center"/>
      <protection hidden="1"/>
    </xf>
    <xf numFmtId="0" fontId="14" fillId="0" borderId="207" xfId="0" applyFont="1" applyBorder="1" applyAlignment="1" applyProtection="1">
      <alignment horizontal="left" vertical="center"/>
      <protection hidden="1"/>
    </xf>
    <xf numFmtId="0" fontId="14" fillId="0" borderId="103" xfId="0" applyFont="1" applyBorder="1" applyAlignment="1" applyProtection="1">
      <alignment vertical="center"/>
      <protection hidden="1"/>
    </xf>
    <xf numFmtId="14" fontId="9" fillId="0" borderId="0" xfId="0" applyNumberFormat="1" applyFont="1" applyAlignment="1">
      <alignment horizontal="left" vertical="center"/>
    </xf>
    <xf numFmtId="14" fontId="9" fillId="0" borderId="0" xfId="0" applyNumberFormat="1" applyFont="1" applyAlignment="1" applyProtection="1">
      <alignment horizontal="left"/>
      <protection hidden="1"/>
    </xf>
    <xf numFmtId="3" fontId="14" fillId="8" borderId="223" xfId="0" applyNumberFormat="1" applyFont="1" applyFill="1" applyBorder="1" applyAlignment="1" applyProtection="1">
      <alignment horizontal="center" vertical="center"/>
      <protection hidden="1"/>
    </xf>
    <xf numFmtId="3" fontId="15" fillId="8" borderId="220" xfId="0" applyNumberFormat="1" applyFont="1" applyFill="1" applyBorder="1" applyAlignment="1" applyProtection="1">
      <alignment horizontal="center" vertical="center"/>
      <protection hidden="1"/>
    </xf>
    <xf numFmtId="3" fontId="14" fillId="12" borderId="113" xfId="0" applyNumberFormat="1" applyFont="1" applyFill="1" applyBorder="1" applyAlignment="1" applyProtection="1">
      <alignment horizontal="center" vertical="center"/>
      <protection hidden="1"/>
    </xf>
    <xf numFmtId="1" fontId="14" fillId="6" borderId="124" xfId="0" applyNumberFormat="1" applyFont="1" applyFill="1" applyBorder="1" applyAlignment="1" applyProtection="1">
      <alignment horizontal="center" vertical="center"/>
      <protection hidden="1"/>
    </xf>
    <xf numFmtId="1" fontId="14" fillId="6" borderId="113" xfId="0" applyNumberFormat="1" applyFont="1" applyFill="1" applyBorder="1" applyAlignment="1" applyProtection="1">
      <alignment horizontal="center" vertical="center"/>
      <protection hidden="1"/>
    </xf>
    <xf numFmtId="1" fontId="15" fillId="6" borderId="113" xfId="0" applyNumberFormat="1" applyFont="1" applyFill="1" applyBorder="1" applyAlignment="1" applyProtection="1">
      <alignment horizontal="center" vertical="center"/>
      <protection hidden="1"/>
    </xf>
    <xf numFmtId="0" fontId="0" fillId="0" borderId="18" xfId="0" applyBorder="1" applyAlignment="1">
      <alignment horizontal="center" vertical="center"/>
    </xf>
    <xf numFmtId="0" fontId="15" fillId="0" borderId="18" xfId="0" applyFont="1" applyBorder="1" applyAlignment="1">
      <alignment horizontal="center" vertical="center"/>
    </xf>
    <xf numFmtId="1" fontId="9" fillId="0" borderId="19" xfId="0" applyNumberFormat="1" applyFont="1" applyBorder="1" applyAlignment="1">
      <alignment horizontal="center"/>
    </xf>
    <xf numFmtId="1" fontId="9" fillId="0" borderId="8" xfId="0" applyNumberFormat="1" applyFont="1" applyBorder="1" applyAlignment="1">
      <alignment horizontal="center"/>
    </xf>
    <xf numFmtId="0" fontId="0" fillId="0" borderId="24" xfId="0" applyBorder="1"/>
    <xf numFmtId="166" fontId="0" fillId="0" borderId="17" xfId="0" applyNumberFormat="1" applyBorder="1"/>
    <xf numFmtId="3" fontId="0" fillId="0" borderId="24" xfId="0" applyNumberFormat="1" applyBorder="1"/>
    <xf numFmtId="166" fontId="9" fillId="0" borderId="8" xfId="0" applyNumberFormat="1" applyFont="1" applyBorder="1"/>
    <xf numFmtId="0" fontId="9" fillId="0" borderId="8" xfId="0" applyFont="1" applyBorder="1"/>
    <xf numFmtId="1" fontId="14" fillId="0" borderId="8" xfId="0" applyNumberFormat="1" applyFont="1" applyBorder="1" applyAlignment="1">
      <alignment horizontal="left"/>
    </xf>
    <xf numFmtId="0" fontId="7" fillId="0" borderId="0" xfId="0" applyFont="1" applyAlignment="1">
      <alignment horizontal="right" vertical="center"/>
    </xf>
    <xf numFmtId="0" fontId="10" fillId="0" borderId="0" xfId="0" applyFont="1" applyAlignment="1">
      <alignment shrinkToFit="1"/>
    </xf>
    <xf numFmtId="3" fontId="9" fillId="6" borderId="18" xfId="0" applyNumberFormat="1" applyFont="1" applyFill="1" applyBorder="1" applyAlignment="1" applyProtection="1">
      <alignment horizontal="center" vertic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3" fontId="15" fillId="6" borderId="18" xfId="0" applyNumberFormat="1" applyFont="1" applyFill="1" applyBorder="1" applyAlignment="1" applyProtection="1">
      <alignment horizontal="center" vertical="center"/>
      <protection hidden="1"/>
    </xf>
    <xf numFmtId="3" fontId="10" fillId="0" borderId="0" xfId="0" applyNumberFormat="1" applyFont="1" applyAlignment="1">
      <alignment horizontal="right" vertical="center"/>
    </xf>
    <xf numFmtId="3" fontId="8" fillId="0" borderId="0" xfId="0" applyNumberFormat="1" applyFont="1" applyAlignment="1">
      <alignment horizontal="center" vertical="center"/>
    </xf>
    <xf numFmtId="0" fontId="79" fillId="0" borderId="0" xfId="0" applyFont="1" applyAlignment="1" applyProtection="1">
      <alignment vertical="center"/>
      <protection hidden="1"/>
    </xf>
    <xf numFmtId="0" fontId="79" fillId="0" borderId="0" xfId="0" applyFont="1" applyProtection="1">
      <protection hidden="1"/>
    </xf>
    <xf numFmtId="0" fontId="79" fillId="0" borderId="0" xfId="0" applyFont="1" applyAlignment="1" applyProtection="1">
      <alignment horizontal="left"/>
      <protection hidden="1"/>
    </xf>
    <xf numFmtId="0" fontId="81" fillId="0" borderId="0" xfId="0" applyFont="1" applyProtection="1">
      <protection hidden="1"/>
    </xf>
    <xf numFmtId="0" fontId="81" fillId="0" borderId="0" xfId="0" applyFont="1" applyAlignment="1" applyProtection="1">
      <alignment horizontal="left"/>
      <protection hidden="1"/>
    </xf>
    <xf numFmtId="0" fontId="25" fillId="0" borderId="0" xfId="0" applyFont="1" applyAlignment="1" applyProtection="1">
      <alignment vertical="center"/>
      <protection hidden="1"/>
    </xf>
    <xf numFmtId="14" fontId="14" fillId="0" borderId="0" xfId="0" applyNumberFormat="1" applyFont="1" applyAlignment="1" applyProtection="1">
      <alignment horizontal="center"/>
      <protection hidden="1"/>
    </xf>
    <xf numFmtId="0" fontId="81" fillId="0" borderId="0" xfId="0" applyFont="1" applyAlignment="1" applyProtection="1">
      <alignment horizontal="left" vertical="center"/>
      <protection hidden="1"/>
    </xf>
    <xf numFmtId="0" fontId="81" fillId="0" borderId="0" xfId="0" applyFont="1" applyAlignment="1" applyProtection="1">
      <alignment vertical="center"/>
      <protection hidden="1"/>
    </xf>
    <xf numFmtId="3" fontId="10" fillId="8" borderId="20" xfId="2" applyNumberFormat="1" applyFont="1" applyFill="1" applyBorder="1" applyAlignment="1">
      <alignment horizontal="center" vertical="center"/>
    </xf>
    <xf numFmtId="164" fontId="10" fillId="0" borderId="0" xfId="0" applyNumberFormat="1" applyFont="1" applyAlignment="1">
      <alignment horizontal="right" vertical="center"/>
    </xf>
    <xf numFmtId="164" fontId="10" fillId="0" borderId="0" xfId="2" applyNumberFormat="1" applyFont="1" applyAlignment="1" applyProtection="1">
      <alignment horizontal="right" vertical="center"/>
      <protection hidden="1"/>
    </xf>
    <xf numFmtId="0" fontId="25" fillId="0" borderId="0" xfId="0" applyFont="1" applyAlignment="1" applyProtection="1">
      <alignment vertical="center" wrapText="1"/>
      <protection hidden="1"/>
    </xf>
    <xf numFmtId="0" fontId="3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xf numFmtId="164" fontId="15" fillId="6" borderId="113" xfId="0" applyNumberFormat="1" applyFont="1" applyFill="1" applyBorder="1" applyAlignment="1" applyProtection="1">
      <alignment horizontal="center" vertical="center"/>
      <protection hidden="1"/>
    </xf>
    <xf numFmtId="166" fontId="14" fillId="8" borderId="113" xfId="0" applyNumberFormat="1" applyFont="1" applyFill="1" applyBorder="1" applyAlignment="1" applyProtection="1">
      <alignment horizontal="center" vertical="center"/>
      <protection hidden="1"/>
    </xf>
    <xf numFmtId="167" fontId="14" fillId="0" borderId="243" xfId="0" applyNumberFormat="1" applyFont="1" applyBorder="1" applyAlignment="1" applyProtection="1">
      <alignment vertical="center"/>
      <protection hidden="1"/>
    </xf>
    <xf numFmtId="166" fontId="14" fillId="0" borderId="243" xfId="0" applyNumberFormat="1" applyFont="1" applyBorder="1" applyAlignment="1" applyProtection="1">
      <alignment horizontal="center" vertical="center"/>
      <protection hidden="1"/>
    </xf>
    <xf numFmtId="167" fontId="14" fillId="8" borderId="243" xfId="0" applyNumberFormat="1" applyFont="1" applyFill="1" applyBorder="1" applyAlignment="1" applyProtection="1">
      <alignment vertical="center"/>
      <protection hidden="1"/>
    </xf>
    <xf numFmtId="0" fontId="14" fillId="0" borderId="21" xfId="0" applyFont="1" applyBorder="1" applyAlignment="1">
      <alignment vertical="center"/>
    </xf>
    <xf numFmtId="16" fontId="14" fillId="0" borderId="21" xfId="0" applyNumberFormat="1" applyFont="1" applyBorder="1" applyAlignment="1">
      <alignment horizontal="left" vertical="center"/>
    </xf>
    <xf numFmtId="0" fontId="7" fillId="0" borderId="26" xfId="0" applyFont="1" applyBorder="1" applyAlignment="1">
      <alignment vertical="center"/>
    </xf>
    <xf numFmtId="0" fontId="14" fillId="7" borderId="21" xfId="0" applyFont="1" applyFill="1" applyBorder="1" applyAlignment="1" applyProtection="1">
      <alignment vertical="center"/>
      <protection locked="0"/>
    </xf>
    <xf numFmtId="0" fontId="14" fillId="0" borderId="26" xfId="0" applyFont="1" applyBorder="1" applyAlignment="1">
      <alignment vertical="center"/>
    </xf>
    <xf numFmtId="167" fontId="82" fillId="3" borderId="6" xfId="0" applyNumberFormat="1" applyFont="1" applyFill="1" applyBorder="1" applyAlignment="1" applyProtection="1">
      <alignment horizontal="center" vertical="center"/>
      <protection hidden="1"/>
    </xf>
    <xf numFmtId="167" fontId="82" fillId="3" borderId="7" xfId="0" applyNumberFormat="1" applyFont="1" applyFill="1" applyBorder="1" applyAlignment="1" applyProtection="1">
      <alignment horizontal="center" vertical="center"/>
      <protection hidden="1"/>
    </xf>
    <xf numFmtId="0" fontId="82" fillId="0" borderId="16" xfId="0" applyFont="1" applyBorder="1" applyAlignment="1" applyProtection="1">
      <alignment horizontal="right" vertical="center"/>
      <protection hidden="1"/>
    </xf>
    <xf numFmtId="0" fontId="82" fillId="0" borderId="7" xfId="0" applyFont="1" applyBorder="1" applyAlignment="1" applyProtection="1">
      <alignment vertical="center"/>
      <protection hidden="1"/>
    </xf>
    <xf numFmtId="3" fontId="82" fillId="0" borderId="4" xfId="0" applyNumberFormat="1" applyFont="1" applyBorder="1" applyAlignment="1" applyProtection="1">
      <alignment horizontal="center" vertical="center"/>
      <protection hidden="1"/>
    </xf>
    <xf numFmtId="3" fontId="82" fillId="3" borderId="6" xfId="0" applyNumberFormat="1" applyFont="1" applyFill="1" applyBorder="1" applyAlignment="1" applyProtection="1">
      <alignment horizontal="center" vertical="center"/>
      <protection hidden="1"/>
    </xf>
    <xf numFmtId="164" fontId="80" fillId="7" borderId="18" xfId="2" applyNumberFormat="1" applyFont="1" applyFill="1" applyBorder="1" applyAlignment="1" applyProtection="1">
      <alignment horizontal="center" vertical="center"/>
      <protection locked="0" hidden="1"/>
    </xf>
    <xf numFmtId="167" fontId="80" fillId="7" borderId="18" xfId="0" applyNumberFormat="1" applyFont="1" applyFill="1" applyBorder="1" applyAlignment="1" applyProtection="1">
      <alignment horizontal="center" vertical="center"/>
      <protection locked="0" hidden="1"/>
    </xf>
    <xf numFmtId="3" fontId="46" fillId="7" borderId="18" xfId="0" applyNumberFormat="1" applyFont="1" applyFill="1" applyBorder="1" applyAlignment="1" applyProtection="1">
      <alignment horizontal="center" vertical="center"/>
      <protection locked="0"/>
    </xf>
    <xf numFmtId="0" fontId="54" fillId="0" borderId="26" xfId="0" applyFont="1" applyBorder="1" applyAlignment="1" applyProtection="1">
      <alignment vertical="center"/>
      <protection locked="0"/>
    </xf>
    <xf numFmtId="0" fontId="46" fillId="0" borderId="26" xfId="0" applyFont="1" applyBorder="1" applyAlignment="1" applyProtection="1">
      <alignment vertical="center"/>
      <protection locked="0"/>
    </xf>
    <xf numFmtId="1" fontId="15" fillId="0" borderId="26" xfId="0" applyNumberFormat="1" applyFont="1" applyBorder="1" applyAlignment="1" applyProtection="1">
      <alignment horizontal="left" vertical="center"/>
      <protection locked="0"/>
    </xf>
    <xf numFmtId="3" fontId="45" fillId="7" borderId="63" xfId="0" applyNumberFormat="1" applyFont="1" applyFill="1" applyBorder="1" applyAlignment="1" applyProtection="1">
      <alignment horizontal="center" vertical="center"/>
      <protection locked="0" hidden="1"/>
    </xf>
    <xf numFmtId="3" fontId="42" fillId="7" borderId="18" xfId="0" applyNumberFormat="1" applyFont="1" applyFill="1" applyBorder="1" applyAlignment="1" applyProtection="1">
      <alignment horizontal="center" vertical="center"/>
      <protection locked="0" hidden="1"/>
    </xf>
    <xf numFmtId="3" fontId="42" fillId="7" borderId="32" xfId="0" applyNumberFormat="1" applyFont="1" applyFill="1" applyBorder="1" applyAlignment="1" applyProtection="1">
      <alignment horizontal="center" vertical="center"/>
      <protection locked="0" hidden="1"/>
    </xf>
    <xf numFmtId="0" fontId="15" fillId="7" borderId="18" xfId="0" applyFont="1" applyFill="1" applyBorder="1" applyAlignment="1" applyProtection="1">
      <alignment horizontal="center" vertical="top"/>
      <protection locked="0"/>
    </xf>
    <xf numFmtId="164" fontId="15" fillId="7" borderId="32" xfId="0" applyNumberFormat="1" applyFont="1" applyFill="1" applyBorder="1" applyAlignment="1" applyProtection="1">
      <alignment horizontal="center" vertical="center"/>
      <protection locked="0"/>
    </xf>
    <xf numFmtId="1" fontId="15" fillId="0" borderId="17" xfId="0" applyNumberFormat="1" applyFont="1" applyBorder="1" applyAlignment="1" applyProtection="1">
      <alignment horizontal="left" vertical="center"/>
      <protection locked="0"/>
    </xf>
    <xf numFmtId="164" fontId="15" fillId="7" borderId="20" xfId="0" applyNumberFormat="1" applyFont="1" applyFill="1" applyBorder="1" applyAlignment="1" applyProtection="1">
      <alignment horizontal="center" vertical="center"/>
      <protection locked="0"/>
    </xf>
    <xf numFmtId="1" fontId="15" fillId="0" borderId="24" xfId="0" applyNumberFormat="1" applyFont="1" applyBorder="1" applyAlignment="1" applyProtection="1">
      <alignment horizontal="left" vertical="center"/>
      <protection locked="0"/>
    </xf>
    <xf numFmtId="0" fontId="52" fillId="0" borderId="26" xfId="0" applyFont="1" applyBorder="1" applyAlignment="1" applyProtection="1">
      <alignment vertical="center"/>
      <protection locked="0"/>
    </xf>
    <xf numFmtId="1" fontId="15" fillId="0" borderId="0" xfId="0" applyNumberFormat="1" applyFont="1" applyAlignment="1" applyProtection="1">
      <alignment horizontal="left" vertical="center"/>
      <protection locked="0"/>
    </xf>
    <xf numFmtId="1" fontId="15" fillId="0" borderId="21" xfId="0" applyNumberFormat="1" applyFont="1" applyBorder="1" applyAlignment="1" applyProtection="1">
      <alignment horizontal="left" vertical="center"/>
      <protection locked="0"/>
    </xf>
    <xf numFmtId="1" fontId="15" fillId="0" borderId="11" xfId="0" applyNumberFormat="1"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7" fontId="15" fillId="0" borderId="11" xfId="0" applyNumberFormat="1" applyFont="1" applyBorder="1" applyAlignment="1">
      <alignment horizontal="center"/>
    </xf>
    <xf numFmtId="0" fontId="0" fillId="0" borderId="0" xfId="0" applyAlignment="1">
      <alignment horizontal="center" vertical="center" wrapText="1"/>
    </xf>
    <xf numFmtId="0" fontId="9" fillId="0" borderId="64" xfId="0" applyFont="1" applyBorder="1" applyAlignment="1">
      <alignment horizontal="right"/>
    </xf>
    <xf numFmtId="3" fontId="0" fillId="0" borderId="64" xfId="0" applyNumberFormat="1" applyBorder="1"/>
    <xf numFmtId="0" fontId="21" fillId="0" borderId="64" xfId="0" applyFont="1" applyBorder="1"/>
    <xf numFmtId="9" fontId="0" fillId="0" borderId="64" xfId="2" applyFont="1" applyBorder="1"/>
    <xf numFmtId="0" fontId="0" fillId="0" borderId="11" xfId="0" applyBorder="1" applyAlignment="1">
      <alignment horizontal="right"/>
    </xf>
    <xf numFmtId="0" fontId="21" fillId="0" borderId="11" xfId="0" applyFont="1" applyBorder="1"/>
    <xf numFmtId="0" fontId="0" fillId="0" borderId="15" xfId="0" applyBorder="1" applyAlignment="1">
      <alignment horizontal="right"/>
    </xf>
    <xf numFmtId="0" fontId="0" fillId="0" borderId="15" xfId="0" applyBorder="1"/>
    <xf numFmtId="0" fontId="21" fillId="0" borderId="15" xfId="0" applyFont="1" applyBorder="1"/>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9" fillId="6" borderId="2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3" xfId="0" applyFont="1" applyFill="1" applyBorder="1" applyAlignment="1">
      <alignment horizontal="center" vertical="center"/>
    </xf>
    <xf numFmtId="3" fontId="0" fillId="6" borderId="49" xfId="2" applyNumberFormat="1" applyFont="1" applyFill="1" applyBorder="1"/>
    <xf numFmtId="3" fontId="0" fillId="6" borderId="63" xfId="0" applyNumberFormat="1" applyFill="1" applyBorder="1"/>
    <xf numFmtId="3" fontId="0" fillId="6" borderId="50" xfId="0" applyNumberFormat="1" applyFill="1" applyBorder="1"/>
    <xf numFmtId="3" fontId="0" fillId="6" borderId="36" xfId="2" applyNumberFormat="1" applyFont="1" applyFill="1" applyBorder="1"/>
    <xf numFmtId="3" fontId="0" fillId="6" borderId="18" xfId="0" applyNumberFormat="1" applyFill="1" applyBorder="1"/>
    <xf numFmtId="3" fontId="0" fillId="6" borderId="35" xfId="0" applyNumberFormat="1" applyFill="1" applyBorder="1"/>
    <xf numFmtId="3" fontId="0" fillId="6" borderId="37" xfId="2" applyNumberFormat="1" applyFont="1" applyFill="1" applyBorder="1"/>
    <xf numFmtId="3" fontId="0" fillId="6" borderId="38" xfId="0" applyNumberFormat="1" applyFill="1" applyBorder="1"/>
    <xf numFmtId="3" fontId="0" fillId="6" borderId="55" xfId="0" applyNumberFormat="1" applyFill="1" applyBorder="1"/>
    <xf numFmtId="3" fontId="0" fillId="6" borderId="52" xfId="2" applyNumberFormat="1" applyFont="1" applyFill="1" applyBorder="1"/>
    <xf numFmtId="3" fontId="0" fillId="6" borderId="32" xfId="0" applyNumberFormat="1" applyFill="1" applyBorder="1"/>
    <xf numFmtId="3" fontId="0" fillId="6" borderId="33" xfId="0" applyNumberFormat="1" applyFill="1" applyBorder="1"/>
    <xf numFmtId="3" fontId="0" fillId="6" borderId="22" xfId="2" applyNumberFormat="1" applyFont="1" applyFill="1" applyBorder="1"/>
    <xf numFmtId="3" fontId="0" fillId="6" borderId="20" xfId="0" applyNumberFormat="1" applyFill="1" applyBorder="1"/>
    <xf numFmtId="3" fontId="0" fillId="6" borderId="23" xfId="0" applyNumberFormat="1" applyFill="1" applyBorder="1"/>
    <xf numFmtId="3" fontId="0" fillId="6" borderId="34" xfId="2" applyNumberFormat="1" applyFont="1" applyFill="1" applyBorder="1"/>
    <xf numFmtId="3" fontId="0" fillId="6" borderId="34" xfId="0" applyNumberFormat="1" applyFill="1" applyBorder="1"/>
    <xf numFmtId="3" fontId="9" fillId="6" borderId="0" xfId="0" applyNumberFormat="1" applyFont="1" applyFill="1"/>
    <xf numFmtId="166" fontId="9" fillId="6" borderId="0" xfId="0" applyNumberFormat="1" applyFont="1" applyFill="1"/>
    <xf numFmtId="0" fontId="9" fillId="6" borderId="0" xfId="0" applyFont="1" applyFill="1" applyAlignment="1">
      <alignment horizontal="center"/>
    </xf>
    <xf numFmtId="0" fontId="0" fillId="6" borderId="64" xfId="0" applyFill="1" applyBorder="1"/>
    <xf numFmtId="167" fontId="0" fillId="6" borderId="64" xfId="0" applyNumberFormat="1" applyFill="1" applyBorder="1"/>
    <xf numFmtId="0" fontId="0" fillId="6" borderId="11" xfId="0" applyFill="1" applyBorder="1"/>
    <xf numFmtId="167" fontId="0" fillId="6" borderId="11" xfId="0" applyNumberFormat="1" applyFill="1" applyBorder="1"/>
    <xf numFmtId="0" fontId="0" fillId="6" borderId="15" xfId="0" applyFill="1" applyBorder="1"/>
    <xf numFmtId="167" fontId="0" fillId="6" borderId="15" xfId="0" applyNumberFormat="1" applyFill="1" applyBorder="1"/>
    <xf numFmtId="0" fontId="9" fillId="6" borderId="11" xfId="0" applyFont="1" applyFill="1" applyBorder="1"/>
    <xf numFmtId="167" fontId="9" fillId="6" borderId="11" xfId="0" applyNumberFormat="1" applyFont="1" applyFill="1" applyBorder="1"/>
    <xf numFmtId="166" fontId="9" fillId="6" borderId="0" xfId="0" applyNumberFormat="1" applyFont="1" applyFill="1" applyAlignment="1">
      <alignment horizontal="center"/>
    </xf>
    <xf numFmtId="0" fontId="9" fillId="6" borderId="0" xfId="0" applyFont="1" applyFill="1"/>
    <xf numFmtId="167" fontId="9" fillId="6" borderId="0" xfId="0" applyNumberFormat="1" applyFont="1" applyFill="1"/>
    <xf numFmtId="0" fontId="6" fillId="6" borderId="64" xfId="0" applyFont="1" applyFill="1" applyBorder="1"/>
    <xf numFmtId="3" fontId="9" fillId="0" borderId="49" xfId="0" applyNumberFormat="1" applyFont="1" applyBorder="1"/>
    <xf numFmtId="3" fontId="9" fillId="0" borderId="63" xfId="0" applyNumberFormat="1" applyFont="1" applyBorder="1"/>
    <xf numFmtId="3" fontId="9" fillId="0" borderId="50" xfId="0" applyNumberFormat="1" applyFont="1" applyBorder="1"/>
    <xf numFmtId="0" fontId="0" fillId="0" borderId="35" xfId="0" applyBorder="1"/>
    <xf numFmtId="0" fontId="0" fillId="0" borderId="55" xfId="0" applyBorder="1"/>
    <xf numFmtId="3" fontId="9" fillId="0" borderId="22" xfId="0" applyNumberFormat="1" applyFont="1" applyBorder="1"/>
    <xf numFmtId="3" fontId="9" fillId="0" borderId="20" xfId="0" applyNumberFormat="1" applyFont="1" applyBorder="1"/>
    <xf numFmtId="3" fontId="9" fillId="0" borderId="23" xfId="0" applyNumberFormat="1" applyFont="1" applyBorder="1"/>
    <xf numFmtId="3" fontId="8" fillId="0" borderId="18" xfId="0" applyNumberFormat="1" applyFont="1" applyBorder="1"/>
    <xf numFmtId="3" fontId="8" fillId="0" borderId="38" xfId="0" applyNumberFormat="1" applyFont="1" applyBorder="1"/>
    <xf numFmtId="3" fontId="8" fillId="0" borderId="49" xfId="0" applyNumberFormat="1" applyFont="1" applyBorder="1"/>
    <xf numFmtId="1" fontId="14" fillId="0" borderId="24" xfId="0" applyNumberFormat="1" applyFont="1" applyBorder="1" applyAlignment="1" applyProtection="1">
      <alignment horizontal="left" vertical="center"/>
      <protection locked="0"/>
    </xf>
    <xf numFmtId="1" fontId="14" fillId="0" borderId="17" xfId="0" applyNumberFormat="1" applyFont="1" applyBorder="1" applyAlignment="1" applyProtection="1">
      <alignment horizontal="left" vertical="center"/>
      <protection locked="0"/>
    </xf>
    <xf numFmtId="0" fontId="10" fillId="0" borderId="24" xfId="0" applyFont="1" applyBorder="1"/>
    <xf numFmtId="0" fontId="10" fillId="0" borderId="17" xfId="0" applyFont="1" applyBorder="1"/>
    <xf numFmtId="9" fontId="15" fillId="7" borderId="244" xfId="2" applyFont="1" applyFill="1" applyBorder="1" applyAlignment="1" applyProtection="1">
      <alignment horizontal="center" vertical="center"/>
      <protection locked="0"/>
    </xf>
    <xf numFmtId="3" fontId="14" fillId="0" borderId="6" xfId="0" applyNumberFormat="1" applyFont="1" applyBorder="1" applyAlignment="1">
      <alignment horizontal="center" vertical="center"/>
    </xf>
    <xf numFmtId="167" fontId="15" fillId="0" borderId="18" xfId="0" applyNumberFormat="1" applyFont="1" applyBorder="1" applyAlignment="1" applyProtection="1">
      <alignment horizontal="right" vertical="center"/>
      <protection hidden="1"/>
    </xf>
    <xf numFmtId="164" fontId="15" fillId="0" borderId="18" xfId="2" applyNumberFormat="1" applyFont="1" applyBorder="1" applyProtection="1">
      <protection hidden="1"/>
    </xf>
    <xf numFmtId="164" fontId="15" fillId="0" borderId="18" xfId="2" applyNumberFormat="1" applyFont="1" applyBorder="1" applyAlignment="1" applyProtection="1">
      <alignment horizontal="right" vertical="center"/>
      <protection hidden="1"/>
    </xf>
    <xf numFmtId="164" fontId="0" fillId="0" borderId="0" xfId="2" applyNumberFormat="1" applyFont="1"/>
    <xf numFmtId="167" fontId="15" fillId="0" borderId="20" xfId="0" applyNumberFormat="1" applyFont="1" applyBorder="1" applyAlignment="1" applyProtection="1">
      <alignment horizontal="right" vertical="center"/>
      <protection hidden="1"/>
    </xf>
    <xf numFmtId="0" fontId="40" fillId="0" borderId="0" xfId="0" applyFont="1" applyAlignment="1">
      <alignment vertical="center"/>
    </xf>
    <xf numFmtId="3" fontId="15" fillId="0" borderId="124" xfId="0" applyNumberFormat="1" applyFont="1" applyBorder="1" applyAlignment="1" applyProtection="1">
      <alignment horizontal="center" vertical="center"/>
      <protection hidden="1"/>
    </xf>
    <xf numFmtId="0" fontId="9" fillId="14" borderId="0" xfId="0" applyFont="1" applyFill="1" applyAlignment="1">
      <alignment horizontal="center" vertical="center"/>
    </xf>
    <xf numFmtId="0" fontId="7" fillId="14" borderId="0" xfId="0" applyFont="1" applyFill="1" applyAlignment="1">
      <alignment horizontal="center" vertical="center"/>
    </xf>
    <xf numFmtId="0" fontId="14" fillId="14" borderId="0" xfId="0" applyFont="1" applyFill="1" applyAlignment="1">
      <alignment horizontal="center" vertical="center"/>
    </xf>
    <xf numFmtId="0" fontId="14" fillId="8" borderId="191" xfId="0" applyFont="1" applyFill="1" applyBorder="1" applyAlignment="1" applyProtection="1">
      <alignment horizontal="left" vertical="center"/>
      <protection hidden="1"/>
    </xf>
    <xf numFmtId="0" fontId="14" fillId="0" borderId="191" xfId="0" applyFont="1" applyBorder="1" applyAlignment="1" applyProtection="1">
      <alignment vertical="center"/>
      <protection hidden="1"/>
    </xf>
    <xf numFmtId="0" fontId="76" fillId="11" borderId="0" xfId="0" applyFont="1" applyFill="1" applyAlignment="1">
      <alignment horizontal="center" vertical="center"/>
    </xf>
    <xf numFmtId="167" fontId="15" fillId="8" borderId="256" xfId="0" applyNumberFormat="1" applyFont="1" applyFill="1" applyBorder="1" applyAlignment="1" applyProtection="1">
      <alignment horizontal="center" vertical="center"/>
      <protection hidden="1"/>
    </xf>
    <xf numFmtId="167" fontId="15" fillId="8" borderId="257" xfId="0" applyNumberFormat="1" applyFont="1" applyFill="1" applyBorder="1" applyAlignment="1" applyProtection="1">
      <alignment horizontal="center" vertical="center"/>
      <protection hidden="1"/>
    </xf>
    <xf numFmtId="167" fontId="15" fillId="8" borderId="258" xfId="0" applyNumberFormat="1" applyFont="1" applyFill="1" applyBorder="1" applyAlignment="1" applyProtection="1">
      <alignment horizontal="center" vertical="center"/>
      <protection hidden="1"/>
    </xf>
    <xf numFmtId="167" fontId="15" fillId="8" borderId="259" xfId="0" applyNumberFormat="1" applyFont="1" applyFill="1" applyBorder="1" applyAlignment="1" applyProtection="1">
      <alignment horizontal="center" vertical="center"/>
      <protection hidden="1"/>
    </xf>
    <xf numFmtId="167" fontId="15" fillId="8" borderId="260" xfId="0" applyNumberFormat="1" applyFont="1" applyFill="1" applyBorder="1" applyAlignment="1" applyProtection="1">
      <alignment horizontal="center" vertical="center"/>
      <protection hidden="1"/>
    </xf>
    <xf numFmtId="167" fontId="15" fillId="8" borderId="261" xfId="0" applyNumberFormat="1" applyFont="1" applyFill="1" applyBorder="1" applyAlignment="1" applyProtection="1">
      <alignment horizontal="center" vertical="center"/>
      <protection hidden="1"/>
    </xf>
    <xf numFmtId="167" fontId="15" fillId="8" borderId="262" xfId="0" applyNumberFormat="1" applyFont="1" applyFill="1" applyBorder="1" applyAlignment="1" applyProtection="1">
      <alignment horizontal="center" vertical="center"/>
      <protection hidden="1"/>
    </xf>
    <xf numFmtId="167" fontId="15" fillId="8" borderId="263" xfId="0" applyNumberFormat="1" applyFont="1" applyFill="1" applyBorder="1" applyAlignment="1" applyProtection="1">
      <alignment horizontal="center" vertical="center"/>
      <protection hidden="1"/>
    </xf>
    <xf numFmtId="167" fontId="14" fillId="8" borderId="264" xfId="0" applyNumberFormat="1" applyFont="1" applyFill="1" applyBorder="1" applyAlignment="1" applyProtection="1">
      <alignment horizontal="center" vertical="center"/>
      <protection hidden="1"/>
    </xf>
    <xf numFmtId="167" fontId="14" fillId="0" borderId="192" xfId="0" applyNumberFormat="1" applyFont="1" applyBorder="1" applyAlignment="1" applyProtection="1">
      <alignment horizontal="center" vertical="center"/>
      <protection hidden="1"/>
    </xf>
    <xf numFmtId="167" fontId="15" fillId="8" borderId="265" xfId="0" applyNumberFormat="1" applyFont="1" applyFill="1" applyBorder="1" applyAlignment="1" applyProtection="1">
      <alignment horizontal="center" vertical="center"/>
      <protection hidden="1"/>
    </xf>
    <xf numFmtId="167" fontId="15" fillId="0" borderId="192" xfId="0" applyNumberFormat="1" applyFont="1" applyBorder="1" applyAlignment="1" applyProtection="1">
      <alignment horizontal="center" vertical="center"/>
      <protection hidden="1"/>
    </xf>
    <xf numFmtId="0" fontId="15" fillId="0" borderId="212" xfId="0" applyFont="1" applyBorder="1"/>
    <xf numFmtId="0" fontId="15" fillId="0" borderId="218" xfId="0" applyFont="1" applyBorder="1"/>
    <xf numFmtId="0" fontId="76" fillId="11" borderId="104" xfId="0" applyFont="1" applyFill="1" applyBorder="1" applyAlignment="1" applyProtection="1">
      <alignment horizontal="center"/>
      <protection hidden="1"/>
    </xf>
    <xf numFmtId="1" fontId="14" fillId="8" borderId="268" xfId="0" applyNumberFormat="1" applyFont="1" applyFill="1" applyBorder="1" applyAlignment="1" applyProtection="1">
      <alignment horizontal="center" vertical="center"/>
      <protection hidden="1"/>
    </xf>
    <xf numFmtId="166" fontId="15" fillId="8" borderId="174" xfId="0" applyNumberFormat="1" applyFont="1" applyFill="1" applyBorder="1" applyAlignment="1" applyProtection="1">
      <alignment horizontal="center" vertical="center"/>
      <protection hidden="1"/>
    </xf>
    <xf numFmtId="3" fontId="14" fillId="8" borderId="174" xfId="0" applyNumberFormat="1" applyFont="1" applyFill="1" applyBorder="1" applyAlignment="1" applyProtection="1">
      <alignment horizontal="center" vertical="center"/>
      <protection hidden="1"/>
    </xf>
    <xf numFmtId="166" fontId="14" fillId="8" borderId="174" xfId="0" applyNumberFormat="1" applyFont="1" applyFill="1" applyBorder="1" applyAlignment="1" applyProtection="1">
      <alignment horizontal="center" vertical="center"/>
      <protection hidden="1"/>
    </xf>
    <xf numFmtId="166" fontId="14" fillId="8" borderId="269" xfId="0" applyNumberFormat="1" applyFont="1" applyFill="1" applyBorder="1" applyAlignment="1" applyProtection="1">
      <alignment horizontal="center" vertical="center"/>
      <protection hidden="1"/>
    </xf>
    <xf numFmtId="3" fontId="14" fillId="0" borderId="117" xfId="0" applyNumberFormat="1" applyFont="1" applyBorder="1" applyAlignment="1" applyProtection="1">
      <alignment horizontal="center" vertical="center"/>
      <protection hidden="1"/>
    </xf>
    <xf numFmtId="3" fontId="14" fillId="0" borderId="124" xfId="0" applyNumberFormat="1" applyFont="1" applyBorder="1" applyAlignment="1" applyProtection="1">
      <alignment horizontal="center" vertical="center"/>
      <protection hidden="1"/>
    </xf>
    <xf numFmtId="172" fontId="14" fillId="8" borderId="124" xfId="0" applyNumberFormat="1" applyFont="1" applyFill="1" applyBorder="1" applyAlignment="1" applyProtection="1">
      <alignment horizontal="center" vertical="center"/>
      <protection hidden="1"/>
    </xf>
    <xf numFmtId="0" fontId="78" fillId="11" borderId="192" xfId="0" applyFont="1" applyFill="1" applyBorder="1" applyAlignment="1">
      <alignment horizontal="center" vertical="center"/>
    </xf>
    <xf numFmtId="0" fontId="78" fillId="11" borderId="192" xfId="0" applyFont="1" applyFill="1" applyBorder="1" applyAlignment="1" applyProtection="1">
      <alignment horizontal="center" vertical="center"/>
      <protection hidden="1"/>
    </xf>
    <xf numFmtId="0" fontId="14" fillId="0" borderId="192" xfId="0" applyFont="1" applyBorder="1" applyAlignment="1" applyProtection="1">
      <alignment vertical="center"/>
      <protection hidden="1"/>
    </xf>
    <xf numFmtId="166" fontId="15" fillId="8" borderId="256" xfId="0" applyNumberFormat="1" applyFont="1" applyFill="1" applyBorder="1" applyAlignment="1" applyProtection="1">
      <alignment horizontal="center" vertical="center"/>
      <protection hidden="1"/>
    </xf>
    <xf numFmtId="166" fontId="15" fillId="8" borderId="257" xfId="0" applyNumberFormat="1" applyFont="1" applyFill="1" applyBorder="1" applyAlignment="1" applyProtection="1">
      <alignment horizontal="center" vertical="center"/>
      <protection hidden="1"/>
    </xf>
    <xf numFmtId="166" fontId="74" fillId="11" borderId="192" xfId="0" applyNumberFormat="1" applyFont="1" applyFill="1" applyBorder="1" applyAlignment="1" applyProtection="1">
      <alignment horizontal="center" vertical="center"/>
      <protection hidden="1"/>
    </xf>
    <xf numFmtId="166" fontId="15" fillId="8" borderId="258" xfId="0" applyNumberFormat="1" applyFont="1" applyFill="1" applyBorder="1" applyAlignment="1" applyProtection="1">
      <alignment horizontal="center" vertical="center"/>
      <protection hidden="1"/>
    </xf>
    <xf numFmtId="166" fontId="15" fillId="8" borderId="259" xfId="0" applyNumberFormat="1" applyFont="1" applyFill="1" applyBorder="1" applyAlignment="1" applyProtection="1">
      <alignment horizontal="center" vertical="center"/>
      <protection hidden="1"/>
    </xf>
    <xf numFmtId="166" fontId="15" fillId="8" borderId="260" xfId="0" applyNumberFormat="1" applyFont="1" applyFill="1" applyBorder="1" applyAlignment="1" applyProtection="1">
      <alignment horizontal="center" vertical="center"/>
      <protection hidden="1"/>
    </xf>
    <xf numFmtId="166" fontId="15" fillId="8" borderId="261" xfId="0" applyNumberFormat="1" applyFont="1" applyFill="1" applyBorder="1" applyAlignment="1" applyProtection="1">
      <alignment horizontal="center" vertical="center"/>
      <protection hidden="1"/>
    </xf>
    <xf numFmtId="166" fontId="15" fillId="8" borderId="262" xfId="0" applyNumberFormat="1" applyFont="1" applyFill="1" applyBorder="1" applyAlignment="1" applyProtection="1">
      <alignment horizontal="center" vertical="center"/>
      <protection hidden="1"/>
    </xf>
    <xf numFmtId="166" fontId="15" fillId="8" borderId="263" xfId="0" applyNumberFormat="1" applyFont="1" applyFill="1" applyBorder="1" applyAlignment="1" applyProtection="1">
      <alignment horizontal="center" vertical="center"/>
      <protection hidden="1"/>
    </xf>
    <xf numFmtId="164" fontId="14" fillId="6" borderId="264" xfId="0" applyNumberFormat="1" applyFont="1" applyFill="1" applyBorder="1" applyAlignment="1" applyProtection="1">
      <alignment horizontal="center" vertical="center"/>
      <protection hidden="1"/>
    </xf>
    <xf numFmtId="166" fontId="14" fillId="0" borderId="192" xfId="0" applyNumberFormat="1" applyFont="1" applyBorder="1" applyAlignment="1" applyProtection="1">
      <alignment horizontal="center" vertical="center"/>
      <protection hidden="1"/>
    </xf>
    <xf numFmtId="166" fontId="15" fillId="8" borderId="265" xfId="0" applyNumberFormat="1" applyFont="1" applyFill="1" applyBorder="1" applyAlignment="1" applyProtection="1">
      <alignment horizontal="center" vertical="center"/>
      <protection hidden="1"/>
    </xf>
    <xf numFmtId="3" fontId="15" fillId="8" borderId="279" xfId="0" applyNumberFormat="1" applyFont="1" applyFill="1" applyBorder="1" applyAlignment="1" applyProtection="1">
      <alignment horizontal="center" vertical="center"/>
      <protection hidden="1"/>
    </xf>
    <xf numFmtId="3" fontId="15" fillId="8" borderId="280" xfId="0" applyNumberFormat="1" applyFont="1" applyFill="1" applyBorder="1" applyAlignment="1" applyProtection="1">
      <alignment horizontal="center" vertical="center"/>
      <protection hidden="1"/>
    </xf>
    <xf numFmtId="3" fontId="15" fillId="8" borderId="281" xfId="0" applyNumberFormat="1" applyFont="1" applyFill="1" applyBorder="1" applyAlignment="1" applyProtection="1">
      <alignment horizontal="center" vertical="center"/>
      <protection hidden="1"/>
    </xf>
    <xf numFmtId="3" fontId="15" fillId="8" borderId="282" xfId="0" applyNumberFormat="1" applyFont="1" applyFill="1" applyBorder="1" applyAlignment="1" applyProtection="1">
      <alignment horizontal="center" vertical="center"/>
      <protection hidden="1"/>
    </xf>
    <xf numFmtId="3" fontId="15" fillId="8" borderId="283" xfId="0" applyNumberFormat="1" applyFont="1" applyFill="1" applyBorder="1" applyAlignment="1" applyProtection="1">
      <alignment horizontal="center" vertical="center"/>
      <protection hidden="1"/>
    </xf>
    <xf numFmtId="3" fontId="15" fillId="8" borderId="284" xfId="0" applyNumberFormat="1" applyFont="1" applyFill="1" applyBorder="1" applyAlignment="1" applyProtection="1">
      <alignment horizontal="center" vertical="center"/>
      <protection hidden="1"/>
    </xf>
    <xf numFmtId="3" fontId="15" fillId="8" borderId="285" xfId="0" applyNumberFormat="1" applyFont="1" applyFill="1" applyBorder="1" applyAlignment="1" applyProtection="1">
      <alignment horizontal="center" vertical="center"/>
      <protection hidden="1"/>
    </xf>
    <xf numFmtId="3" fontId="14" fillId="8" borderId="286" xfId="0" applyNumberFormat="1" applyFont="1" applyFill="1" applyBorder="1" applyAlignment="1" applyProtection="1">
      <alignment horizontal="center" vertical="center"/>
      <protection hidden="1"/>
    </xf>
    <xf numFmtId="3" fontId="14" fillId="0" borderId="191" xfId="0" applyNumberFormat="1" applyFont="1" applyBorder="1" applyAlignment="1" applyProtection="1">
      <alignment horizontal="center" vertical="center"/>
      <protection hidden="1"/>
    </xf>
    <xf numFmtId="3" fontId="15" fillId="8" borderId="287" xfId="0" applyNumberFormat="1" applyFont="1" applyFill="1" applyBorder="1" applyAlignment="1" applyProtection="1">
      <alignment horizontal="center" vertical="center"/>
      <protection hidden="1"/>
    </xf>
    <xf numFmtId="3" fontId="15" fillId="8" borderId="288" xfId="0" applyNumberFormat="1" applyFont="1" applyFill="1" applyBorder="1" applyAlignment="1" applyProtection="1">
      <alignment horizontal="center" vertical="center"/>
      <protection hidden="1"/>
    </xf>
    <xf numFmtId="3" fontId="14" fillId="6" borderId="124" xfId="0" applyNumberFormat="1" applyFont="1" applyFill="1" applyBorder="1" applyAlignment="1" applyProtection="1">
      <alignment horizontal="center" vertical="center"/>
      <protection hidden="1"/>
    </xf>
    <xf numFmtId="3" fontId="14" fillId="8" borderId="113" xfId="0" applyNumberFormat="1" applyFont="1" applyFill="1" applyBorder="1" applyAlignment="1" applyProtection="1">
      <alignment horizontal="center" vertical="center"/>
      <protection hidden="1"/>
    </xf>
    <xf numFmtId="3" fontId="14" fillId="6" borderId="223" xfId="0" applyNumberFormat="1" applyFont="1" applyFill="1" applyBorder="1" applyAlignment="1" applyProtection="1">
      <alignment horizontal="center" vertical="center"/>
      <protection hidden="1"/>
    </xf>
    <xf numFmtId="3" fontId="15" fillId="6" borderId="124" xfId="0" applyNumberFormat="1" applyFont="1" applyFill="1" applyBorder="1" applyAlignment="1" applyProtection="1">
      <alignment horizontal="center" vertical="center"/>
      <protection hidden="1"/>
    </xf>
    <xf numFmtId="3" fontId="15" fillId="6" borderId="223" xfId="0" applyNumberFormat="1" applyFont="1" applyFill="1" applyBorder="1" applyAlignment="1" applyProtection="1">
      <alignment horizontal="center" vertical="center"/>
      <protection hidden="1"/>
    </xf>
    <xf numFmtId="167" fontId="14" fillId="0" borderId="124" xfId="0" applyNumberFormat="1" applyFont="1" applyBorder="1" applyAlignment="1" applyProtection="1">
      <alignment horizontal="center" vertical="center" shrinkToFit="1"/>
      <protection hidden="1"/>
    </xf>
    <xf numFmtId="0" fontId="12" fillId="0" borderId="8" xfId="0" applyFont="1" applyBorder="1" applyAlignment="1">
      <alignment horizontal="left" vertical="center" indent="1"/>
    </xf>
    <xf numFmtId="0" fontId="14" fillId="0" borderId="0" xfId="0" applyFont="1" applyAlignment="1" applyProtection="1">
      <alignment horizontal="center"/>
      <protection locked="0"/>
    </xf>
    <xf numFmtId="0" fontId="12" fillId="0" borderId="0" xfId="0" applyFont="1" applyAlignment="1">
      <alignment horizontal="left" vertical="center" indent="1"/>
    </xf>
    <xf numFmtId="0" fontId="0" fillId="0" borderId="293" xfId="0" applyBorder="1"/>
    <xf numFmtId="0" fontId="22" fillId="0" borderId="293" xfId="0" applyFont="1" applyBorder="1"/>
    <xf numFmtId="0" fontId="22" fillId="0" borderId="295" xfId="0" applyFont="1" applyBorder="1"/>
    <xf numFmtId="0" fontId="12" fillId="0" borderId="0" xfId="0" applyFont="1" applyAlignment="1">
      <alignment horizontal="left" indent="1"/>
    </xf>
    <xf numFmtId="14" fontId="14" fillId="7" borderId="0" xfId="0" applyNumberFormat="1" applyFont="1" applyFill="1" applyAlignment="1" applyProtection="1">
      <alignment horizontal="left" indent="1"/>
      <protection locked="0"/>
    </xf>
    <xf numFmtId="0" fontId="0" fillId="0" borderId="0" xfId="0" applyAlignment="1">
      <alignment horizontal="left"/>
    </xf>
    <xf numFmtId="0" fontId="0" fillId="0" borderId="0" xfId="0" applyAlignment="1">
      <alignment horizontal="left" vertical="center" indent="1"/>
    </xf>
    <xf numFmtId="0" fontId="12" fillId="0" borderId="8" xfId="0" applyFont="1" applyBorder="1" applyAlignment="1">
      <alignment horizontal="left"/>
    </xf>
    <xf numFmtId="0" fontId="0" fillId="0" borderId="8" xfId="0" applyBorder="1" applyAlignment="1">
      <alignment horizontal="left" vertical="center" indent="1"/>
    </xf>
    <xf numFmtId="0" fontId="14" fillId="0" borderId="0" xfId="0" applyFont="1" applyAlignment="1" applyProtection="1">
      <alignment vertical="center"/>
      <protection locked="0"/>
    </xf>
    <xf numFmtId="0" fontId="15" fillId="0" borderId="0" xfId="2"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left" vertical="center"/>
      <protection hidden="1"/>
    </xf>
    <xf numFmtId="14" fontId="15" fillId="0" borderId="0" xfId="0" applyNumberFormat="1" applyFont="1" applyAlignment="1">
      <alignment horizontal="left"/>
    </xf>
    <xf numFmtId="3" fontId="15" fillId="6" borderId="18" xfId="0" applyNumberFormat="1" applyFont="1" applyFill="1" applyBorder="1" applyAlignment="1">
      <alignment horizontal="right" vertical="center"/>
    </xf>
    <xf numFmtId="166" fontId="14" fillId="0" borderId="78" xfId="0" applyNumberFormat="1" applyFont="1" applyBorder="1" applyAlignment="1">
      <alignment horizontal="right" vertical="center"/>
    </xf>
    <xf numFmtId="166" fontId="15" fillId="0" borderId="44" xfId="0" applyNumberFormat="1" applyFont="1" applyBorder="1" applyAlignment="1">
      <alignment horizontal="right" vertical="center"/>
    </xf>
    <xf numFmtId="166" fontId="15" fillId="0" borderId="45" xfId="0" applyNumberFormat="1" applyFont="1" applyBorder="1" applyAlignment="1">
      <alignment horizontal="right" vertical="center"/>
    </xf>
    <xf numFmtId="166" fontId="15" fillId="0" borderId="31" xfId="0" applyNumberFormat="1" applyFont="1" applyBorder="1" applyAlignment="1">
      <alignment horizontal="right" vertical="center"/>
    </xf>
    <xf numFmtId="3" fontId="14" fillId="6" borderId="18" xfId="0" applyNumberFormat="1" applyFont="1" applyFill="1" applyBorder="1" applyAlignment="1">
      <alignment vertical="center"/>
    </xf>
    <xf numFmtId="3" fontId="14" fillId="6" borderId="138" xfId="0" applyNumberFormat="1" applyFont="1" applyFill="1" applyBorder="1" applyAlignment="1">
      <alignment vertical="center"/>
    </xf>
    <xf numFmtId="3" fontId="14" fillId="0" borderId="148" xfId="0" applyNumberFormat="1" applyFont="1" applyBorder="1" applyAlignment="1" applyProtection="1">
      <alignment horizontal="center" vertical="center"/>
      <protection hidden="1"/>
    </xf>
    <xf numFmtId="17" fontId="31" fillId="0" borderId="46" xfId="0" applyNumberFormat="1" applyFont="1" applyBorder="1" applyAlignment="1">
      <alignment horizontal="center" vertical="center"/>
    </xf>
    <xf numFmtId="0" fontId="8" fillId="8" borderId="25" xfId="0" applyFont="1" applyFill="1" applyBorder="1" applyAlignment="1">
      <alignment horizontal="center" vertical="center"/>
    </xf>
    <xf numFmtId="0" fontId="14" fillId="0" borderId="191" xfId="0" applyFont="1" applyBorder="1" applyAlignment="1" applyProtection="1">
      <alignment horizontal="left" vertical="center" indent="1"/>
      <protection hidden="1"/>
    </xf>
    <xf numFmtId="0" fontId="14" fillId="0" borderId="0" xfId="0" applyFont="1" applyAlignment="1" applyProtection="1">
      <alignment horizontal="left" vertical="center" indent="1"/>
      <protection hidden="1"/>
    </xf>
    <xf numFmtId="3" fontId="15" fillId="0" borderId="9" xfId="0" applyNumberFormat="1" applyFont="1" applyBorder="1" applyAlignment="1">
      <alignment horizontal="right" vertical="center"/>
    </xf>
    <xf numFmtId="0" fontId="46" fillId="0" borderId="0" xfId="2" applyNumberFormat="1" applyFont="1" applyBorder="1" applyAlignment="1" applyProtection="1">
      <alignment vertical="center"/>
      <protection locked="0"/>
    </xf>
    <xf numFmtId="167" fontId="84" fillId="0" borderId="0" xfId="0" applyNumberFormat="1" applyFont="1" applyAlignment="1">
      <alignment horizontal="left"/>
    </xf>
    <xf numFmtId="0" fontId="46" fillId="0" borderId="28" xfId="0" applyFont="1" applyBorder="1" applyAlignment="1" applyProtection="1">
      <alignment vertical="center"/>
      <protection locked="0"/>
    </xf>
    <xf numFmtId="0" fontId="46" fillId="0" borderId="27" xfId="0" applyFont="1" applyBorder="1" applyAlignment="1" applyProtection="1">
      <alignment vertical="center"/>
      <protection locked="0"/>
    </xf>
    <xf numFmtId="0" fontId="0" fillId="0" borderId="26" xfId="0" applyBorder="1" applyProtection="1">
      <protection locked="0"/>
    </xf>
    <xf numFmtId="0" fontId="10" fillId="0" borderId="32"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hidden="1"/>
    </xf>
    <xf numFmtId="0" fontId="10" fillId="0" borderId="60" xfId="0" applyFont="1" applyBorder="1" applyAlignment="1">
      <alignment horizontal="center" vertical="center"/>
    </xf>
    <xf numFmtId="166" fontId="46" fillId="7" borderId="18" xfId="0" applyNumberFormat="1" applyFont="1" applyFill="1" applyBorder="1" applyAlignment="1" applyProtection="1">
      <alignment horizontal="center" vertical="center"/>
      <protection locked="0"/>
    </xf>
    <xf numFmtId="3" fontId="42" fillId="7" borderId="63" xfId="0" applyNumberFormat="1" applyFont="1" applyFill="1" applyBorder="1" applyAlignment="1" applyProtection="1">
      <alignment horizontal="center" vertical="center"/>
      <protection locked="0" hidden="1"/>
    </xf>
    <xf numFmtId="3" fontId="42" fillId="12" borderId="60" xfId="0" applyNumberFormat="1" applyFont="1" applyFill="1" applyBorder="1" applyAlignment="1" applyProtection="1">
      <alignment horizontal="center" vertical="center"/>
      <protection hidden="1"/>
    </xf>
    <xf numFmtId="0" fontId="14" fillId="0" borderId="13" xfId="0" applyFont="1" applyBorder="1"/>
    <xf numFmtId="17" fontId="14" fillId="0" borderId="3" xfId="0" applyNumberFormat="1" applyFont="1" applyBorder="1"/>
    <xf numFmtId="17" fontId="14" fillId="0" borderId="2" xfId="0" applyNumberFormat="1" applyFont="1" applyBorder="1"/>
    <xf numFmtId="0" fontId="14" fillId="0" borderId="27" xfId="0" applyFont="1" applyBorder="1"/>
    <xf numFmtId="1" fontId="14" fillId="0" borderId="28" xfId="0" applyNumberFormat="1" applyFont="1" applyBorder="1"/>
    <xf numFmtId="3" fontId="14" fillId="0" borderId="28" xfId="0" applyNumberFormat="1" applyFont="1" applyBorder="1"/>
    <xf numFmtId="0" fontId="15" fillId="0" borderId="27" xfId="0" applyFont="1" applyBorder="1"/>
    <xf numFmtId="3" fontId="15" fillId="0" borderId="28" xfId="0" applyNumberFormat="1" applyFont="1" applyBorder="1"/>
    <xf numFmtId="0" fontId="0" fillId="0" borderId="14" xfId="0" applyBorder="1"/>
    <xf numFmtId="3" fontId="0" fillId="0" borderId="69" xfId="0" applyNumberFormat="1" applyBorder="1"/>
    <xf numFmtId="3" fontId="15" fillId="12" borderId="18" xfId="0" applyNumberFormat="1" applyFont="1" applyFill="1" applyBorder="1" applyAlignment="1">
      <alignment horizontal="center" vertical="center"/>
    </xf>
    <xf numFmtId="164" fontId="15" fillId="12" borderId="18"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3" fontId="14" fillId="0" borderId="17" xfId="0" applyNumberFormat="1" applyFont="1" applyBorder="1" applyAlignment="1" applyProtection="1">
      <alignment horizontal="center" vertical="center"/>
      <protection hidden="1"/>
    </xf>
    <xf numFmtId="0" fontId="30" fillId="0" borderId="0" xfId="0" applyFont="1" applyAlignment="1">
      <alignment horizontal="left"/>
    </xf>
    <xf numFmtId="17" fontId="78" fillId="11" borderId="38" xfId="0" applyNumberFormat="1" applyFont="1" applyFill="1" applyBorder="1" applyAlignment="1">
      <alignment horizontal="center" vertical="center"/>
    </xf>
    <xf numFmtId="0" fontId="70" fillId="11" borderId="38" xfId="0" applyFont="1" applyFill="1" applyBorder="1" applyAlignment="1">
      <alignment horizontal="center" vertical="center"/>
    </xf>
    <xf numFmtId="3" fontId="42" fillId="6" borderId="60" xfId="0" applyNumberFormat="1" applyFont="1" applyFill="1" applyBorder="1" applyAlignment="1" applyProtection="1">
      <alignment horizontal="center" vertical="center"/>
      <protection hidden="1"/>
    </xf>
    <xf numFmtId="0" fontId="42" fillId="0" borderId="18" xfId="0" applyFont="1" applyBorder="1" applyAlignment="1">
      <alignment horizontal="center" vertical="center"/>
    </xf>
    <xf numFmtId="3" fontId="42" fillId="6" borderId="18" xfId="0" applyNumberFormat="1" applyFont="1" applyFill="1" applyBorder="1" applyAlignment="1" applyProtection="1">
      <alignment horizontal="center" vertical="center"/>
      <protection hidden="1"/>
    </xf>
    <xf numFmtId="164" fontId="42" fillId="6" borderId="18" xfId="2" applyNumberFormat="1" applyFont="1" applyFill="1" applyBorder="1" applyAlignment="1" applyProtection="1">
      <alignment horizontal="center" vertical="center"/>
      <protection hidden="1"/>
    </xf>
    <xf numFmtId="0" fontId="42" fillId="0" borderId="297" xfId="0" applyFont="1" applyBorder="1" applyAlignment="1">
      <alignment horizontal="center" vertical="center"/>
    </xf>
    <xf numFmtId="3" fontId="42" fillId="6" borderId="86" xfId="0" applyNumberFormat="1" applyFont="1" applyFill="1" applyBorder="1" applyAlignment="1" applyProtection="1">
      <alignment horizontal="center" vertical="center"/>
      <protection hidden="1"/>
    </xf>
    <xf numFmtId="0" fontId="9" fillId="8" borderId="298" xfId="0" applyFont="1" applyFill="1" applyBorder="1" applyAlignment="1">
      <alignment horizontal="center" vertical="center"/>
    </xf>
    <xf numFmtId="0" fontId="9" fillId="8" borderId="301" xfId="0" applyFont="1" applyFill="1" applyBorder="1" applyAlignment="1" applyProtection="1">
      <alignment horizontal="center" vertical="center"/>
      <protection hidden="1"/>
    </xf>
    <xf numFmtId="3" fontId="6" fillId="8" borderId="298" xfId="0" applyNumberFormat="1" applyFont="1" applyFill="1" applyBorder="1" applyAlignment="1" applyProtection="1">
      <alignment horizontal="center" vertical="center"/>
      <protection hidden="1"/>
    </xf>
    <xf numFmtId="3" fontId="6" fillId="8" borderId="32" xfId="0" applyNumberFormat="1" applyFont="1" applyFill="1" applyBorder="1" applyAlignment="1" applyProtection="1">
      <alignment horizontal="center" vertical="center"/>
      <protection hidden="1"/>
    </xf>
    <xf numFmtId="165" fontId="0" fillId="0" borderId="8" xfId="0" applyNumberFormat="1" applyBorder="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167" fontId="44" fillId="0" borderId="0" xfId="0" applyNumberFormat="1" applyFont="1" applyAlignment="1" applyProtection="1">
      <alignment vertical="center"/>
      <protection hidden="1"/>
    </xf>
    <xf numFmtId="0" fontId="78" fillId="11" borderId="38" xfId="0" applyFont="1" applyFill="1" applyBorder="1" applyAlignment="1" applyProtection="1">
      <alignment horizontal="center"/>
      <protection hidden="1"/>
    </xf>
    <xf numFmtId="0" fontId="43" fillId="0" borderId="0" xfId="0" applyFont="1" applyAlignment="1">
      <alignment horizontal="center" vertical="center"/>
    </xf>
    <xf numFmtId="0" fontId="15" fillId="0" borderId="298" xfId="0" applyFont="1" applyBorder="1" applyAlignment="1" applyProtection="1">
      <alignment horizontal="center" vertical="center"/>
      <protection hidden="1"/>
    </xf>
    <xf numFmtId="0" fontId="14" fillId="0" borderId="299" xfId="0" applyFont="1" applyBorder="1" applyAlignment="1" applyProtection="1">
      <alignment horizontal="left" vertical="center" indent="1"/>
      <protection hidden="1"/>
    </xf>
    <xf numFmtId="0" fontId="9" fillId="0" borderId="300" xfId="0" applyFont="1" applyBorder="1" applyAlignment="1" applyProtection="1">
      <alignment horizontal="left" vertical="center"/>
      <protection hidden="1"/>
    </xf>
    <xf numFmtId="0" fontId="9" fillId="0" borderId="301" xfId="0" applyFont="1" applyBorder="1" applyAlignment="1" applyProtection="1">
      <alignment horizontal="left" vertical="center"/>
      <protection hidden="1"/>
    </xf>
    <xf numFmtId="0" fontId="14" fillId="0" borderId="301" xfId="0" applyFont="1" applyBorder="1" applyAlignment="1" applyProtection="1">
      <alignment horizontal="center" vertical="center"/>
      <protection hidden="1"/>
    </xf>
    <xf numFmtId="3" fontId="14" fillId="0" borderId="298" xfId="0" applyNumberFormat="1" applyFont="1" applyBorder="1" applyAlignment="1" applyProtection="1">
      <alignment horizontal="center" vertical="center"/>
      <protection hidden="1"/>
    </xf>
    <xf numFmtId="3" fontId="14" fillId="8" borderId="32" xfId="0" applyNumberFormat="1" applyFont="1" applyFill="1" applyBorder="1" applyAlignment="1" applyProtection="1">
      <alignment horizontal="center" vertical="center"/>
      <protection hidden="1"/>
    </xf>
    <xf numFmtId="0" fontId="46" fillId="0" borderId="24" xfId="0" applyFont="1" applyBorder="1" applyAlignment="1" applyProtection="1">
      <alignment horizontal="left" vertical="center"/>
      <protection hidden="1"/>
    </xf>
    <xf numFmtId="0" fontId="82" fillId="0" borderId="17" xfId="0" applyFont="1" applyBorder="1" applyAlignment="1" applyProtection="1">
      <alignment horizontal="left" vertical="center"/>
      <protection hidden="1"/>
    </xf>
    <xf numFmtId="0" fontId="82" fillId="0" borderId="59" xfId="0" applyFont="1" applyBorder="1" applyAlignment="1" applyProtection="1">
      <alignment horizontal="left" vertical="center"/>
      <protection hidden="1"/>
    </xf>
    <xf numFmtId="0" fontId="46" fillId="0" borderId="21" xfId="0" applyFont="1" applyBorder="1" applyAlignment="1">
      <alignment horizontal="left" vertical="center"/>
    </xf>
    <xf numFmtId="0" fontId="5" fillId="0" borderId="43" xfId="0" applyFont="1" applyBorder="1" applyAlignment="1">
      <alignment horizontal="left" vertical="center"/>
    </xf>
    <xf numFmtId="9" fontId="46" fillId="7" borderId="18" xfId="0" applyNumberFormat="1"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11" xfId="0" applyFont="1" applyBorder="1" applyAlignment="1">
      <alignment horizontal="left" vertical="center"/>
    </xf>
    <xf numFmtId="166" fontId="46" fillId="7" borderId="21" xfId="0" applyNumberFormat="1" applyFont="1" applyFill="1" applyBorder="1" applyAlignment="1" applyProtection="1">
      <alignment horizontal="center" vertical="center"/>
      <protection locked="0"/>
    </xf>
    <xf numFmtId="1" fontId="46" fillId="7" borderId="18" xfId="0" applyNumberFormat="1" applyFont="1" applyFill="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84" xfId="0" applyFont="1" applyBorder="1" applyAlignment="1">
      <alignment horizontal="center" vertical="center"/>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8" fillId="11" borderId="15" xfId="0" applyFont="1" applyFill="1" applyBorder="1" applyAlignment="1">
      <alignment horizontal="left" vertical="center"/>
    </xf>
    <xf numFmtId="0" fontId="42" fillId="0" borderId="302" xfId="0" applyFont="1" applyBorder="1" applyAlignment="1">
      <alignment horizontal="center" vertical="center"/>
    </xf>
    <xf numFmtId="0" fontId="14" fillId="0" borderId="298" xfId="0" applyFont="1" applyBorder="1" applyAlignment="1" applyProtection="1">
      <alignment horizontal="center" vertical="center"/>
      <protection hidden="1"/>
    </xf>
    <xf numFmtId="3" fontId="15" fillId="0" borderId="298" xfId="0" applyNumberFormat="1" applyFont="1" applyBorder="1" applyAlignment="1" applyProtection="1">
      <alignment horizontal="center" vertical="center"/>
      <protection hidden="1"/>
    </xf>
    <xf numFmtId="3" fontId="15" fillId="8" borderId="298" xfId="0" applyNumberFormat="1" applyFont="1" applyFill="1" applyBorder="1" applyAlignment="1" applyProtection="1">
      <alignment horizontal="center" vertical="center"/>
      <protection hidden="1"/>
    </xf>
    <xf numFmtId="0" fontId="6" fillId="15" borderId="20" xfId="0" applyFont="1" applyFill="1" applyBorder="1" applyAlignment="1" applyProtection="1">
      <alignment horizontal="center" vertical="center"/>
      <protection hidden="1"/>
    </xf>
    <xf numFmtId="3" fontId="6" fillId="15" borderId="18" xfId="0" applyNumberFormat="1" applyFont="1" applyFill="1" applyBorder="1" applyAlignment="1" applyProtection="1">
      <alignment horizontal="center" vertical="center"/>
      <protection hidden="1"/>
    </xf>
    <xf numFmtId="3" fontId="6" fillId="15" borderId="20" xfId="0" applyNumberFormat="1" applyFont="1" applyFill="1" applyBorder="1" applyAlignment="1" applyProtection="1">
      <alignment horizontal="center" vertical="center"/>
      <protection hidden="1"/>
    </xf>
    <xf numFmtId="0" fontId="6" fillId="15" borderId="32" xfId="0" applyFont="1" applyFill="1" applyBorder="1" applyAlignment="1" applyProtection="1">
      <alignment horizontal="center" vertical="center"/>
      <protection hidden="1"/>
    </xf>
    <xf numFmtId="167" fontId="6" fillId="15" borderId="59" xfId="0" applyNumberFormat="1" applyFont="1" applyFill="1" applyBorder="1" applyAlignment="1" applyProtection="1">
      <alignment horizontal="center" vertical="center"/>
      <protection hidden="1"/>
    </xf>
    <xf numFmtId="0" fontId="23" fillId="0" borderId="0" xfId="0" applyFont="1" applyAlignment="1">
      <alignment horizontal="center"/>
    </xf>
    <xf numFmtId="20" fontId="37" fillId="0" borderId="13" xfId="0" applyNumberFormat="1" applyFont="1" applyBorder="1"/>
    <xf numFmtId="20" fontId="37" fillId="0" borderId="26" xfId="0" applyNumberFormat="1" applyFont="1" applyBorder="1"/>
    <xf numFmtId="3" fontId="42" fillId="6" borderId="93" xfId="0" applyNumberFormat="1" applyFont="1" applyFill="1" applyBorder="1" applyAlignment="1" applyProtection="1">
      <alignment horizontal="center" vertical="center"/>
      <protection hidden="1"/>
    </xf>
    <xf numFmtId="3" fontId="9" fillId="0" borderId="0" xfId="0" applyNumberFormat="1" applyFont="1" applyAlignment="1">
      <alignment horizontal="center"/>
    </xf>
    <xf numFmtId="3" fontId="9" fillId="0" borderId="19" xfId="0" applyNumberFormat="1" applyFont="1" applyBorder="1" applyAlignment="1">
      <alignment horizontal="center"/>
    </xf>
    <xf numFmtId="0" fontId="9" fillId="0" borderId="24" xfId="0" applyFont="1" applyBorder="1" applyAlignment="1">
      <alignment horizontal="center"/>
    </xf>
    <xf numFmtId="1" fontId="9" fillId="0" borderId="8" xfId="0" applyNumberFormat="1" applyFont="1" applyBorder="1" applyAlignment="1">
      <alignment horizontal="left"/>
    </xf>
    <xf numFmtId="0" fontId="15" fillId="0" borderId="26" xfId="0" applyFont="1" applyBorder="1" applyProtection="1">
      <protection locked="0"/>
    </xf>
    <xf numFmtId="3" fontId="42" fillId="6" borderId="18" xfId="0" applyNumberFormat="1" applyFont="1" applyFill="1" applyBorder="1" applyAlignment="1" applyProtection="1">
      <alignment horizontal="center" vertical="center"/>
      <protection locked="0" hidden="1"/>
    </xf>
    <xf numFmtId="0" fontId="42" fillId="6" borderId="43" xfId="0" applyFont="1" applyFill="1" applyBorder="1" applyAlignment="1">
      <alignment horizontal="center" vertical="center"/>
    </xf>
    <xf numFmtId="0" fontId="42" fillId="6" borderId="302" xfId="0" applyFont="1" applyFill="1" applyBorder="1" applyAlignment="1">
      <alignment horizontal="center" vertical="center"/>
    </xf>
    <xf numFmtId="3" fontId="8" fillId="16" borderId="18" xfId="0" applyNumberFormat="1" applyFont="1" applyFill="1" applyBorder="1" applyAlignment="1" applyProtection="1">
      <alignment horizontal="center" vertical="center"/>
      <protection hidden="1"/>
    </xf>
    <xf numFmtId="0" fontId="9" fillId="8" borderId="0" xfId="0" applyFont="1" applyFill="1" applyAlignment="1">
      <alignment horizontal="right"/>
    </xf>
    <xf numFmtId="0" fontId="9" fillId="8" borderId="0" xfId="0" applyFont="1" applyFill="1"/>
    <xf numFmtId="0" fontId="20" fillId="8" borderId="0" xfId="0" applyFont="1" applyFill="1"/>
    <xf numFmtId="167" fontId="9" fillId="8" borderId="0" xfId="0" applyNumberFormat="1" applyFont="1" applyFill="1"/>
    <xf numFmtId="3" fontId="9" fillId="8" borderId="17" xfId="0" applyNumberFormat="1" applyFont="1" applyFill="1" applyBorder="1"/>
    <xf numFmtId="3" fontId="9" fillId="8" borderId="0" xfId="0" applyNumberFormat="1" applyFont="1" applyFill="1"/>
    <xf numFmtId="0" fontId="7" fillId="3" borderId="27" xfId="0" applyFont="1" applyFill="1" applyBorder="1" applyAlignment="1">
      <alignment horizontal="center"/>
    </xf>
    <xf numFmtId="3" fontId="14" fillId="0" borderId="52" xfId="0" applyNumberFormat="1" applyFont="1" applyBorder="1" applyAlignment="1" applyProtection="1">
      <alignment horizontal="center" vertical="center"/>
      <protection hidden="1"/>
    </xf>
    <xf numFmtId="3" fontId="15" fillId="7" borderId="63" xfId="0" applyNumberFormat="1" applyFont="1" applyFill="1" applyBorder="1" applyAlignment="1" applyProtection="1">
      <alignment horizontal="center" vertical="center"/>
      <protection locked="0"/>
    </xf>
    <xf numFmtId="164" fontId="15" fillId="0" borderId="9" xfId="0" applyNumberFormat="1" applyFont="1" applyBorder="1" applyAlignment="1">
      <alignment horizontal="right" vertical="center"/>
    </xf>
    <xf numFmtId="3" fontId="15" fillId="7" borderId="305" xfId="0" applyNumberFormat="1" applyFont="1" applyFill="1" applyBorder="1" applyAlignment="1" applyProtection="1">
      <alignment horizontal="center" vertical="center"/>
      <protection locked="0"/>
    </xf>
    <xf numFmtId="0" fontId="15" fillId="0" borderId="307" xfId="0" applyFont="1" applyBorder="1" applyAlignment="1">
      <alignment vertical="center"/>
    </xf>
    <xf numFmtId="3" fontId="15" fillId="0" borderId="308" xfId="0" applyNumberFormat="1" applyFont="1" applyBorder="1" applyAlignment="1">
      <alignment horizontal="right" vertical="center"/>
    </xf>
    <xf numFmtId="3" fontId="15" fillId="7" borderId="309" xfId="0" applyNumberFormat="1" applyFont="1" applyFill="1" applyBorder="1" applyAlignment="1" applyProtection="1">
      <alignment horizontal="center" vertical="center"/>
      <protection locked="0"/>
    </xf>
    <xf numFmtId="0" fontId="15" fillId="0" borderId="310" xfId="0" applyFont="1" applyBorder="1" applyAlignment="1">
      <alignment vertical="center"/>
    </xf>
    <xf numFmtId="0" fontId="0" fillId="0" borderId="310" xfId="0" applyBorder="1"/>
    <xf numFmtId="3" fontId="15" fillId="7" borderId="306" xfId="0" applyNumberFormat="1" applyFont="1" applyFill="1" applyBorder="1" applyAlignment="1" applyProtection="1">
      <alignment horizontal="center" vertical="center"/>
      <protection locked="0"/>
    </xf>
    <xf numFmtId="17" fontId="14" fillId="0" borderId="0" xfId="0" applyNumberFormat="1" applyFont="1" applyAlignment="1">
      <alignment horizontal="center" vertical="center"/>
    </xf>
    <xf numFmtId="0" fontId="9" fillId="17" borderId="0" xfId="0" applyFont="1" applyFill="1" applyAlignment="1">
      <alignment horizontal="center"/>
    </xf>
    <xf numFmtId="1" fontId="9" fillId="17" borderId="0" xfId="0" applyNumberFormat="1" applyFont="1" applyFill="1" applyAlignment="1">
      <alignment horizontal="center" vertical="center"/>
    </xf>
    <xf numFmtId="0" fontId="10" fillId="0" borderId="0" xfId="0" applyFont="1" applyAlignment="1" applyProtection="1">
      <alignment horizontal="center" vertical="center" wrapText="1"/>
      <protection hidden="1"/>
    </xf>
    <xf numFmtId="164" fontId="10" fillId="0" borderId="0" xfId="2" applyNumberFormat="1" applyFont="1" applyFill="1" applyBorder="1" applyAlignment="1" applyProtection="1">
      <alignment horizontal="center" vertical="center"/>
      <protection hidden="1"/>
    </xf>
    <xf numFmtId="3" fontId="73" fillId="0" borderId="0" xfId="2" applyNumberFormat="1" applyFont="1" applyBorder="1" applyAlignment="1" applyProtection="1">
      <alignment horizontal="center" vertical="center"/>
      <protection locked="0"/>
    </xf>
    <xf numFmtId="10" fontId="7" fillId="0" borderId="0" xfId="0" applyNumberFormat="1" applyFont="1" applyAlignment="1">
      <alignment horizontal="center" vertical="center"/>
    </xf>
    <xf numFmtId="3" fontId="10" fillId="0" borderId="0" xfId="2" applyNumberFormat="1" applyFont="1" applyFill="1" applyBorder="1" applyAlignment="1">
      <alignment horizontal="center" vertical="center"/>
    </xf>
    <xf numFmtId="10" fontId="7" fillId="0" borderId="0" xfId="2" applyNumberFormat="1" applyFont="1" applyFill="1" applyBorder="1" applyAlignment="1" applyProtection="1">
      <alignment horizontal="center" vertical="center"/>
      <protection hidden="1"/>
    </xf>
    <xf numFmtId="10" fontId="10" fillId="0" borderId="0" xfId="0" applyNumberFormat="1" applyFont="1" applyAlignment="1">
      <alignment horizontal="center" vertical="center"/>
    </xf>
    <xf numFmtId="4" fontId="0" fillId="0" borderId="0" xfId="0" applyNumberFormat="1"/>
    <xf numFmtId="4" fontId="9" fillId="0" borderId="9" xfId="0" applyNumberFormat="1" applyFont="1" applyBorder="1"/>
    <xf numFmtId="4" fontId="0" fillId="0" borderId="59" xfId="0" applyNumberFormat="1" applyBorder="1"/>
    <xf numFmtId="0" fontId="71" fillId="8" borderId="0" xfId="0" applyFont="1" applyFill="1" applyAlignment="1" applyProtection="1">
      <alignment horizontal="left" vertical="center"/>
      <protection hidden="1"/>
    </xf>
    <xf numFmtId="1" fontId="11" fillId="0" borderId="0" xfId="0" applyNumberFormat="1" applyFont="1" applyAlignment="1">
      <alignment horizontal="left" vertical="center"/>
    </xf>
    <xf numFmtId="0" fontId="71" fillId="0" borderId="0" xfId="0" applyFont="1" applyAlignment="1" applyProtection="1">
      <alignment horizontal="left" vertical="center"/>
      <protection hidden="1"/>
    </xf>
    <xf numFmtId="3" fontId="14" fillId="7" borderId="6" xfId="0" applyNumberFormat="1" applyFont="1" applyFill="1" applyBorder="1" applyAlignment="1" applyProtection="1">
      <alignment horizontal="center" vertical="center"/>
      <protection locked="0" hidden="1"/>
    </xf>
    <xf numFmtId="3" fontId="42" fillId="8" borderId="18" xfId="0" applyNumberFormat="1" applyFont="1" applyFill="1" applyBorder="1" applyAlignment="1" applyProtection="1">
      <alignment horizontal="center" vertical="center"/>
      <protection hidden="1"/>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7" fillId="0" borderId="0" xfId="0" applyFont="1" applyAlignment="1">
      <alignment horizontal="right" vertical="top"/>
    </xf>
    <xf numFmtId="0" fontId="7" fillId="7" borderId="0" xfId="0" applyFont="1" applyFill="1" applyAlignment="1" applyProtection="1">
      <alignment horizontal="center" vertical="center"/>
      <protection locked="0"/>
    </xf>
    <xf numFmtId="0" fontId="78" fillId="11" borderId="38" xfId="0" applyFont="1" applyFill="1" applyBorder="1" applyAlignment="1" applyProtection="1">
      <alignment horizontal="center" vertical="center"/>
      <protection hidden="1"/>
    </xf>
    <xf numFmtId="17" fontId="78" fillId="11" borderId="38" xfId="0" applyNumberFormat="1" applyFont="1" applyFill="1" applyBorder="1" applyAlignment="1" applyProtection="1">
      <alignment horizontal="center" vertical="center"/>
      <protection hidden="1"/>
    </xf>
    <xf numFmtId="3" fontId="46" fillId="7" borderId="87" xfId="0" applyNumberFormat="1" applyFont="1" applyFill="1" applyBorder="1" applyAlignment="1" applyProtection="1">
      <alignment horizontal="center" vertical="center"/>
      <protection locked="0" hidden="1"/>
    </xf>
    <xf numFmtId="0" fontId="7" fillId="0" borderId="0" xfId="0" applyFont="1" applyAlignment="1" applyProtection="1">
      <alignment horizontal="left" vertical="top" wrapText="1"/>
      <protection hidden="1"/>
    </xf>
    <xf numFmtId="1" fontId="15" fillId="0" borderId="312" xfId="0" applyNumberFormat="1" applyFont="1" applyBorder="1" applyAlignment="1">
      <alignment horizontal="center" vertical="center"/>
    </xf>
    <xf numFmtId="164" fontId="10" fillId="7" borderId="313" xfId="0" applyNumberFormat="1" applyFont="1" applyFill="1" applyBorder="1" applyAlignment="1" applyProtection="1">
      <alignment horizontal="center" vertical="center"/>
      <protection locked="0"/>
    </xf>
    <xf numFmtId="164" fontId="10" fillId="7" borderId="314" xfId="0" applyNumberFormat="1" applyFont="1" applyFill="1" applyBorder="1" applyAlignment="1" applyProtection="1">
      <alignment horizontal="center" vertical="center"/>
      <protection locked="0"/>
    </xf>
    <xf numFmtId="0" fontId="7" fillId="7" borderId="315" xfId="0" applyFont="1" applyFill="1" applyBorder="1" applyAlignment="1" applyProtection="1">
      <alignment vertical="center"/>
      <protection locked="0"/>
    </xf>
    <xf numFmtId="0" fontId="10" fillId="0" borderId="317" xfId="0" applyFont="1" applyBorder="1" applyAlignment="1">
      <alignment vertical="center"/>
    </xf>
    <xf numFmtId="3" fontId="10" fillId="7" borderId="318" xfId="0" applyNumberFormat="1" applyFont="1" applyFill="1" applyBorder="1" applyAlignment="1" applyProtection="1">
      <alignment horizontal="center" vertical="center"/>
      <protection locked="0"/>
    </xf>
    <xf numFmtId="4" fontId="10" fillId="7" borderId="318" xfId="0" applyNumberFormat="1" applyFont="1" applyFill="1" applyBorder="1" applyAlignment="1" applyProtection="1">
      <alignment horizontal="center" vertical="center"/>
      <protection locked="0"/>
    </xf>
    <xf numFmtId="164" fontId="10" fillId="7" borderId="318" xfId="0" applyNumberFormat="1" applyFont="1" applyFill="1" applyBorder="1" applyAlignment="1" applyProtection="1">
      <alignment horizontal="center" vertical="center"/>
      <protection locked="0"/>
    </xf>
    <xf numFmtId="0" fontId="10" fillId="0" borderId="319" xfId="0" applyFont="1" applyBorder="1" applyAlignment="1">
      <alignment vertical="center"/>
    </xf>
    <xf numFmtId="0" fontId="10" fillId="0" borderId="320" xfId="0" applyFont="1" applyBorder="1" applyAlignment="1">
      <alignment horizontal="center" vertical="center"/>
    </xf>
    <xf numFmtId="0" fontId="10" fillId="0" borderId="321" xfId="0" applyFont="1" applyBorder="1" applyAlignment="1">
      <alignment horizontal="center" vertical="center"/>
    </xf>
    <xf numFmtId="3" fontId="10" fillId="0" borderId="322" xfId="0" applyNumberFormat="1" applyFont="1" applyBorder="1" applyAlignment="1" applyProtection="1">
      <alignment horizontal="center" vertical="center"/>
      <protection hidden="1"/>
    </xf>
    <xf numFmtId="3" fontId="10" fillId="0" borderId="323" xfId="0" applyNumberFormat="1" applyFont="1" applyBorder="1" applyAlignment="1" applyProtection="1">
      <alignment horizontal="center" vertical="center"/>
      <protection hidden="1"/>
    </xf>
    <xf numFmtId="0" fontId="10" fillId="0" borderId="324" xfId="0" applyFont="1" applyBorder="1" applyAlignment="1">
      <alignment horizontal="center" vertical="center"/>
    </xf>
    <xf numFmtId="3" fontId="10" fillId="0" borderId="324" xfId="0" applyNumberFormat="1" applyFont="1" applyBorder="1" applyAlignment="1" applyProtection="1">
      <alignment horizontal="center" vertical="center"/>
      <protection hidden="1"/>
    </xf>
    <xf numFmtId="0" fontId="26" fillId="0" borderId="17"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312" xfId="0" applyFont="1" applyBorder="1" applyAlignment="1">
      <alignment vertical="center"/>
    </xf>
    <xf numFmtId="0" fontId="10" fillId="0" borderId="312" xfId="0" applyFont="1" applyBorder="1" applyAlignment="1">
      <alignment horizontal="center" vertical="center"/>
    </xf>
    <xf numFmtId="0" fontId="26" fillId="0" borderId="325" xfId="0" applyFont="1" applyBorder="1" applyAlignment="1">
      <alignment horizontal="center" vertical="center" wrapText="1"/>
    </xf>
    <xf numFmtId="0" fontId="26" fillId="0" borderId="0" xfId="0" applyFont="1" applyAlignment="1">
      <alignment horizontal="center" vertical="center" wrapText="1"/>
    </xf>
    <xf numFmtId="3" fontId="10" fillId="0" borderId="326" xfId="0" applyNumberFormat="1" applyFont="1" applyBorder="1" applyAlignment="1" applyProtection="1">
      <alignment horizontal="center" vertical="center"/>
      <protection hidden="1"/>
    </xf>
    <xf numFmtId="1" fontId="15" fillId="0" borderId="327" xfId="0" applyNumberFormat="1" applyFont="1" applyBorder="1" applyAlignment="1">
      <alignment horizontal="center" vertical="center"/>
    </xf>
    <xf numFmtId="1" fontId="15" fillId="0" borderId="311" xfId="0" applyNumberFormat="1" applyFont="1" applyBorder="1" applyAlignment="1">
      <alignment horizontal="center" vertical="center"/>
    </xf>
    <xf numFmtId="164" fontId="10" fillId="7" borderId="328" xfId="0" applyNumberFormat="1" applyFont="1" applyFill="1" applyBorder="1" applyAlignment="1" applyProtection="1">
      <alignment horizontal="center" vertical="center"/>
      <protection locked="0"/>
    </xf>
    <xf numFmtId="164" fontId="10" fillId="7" borderId="329"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hidden="1"/>
    </xf>
    <xf numFmtId="3" fontId="7" fillId="5" borderId="316" xfId="0" applyNumberFormat="1" applyFont="1" applyFill="1" applyBorder="1" applyAlignment="1" applyProtection="1">
      <alignment horizontal="center" vertical="center"/>
      <protection hidden="1"/>
    </xf>
    <xf numFmtId="3" fontId="7" fillId="5" borderId="18" xfId="0" applyNumberFormat="1" applyFont="1" applyFill="1" applyBorder="1" applyAlignment="1" applyProtection="1">
      <alignment horizontal="center" vertical="center"/>
      <protection hidden="1"/>
    </xf>
    <xf numFmtId="3" fontId="7" fillId="5" borderId="318" xfId="0" applyNumberFormat="1" applyFont="1" applyFill="1" applyBorder="1" applyAlignment="1" applyProtection="1">
      <alignment horizontal="center" vertical="center"/>
      <protection hidden="1"/>
    </xf>
    <xf numFmtId="3" fontId="7" fillId="5" borderId="330" xfId="0" applyNumberFormat="1" applyFont="1" applyFill="1" applyBorder="1" applyAlignment="1" applyProtection="1">
      <alignment horizontal="center" vertical="center"/>
      <protection hidden="1"/>
    </xf>
    <xf numFmtId="3" fontId="7" fillId="5" borderId="314" xfId="0" applyNumberFormat="1" applyFont="1" applyFill="1" applyBorder="1" applyAlignment="1" applyProtection="1">
      <alignment horizontal="center" vertical="center"/>
      <protection hidden="1"/>
    </xf>
    <xf numFmtId="0" fontId="15" fillId="0" borderId="27" xfId="0" applyFont="1" applyBorder="1" applyAlignment="1" applyProtection="1">
      <alignment horizontal="left" vertical="center" indent="1"/>
      <protection locked="0"/>
    </xf>
    <xf numFmtId="164"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 fontId="9" fillId="0" borderId="0" xfId="0" applyNumberFormat="1" applyFont="1" applyAlignment="1" applyProtection="1">
      <alignment vertical="center"/>
      <protection hidden="1"/>
    </xf>
    <xf numFmtId="0" fontId="14" fillId="0" borderId="11" xfId="0" applyFont="1" applyBorder="1"/>
    <xf numFmtId="10" fontId="15" fillId="0" borderId="43" xfId="0" applyNumberFormat="1" applyFont="1" applyBorder="1" applyAlignment="1">
      <alignment horizontal="center"/>
    </xf>
    <xf numFmtId="3" fontId="14" fillId="0" borderId="49" xfId="0" applyNumberFormat="1" applyFont="1" applyBorder="1" applyAlignment="1" applyProtection="1">
      <alignment horizontal="center" vertical="center"/>
      <protection hidden="1"/>
    </xf>
    <xf numFmtId="167" fontId="14" fillId="0" borderId="50" xfId="0" applyNumberFormat="1" applyFont="1" applyBorder="1" applyAlignment="1" applyProtection="1">
      <alignment horizontal="center" vertical="center"/>
      <protection hidden="1"/>
    </xf>
    <xf numFmtId="3" fontId="15" fillId="8" borderId="49" xfId="0" applyNumberFormat="1" applyFont="1" applyFill="1" applyBorder="1" applyAlignment="1" applyProtection="1">
      <alignment horizontal="center" vertical="center"/>
      <protection hidden="1"/>
    </xf>
    <xf numFmtId="0" fontId="14" fillId="0" borderId="11" xfId="0" applyFont="1" applyBorder="1" applyAlignment="1">
      <alignment horizontal="right"/>
    </xf>
    <xf numFmtId="167" fontId="14" fillId="0" borderId="11" xfId="0" applyNumberFormat="1" applyFont="1" applyBorder="1" applyAlignment="1">
      <alignment horizontal="center"/>
    </xf>
    <xf numFmtId="1" fontId="9" fillId="0" borderId="8" xfId="0" applyNumberFormat="1" applyFont="1" applyBorder="1"/>
    <xf numFmtId="1" fontId="0" fillId="0" borderId="17" xfId="0" applyNumberFormat="1" applyBorder="1"/>
    <xf numFmtId="49" fontId="8" fillId="0" borderId="0" xfId="0" applyNumberFormat="1" applyFont="1" applyAlignment="1">
      <alignment horizontal="right"/>
    </xf>
    <xf numFmtId="3" fontId="9" fillId="0" borderId="0" xfId="0" applyNumberFormat="1" applyFont="1" applyAlignment="1" applyProtection="1">
      <alignment horizontal="center"/>
      <protection hidden="1"/>
    </xf>
    <xf numFmtId="49" fontId="9" fillId="0" borderId="0" xfId="0" applyNumberFormat="1" applyFont="1" applyAlignment="1">
      <alignment horizontal="center"/>
    </xf>
    <xf numFmtId="49" fontId="9" fillId="0" borderId="0" xfId="0" applyNumberFormat="1" applyFont="1" applyAlignment="1">
      <alignment horizontal="right"/>
    </xf>
    <xf numFmtId="3" fontId="0" fillId="0" borderId="0" xfId="0" applyNumberFormat="1" applyAlignment="1">
      <alignment horizontal="center"/>
    </xf>
    <xf numFmtId="49" fontId="8" fillId="0" borderId="0" xfId="0" applyNumberFormat="1" applyFont="1" applyAlignment="1">
      <alignment horizontal="center"/>
    </xf>
    <xf numFmtId="3" fontId="8" fillId="0" borderId="0" xfId="0" applyNumberFormat="1" applyFont="1" applyAlignment="1">
      <alignment horizontal="center"/>
    </xf>
    <xf numFmtId="165" fontId="0" fillId="0" borderId="0" xfId="0" applyNumberFormat="1" applyAlignment="1">
      <alignment horizontal="center"/>
    </xf>
    <xf numFmtId="4" fontId="8" fillId="0" borderId="0" xfId="0" applyNumberFormat="1" applyFont="1" applyProtection="1">
      <protection hidden="1"/>
    </xf>
    <xf numFmtId="0" fontId="6" fillId="0" borderId="0" xfId="0" applyFont="1" applyAlignment="1" applyProtection="1">
      <alignment horizontal="left" vertical="center"/>
      <protection hidden="1"/>
    </xf>
    <xf numFmtId="1" fontId="58" fillId="11" borderId="337" xfId="0" applyNumberFormat="1" applyFont="1" applyFill="1" applyBorder="1" applyAlignment="1" applyProtection="1">
      <alignment horizontal="center" vertical="center"/>
      <protection hidden="1"/>
    </xf>
    <xf numFmtId="0" fontId="75" fillId="11" borderId="334" xfId="0" applyFont="1" applyFill="1" applyBorder="1" applyAlignment="1">
      <alignment horizontal="center" vertical="center"/>
    </xf>
    <xf numFmtId="0" fontId="75" fillId="11" borderId="335" xfId="0" applyFont="1" applyFill="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pplyProtection="1">
      <alignment horizontal="center"/>
      <protection hidden="1"/>
    </xf>
    <xf numFmtId="0" fontId="75" fillId="11" borderId="333" xfId="0" applyFont="1" applyFill="1" applyBorder="1" applyAlignment="1">
      <alignment horizontal="center" vertical="center"/>
    </xf>
    <xf numFmtId="1" fontId="58" fillId="11" borderId="338" xfId="0" applyNumberFormat="1" applyFont="1" applyFill="1" applyBorder="1" applyAlignment="1" applyProtection="1">
      <alignment horizontal="center" vertical="center"/>
      <protection hidden="1"/>
    </xf>
    <xf numFmtId="0" fontId="77" fillId="11" borderId="336" xfId="0" applyFont="1" applyFill="1" applyBorder="1" applyAlignment="1">
      <alignment horizontal="center" vertical="center" wrapText="1"/>
    </xf>
    <xf numFmtId="0" fontId="77" fillId="11" borderId="0" xfId="0" applyFont="1" applyFill="1" applyAlignment="1">
      <alignment horizontal="center" vertical="center" wrapText="1"/>
    </xf>
    <xf numFmtId="0" fontId="7" fillId="0" borderId="348" xfId="0" applyFont="1" applyBorder="1" applyAlignment="1">
      <alignment horizontal="left" vertical="center" indent="1"/>
    </xf>
    <xf numFmtId="3" fontId="7" fillId="0" borderId="349" xfId="0" applyNumberFormat="1" applyFont="1" applyBorder="1" applyAlignment="1" applyProtection="1">
      <alignment horizontal="center"/>
      <protection hidden="1"/>
    </xf>
    <xf numFmtId="0" fontId="7" fillId="0" borderId="350" xfId="0" applyFont="1" applyBorder="1" applyAlignment="1">
      <alignment horizontal="left" vertical="center" indent="1"/>
    </xf>
    <xf numFmtId="3" fontId="7" fillId="0" borderId="339" xfId="0" applyNumberFormat="1" applyFont="1" applyBorder="1" applyAlignment="1" applyProtection="1">
      <alignment horizontal="center"/>
      <protection hidden="1"/>
    </xf>
    <xf numFmtId="164" fontId="7" fillId="0" borderId="339" xfId="2" applyNumberFormat="1" applyFont="1" applyBorder="1" applyAlignment="1" applyProtection="1">
      <alignment horizontal="center"/>
      <protection hidden="1"/>
    </xf>
    <xf numFmtId="0" fontId="7" fillId="0" borderId="351" xfId="0" applyFont="1" applyBorder="1" applyAlignment="1">
      <alignment horizontal="left" vertical="center" indent="1"/>
    </xf>
    <xf numFmtId="0" fontId="7" fillId="0" borderId="352" xfId="0" applyFont="1" applyBorder="1" applyAlignment="1">
      <alignment horizontal="left" vertical="center" indent="1"/>
    </xf>
    <xf numFmtId="0" fontId="10" fillId="0" borderId="353" xfId="0" applyFont="1" applyBorder="1" applyAlignment="1">
      <alignment horizontal="center" vertical="center"/>
    </xf>
    <xf numFmtId="0" fontId="10" fillId="0" borderId="345" xfId="0" applyFont="1" applyBorder="1" applyAlignment="1">
      <alignment horizontal="center" vertical="center"/>
    </xf>
    <xf numFmtId="3" fontId="7" fillId="0" borderId="347" xfId="0" applyNumberFormat="1" applyFont="1" applyBorder="1" applyAlignment="1" applyProtection="1">
      <alignment horizontal="center"/>
      <protection hidden="1"/>
    </xf>
    <xf numFmtId="3" fontId="7" fillId="0" borderId="346" xfId="0" applyNumberFormat="1" applyFont="1" applyBorder="1" applyAlignment="1" applyProtection="1">
      <alignment horizontal="center"/>
      <protection hidden="1"/>
    </xf>
    <xf numFmtId="20" fontId="37" fillId="0" borderId="331" xfId="0" applyNumberFormat="1" applyFont="1" applyBorder="1"/>
    <xf numFmtId="0" fontId="15" fillId="0" borderId="332" xfId="0" applyFont="1" applyBorder="1" applyAlignment="1">
      <alignment horizontal="left" vertical="center"/>
    </xf>
    <xf numFmtId="0" fontId="8" fillId="0" borderId="332" xfId="0" applyFont="1" applyBorder="1" applyAlignment="1">
      <alignment horizontal="left" vertical="center"/>
    </xf>
    <xf numFmtId="0" fontId="15" fillId="0" borderId="332" xfId="0" applyFont="1" applyBorder="1" applyAlignment="1" applyProtection="1">
      <alignment vertical="center"/>
      <protection locked="0"/>
    </xf>
    <xf numFmtId="0" fontId="15" fillId="0" borderId="354" xfId="0" applyFont="1" applyBorder="1" applyAlignment="1" applyProtection="1">
      <alignment vertical="center"/>
      <protection locked="0"/>
    </xf>
    <xf numFmtId="0" fontId="15" fillId="0" borderId="336" xfId="0" applyFont="1" applyBorder="1" applyAlignment="1" applyProtection="1">
      <alignment horizontal="left" vertical="center"/>
      <protection locked="0"/>
    </xf>
    <xf numFmtId="0" fontId="15" fillId="0" borderId="340" xfId="0" applyFont="1" applyBorder="1" applyAlignment="1" applyProtection="1">
      <alignment vertical="center"/>
      <protection locked="0"/>
    </xf>
    <xf numFmtId="1" fontId="14" fillId="0" borderId="336" xfId="0" applyNumberFormat="1" applyFont="1" applyBorder="1" applyAlignment="1">
      <alignment horizontal="center"/>
    </xf>
    <xf numFmtId="0" fontId="15" fillId="0" borderId="0" xfId="1" applyFont="1" applyAlignment="1" applyProtection="1">
      <alignment vertical="center"/>
      <protection locked="0"/>
    </xf>
    <xf numFmtId="0" fontId="15" fillId="0" borderId="0" xfId="0" applyFont="1" applyProtection="1">
      <protection locked="0"/>
    </xf>
    <xf numFmtId="0" fontId="15" fillId="0" borderId="341" xfId="0" applyFont="1" applyBorder="1" applyAlignment="1" applyProtection="1">
      <alignment vertical="center"/>
      <protection locked="0"/>
    </xf>
    <xf numFmtId="0" fontId="15" fillId="0" borderId="342" xfId="0" applyFont="1" applyBorder="1" applyAlignment="1" applyProtection="1">
      <alignment vertical="center"/>
      <protection locked="0"/>
    </xf>
    <xf numFmtId="0" fontId="15" fillId="0" borderId="343" xfId="0" applyFont="1" applyBorder="1" applyAlignment="1" applyProtection="1">
      <alignment vertical="center"/>
      <protection locked="0"/>
    </xf>
    <xf numFmtId="3" fontId="15" fillId="7" borderId="0" xfId="0" applyNumberFormat="1" applyFont="1" applyFill="1" applyAlignment="1" applyProtection="1">
      <alignment horizontal="center" vertical="center"/>
      <protection locked="0"/>
    </xf>
    <xf numFmtId="0" fontId="74" fillId="11" borderId="0" xfId="0" applyFont="1" applyFill="1" applyAlignment="1">
      <alignment vertical="center"/>
    </xf>
    <xf numFmtId="3" fontId="74" fillId="11" borderId="0" xfId="0" applyNumberFormat="1" applyFont="1" applyFill="1" applyAlignment="1" applyProtection="1">
      <alignment horizontal="center" vertical="center"/>
      <protection hidden="1"/>
    </xf>
    <xf numFmtId="0" fontId="74" fillId="11" borderId="0" xfId="0" applyFont="1" applyFill="1" applyAlignment="1" applyProtection="1">
      <alignment horizontal="center" vertical="center"/>
      <protection hidden="1"/>
    </xf>
    <xf numFmtId="0" fontId="14" fillId="0" borderId="0" xfId="0" applyFont="1" applyAlignment="1">
      <alignment horizontal="center" vertical="center"/>
    </xf>
    <xf numFmtId="0" fontId="7" fillId="0" borderId="0" xfId="0" applyFont="1" applyAlignment="1">
      <alignment vertical="center"/>
    </xf>
    <xf numFmtId="3" fontId="7" fillId="0" borderId="0" xfId="0" applyNumberFormat="1" applyFont="1" applyAlignment="1">
      <alignment horizontal="center" vertical="center"/>
    </xf>
    <xf numFmtId="3" fontId="15" fillId="7" borderId="5" xfId="0" applyNumberFormat="1" applyFont="1" applyFill="1" applyBorder="1" applyAlignment="1" applyProtection="1">
      <alignment horizontal="center" vertical="center"/>
      <protection locked="0"/>
    </xf>
    <xf numFmtId="0" fontId="14" fillId="0" borderId="46" xfId="0" applyFont="1" applyBorder="1" applyAlignment="1" applyProtection="1">
      <alignment horizontal="center" vertical="center"/>
      <protection hidden="1"/>
    </xf>
    <xf numFmtId="3" fontId="14" fillId="0" borderId="355" xfId="0" applyNumberFormat="1" applyFont="1" applyBorder="1" applyAlignment="1" applyProtection="1">
      <alignment horizontal="center" vertical="center"/>
      <protection hidden="1"/>
    </xf>
    <xf numFmtId="0" fontId="15" fillId="7" borderId="49" xfId="0" applyFont="1" applyFill="1" applyBorder="1" applyAlignment="1" applyProtection="1">
      <alignment horizontal="left" vertical="center"/>
      <protection locked="0"/>
    </xf>
    <xf numFmtId="1" fontId="15" fillId="7" borderId="63" xfId="0" applyNumberFormat="1" applyFont="1" applyFill="1" applyBorder="1" applyAlignment="1" applyProtection="1">
      <alignment horizontal="center" vertical="center"/>
      <protection locked="0"/>
    </xf>
    <xf numFmtId="164" fontId="15" fillId="7" borderId="48" xfId="0" applyNumberFormat="1" applyFont="1" applyFill="1" applyBorder="1" applyAlignment="1" applyProtection="1">
      <alignment horizontal="center" vertical="center"/>
      <protection locked="0"/>
    </xf>
    <xf numFmtId="3" fontId="15" fillId="7" borderId="49" xfId="0" applyNumberFormat="1" applyFont="1" applyFill="1" applyBorder="1" applyAlignment="1" applyProtection="1">
      <alignment horizontal="center" vertical="center"/>
      <protection locked="0"/>
    </xf>
    <xf numFmtId="3" fontId="15" fillId="0" borderId="64" xfId="0" applyNumberFormat="1" applyFont="1" applyBorder="1" applyAlignment="1" applyProtection="1">
      <alignment horizontal="center" vertical="center"/>
      <protection hidden="1"/>
    </xf>
    <xf numFmtId="3" fontId="15" fillId="0" borderId="48" xfId="0" applyNumberFormat="1" applyFont="1" applyBorder="1" applyAlignment="1" applyProtection="1">
      <alignment horizontal="center" vertical="center"/>
      <protection hidden="1"/>
    </xf>
    <xf numFmtId="3" fontId="15" fillId="8" borderId="49" xfId="0" applyNumberFormat="1" applyFont="1" applyFill="1" applyBorder="1" applyAlignment="1">
      <alignment horizontal="center" vertical="center"/>
    </xf>
    <xf numFmtId="3" fontId="15" fillId="8" borderId="64" xfId="0" applyNumberFormat="1" applyFont="1" applyFill="1" applyBorder="1" applyAlignment="1" applyProtection="1">
      <alignment horizontal="center" vertical="center"/>
      <protection hidden="1"/>
    </xf>
    <xf numFmtId="3" fontId="15" fillId="8" borderId="50" xfId="0" applyNumberFormat="1" applyFont="1" applyFill="1" applyBorder="1" applyAlignment="1" applyProtection="1">
      <alignment horizontal="center" vertical="center"/>
      <protection hidden="1"/>
    </xf>
    <xf numFmtId="3" fontId="15" fillId="8" borderId="93" xfId="0" applyNumberFormat="1" applyFont="1" applyFill="1" applyBorder="1" applyAlignment="1" applyProtection="1">
      <alignment horizontal="center" vertical="center"/>
      <protection hidden="1"/>
    </xf>
    <xf numFmtId="3" fontId="15" fillId="0" borderId="50" xfId="0" applyNumberFormat="1" applyFont="1" applyBorder="1" applyAlignment="1" applyProtection="1">
      <alignment horizontal="center" vertical="center"/>
      <protection hidden="1"/>
    </xf>
    <xf numFmtId="0" fontId="48" fillId="0" borderId="81" xfId="0" applyFont="1" applyBorder="1" applyAlignment="1" applyProtection="1">
      <alignment horizontal="left" vertical="center"/>
      <protection hidden="1"/>
    </xf>
    <xf numFmtId="167" fontId="0" fillId="0" borderId="0" xfId="0" applyNumberFormat="1" applyAlignment="1">
      <alignment horizontal="right"/>
    </xf>
    <xf numFmtId="3" fontId="8" fillId="7" borderId="358" xfId="0" applyNumberFormat="1" applyFont="1" applyFill="1" applyBorder="1" applyAlignment="1" applyProtection="1">
      <alignment horizontal="center" vertical="center"/>
      <protection locked="0"/>
    </xf>
    <xf numFmtId="49" fontId="14" fillId="0" borderId="16" xfId="0" applyNumberFormat="1" applyFont="1" applyBorder="1" applyAlignment="1">
      <alignment horizontal="left" vertical="center" wrapText="1"/>
    </xf>
    <xf numFmtId="166" fontId="42" fillId="6" borderId="43" xfId="0" applyNumberFormat="1" applyFont="1" applyFill="1" applyBorder="1" applyAlignment="1" applyProtection="1">
      <alignment horizontal="center" vertical="center"/>
      <protection hidden="1"/>
    </xf>
    <xf numFmtId="49" fontId="14" fillId="0" borderId="7" xfId="0" applyNumberFormat="1" applyFont="1" applyBorder="1" applyAlignment="1">
      <alignment horizontal="left" vertical="center"/>
    </xf>
    <xf numFmtId="49" fontId="14" fillId="0" borderId="6" xfId="0" applyNumberFormat="1" applyFont="1" applyBorder="1" applyAlignment="1" applyProtection="1">
      <alignment horizontal="left" vertical="center"/>
      <protection hidden="1"/>
    </xf>
    <xf numFmtId="49" fontId="14" fillId="7" borderId="24" xfId="0" applyNumberFormat="1" applyFont="1" applyFill="1" applyBorder="1" applyAlignment="1" applyProtection="1">
      <alignment horizontal="left" vertical="center"/>
      <protection locked="0"/>
    </xf>
    <xf numFmtId="0" fontId="9" fillId="0" borderId="47" xfId="0" applyFont="1" applyBorder="1" applyAlignment="1">
      <alignment horizontal="center" vertical="center"/>
    </xf>
    <xf numFmtId="0" fontId="10" fillId="0" borderId="101" xfId="0" applyFont="1" applyBorder="1" applyAlignment="1">
      <alignment vertical="center"/>
    </xf>
    <xf numFmtId="164" fontId="80" fillId="0" borderId="18" xfId="2" applyNumberFormat="1" applyFont="1" applyFill="1" applyBorder="1" applyAlignment="1" applyProtection="1">
      <alignment horizontal="center" vertical="center"/>
    </xf>
    <xf numFmtId="166" fontId="42" fillId="7" borderId="359" xfId="0" applyNumberFormat="1" applyFont="1" applyFill="1" applyBorder="1" applyAlignment="1" applyProtection="1">
      <alignment horizontal="center" vertical="center"/>
      <protection locked="0"/>
    </xf>
    <xf numFmtId="166" fontId="42" fillId="7" borderId="18" xfId="0" applyNumberFormat="1" applyFont="1" applyFill="1" applyBorder="1" applyAlignment="1" applyProtection="1">
      <alignment horizontal="center" vertical="center"/>
      <protection locked="0"/>
    </xf>
    <xf numFmtId="3" fontId="15" fillId="12" borderId="36" xfId="0" applyNumberFormat="1" applyFont="1" applyFill="1" applyBorder="1" applyAlignment="1">
      <alignment horizontal="center" vertical="center"/>
    </xf>
    <xf numFmtId="3" fontId="42" fillId="6" borderId="29" xfId="0" applyNumberFormat="1" applyFont="1" applyFill="1" applyBorder="1" applyAlignment="1" applyProtection="1">
      <alignment horizontal="center" vertical="center"/>
      <protection hidden="1"/>
    </xf>
    <xf numFmtId="0" fontId="14" fillId="0" borderId="14" xfId="0" applyFont="1" applyBorder="1" applyAlignment="1">
      <alignment horizontal="left" vertical="center"/>
    </xf>
    <xf numFmtId="1" fontId="74" fillId="11" borderId="0" xfId="0" applyNumberFormat="1" applyFont="1" applyFill="1" applyAlignment="1" applyProtection="1">
      <alignment horizontal="right" vertical="center" indent="1"/>
      <protection hidden="1"/>
    </xf>
    <xf numFmtId="0" fontId="10" fillId="0" borderId="317" xfId="0" applyFont="1" applyBorder="1" applyAlignment="1">
      <alignment horizontal="left" vertical="center"/>
    </xf>
    <xf numFmtId="0" fontId="10" fillId="0" borderId="11" xfId="0" applyFont="1" applyBorder="1" applyAlignment="1">
      <alignment horizontal="left" vertical="center"/>
    </xf>
    <xf numFmtId="168" fontId="78" fillId="11" borderId="38" xfId="0" applyNumberFormat="1" applyFont="1" applyFill="1" applyBorder="1" applyAlignment="1">
      <alignment horizontal="center" vertical="center"/>
    </xf>
    <xf numFmtId="168" fontId="78" fillId="11" borderId="56" xfId="0" applyNumberFormat="1" applyFont="1" applyFill="1" applyBorder="1" applyAlignment="1">
      <alignment horizontal="center" vertical="center"/>
    </xf>
    <xf numFmtId="168" fontId="78" fillId="11" borderId="55" xfId="0" applyNumberFormat="1" applyFont="1" applyFill="1" applyBorder="1" applyAlignment="1">
      <alignment horizontal="center" vertical="center"/>
    </xf>
    <xf numFmtId="0" fontId="7" fillId="0" borderId="24" xfId="0" applyFont="1" applyBorder="1" applyAlignment="1">
      <alignment vertical="center"/>
    </xf>
    <xf numFmtId="0" fontId="7" fillId="0" borderId="17" xfId="0" applyFont="1" applyBorder="1" applyAlignment="1">
      <alignment vertical="center"/>
    </xf>
    <xf numFmtId="0" fontId="6" fillId="2" borderId="0" xfId="0" applyFont="1" applyFill="1" applyAlignment="1">
      <alignment horizontal="left" vertical="center"/>
    </xf>
    <xf numFmtId="49" fontId="5" fillId="7" borderId="18" xfId="0" applyNumberFormat="1" applyFont="1" applyFill="1" applyBorder="1" applyAlignment="1" applyProtection="1">
      <alignment horizontal="center" vertical="center"/>
      <protection locked="0"/>
    </xf>
    <xf numFmtId="0" fontId="10" fillId="0" borderId="18" xfId="0" applyFont="1" applyBorder="1" applyAlignment="1">
      <alignment horizontal="center" vertical="center"/>
    </xf>
    <xf numFmtId="1" fontId="11" fillId="2" borderId="0" xfId="0" applyNumberFormat="1" applyFont="1" applyFill="1" applyAlignment="1">
      <alignment horizontal="left" vertical="center"/>
    </xf>
    <xf numFmtId="0" fontId="58" fillId="11" borderId="56" xfId="0" applyFont="1" applyFill="1" applyBorder="1" applyAlignment="1">
      <alignment horizontal="center" vertical="center"/>
    </xf>
    <xf numFmtId="0" fontId="74" fillId="11" borderId="15" xfId="0" applyFont="1" applyFill="1" applyBorder="1" applyAlignment="1">
      <alignment horizontal="left" vertical="center" indent="1"/>
    </xf>
    <xf numFmtId="0" fontId="78" fillId="11" borderId="56" xfId="0" applyFont="1" applyFill="1" applyBorder="1" applyAlignment="1">
      <alignment horizontal="center" vertical="center"/>
    </xf>
    <xf numFmtId="166" fontId="42" fillId="7" borderId="360" xfId="0" applyNumberFormat="1" applyFont="1" applyFill="1" applyBorder="1" applyAlignment="1" applyProtection="1">
      <alignment horizontal="center" vertical="center"/>
      <protection locked="0"/>
    </xf>
    <xf numFmtId="0" fontId="75" fillId="11" borderId="18" xfId="0" applyFont="1" applyFill="1" applyBorder="1" applyAlignment="1">
      <alignment horizontal="center" vertical="center"/>
    </xf>
    <xf numFmtId="0" fontId="75" fillId="11" borderId="88" xfId="0" applyFont="1" applyFill="1" applyBorder="1" applyAlignment="1">
      <alignment horizontal="center" vertical="center"/>
    </xf>
    <xf numFmtId="0" fontId="15" fillId="7" borderId="0" xfId="0" applyFont="1" applyFill="1" applyAlignment="1" applyProtection="1">
      <alignment vertical="center"/>
      <protection locked="0"/>
    </xf>
    <xf numFmtId="0" fontId="92" fillId="0" borderId="0" xfId="0" applyFont="1" applyAlignment="1">
      <alignment vertical="center"/>
    </xf>
    <xf numFmtId="164" fontId="15" fillId="7" borderId="85" xfId="0" applyNumberFormat="1" applyFont="1" applyFill="1" applyBorder="1" applyAlignment="1" applyProtection="1">
      <alignment horizontal="center" vertical="center"/>
      <protection locked="0"/>
    </xf>
    <xf numFmtId="0" fontId="14" fillId="0" borderId="50" xfId="0" applyFont="1" applyBorder="1" applyAlignment="1">
      <alignment vertical="center"/>
    </xf>
    <xf numFmtId="0" fontId="9" fillId="0" borderId="332" xfId="0" applyFont="1" applyBorder="1"/>
    <xf numFmtId="3" fontId="15" fillId="7" borderId="18" xfId="0" applyNumberFormat="1" applyFont="1" applyFill="1" applyBorder="1" applyAlignment="1">
      <alignment horizontal="center" vertical="center"/>
    </xf>
    <xf numFmtId="0" fontId="10" fillId="7" borderId="0" xfId="0" applyFont="1" applyFill="1" applyAlignment="1" applyProtection="1">
      <alignment horizontal="left" vertical="center" indent="1"/>
      <protection locked="0"/>
    </xf>
    <xf numFmtId="164" fontId="10"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left" vertical="center" indent="1"/>
      <protection locked="0"/>
    </xf>
    <xf numFmtId="0" fontId="14" fillId="0" borderId="0" xfId="0" applyFont="1" applyAlignment="1" applyProtection="1">
      <alignment horizontal="right"/>
      <protection hidden="1"/>
    </xf>
    <xf numFmtId="0" fontId="15" fillId="0" borderId="362" xfId="0" applyFont="1" applyBorder="1" applyAlignment="1" applyProtection="1">
      <alignment horizontal="center"/>
      <protection hidden="1"/>
    </xf>
    <xf numFmtId="0" fontId="10" fillId="7" borderId="363" xfId="0" applyFont="1" applyFill="1" applyBorder="1" applyProtection="1">
      <protection locked="0"/>
    </xf>
    <xf numFmtId="0" fontId="15" fillId="0" borderId="364" xfId="0" applyFont="1" applyBorder="1" applyAlignment="1" applyProtection="1">
      <alignment horizontal="center" vertical="center"/>
      <protection hidden="1"/>
    </xf>
    <xf numFmtId="0" fontId="10" fillId="7" borderId="365" xfId="0" applyFont="1" applyFill="1" applyBorder="1" applyProtection="1">
      <protection locked="0"/>
    </xf>
    <xf numFmtId="0" fontId="10" fillId="7" borderId="366" xfId="0" applyFont="1" applyFill="1" applyBorder="1" applyProtection="1">
      <protection locked="0"/>
    </xf>
    <xf numFmtId="0" fontId="10" fillId="7" borderId="363" xfId="0" applyFont="1" applyFill="1" applyBorder="1" applyAlignment="1" applyProtection="1">
      <alignment vertical="center"/>
      <protection locked="0"/>
    </xf>
    <xf numFmtId="0" fontId="14" fillId="0" borderId="365" xfId="0" applyFont="1" applyBorder="1" applyAlignment="1" applyProtection="1">
      <alignment vertical="center"/>
      <protection hidden="1"/>
    </xf>
    <xf numFmtId="0" fontId="14" fillId="0" borderId="365" xfId="0" applyFont="1" applyBorder="1" applyProtection="1">
      <protection hidden="1"/>
    </xf>
    <xf numFmtId="0" fontId="10" fillId="7" borderId="365" xfId="0" applyFont="1" applyFill="1" applyBorder="1" applyAlignment="1" applyProtection="1">
      <alignment vertical="center"/>
      <protection locked="0"/>
    </xf>
    <xf numFmtId="0" fontId="10" fillId="7" borderId="366" xfId="0" applyFont="1" applyFill="1" applyBorder="1" applyAlignment="1" applyProtection="1">
      <alignment vertical="center"/>
      <protection locked="0"/>
    </xf>
    <xf numFmtId="0" fontId="15" fillId="0" borderId="362" xfId="0" applyFont="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167" fontId="10" fillId="0" borderId="368" xfId="0" applyNumberFormat="1" applyFont="1" applyBorder="1" applyAlignment="1" applyProtection="1">
      <alignment horizontal="center" vertical="center"/>
      <protection hidden="1"/>
    </xf>
    <xf numFmtId="167" fontId="10" fillId="6" borderId="368" xfId="0" applyNumberFormat="1" applyFont="1" applyFill="1" applyBorder="1" applyAlignment="1" applyProtection="1">
      <alignment horizontal="center" vertical="center"/>
      <protection hidden="1"/>
    </xf>
    <xf numFmtId="167" fontId="15" fillId="6" borderId="368" xfId="0" applyNumberFormat="1" applyFont="1" applyFill="1" applyBorder="1" applyAlignment="1" applyProtection="1">
      <alignment horizontal="center" vertical="center"/>
      <protection hidden="1"/>
    </xf>
    <xf numFmtId="167" fontId="14" fillId="0" borderId="368" xfId="0" applyNumberFormat="1" applyFont="1" applyBorder="1" applyAlignment="1" applyProtection="1">
      <alignment horizontal="center" vertical="center"/>
      <protection hidden="1"/>
    </xf>
    <xf numFmtId="0" fontId="75" fillId="11" borderId="368" xfId="0" applyFont="1" applyFill="1" applyBorder="1" applyAlignment="1" applyProtection="1">
      <alignment horizontal="center" vertical="center"/>
      <protection hidden="1"/>
    </xf>
    <xf numFmtId="49" fontId="75" fillId="11" borderId="368" xfId="0" applyNumberFormat="1" applyFont="1" applyFill="1" applyBorder="1" applyAlignment="1" applyProtection="1">
      <alignment horizontal="center" vertical="center"/>
      <protection hidden="1"/>
    </xf>
    <xf numFmtId="0" fontId="15" fillId="0" borderId="368" xfId="0" applyFont="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3" fontId="14" fillId="0" borderId="368" xfId="0" applyNumberFormat="1" applyFont="1" applyBorder="1" applyAlignment="1" applyProtection="1">
      <alignment horizontal="center" vertical="center"/>
      <protection hidden="1"/>
    </xf>
    <xf numFmtId="167" fontId="15" fillId="0" borderId="367" xfId="0" applyNumberFormat="1" applyFont="1" applyBorder="1" applyAlignment="1" applyProtection="1">
      <alignment horizontal="center" vertical="center"/>
      <protection hidden="1"/>
    </xf>
    <xf numFmtId="0" fontId="15" fillId="0" borderId="370" xfId="0" applyFont="1" applyBorder="1" applyAlignment="1" applyProtection="1">
      <alignment horizontal="left" vertical="center" wrapText="1"/>
      <protection hidden="1"/>
    </xf>
    <xf numFmtId="0" fontId="74" fillId="11" borderId="378" xfId="0" applyFont="1" applyFill="1" applyBorder="1" applyAlignment="1" applyProtection="1">
      <alignment horizontal="center" vertical="center"/>
      <protection hidden="1"/>
    </xf>
    <xf numFmtId="1" fontId="74" fillId="11" borderId="378" xfId="0" applyNumberFormat="1" applyFont="1" applyFill="1" applyBorder="1" applyAlignment="1" applyProtection="1">
      <alignment horizontal="center" vertical="center"/>
      <protection hidden="1"/>
    </xf>
    <xf numFmtId="3" fontId="14" fillId="0" borderId="367" xfId="0" applyNumberFormat="1" applyFont="1" applyBorder="1" applyAlignment="1" applyProtection="1">
      <alignment horizontal="center" vertical="center"/>
      <protection hidden="1"/>
    </xf>
    <xf numFmtId="3" fontId="7" fillId="0" borderId="367" xfId="0" applyNumberFormat="1" applyFont="1" applyBorder="1" applyAlignment="1" applyProtection="1">
      <alignment horizontal="center" vertical="center"/>
      <protection hidden="1"/>
    </xf>
    <xf numFmtId="3" fontId="10" fillId="0" borderId="368" xfId="0" applyNumberFormat="1" applyFont="1" applyBorder="1" applyAlignment="1" applyProtection="1">
      <alignment horizontal="center" vertical="center"/>
      <protection hidden="1"/>
    </xf>
    <xf numFmtId="3" fontId="7" fillId="0" borderId="368" xfId="0" applyNumberFormat="1" applyFont="1" applyBorder="1" applyAlignment="1" applyProtection="1">
      <alignment horizontal="center" vertical="center"/>
      <protection hidden="1"/>
    </xf>
    <xf numFmtId="167" fontId="7" fillId="0" borderId="368" xfId="0" applyNumberFormat="1" applyFont="1" applyBorder="1" applyAlignment="1" applyProtection="1">
      <alignment horizontal="center" vertical="center"/>
      <protection hidden="1"/>
    </xf>
    <xf numFmtId="167" fontId="14" fillId="0" borderId="365" xfId="0" applyNumberFormat="1" applyFont="1" applyBorder="1" applyAlignment="1" applyProtection="1">
      <alignment vertical="center"/>
      <protection hidden="1"/>
    </xf>
    <xf numFmtId="1" fontId="14" fillId="0" borderId="365" xfId="0" applyNumberFormat="1" applyFont="1" applyBorder="1" applyAlignment="1" applyProtection="1">
      <alignment horizontal="center" vertical="center"/>
      <protection hidden="1"/>
    </xf>
    <xf numFmtId="167" fontId="14" fillId="8" borderId="365" xfId="0" applyNumberFormat="1" applyFont="1" applyFill="1" applyBorder="1" applyAlignment="1" applyProtection="1">
      <alignment vertical="center"/>
      <protection hidden="1"/>
    </xf>
    <xf numFmtId="1" fontId="14" fillId="8" borderId="365" xfId="0" applyNumberFormat="1" applyFont="1" applyFill="1" applyBorder="1" applyAlignment="1" applyProtection="1">
      <alignment horizontal="center" vertical="center"/>
      <protection hidden="1"/>
    </xf>
    <xf numFmtId="0" fontId="15" fillId="0" borderId="371" xfId="0" applyFont="1" applyBorder="1" applyAlignment="1" applyProtection="1">
      <alignment vertical="center"/>
      <protection hidden="1"/>
    </xf>
    <xf numFmtId="167" fontId="15" fillId="0" borderId="371" xfId="0" applyNumberFormat="1" applyFont="1" applyBorder="1" applyAlignment="1" applyProtection="1">
      <alignment vertical="center"/>
      <protection hidden="1"/>
    </xf>
    <xf numFmtId="166"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vertical="center"/>
      <protection hidden="1"/>
    </xf>
    <xf numFmtId="166" fontId="15" fillId="8" borderId="371" xfId="0" applyNumberFormat="1" applyFont="1" applyFill="1" applyBorder="1" applyAlignment="1" applyProtection="1">
      <alignment horizontal="center" vertical="center"/>
      <protection hidden="1"/>
    </xf>
    <xf numFmtId="0" fontId="14" fillId="0" borderId="371" xfId="0" applyFont="1" applyBorder="1" applyAlignment="1" applyProtection="1">
      <alignment horizontal="left" vertical="center"/>
      <protection hidden="1"/>
    </xf>
    <xf numFmtId="0" fontId="14" fillId="0" borderId="371" xfId="0" applyFont="1" applyBorder="1" applyAlignment="1" applyProtection="1">
      <alignment vertical="center"/>
      <protection hidden="1"/>
    </xf>
    <xf numFmtId="167" fontId="14" fillId="0" borderId="371" xfId="0" applyNumberFormat="1" applyFont="1" applyBorder="1" applyAlignment="1" applyProtection="1">
      <alignment vertical="center"/>
      <protection hidden="1"/>
    </xf>
    <xf numFmtId="3" fontId="14" fillId="0" borderId="371" xfId="0" applyNumberFormat="1" applyFont="1" applyBorder="1" applyAlignment="1" applyProtection="1">
      <alignment horizontal="center" vertical="center"/>
      <protection hidden="1"/>
    </xf>
    <xf numFmtId="167" fontId="14" fillId="8" borderId="371" xfId="0" applyNumberFormat="1" applyFont="1" applyFill="1" applyBorder="1" applyAlignment="1" applyProtection="1">
      <alignment vertical="center"/>
      <protection hidden="1"/>
    </xf>
    <xf numFmtId="3" fontId="14" fillId="8" borderId="371" xfId="0" applyNumberFormat="1" applyFont="1" applyFill="1" applyBorder="1" applyAlignment="1" applyProtection="1">
      <alignment horizontal="center" vertical="center"/>
      <protection hidden="1"/>
    </xf>
    <xf numFmtId="0" fontId="15" fillId="0" borderId="371" xfId="0" applyFont="1" applyBorder="1" applyAlignment="1" applyProtection="1">
      <alignment horizontal="left" vertical="center"/>
      <protection hidden="1"/>
    </xf>
    <xf numFmtId="166" fontId="14" fillId="0" borderId="371" xfId="0" applyNumberFormat="1" applyFont="1" applyBorder="1" applyAlignment="1" applyProtection="1">
      <alignment horizontal="center" vertical="center"/>
      <protection hidden="1"/>
    </xf>
    <xf numFmtId="166" fontId="14" fillId="8" borderId="371" xfId="0" applyNumberFormat="1" applyFont="1" applyFill="1" applyBorder="1" applyAlignment="1" applyProtection="1">
      <alignment horizontal="center" vertical="center"/>
      <protection hidden="1"/>
    </xf>
    <xf numFmtId="49" fontId="76" fillId="11" borderId="369" xfId="0" applyNumberFormat="1" applyFont="1" applyFill="1" applyBorder="1" applyAlignment="1" applyProtection="1">
      <alignment horizontal="center"/>
      <protection hidden="1"/>
    </xf>
    <xf numFmtId="0" fontId="76" fillId="11" borderId="369" xfId="0" applyFont="1" applyFill="1" applyBorder="1" applyAlignment="1" applyProtection="1">
      <alignment horizontal="center"/>
      <protection hidden="1"/>
    </xf>
    <xf numFmtId="0" fontId="70" fillId="11" borderId="0" xfId="0" applyFont="1" applyFill="1" applyAlignment="1">
      <alignment horizontal="left" vertical="center" indent="1"/>
    </xf>
    <xf numFmtId="49" fontId="76" fillId="11" borderId="0" xfId="0" applyNumberFormat="1" applyFont="1" applyFill="1" applyAlignment="1" applyProtection="1">
      <alignment horizontal="center"/>
      <protection hidden="1"/>
    </xf>
    <xf numFmtId="0" fontId="76" fillId="11" borderId="0" xfId="0" applyFont="1" applyFill="1" applyAlignment="1" applyProtection="1">
      <alignment horizontal="center"/>
      <protection hidden="1"/>
    </xf>
    <xf numFmtId="0" fontId="15" fillId="0" borderId="371" xfId="0" applyFont="1" applyBorder="1" applyProtection="1">
      <protection hidden="1"/>
    </xf>
    <xf numFmtId="0" fontId="15" fillId="0" borderId="370" xfId="0" applyFont="1" applyBorder="1" applyProtection="1">
      <protection hidden="1"/>
    </xf>
    <xf numFmtId="0" fontId="15" fillId="0" borderId="371" xfId="0" applyFont="1" applyBorder="1" applyAlignment="1" applyProtection="1">
      <alignment horizontal="left" vertical="center" wrapText="1"/>
      <protection hidden="1"/>
    </xf>
    <xf numFmtId="0" fontId="14" fillId="0" borderId="371" xfId="0" applyFont="1" applyBorder="1" applyProtection="1">
      <protection hidden="1"/>
    </xf>
    <xf numFmtId="0" fontId="14" fillId="0" borderId="370" xfId="0" applyFont="1" applyBorder="1" applyProtection="1">
      <protection hidden="1"/>
    </xf>
    <xf numFmtId="3" fontId="14" fillId="0" borderId="371" xfId="0" applyNumberFormat="1" applyFont="1" applyBorder="1" applyAlignment="1" applyProtection="1">
      <alignment vertical="center"/>
      <protection hidden="1"/>
    </xf>
    <xf numFmtId="0" fontId="76" fillId="11" borderId="368" xfId="0" applyFont="1" applyFill="1" applyBorder="1" applyAlignment="1">
      <alignment horizontal="center" vertical="center"/>
    </xf>
    <xf numFmtId="3" fontId="15" fillId="8" borderId="368" xfId="0" applyNumberFormat="1" applyFont="1" applyFill="1" applyBorder="1" applyAlignment="1" applyProtection="1">
      <alignment horizontal="center" vertical="center"/>
      <protection hidden="1"/>
    </xf>
    <xf numFmtId="1" fontId="15" fillId="8" borderId="368" xfId="0" applyNumberFormat="1" applyFont="1" applyFill="1" applyBorder="1" applyAlignment="1" applyProtection="1">
      <alignment horizontal="center" vertical="center"/>
      <protection hidden="1"/>
    </xf>
    <xf numFmtId="166" fontId="15" fillId="8" borderId="368" xfId="0" applyNumberFormat="1" applyFont="1" applyFill="1" applyBorder="1" applyAlignment="1" applyProtection="1">
      <alignment horizontal="center" vertical="center"/>
      <protection hidden="1"/>
    </xf>
    <xf numFmtId="167" fontId="15" fillId="8" borderId="368" xfId="0" applyNumberFormat="1" applyFont="1" applyFill="1" applyBorder="1" applyAlignment="1" applyProtection="1">
      <alignment horizontal="center" vertical="center"/>
      <protection hidden="1"/>
    </xf>
    <xf numFmtId="0" fontId="74" fillId="11" borderId="368" xfId="0" applyFont="1" applyFill="1" applyBorder="1" applyAlignment="1" applyProtection="1">
      <alignment horizontal="left" vertical="center"/>
      <protection hidden="1"/>
    </xf>
    <xf numFmtId="0" fontId="78" fillId="11" borderId="368" xfId="0" applyFont="1" applyFill="1" applyBorder="1" applyAlignment="1" applyProtection="1">
      <alignment horizontal="center" vertical="center"/>
      <protection hidden="1"/>
    </xf>
    <xf numFmtId="0" fontId="78" fillId="11" borderId="368" xfId="0" applyFont="1" applyFill="1" applyBorder="1" applyAlignment="1" applyProtection="1">
      <alignment horizontal="center" vertical="center" wrapText="1"/>
      <protection hidden="1"/>
    </xf>
    <xf numFmtId="166" fontId="74" fillId="11" borderId="368" xfId="0" applyNumberFormat="1" applyFont="1" applyFill="1" applyBorder="1" applyAlignment="1" applyProtection="1">
      <alignment horizontal="center" vertical="center"/>
      <protection hidden="1"/>
    </xf>
    <xf numFmtId="172" fontId="14" fillId="8" borderId="368" xfId="0" applyNumberFormat="1" applyFont="1" applyFill="1" applyBorder="1" applyAlignment="1" applyProtection="1">
      <alignment horizontal="center" vertical="center"/>
      <protection hidden="1"/>
    </xf>
    <xf numFmtId="3" fontId="14" fillId="12" borderId="368" xfId="0" applyNumberFormat="1" applyFont="1" applyFill="1" applyBorder="1" applyAlignment="1" applyProtection="1">
      <alignment horizontal="center" vertical="center"/>
      <protection hidden="1"/>
    </xf>
    <xf numFmtId="164" fontId="14" fillId="6" borderId="368" xfId="0" applyNumberFormat="1" applyFont="1" applyFill="1" applyBorder="1" applyAlignment="1" applyProtection="1">
      <alignment horizontal="center" vertical="center"/>
      <protection hidden="1"/>
    </xf>
    <xf numFmtId="3" fontId="14" fillId="8" borderId="368" xfId="0" applyNumberFormat="1" applyFont="1" applyFill="1" applyBorder="1" applyAlignment="1" applyProtection="1">
      <alignment horizontal="center" vertical="center"/>
      <protection hidden="1"/>
    </xf>
    <xf numFmtId="167" fontId="14" fillId="8" borderId="368" xfId="0" applyNumberFormat="1" applyFont="1" applyFill="1" applyBorder="1" applyAlignment="1" applyProtection="1">
      <alignment horizontal="center" vertical="center"/>
      <protection hidden="1"/>
    </xf>
    <xf numFmtId="0" fontId="14" fillId="11" borderId="368" xfId="0" applyFont="1" applyFill="1" applyBorder="1" applyAlignment="1" applyProtection="1">
      <alignment vertical="center"/>
      <protection hidden="1"/>
    </xf>
    <xf numFmtId="3" fontId="14" fillId="11" borderId="368" xfId="0" applyNumberFormat="1" applyFont="1" applyFill="1" applyBorder="1" applyAlignment="1" applyProtection="1">
      <alignment horizontal="center" vertical="center"/>
      <protection hidden="1"/>
    </xf>
    <xf numFmtId="1" fontId="14" fillId="11" borderId="368" xfId="0" applyNumberFormat="1" applyFont="1" applyFill="1" applyBorder="1" applyAlignment="1" applyProtection="1">
      <alignment horizontal="center" vertical="center"/>
      <protection hidden="1"/>
    </xf>
    <xf numFmtId="166" fontId="14" fillId="11" borderId="368" xfId="0" applyNumberFormat="1" applyFont="1" applyFill="1" applyBorder="1" applyAlignment="1" applyProtection="1">
      <alignment horizontal="center" vertical="center"/>
      <protection hidden="1"/>
    </xf>
    <xf numFmtId="0" fontId="74" fillId="11" borderId="367" xfId="0" applyFont="1" applyFill="1" applyBorder="1" applyAlignment="1">
      <alignment horizontal="left" vertical="center"/>
    </xf>
    <xf numFmtId="0" fontId="78" fillId="11" borderId="367" xfId="0" applyFont="1" applyFill="1" applyBorder="1" applyAlignment="1">
      <alignment horizontal="center" vertical="center"/>
    </xf>
    <xf numFmtId="0" fontId="14" fillId="0" borderId="368" xfId="0" applyFont="1" applyBorder="1" applyAlignment="1" applyProtection="1">
      <alignment horizontal="center" vertical="center"/>
      <protection hidden="1"/>
    </xf>
    <xf numFmtId="166" fontId="15" fillId="0" borderId="368" xfId="0" applyNumberFormat="1" applyFont="1" applyBorder="1" applyAlignment="1" applyProtection="1">
      <alignment horizontal="center" vertical="center" shrinkToFit="1"/>
      <protection hidden="1"/>
    </xf>
    <xf numFmtId="0" fontId="15" fillId="0" borderId="368" xfId="0" applyFont="1" applyBorder="1" applyAlignment="1" applyProtection="1">
      <alignment horizontal="center" vertical="center" shrinkToFit="1"/>
      <protection hidden="1"/>
    </xf>
    <xf numFmtId="167" fontId="15" fillId="0" borderId="368" xfId="0" applyNumberFormat="1" applyFont="1" applyBorder="1" applyAlignment="1" applyProtection="1">
      <alignment horizontal="center" vertical="center" shrinkToFit="1"/>
      <protection hidden="1"/>
    </xf>
    <xf numFmtId="1" fontId="14" fillId="6" borderId="368" xfId="0" applyNumberFormat="1" applyFont="1" applyFill="1" applyBorder="1" applyAlignment="1" applyProtection="1">
      <alignment horizontal="center" vertical="center"/>
      <protection hidden="1"/>
    </xf>
    <xf numFmtId="166"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66" fontId="14" fillId="0" borderId="368" xfId="0" applyNumberFormat="1" applyFont="1" applyBorder="1" applyAlignment="1" applyProtection="1">
      <alignment horizontal="center" vertical="center" shrinkToFit="1"/>
      <protection hidden="1"/>
    </xf>
    <xf numFmtId="0" fontId="14" fillId="0" borderId="368" xfId="0" applyFont="1" applyBorder="1" applyAlignment="1" applyProtection="1">
      <alignment horizontal="center" vertical="center" shrinkToFit="1"/>
      <protection hidden="1"/>
    </xf>
    <xf numFmtId="167" fontId="14" fillId="0" borderId="368" xfId="0" applyNumberFormat="1" applyFont="1" applyBorder="1" applyAlignment="1" applyProtection="1">
      <alignment horizontal="center" vertical="center" shrinkToFit="1"/>
      <protection hidden="1"/>
    </xf>
    <xf numFmtId="166" fontId="14" fillId="8" borderId="384" xfId="0" applyNumberFormat="1" applyFont="1" applyFill="1" applyBorder="1" applyAlignment="1" applyProtection="1">
      <alignment horizontal="center" vertical="center"/>
      <protection hidden="1"/>
    </xf>
    <xf numFmtId="167" fontId="14" fillId="8" borderId="384" xfId="0" applyNumberFormat="1" applyFont="1" applyFill="1" applyBorder="1" applyAlignment="1" applyProtection="1">
      <alignment horizontal="center" vertical="center"/>
      <protection hidden="1"/>
    </xf>
    <xf numFmtId="0" fontId="14" fillId="0" borderId="383" xfId="0" applyFont="1" applyBorder="1" applyAlignment="1" applyProtection="1">
      <alignment vertical="center"/>
      <protection hidden="1"/>
    </xf>
    <xf numFmtId="0" fontId="14" fillId="0" borderId="370" xfId="0" applyFont="1" applyBorder="1" applyAlignment="1" applyProtection="1">
      <alignment vertical="center"/>
      <protection hidden="1"/>
    </xf>
    <xf numFmtId="0" fontId="14" fillId="0" borderId="383" xfId="0" applyFont="1" applyBorder="1" applyAlignment="1" applyProtection="1">
      <alignment horizontal="left" vertical="center" indent="1"/>
      <protection hidden="1"/>
    </xf>
    <xf numFmtId="0" fontId="14" fillId="0" borderId="370" xfId="0" applyFont="1" applyBorder="1" applyAlignment="1" applyProtection="1">
      <alignment horizontal="left" vertical="center" indent="1"/>
      <protection hidden="1"/>
    </xf>
    <xf numFmtId="3" fontId="15" fillId="6" borderId="385" xfId="0" applyNumberFormat="1" applyFont="1" applyFill="1" applyBorder="1" applyAlignment="1" applyProtection="1">
      <alignment horizontal="center" vertical="center"/>
      <protection hidden="1"/>
    </xf>
    <xf numFmtId="1" fontId="15" fillId="6" borderId="386" xfId="0" applyNumberFormat="1" applyFont="1" applyFill="1" applyBorder="1" applyAlignment="1" applyProtection="1">
      <alignment horizontal="center" vertical="center"/>
      <protection hidden="1"/>
    </xf>
    <xf numFmtId="164" fontId="15" fillId="6" borderId="386" xfId="0" applyNumberFormat="1" applyFont="1" applyFill="1" applyBorder="1" applyAlignment="1" applyProtection="1">
      <alignment horizontal="center" vertical="center"/>
      <protection hidden="1"/>
    </xf>
    <xf numFmtId="3" fontId="15" fillId="6" borderId="386" xfId="0" applyNumberFormat="1" applyFont="1" applyFill="1" applyBorder="1" applyAlignment="1" applyProtection="1">
      <alignment horizontal="center" vertical="center"/>
      <protection hidden="1"/>
    </xf>
    <xf numFmtId="1" fontId="15" fillId="6" borderId="387" xfId="0" applyNumberFormat="1" applyFont="1" applyFill="1" applyBorder="1" applyAlignment="1" applyProtection="1">
      <alignment horizontal="center" vertical="center"/>
      <protection hidden="1"/>
    </xf>
    <xf numFmtId="3" fontId="14" fillId="6" borderId="385" xfId="0" applyNumberFormat="1" applyFont="1" applyFill="1" applyBorder="1" applyAlignment="1" applyProtection="1">
      <alignment horizontal="center" vertical="center"/>
      <protection hidden="1"/>
    </xf>
    <xf numFmtId="1" fontId="14" fillId="6" borderId="387" xfId="0" applyNumberFormat="1" applyFont="1" applyFill="1" applyBorder="1" applyAlignment="1" applyProtection="1">
      <alignment horizontal="center" vertical="center"/>
      <protection hidden="1"/>
    </xf>
    <xf numFmtId="0" fontId="15" fillId="0" borderId="365" xfId="0" applyFont="1" applyBorder="1" applyProtection="1">
      <protection hidden="1"/>
    </xf>
    <xf numFmtId="0" fontId="15" fillId="0" borderId="366" xfId="0" applyFont="1" applyBorder="1" applyProtection="1">
      <protection hidden="1"/>
    </xf>
    <xf numFmtId="0" fontId="15" fillId="0" borderId="371" xfId="0" applyFont="1" applyBorder="1" applyAlignment="1" applyProtection="1">
      <alignment horizontal="left"/>
      <protection hidden="1"/>
    </xf>
    <xf numFmtId="0" fontId="15" fillId="0" borderId="370" xfId="0" applyFont="1" applyBorder="1" applyAlignment="1" applyProtection="1">
      <alignment horizontal="left"/>
      <protection hidden="1"/>
    </xf>
    <xf numFmtId="0" fontId="15" fillId="0" borderId="365" xfId="0" applyFont="1" applyBorder="1" applyAlignment="1" applyProtection="1">
      <alignment horizontal="left"/>
      <protection hidden="1"/>
    </xf>
    <xf numFmtId="0" fontId="15" fillId="0" borderId="366" xfId="0" applyFont="1" applyBorder="1" applyAlignment="1" applyProtection="1">
      <alignment horizontal="left"/>
      <protection hidden="1"/>
    </xf>
    <xf numFmtId="0" fontId="15" fillId="0" borderId="380" xfId="0" applyFont="1" applyBorder="1" applyAlignment="1" applyProtection="1">
      <alignment horizontal="center" vertical="center"/>
      <protection hidden="1"/>
    </xf>
    <xf numFmtId="0" fontId="10" fillId="6" borderId="362" xfId="0" applyFont="1" applyFill="1" applyBorder="1" applyAlignment="1" applyProtection="1">
      <alignment horizontal="center" vertical="center"/>
      <protection hidden="1"/>
    </xf>
    <xf numFmtId="0" fontId="14" fillId="6" borderId="0" xfId="0" applyFont="1" applyFill="1" applyAlignment="1" applyProtection="1">
      <alignment horizontal="left" vertical="center"/>
      <protection hidden="1"/>
    </xf>
    <xf numFmtId="0" fontId="7" fillId="6" borderId="0" xfId="0" applyFont="1" applyFill="1" applyAlignment="1" applyProtection="1">
      <alignment horizontal="center" vertical="center"/>
      <protection hidden="1"/>
    </xf>
    <xf numFmtId="0" fontId="15" fillId="0" borderId="383" xfId="0" applyFont="1" applyBorder="1" applyAlignment="1" applyProtection="1">
      <alignment horizontal="center"/>
      <protection hidden="1"/>
    </xf>
    <xf numFmtId="167" fontId="15" fillId="0" borderId="371" xfId="0" applyNumberFormat="1" applyFont="1" applyBorder="1" applyAlignment="1" applyProtection="1">
      <alignment horizontal="center"/>
      <protection hidden="1"/>
    </xf>
    <xf numFmtId="0" fontId="47" fillId="0" borderId="371" xfId="0" applyFont="1" applyBorder="1" applyAlignment="1" applyProtection="1">
      <alignment horizontal="right"/>
      <protection hidden="1"/>
    </xf>
    <xf numFmtId="0" fontId="14" fillId="0" borderId="371" xfId="0" applyFont="1" applyBorder="1" applyAlignment="1" applyProtection="1">
      <alignment horizontal="right"/>
      <protection hidden="1"/>
    </xf>
    <xf numFmtId="0" fontId="14" fillId="0" borderId="362" xfId="0" applyFont="1" applyBorder="1" applyAlignment="1" applyProtection="1">
      <alignment horizontal="center"/>
      <protection hidden="1"/>
    </xf>
    <xf numFmtId="0" fontId="15" fillId="0" borderId="364" xfId="0" applyFont="1" applyBorder="1" applyAlignment="1" applyProtection="1">
      <alignment horizontal="center"/>
      <protection hidden="1"/>
    </xf>
    <xf numFmtId="0" fontId="47" fillId="0" borderId="371" xfId="0" applyFont="1" applyBorder="1" applyAlignment="1" applyProtection="1">
      <alignment horizontal="right" vertical="center"/>
      <protection hidden="1"/>
    </xf>
    <xf numFmtId="0" fontId="14" fillId="0" borderId="379" xfId="0" applyFont="1" applyBorder="1" applyAlignment="1" applyProtection="1">
      <alignment horizontal="center"/>
      <protection hidden="1"/>
    </xf>
    <xf numFmtId="0" fontId="10" fillId="0" borderId="362" xfId="0" applyFont="1" applyBorder="1" applyAlignment="1" applyProtection="1">
      <alignment horizontal="center"/>
      <protection hidden="1"/>
    </xf>
    <xf numFmtId="0" fontId="14" fillId="0" borderId="371" xfId="0" applyFont="1" applyBorder="1" applyAlignment="1">
      <alignment vertical="center"/>
    </xf>
    <xf numFmtId="0" fontId="47" fillId="0" borderId="370" xfId="0" applyFont="1" applyBorder="1" applyAlignment="1">
      <alignment horizontal="right" vertical="center"/>
    </xf>
    <xf numFmtId="0" fontId="15" fillId="0" borderId="371" xfId="0" quotePrefix="1" applyFont="1" applyBorder="1" applyAlignment="1" applyProtection="1">
      <alignment horizontal="left" vertical="center"/>
      <protection hidden="1"/>
    </xf>
    <xf numFmtId="0" fontId="15" fillId="0" borderId="371" xfId="0" applyFont="1" applyBorder="1" applyAlignment="1" applyProtection="1">
      <alignment shrinkToFit="1"/>
      <protection hidden="1"/>
    </xf>
    <xf numFmtId="3" fontId="15" fillId="0" borderId="370" xfId="0" applyNumberFormat="1" applyFont="1" applyBorder="1" applyAlignment="1">
      <alignment horizontal="right" vertical="center"/>
    </xf>
    <xf numFmtId="0" fontId="64" fillId="0" borderId="370" xfId="0" applyFont="1" applyBorder="1" applyAlignment="1">
      <alignment horizontal="right" vertical="center"/>
    </xf>
    <xf numFmtId="0" fontId="15" fillId="0" borderId="371" xfId="0" applyFont="1" applyBorder="1"/>
    <xf numFmtId="3" fontId="15" fillId="6" borderId="371" xfId="0" applyNumberFormat="1" applyFont="1" applyFill="1" applyBorder="1" applyAlignment="1" applyProtection="1">
      <alignment horizontal="center" vertical="center"/>
      <protection hidden="1"/>
    </xf>
    <xf numFmtId="3" fontId="15" fillId="6" borderId="370" xfId="0" applyNumberFormat="1" applyFont="1" applyFill="1" applyBorder="1" applyAlignment="1" applyProtection="1">
      <alignment horizontal="center" vertical="center"/>
      <protection hidden="1"/>
    </xf>
    <xf numFmtId="3" fontId="15" fillId="0" borderId="370" xfId="0" quotePrefix="1" applyNumberFormat="1" applyFont="1" applyBorder="1" applyAlignment="1">
      <alignment horizontal="right" vertical="center"/>
    </xf>
    <xf numFmtId="0" fontId="15" fillId="0" borderId="365" xfId="0" applyFont="1" applyBorder="1" applyAlignment="1" applyProtection="1">
      <alignment horizontal="center"/>
      <protection hidden="1"/>
    </xf>
    <xf numFmtId="0" fontId="15" fillId="0" borderId="379" xfId="0" applyFont="1" applyBorder="1" applyAlignment="1" applyProtection="1">
      <alignment horizontal="left" vertical="center"/>
      <protection hidden="1"/>
    </xf>
    <xf numFmtId="0" fontId="15" fillId="0" borderId="362" xfId="0" applyFont="1" applyBorder="1" applyAlignment="1" applyProtection="1">
      <alignment horizontal="left" vertical="center"/>
      <protection hidden="1"/>
    </xf>
    <xf numFmtId="0" fontId="15" fillId="0" borderId="364" xfId="0" applyFont="1" applyBorder="1" applyAlignment="1" applyProtection="1">
      <alignment horizontal="left" vertical="center"/>
      <protection hidden="1"/>
    </xf>
    <xf numFmtId="0" fontId="15" fillId="0" borderId="383" xfId="0" applyFont="1" applyBorder="1" applyAlignment="1" applyProtection="1">
      <alignment vertical="center"/>
      <protection hidden="1"/>
    </xf>
    <xf numFmtId="0" fontId="14" fillId="0" borderId="379" xfId="0" applyFont="1" applyBorder="1" applyAlignment="1" applyProtection="1">
      <alignment horizontal="left" vertical="center"/>
      <protection hidden="1"/>
    </xf>
    <xf numFmtId="0" fontId="14" fillId="0" borderId="380" xfId="0" applyFont="1" applyBorder="1" applyAlignment="1" applyProtection="1">
      <alignment vertical="center"/>
      <protection hidden="1"/>
    </xf>
    <xf numFmtId="0" fontId="15" fillId="0" borderId="380" xfId="0" applyFont="1" applyBorder="1" applyAlignment="1" applyProtection="1">
      <alignment vertical="center"/>
      <protection hidden="1"/>
    </xf>
    <xf numFmtId="0" fontId="15" fillId="0" borderId="380" xfId="0" applyFont="1" applyBorder="1" applyProtection="1">
      <protection hidden="1"/>
    </xf>
    <xf numFmtId="0" fontId="15" fillId="0" borderId="381" xfId="0" applyFont="1" applyBorder="1" applyProtection="1">
      <protection hidden="1"/>
    </xf>
    <xf numFmtId="0" fontId="14" fillId="0" borderId="380" xfId="0" applyFont="1" applyBorder="1" applyAlignment="1" applyProtection="1">
      <alignment horizontal="left" vertical="center"/>
      <protection hidden="1"/>
    </xf>
    <xf numFmtId="0" fontId="14" fillId="0" borderId="380" xfId="0" applyFont="1" applyBorder="1" applyAlignment="1" applyProtection="1">
      <alignment horizontal="right" vertical="center"/>
      <protection hidden="1"/>
    </xf>
    <xf numFmtId="0" fontId="14" fillId="0" borderId="380" xfId="0" applyFont="1" applyBorder="1" applyProtection="1">
      <protection hidden="1"/>
    </xf>
    <xf numFmtId="0" fontId="14" fillId="0" borderId="381" xfId="0" applyFont="1" applyBorder="1" applyProtection="1">
      <protection hidden="1"/>
    </xf>
    <xf numFmtId="0" fontId="70" fillId="11" borderId="311" xfId="0" applyFont="1" applyFill="1" applyBorder="1" applyAlignment="1">
      <alignment horizontal="center" vertical="center"/>
    </xf>
    <xf numFmtId="0" fontId="70" fillId="11" borderId="312" xfId="0" applyFont="1" applyFill="1" applyBorder="1" applyAlignment="1">
      <alignment vertical="center"/>
    </xf>
    <xf numFmtId="0" fontId="70" fillId="11" borderId="388" xfId="0" applyFont="1" applyFill="1" applyBorder="1" applyAlignment="1">
      <alignment vertical="center"/>
    </xf>
    <xf numFmtId="0" fontId="75" fillId="11" borderId="389" xfId="0" applyFont="1" applyFill="1" applyBorder="1" applyAlignment="1">
      <alignment horizontal="center" vertical="center"/>
    </xf>
    <xf numFmtId="0" fontId="75" fillId="11" borderId="329" xfId="0" applyFont="1" applyFill="1" applyBorder="1" applyAlignment="1">
      <alignment horizontal="center" vertical="center"/>
    </xf>
    <xf numFmtId="0" fontId="69" fillId="11" borderId="390" xfId="0" applyFont="1" applyFill="1" applyBorder="1" applyAlignment="1">
      <alignment horizontal="left" vertical="center"/>
    </xf>
    <xf numFmtId="1" fontId="58" fillId="11" borderId="316" xfId="0" applyNumberFormat="1" applyFont="1" applyFill="1" applyBorder="1" applyAlignment="1">
      <alignment horizontal="center" vertical="center"/>
    </xf>
    <xf numFmtId="0" fontId="77" fillId="11" borderId="391" xfId="0" applyFont="1" applyFill="1" applyBorder="1" applyAlignment="1">
      <alignment horizontal="center" vertical="center"/>
    </xf>
    <xf numFmtId="0" fontId="9" fillId="0" borderId="0" xfId="0" applyFont="1" applyAlignment="1" applyProtection="1">
      <alignment vertical="center"/>
      <protection hidden="1"/>
    </xf>
    <xf numFmtId="0" fontId="0" fillId="0" borderId="0" xfId="0" applyAlignment="1" applyProtection="1">
      <alignment vertical="center"/>
      <protection hidden="1"/>
    </xf>
    <xf numFmtId="0" fontId="0" fillId="0" borderId="393" xfId="0" applyBorder="1" applyAlignment="1" applyProtection="1">
      <alignment horizontal="center" vertical="center"/>
      <protection hidden="1"/>
    </xf>
    <xf numFmtId="0" fontId="0" fillId="0" borderId="394" xfId="0" applyBorder="1" applyAlignment="1">
      <alignment horizontal="center"/>
    </xf>
    <xf numFmtId="0" fontId="15" fillId="0" borderId="390" xfId="0" applyFont="1" applyBorder="1" applyAlignment="1">
      <alignment horizontal="center" vertical="center"/>
    </xf>
    <xf numFmtId="3" fontId="15" fillId="0" borderId="316" xfId="0" applyNumberFormat="1" applyFont="1" applyBorder="1" applyAlignment="1" applyProtection="1">
      <alignment horizontal="center" vertical="center"/>
      <protection hidden="1"/>
    </xf>
    <xf numFmtId="3" fontId="15" fillId="0" borderId="318" xfId="0" applyNumberFormat="1" applyFont="1" applyBorder="1" applyAlignment="1" applyProtection="1">
      <alignment horizontal="center" vertical="center"/>
      <protection hidden="1"/>
    </xf>
    <xf numFmtId="0" fontId="15" fillId="0" borderId="395" xfId="0" applyFont="1" applyBorder="1" applyAlignment="1" applyProtection="1">
      <alignment horizontal="center" vertical="center"/>
      <protection hidden="1"/>
    </xf>
    <xf numFmtId="0" fontId="14" fillId="0" borderId="396" xfId="0" applyFont="1" applyBorder="1" applyAlignment="1" applyProtection="1">
      <alignment horizontal="left" vertical="center"/>
      <protection hidden="1"/>
    </xf>
    <xf numFmtId="0" fontId="14" fillId="0" borderId="396" xfId="0" applyFont="1" applyBorder="1" applyAlignment="1" applyProtection="1">
      <alignment horizontal="right" vertical="center"/>
      <protection hidden="1"/>
    </xf>
    <xf numFmtId="3" fontId="14" fillId="6" borderId="322" xfId="0" applyNumberFormat="1" applyFont="1" applyFill="1" applyBorder="1" applyAlignment="1" applyProtection="1">
      <alignment vertical="center"/>
      <protection hidden="1"/>
    </xf>
    <xf numFmtId="3" fontId="14" fillId="0" borderId="322" xfId="0" applyNumberFormat="1" applyFont="1" applyBorder="1" applyAlignment="1" applyProtection="1">
      <alignment horizontal="center" vertical="center"/>
      <protection hidden="1"/>
    </xf>
    <xf numFmtId="3" fontId="14" fillId="0" borderId="397" xfId="0" applyNumberFormat="1" applyFont="1" applyBorder="1" applyAlignment="1" applyProtection="1">
      <alignment horizontal="center" vertical="center"/>
      <protection hidden="1"/>
    </xf>
    <xf numFmtId="0" fontId="9" fillId="0" borderId="311" xfId="0" applyFont="1" applyBorder="1" applyAlignment="1">
      <alignment horizontal="left" vertical="center"/>
    </xf>
    <xf numFmtId="0" fontId="9" fillId="0" borderId="312" xfId="0" applyFont="1" applyBorder="1" applyAlignment="1">
      <alignment vertical="center"/>
    </xf>
    <xf numFmtId="0" fontId="0" fillId="0" borderId="388" xfId="0" applyBorder="1" applyAlignment="1">
      <alignment vertical="center"/>
    </xf>
    <xf numFmtId="3" fontId="9" fillId="6" borderId="330" xfId="0" applyNumberFormat="1" applyFont="1" applyFill="1" applyBorder="1" applyAlignment="1" applyProtection="1">
      <alignment vertical="center"/>
      <protection hidden="1"/>
    </xf>
    <xf numFmtId="3" fontId="9" fillId="0" borderId="330" xfId="0" applyNumberFormat="1" applyFont="1" applyBorder="1" applyAlignment="1" applyProtection="1">
      <alignment horizontal="center" vertical="center"/>
      <protection hidden="1"/>
    </xf>
    <xf numFmtId="3" fontId="9" fillId="0" borderId="314" xfId="0" applyNumberFormat="1" applyFont="1" applyBorder="1" applyAlignment="1" applyProtection="1">
      <alignment horizontal="center" vertical="center"/>
      <protection hidden="1"/>
    </xf>
    <xf numFmtId="3" fontId="15" fillId="7" borderId="318" xfId="0" applyNumberFormat="1" applyFont="1" applyFill="1" applyBorder="1" applyAlignment="1" applyProtection="1">
      <alignment horizontal="center" vertical="center"/>
      <protection locked="0" hidden="1"/>
    </xf>
    <xf numFmtId="3" fontId="15" fillId="7" borderId="318" xfId="0" applyNumberFormat="1" applyFont="1" applyFill="1" applyBorder="1" applyAlignment="1" applyProtection="1">
      <alignment horizontal="center" vertical="center"/>
      <protection locked="0"/>
    </xf>
    <xf numFmtId="3" fontId="15" fillId="0" borderId="398" xfId="0" applyNumberFormat="1" applyFont="1" applyBorder="1" applyAlignment="1" applyProtection="1">
      <alignment horizontal="center" vertical="center"/>
      <protection hidden="1"/>
    </xf>
    <xf numFmtId="0" fontId="15" fillId="0" borderId="395" xfId="0" applyFont="1" applyBorder="1" applyAlignment="1">
      <alignment horizontal="center" vertical="center"/>
    </xf>
    <xf numFmtId="0" fontId="15" fillId="0" borderId="396" xfId="0" applyFont="1" applyBorder="1" applyAlignment="1" applyProtection="1">
      <alignment vertical="center"/>
      <protection hidden="1"/>
    </xf>
    <xf numFmtId="3" fontId="15" fillId="0" borderId="399" xfId="0" applyNumberFormat="1" applyFont="1" applyBorder="1" applyAlignment="1" applyProtection="1">
      <alignment vertical="center"/>
      <protection hidden="1"/>
    </xf>
    <xf numFmtId="3" fontId="14" fillId="0" borderId="400" xfId="0" applyNumberFormat="1" applyFont="1" applyBorder="1" applyAlignment="1" applyProtection="1">
      <alignment vertical="center"/>
      <protection hidden="1"/>
    </xf>
    <xf numFmtId="3" fontId="14" fillId="0" borderId="400" xfId="0" applyNumberFormat="1" applyFont="1" applyBorder="1" applyAlignment="1" applyProtection="1">
      <alignment horizontal="center" vertical="center"/>
      <protection hidden="1"/>
    </xf>
    <xf numFmtId="0" fontId="75" fillId="11" borderId="312" xfId="0" applyFont="1" applyFill="1" applyBorder="1" applyAlignment="1">
      <alignment horizontal="center" vertical="center"/>
    </xf>
    <xf numFmtId="3" fontId="75" fillId="11" borderId="389" xfId="0" applyNumberFormat="1" applyFont="1" applyFill="1" applyBorder="1" applyAlignment="1">
      <alignment horizontal="center" vertical="center"/>
    </xf>
    <xf numFmtId="3" fontId="75" fillId="11" borderId="389" xfId="0" applyNumberFormat="1" applyFont="1" applyFill="1" applyBorder="1" applyAlignment="1" applyProtection="1">
      <alignment horizontal="center" vertical="center"/>
      <protection hidden="1"/>
    </xf>
    <xf numFmtId="3" fontId="75" fillId="11" borderId="329" xfId="0" applyNumberFormat="1" applyFont="1" applyFill="1" applyBorder="1" applyAlignment="1" applyProtection="1">
      <alignment horizontal="center" vertical="center"/>
      <protection hidden="1"/>
    </xf>
    <xf numFmtId="1" fontId="58" fillId="11" borderId="394" xfId="0" applyNumberFormat="1" applyFont="1" applyFill="1" applyBorder="1" applyAlignment="1" applyProtection="1">
      <alignment horizontal="center" vertical="center"/>
      <protection hidden="1"/>
    </xf>
    <xf numFmtId="3" fontId="15" fillId="0" borderId="393" xfId="0" applyNumberFormat="1" applyFont="1" applyBorder="1" applyAlignment="1" applyProtection="1">
      <alignment horizontal="center" vertical="center"/>
      <protection hidden="1"/>
    </xf>
    <xf numFmtId="164" fontId="80" fillId="7" borderId="318" xfId="2" applyNumberFormat="1" applyFont="1" applyFill="1" applyBorder="1" applyAlignment="1" applyProtection="1">
      <alignment horizontal="center" vertical="center"/>
      <protection locked="0" hidden="1"/>
    </xf>
    <xf numFmtId="167" fontId="80" fillId="7" borderId="318" xfId="0" applyNumberFormat="1" applyFont="1" applyFill="1" applyBorder="1" applyAlignment="1" applyProtection="1">
      <alignment horizontal="center" vertical="center"/>
      <protection locked="0" hidden="1"/>
    </xf>
    <xf numFmtId="3" fontId="46" fillId="7" borderId="318" xfId="0" applyNumberFormat="1" applyFont="1" applyFill="1" applyBorder="1" applyAlignment="1" applyProtection="1">
      <alignment horizontal="center" vertical="center"/>
      <protection locked="0"/>
    </xf>
    <xf numFmtId="164" fontId="47" fillId="7" borderId="318" xfId="2" applyNumberFormat="1" applyFont="1" applyFill="1" applyBorder="1" applyAlignment="1" applyProtection="1">
      <alignment horizontal="center" vertical="center"/>
      <protection locked="0" hidden="1"/>
    </xf>
    <xf numFmtId="0" fontId="15" fillId="0" borderId="396" xfId="0" applyFont="1" applyBorder="1" applyAlignment="1">
      <alignment vertical="center"/>
    </xf>
    <xf numFmtId="0" fontId="15" fillId="0" borderId="396" xfId="0" quotePrefix="1" applyFont="1" applyBorder="1" applyAlignment="1">
      <alignment horizontal="right" vertical="center"/>
    </xf>
    <xf numFmtId="3" fontId="15" fillId="0" borderId="399" xfId="0" quotePrefix="1" applyNumberFormat="1" applyFont="1" applyBorder="1" applyAlignment="1">
      <alignment horizontal="center" vertical="center"/>
    </xf>
    <xf numFmtId="3" fontId="15" fillId="6" borderId="322" xfId="0" applyNumberFormat="1" applyFont="1" applyFill="1" applyBorder="1" applyAlignment="1">
      <alignment vertical="center"/>
    </xf>
    <xf numFmtId="3" fontId="15" fillId="6" borderId="322" xfId="0" applyNumberFormat="1" applyFont="1" applyFill="1" applyBorder="1" applyAlignment="1">
      <alignment horizontal="center" vertical="center"/>
    </xf>
    <xf numFmtId="3" fontId="15" fillId="0" borderId="322" xfId="0" applyNumberFormat="1" applyFont="1" applyBorder="1" applyAlignment="1" applyProtection="1">
      <alignment horizontal="center" vertical="center"/>
      <protection hidden="1"/>
    </xf>
    <xf numFmtId="3" fontId="15" fillId="0" borderId="323" xfId="0" applyNumberFormat="1" applyFont="1" applyBorder="1" applyAlignment="1" applyProtection="1">
      <alignment horizontal="center" vertical="center"/>
      <protection hidden="1"/>
    </xf>
    <xf numFmtId="0" fontId="75" fillId="11" borderId="388" xfId="0" applyFont="1" applyFill="1" applyBorder="1" applyAlignment="1" applyProtection="1">
      <alignment horizontal="center" vertical="center"/>
      <protection hidden="1"/>
    </xf>
    <xf numFmtId="0" fontId="75" fillId="11" borderId="389" xfId="0" applyFont="1" applyFill="1" applyBorder="1" applyAlignment="1" applyProtection="1">
      <alignment horizontal="center" vertical="center"/>
      <protection hidden="1"/>
    </xf>
    <xf numFmtId="0" fontId="75" fillId="11" borderId="329" xfId="0" applyFont="1" applyFill="1" applyBorder="1" applyAlignment="1" applyProtection="1">
      <alignment horizontal="center" vertical="center"/>
      <protection hidden="1"/>
    </xf>
    <xf numFmtId="0" fontId="9" fillId="0" borderId="401" xfId="0" applyFont="1" applyBorder="1" applyAlignment="1" applyProtection="1">
      <alignment horizontal="left" vertical="center"/>
      <protection hidden="1"/>
    </xf>
    <xf numFmtId="0" fontId="6" fillId="0" borderId="402" xfId="0" applyFont="1" applyBorder="1" applyAlignment="1" applyProtection="1">
      <alignment horizontal="left" vertical="center"/>
      <protection hidden="1"/>
    </xf>
    <xf numFmtId="0" fontId="15" fillId="0" borderId="403"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318" xfId="0" applyFont="1" applyBorder="1" applyAlignment="1" applyProtection="1">
      <alignment horizontal="center" vertical="center"/>
      <protection hidden="1"/>
    </xf>
    <xf numFmtId="0" fontId="9" fillId="0" borderId="390" xfId="0" applyFont="1" applyBorder="1" applyAlignment="1" applyProtection="1">
      <alignment horizontal="left" vertical="center"/>
      <protection hidden="1"/>
    </xf>
    <xf numFmtId="0" fontId="6" fillId="0" borderId="394" xfId="0" applyFont="1" applyBorder="1" applyAlignment="1" applyProtection="1">
      <alignment horizontal="left" vertical="center"/>
      <protection hidden="1"/>
    </xf>
    <xf numFmtId="164" fontId="15" fillId="0" borderId="318" xfId="2" applyNumberFormat="1" applyFont="1" applyBorder="1" applyAlignment="1" applyProtection="1">
      <alignment horizontal="center" vertical="center"/>
      <protection hidden="1"/>
    </xf>
    <xf numFmtId="0" fontId="15" fillId="0" borderId="390" xfId="0" applyFont="1" applyBorder="1" applyAlignment="1" applyProtection="1">
      <alignment horizontal="left" vertical="center"/>
      <protection hidden="1"/>
    </xf>
    <xf numFmtId="0" fontId="0" fillId="0" borderId="390" xfId="0" applyBorder="1"/>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392" xfId="0" applyFont="1" applyBorder="1" applyAlignment="1" applyProtection="1">
      <alignment horizontal="center" vertical="center"/>
      <protection hidden="1"/>
    </xf>
    <xf numFmtId="4" fontId="15" fillId="0" borderId="318" xfId="0" applyNumberFormat="1" applyFont="1" applyBorder="1" applyAlignment="1" applyProtection="1">
      <alignment horizontal="center" vertical="center"/>
      <protection hidden="1"/>
    </xf>
    <xf numFmtId="0" fontId="0" fillId="0" borderId="404" xfId="0" applyBorder="1"/>
    <xf numFmtId="0" fontId="6" fillId="0" borderId="394" xfId="0" applyFont="1" applyBorder="1" applyAlignment="1" applyProtection="1">
      <alignment horizontal="center" vertical="center"/>
      <protection hidden="1"/>
    </xf>
    <xf numFmtId="0" fontId="15" fillId="0" borderId="405" xfId="0" applyFont="1" applyBorder="1" applyAlignment="1" applyProtection="1">
      <alignment horizontal="left" vertical="center"/>
      <protection hidden="1"/>
    </xf>
    <xf numFmtId="166" fontId="15" fillId="0" borderId="318" xfId="0" applyNumberFormat="1" applyFont="1" applyBorder="1" applyAlignment="1">
      <alignment horizontal="center" vertical="center"/>
    </xf>
    <xf numFmtId="0" fontId="0" fillId="0" borderId="404" xfId="0" applyBorder="1" applyAlignment="1">
      <alignment horizontal="left"/>
    </xf>
    <xf numFmtId="0" fontId="9" fillId="0" borderId="390" xfId="0" applyFont="1" applyBorder="1" applyAlignment="1" applyProtection="1">
      <alignment vertical="center"/>
      <protection hidden="1"/>
    </xf>
    <xf numFmtId="0" fontId="0" fillId="0" borderId="394" xfId="0" applyBorder="1" applyAlignment="1" applyProtection="1">
      <alignment horizontal="center" vertical="center"/>
      <protection hidden="1"/>
    </xf>
    <xf numFmtId="0" fontId="9" fillId="0" borderId="390" xfId="0" applyFont="1" applyBorder="1" applyProtection="1">
      <protection hidden="1"/>
    </xf>
    <xf numFmtId="1" fontId="74" fillId="11" borderId="316" xfId="0" applyNumberFormat="1" applyFont="1" applyFill="1" applyBorder="1" applyAlignment="1" applyProtection="1">
      <alignment horizontal="center" vertical="center"/>
      <protection hidden="1"/>
    </xf>
    <xf numFmtId="0" fontId="15" fillId="0" borderId="407" xfId="0" applyFont="1" applyBorder="1" applyAlignment="1" applyProtection="1">
      <alignment horizontal="left" vertical="center"/>
      <protection hidden="1"/>
    </xf>
    <xf numFmtId="3" fontId="15" fillId="7" borderId="316" xfId="0" applyNumberFormat="1" applyFont="1" applyFill="1" applyBorder="1" applyAlignment="1" applyProtection="1">
      <alignment horizontal="center" vertical="center"/>
      <protection locked="0"/>
    </xf>
    <xf numFmtId="164" fontId="47" fillId="0" borderId="318" xfId="0" applyNumberFormat="1" applyFont="1" applyBorder="1" applyAlignment="1" applyProtection="1">
      <alignment horizontal="center" vertical="center"/>
      <protection hidden="1"/>
    </xf>
    <xf numFmtId="0" fontId="15" fillId="0" borderId="409" xfId="0" applyFont="1" applyBorder="1" applyAlignment="1">
      <alignment vertical="center"/>
    </xf>
    <xf numFmtId="0" fontId="15" fillId="0" borderId="410" xfId="0" applyFont="1" applyBorder="1" applyAlignment="1">
      <alignment vertical="center"/>
    </xf>
    <xf numFmtId="0" fontId="12" fillId="0" borderId="390" xfId="0" applyFont="1" applyBorder="1" applyAlignment="1">
      <alignment vertical="center"/>
    </xf>
    <xf numFmtId="0" fontId="46" fillId="7" borderId="390" xfId="0" applyFont="1" applyFill="1" applyBorder="1" applyAlignment="1" applyProtection="1">
      <alignment vertical="center"/>
      <protection locked="0"/>
    </xf>
    <xf numFmtId="0" fontId="46" fillId="7" borderId="0" xfId="0" applyFont="1" applyFill="1" applyAlignment="1" applyProtection="1">
      <alignment vertical="center"/>
      <protection locked="0"/>
    </xf>
    <xf numFmtId="0" fontId="46" fillId="7" borderId="410" xfId="0" applyFont="1" applyFill="1" applyBorder="1" applyAlignment="1" applyProtection="1">
      <alignment vertical="center"/>
      <protection locked="0"/>
    </xf>
    <xf numFmtId="0" fontId="46" fillId="7" borderId="395" xfId="0" applyFont="1" applyFill="1" applyBorder="1" applyAlignment="1" applyProtection="1">
      <alignment vertical="center"/>
      <protection locked="0"/>
    </xf>
    <xf numFmtId="0" fontId="46" fillId="7" borderId="396" xfId="0" applyFont="1" applyFill="1" applyBorder="1" applyAlignment="1" applyProtection="1">
      <alignment vertical="center"/>
      <protection locked="0"/>
    </xf>
    <xf numFmtId="0" fontId="46" fillId="7" borderId="411" xfId="0" applyFont="1" applyFill="1" applyBorder="1" applyAlignment="1" applyProtection="1">
      <alignment vertical="center"/>
      <protection locked="0"/>
    </xf>
    <xf numFmtId="0" fontId="63" fillId="0" borderId="404" xfId="0" applyFont="1" applyBorder="1" applyAlignment="1" applyProtection="1">
      <alignment horizontal="left" vertical="center"/>
      <protection hidden="1"/>
    </xf>
    <xf numFmtId="0" fontId="15" fillId="0" borderId="404" xfId="0" applyFont="1" applyBorder="1"/>
    <xf numFmtId="0" fontId="48" fillId="0" borderId="404" xfId="0" applyFont="1" applyBorder="1" applyAlignment="1" applyProtection="1">
      <alignment horizontal="left" vertical="center"/>
      <protection hidden="1"/>
    </xf>
    <xf numFmtId="3" fontId="15" fillId="0" borderId="371" xfId="0" applyNumberFormat="1" applyFont="1" applyBorder="1" applyAlignment="1" applyProtection="1">
      <alignment vertical="center"/>
      <protection hidden="1"/>
    </xf>
    <xf numFmtId="3" fontId="15" fillId="8" borderId="371" xfId="0" applyNumberFormat="1" applyFont="1" applyFill="1" applyBorder="1" applyAlignment="1" applyProtection="1">
      <alignment vertical="center"/>
      <protection hidden="1"/>
    </xf>
    <xf numFmtId="0" fontId="6" fillId="0" borderId="0" xfId="0" applyFont="1" applyAlignment="1">
      <alignment horizontal="center" vertical="center"/>
    </xf>
    <xf numFmtId="167" fontId="8" fillId="0" borderId="0" xfId="0" applyNumberFormat="1" applyFont="1" applyAlignment="1">
      <alignment horizontal="center" vertical="center"/>
    </xf>
    <xf numFmtId="0" fontId="54" fillId="0" borderId="0" xfId="0" applyFont="1" applyAlignment="1">
      <alignment vertical="center"/>
    </xf>
    <xf numFmtId="0" fontId="74" fillId="11" borderId="9" xfId="0" applyFont="1" applyFill="1" applyBorder="1" applyAlignment="1">
      <alignment horizontal="center" vertical="center"/>
    </xf>
    <xf numFmtId="0" fontId="74" fillId="11" borderId="20" xfId="0" applyFont="1" applyFill="1" applyBorder="1" applyAlignment="1">
      <alignment horizontal="center" vertical="center"/>
    </xf>
    <xf numFmtId="0" fontId="74" fillId="11" borderId="19" xfId="0" applyFont="1" applyFill="1" applyBorder="1" applyAlignment="1">
      <alignment horizontal="center" vertical="center"/>
    </xf>
    <xf numFmtId="1" fontId="58" fillId="11" borderId="59" xfId="0" applyNumberFormat="1" applyFont="1" applyFill="1" applyBorder="1" applyAlignment="1">
      <alignment horizontal="center" vertical="center"/>
    </xf>
    <xf numFmtId="1" fontId="9" fillId="7" borderId="18" xfId="0" applyNumberFormat="1" applyFont="1" applyFill="1" applyBorder="1" applyAlignment="1" applyProtection="1">
      <alignment horizontal="center"/>
      <protection locked="0"/>
    </xf>
    <xf numFmtId="1" fontId="9" fillId="0" borderId="18" xfId="0" applyNumberFormat="1" applyFont="1" applyBorder="1" applyAlignment="1" applyProtection="1">
      <alignment horizontal="center" vertical="center"/>
      <protection hidden="1"/>
    </xf>
    <xf numFmtId="0" fontId="15" fillId="0" borderId="24" xfId="0" applyFont="1" applyBorder="1" applyAlignment="1">
      <alignment horizontal="center" vertical="center"/>
    </xf>
    <xf numFmtId="167" fontId="15" fillId="6" borderId="18" xfId="0" applyNumberFormat="1" applyFont="1" applyFill="1" applyBorder="1" applyAlignment="1">
      <alignment horizontal="center" vertical="center"/>
    </xf>
    <xf numFmtId="0" fontId="15" fillId="0" borderId="412" xfId="0" applyFont="1" applyBorder="1" applyAlignment="1">
      <alignment horizontal="center" vertical="center"/>
    </xf>
    <xf numFmtId="0" fontId="15" fillId="0" borderId="413" xfId="0" applyFont="1" applyBorder="1" applyAlignment="1">
      <alignment horizontal="center" vertical="center"/>
    </xf>
    <xf numFmtId="0" fontId="15" fillId="0" borderId="414" xfId="0" applyFont="1" applyBorder="1" applyAlignment="1">
      <alignment horizontal="center" vertical="center"/>
    </xf>
    <xf numFmtId="0" fontId="6" fillId="0" borderId="24" xfId="0" applyFont="1" applyBorder="1" applyAlignment="1">
      <alignment horizontal="center" vertical="center"/>
    </xf>
    <xf numFmtId="0" fontId="9" fillId="0" borderId="11" xfId="0" applyFont="1" applyBorder="1" applyAlignment="1">
      <alignment vertical="center"/>
    </xf>
    <xf numFmtId="3" fontId="9" fillId="0" borderId="43" xfId="0" applyNumberFormat="1" applyFont="1" applyBorder="1" applyAlignment="1" applyProtection="1">
      <alignment vertical="center"/>
      <protection hidden="1"/>
    </xf>
    <xf numFmtId="0" fontId="74" fillId="11" borderId="18" xfId="0" applyFont="1" applyFill="1" applyBorder="1" applyAlignment="1">
      <alignment horizontal="center" vertical="center"/>
    </xf>
    <xf numFmtId="167" fontId="8" fillId="0" borderId="29" xfId="0" applyNumberFormat="1" applyFont="1" applyBorder="1" applyAlignment="1" applyProtection="1">
      <alignment horizontal="right" vertical="center"/>
      <protection hidden="1"/>
    </xf>
    <xf numFmtId="167" fontId="15" fillId="0" borderId="60" xfId="0" applyNumberFormat="1" applyFont="1" applyBorder="1" applyAlignment="1" applyProtection="1">
      <alignment horizontal="center" vertical="center"/>
      <protection hidden="1"/>
    </xf>
    <xf numFmtId="0" fontId="15" fillId="0" borderId="21" xfId="0" applyFont="1" applyBorder="1" applyAlignment="1">
      <alignment horizontal="center" vertical="center"/>
    </xf>
    <xf numFmtId="167" fontId="15" fillId="0" borderId="20" xfId="0" applyNumberFormat="1" applyFont="1" applyBorder="1" applyAlignment="1" applyProtection="1">
      <alignment horizontal="center" vertical="center"/>
      <protection hidden="1"/>
    </xf>
    <xf numFmtId="0" fontId="6" fillId="0" borderId="21" xfId="0" applyFont="1" applyBorder="1" applyAlignment="1">
      <alignment horizontal="center" vertical="center"/>
    </xf>
    <xf numFmtId="3" fontId="9" fillId="0" borderId="43" xfId="0" applyNumberFormat="1" applyFont="1" applyBorder="1" applyAlignment="1" applyProtection="1">
      <alignment horizontal="right" vertical="center"/>
      <protection hidden="1"/>
    </xf>
    <xf numFmtId="3" fontId="9" fillId="8" borderId="18" xfId="0" applyNumberFormat="1" applyFont="1" applyFill="1" applyBorder="1" applyAlignment="1" applyProtection="1">
      <alignment horizontal="center" vertical="center"/>
      <protection hidden="1"/>
    </xf>
    <xf numFmtId="167" fontId="8" fillId="0" borderId="26" xfId="0" applyNumberFormat="1" applyFont="1" applyBorder="1" applyAlignment="1">
      <alignment horizontal="center" vertical="center"/>
    </xf>
    <xf numFmtId="0" fontId="15" fillId="0" borderId="415" xfId="0" applyFont="1" applyBorder="1" applyAlignment="1">
      <alignment horizontal="center" vertical="center"/>
    </xf>
    <xf numFmtId="0" fontId="15" fillId="0" borderId="416" xfId="0" applyFont="1" applyBorder="1" applyAlignment="1">
      <alignment vertical="center"/>
    </xf>
    <xf numFmtId="0" fontId="8" fillId="0" borderId="416" xfId="0" applyFont="1" applyBorder="1" applyAlignment="1">
      <alignment vertical="center"/>
    </xf>
    <xf numFmtId="0" fontId="0" fillId="0" borderId="124" xfId="0" applyBorder="1"/>
    <xf numFmtId="0" fontId="14" fillId="0" borderId="417" xfId="0" applyFont="1" applyBorder="1" applyProtection="1">
      <protection hidden="1"/>
    </xf>
    <xf numFmtId="0" fontId="58" fillId="11" borderId="21" xfId="0" applyFont="1" applyFill="1" applyBorder="1" applyAlignment="1">
      <alignment horizontal="center" vertical="center"/>
    </xf>
    <xf numFmtId="17" fontId="78" fillId="11" borderId="18" xfId="0" applyNumberFormat="1" applyFont="1" applyFill="1" applyBorder="1" applyAlignment="1">
      <alignment horizontal="center" vertical="center"/>
    </xf>
    <xf numFmtId="0" fontId="78" fillId="11" borderId="18" xfId="0" applyFont="1" applyFill="1" applyBorder="1" applyAlignment="1" applyProtection="1">
      <alignment horizontal="center" vertical="center"/>
      <protection hidden="1"/>
    </xf>
    <xf numFmtId="164" fontId="41" fillId="7" borderId="43" xfId="0" applyNumberFormat="1" applyFont="1" applyFill="1" applyBorder="1" applyAlignment="1" applyProtection="1">
      <alignment horizontal="center" vertical="center"/>
      <protection locked="0"/>
    </xf>
    <xf numFmtId="164" fontId="42" fillId="7" borderId="43" xfId="0" applyNumberFormat="1" applyFont="1" applyFill="1" applyBorder="1" applyAlignment="1">
      <alignment horizontal="center" vertical="center"/>
    </xf>
    <xf numFmtId="1" fontId="42" fillId="8" borderId="18" xfId="0" applyNumberFormat="1" applyFont="1" applyFill="1" applyBorder="1" applyAlignment="1" applyProtection="1">
      <alignment horizontal="center" vertical="center"/>
      <protection hidden="1"/>
    </xf>
    <xf numFmtId="1" fontId="42" fillId="6" borderId="18" xfId="0" applyNumberFormat="1" applyFont="1" applyFill="1" applyBorder="1" applyAlignment="1" applyProtection="1">
      <alignment horizontal="center" vertical="center"/>
      <protection hidden="1"/>
    </xf>
    <xf numFmtId="3" fontId="6" fillId="0" borderId="18" xfId="0" applyNumberFormat="1" applyFont="1" applyBorder="1" applyAlignment="1">
      <alignment horizontal="center" vertical="center"/>
    </xf>
    <xf numFmtId="3" fontId="14" fillId="0" borderId="43" xfId="0" applyNumberFormat="1" applyFont="1" applyBorder="1" applyAlignment="1" applyProtection="1">
      <alignment horizontal="center" vertical="center"/>
      <protection hidden="1"/>
    </xf>
    <xf numFmtId="3" fontId="2" fillId="7" borderId="18" xfId="0" applyNumberFormat="1" applyFont="1" applyFill="1" applyBorder="1" applyAlignment="1" applyProtection="1">
      <alignment horizontal="center" vertical="center"/>
      <protection locked="0" hidden="1"/>
    </xf>
    <xf numFmtId="3" fontId="10" fillId="6" borderId="35" xfId="0" applyNumberFormat="1" applyFont="1" applyFill="1" applyBorder="1" applyAlignment="1" applyProtection="1">
      <alignment horizontal="center" vertical="center"/>
      <protection hidden="1"/>
    </xf>
    <xf numFmtId="3" fontId="2" fillId="0" borderId="0" xfId="0" applyNumberFormat="1" applyFont="1" applyAlignment="1">
      <alignment horizontal="center" vertical="center"/>
    </xf>
    <xf numFmtId="0" fontId="0" fillId="6" borderId="18" xfId="0" applyFill="1" applyBorder="1"/>
    <xf numFmtId="49" fontId="42" fillId="0" borderId="18"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14" fillId="0" borderId="43" xfId="0" applyNumberFormat="1" applyFont="1" applyBorder="1" applyAlignment="1">
      <alignment horizontal="center" vertical="center"/>
    </xf>
    <xf numFmtId="17" fontId="76" fillId="0" borderId="0" xfId="0" applyNumberFormat="1" applyFont="1" applyAlignment="1" applyProtection="1">
      <alignment horizontal="center" vertical="center"/>
      <protection hidden="1"/>
    </xf>
    <xf numFmtId="0" fontId="76" fillId="0" borderId="0" xfId="0" applyFont="1" applyAlignment="1" applyProtection="1">
      <alignment horizontal="center" vertical="center"/>
      <protection hidden="1"/>
    </xf>
    <xf numFmtId="3" fontId="76" fillId="0" borderId="0" xfId="0" applyNumberFormat="1" applyFont="1" applyAlignment="1" applyProtection="1">
      <alignment horizontal="center" vertical="center"/>
      <protection hidden="1"/>
    </xf>
    <xf numFmtId="3" fontId="76" fillId="0" borderId="0" xfId="0" applyNumberFormat="1" applyFont="1" applyAlignment="1">
      <alignment horizontal="center" vertical="center"/>
    </xf>
    <xf numFmtId="3" fontId="94" fillId="0" borderId="0" xfId="2" applyNumberFormat="1" applyFont="1" applyFill="1" applyBorder="1" applyAlignment="1" applyProtection="1">
      <alignment horizontal="center" vertical="center"/>
    </xf>
    <xf numFmtId="1" fontId="76" fillId="0" borderId="0" xfId="0" applyNumberFormat="1" applyFont="1" applyAlignment="1">
      <alignment horizontal="center" vertical="center"/>
    </xf>
    <xf numFmtId="164" fontId="10" fillId="0" borderId="0" xfId="0" applyNumberFormat="1" applyFont="1" applyAlignment="1" applyProtection="1">
      <alignment horizontal="center" vertical="center"/>
      <protection hidden="1"/>
    </xf>
    <xf numFmtId="168" fontId="58" fillId="11" borderId="142" xfId="0" applyNumberFormat="1" applyFont="1" applyFill="1" applyBorder="1" applyAlignment="1">
      <alignment horizontal="center" vertical="center"/>
    </xf>
    <xf numFmtId="0" fontId="25" fillId="0" borderId="0" xfId="0" applyFont="1" applyAlignment="1">
      <alignment horizontal="left" vertical="center"/>
    </xf>
    <xf numFmtId="0" fontId="74" fillId="11" borderId="27" xfId="0" applyFont="1" applyFill="1" applyBorder="1" applyAlignment="1">
      <alignment horizontal="center" vertical="center"/>
    </xf>
    <xf numFmtId="0" fontId="74" fillId="11" borderId="0" xfId="0" applyFont="1" applyFill="1" applyAlignment="1">
      <alignment horizontal="center" vertical="center"/>
    </xf>
    <xf numFmtId="0" fontId="9" fillId="0" borderId="0" xfId="0" applyFont="1" applyAlignment="1">
      <alignment horizontal="left" vertical="center"/>
    </xf>
    <xf numFmtId="1" fontId="74" fillId="11" borderId="27" xfId="0" applyNumberFormat="1" applyFont="1" applyFill="1" applyBorder="1" applyAlignment="1">
      <alignment horizontal="center" vertical="center"/>
    </xf>
    <xf numFmtId="0" fontId="74" fillId="11" borderId="28" xfId="0" applyFont="1" applyFill="1" applyBorder="1" applyAlignment="1">
      <alignment horizontal="center" vertical="center"/>
    </xf>
    <xf numFmtId="14" fontId="9" fillId="0" borderId="0" xfId="0" applyNumberFormat="1" applyFont="1" applyAlignment="1">
      <alignment horizontal="left" vertical="center"/>
    </xf>
    <xf numFmtId="0" fontId="10" fillId="0" borderId="0" xfId="0" applyFont="1" applyAlignment="1">
      <alignment horizontal="left"/>
    </xf>
    <xf numFmtId="0" fontId="74" fillId="11" borderId="29" xfId="0" applyFont="1" applyFill="1" applyBorder="1" applyAlignment="1">
      <alignment horizontal="center" vertical="center" wrapText="1"/>
    </xf>
    <xf numFmtId="0" fontId="74" fillId="11" borderId="60" xfId="0" applyFont="1" applyFill="1" applyBorder="1" applyAlignment="1">
      <alignment horizontal="center" vertical="center" wrapText="1"/>
    </xf>
    <xf numFmtId="0" fontId="74" fillId="11" borderId="62" xfId="0" applyFont="1" applyFill="1" applyBorder="1" applyAlignment="1">
      <alignment horizontal="center" vertical="center" wrapText="1"/>
    </xf>
    <xf numFmtId="0" fontId="74" fillId="11" borderId="30" xfId="0" applyFont="1" applyFill="1" applyBorder="1" applyAlignment="1">
      <alignment horizontal="center" vertical="center" wrapText="1"/>
    </xf>
    <xf numFmtId="0" fontId="74" fillId="11" borderId="61" xfId="0" applyFont="1" applyFill="1" applyBorder="1" applyAlignment="1">
      <alignment horizontal="center" vertical="center" wrapText="1"/>
    </xf>
    <xf numFmtId="0" fontId="74" fillId="11" borderId="65" xfId="0" applyFont="1" applyFill="1" applyBorder="1" applyAlignment="1">
      <alignment horizontal="center" vertical="center" wrapText="1"/>
    </xf>
    <xf numFmtId="0" fontId="58" fillId="11" borderId="13"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47" xfId="0" applyFont="1" applyFill="1" applyBorder="1" applyAlignment="1">
      <alignment horizontal="center" vertical="center" wrapText="1"/>
    </xf>
    <xf numFmtId="0" fontId="58" fillId="11" borderId="51" xfId="0" applyFont="1" applyFill="1" applyBorder="1" applyAlignment="1">
      <alignment horizontal="center" vertical="center" wrapText="1"/>
    </xf>
    <xf numFmtId="0" fontId="14" fillId="0" borderId="16" xfId="0" applyFont="1" applyBorder="1" applyAlignment="1">
      <alignment horizontal="left" vertical="center"/>
    </xf>
    <xf numFmtId="0" fontId="14" fillId="0" borderId="361" xfId="0" applyFont="1" applyBorder="1" applyAlignment="1">
      <alignment horizontal="left" vertical="center"/>
    </xf>
    <xf numFmtId="0" fontId="69" fillId="0" borderId="0" xfId="0" applyFont="1" applyAlignment="1">
      <alignment vertical="top" wrapText="1"/>
    </xf>
    <xf numFmtId="0" fontId="68" fillId="0" borderId="0" xfId="0" applyFont="1" applyAlignment="1">
      <alignment vertical="top" wrapText="1"/>
    </xf>
    <xf numFmtId="0" fontId="11"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75" fillId="0" borderId="0" xfId="0" applyFont="1" applyAlignment="1">
      <alignment horizontal="center"/>
    </xf>
    <xf numFmtId="0" fontId="83" fillId="0" borderId="0" xfId="0" applyFont="1" applyAlignment="1">
      <alignment horizontal="center"/>
    </xf>
    <xf numFmtId="0" fontId="11" fillId="0" borderId="0" xfId="0" applyFont="1" applyAlignment="1">
      <alignment horizontal="left" vertical="center"/>
    </xf>
    <xf numFmtId="49" fontId="6" fillId="7" borderId="34" xfId="0" applyNumberFormat="1" applyFont="1" applyFill="1" applyBorder="1" applyAlignment="1" applyProtection="1">
      <alignment horizontal="left" vertical="center" indent="1"/>
      <protection locked="0"/>
    </xf>
    <xf numFmtId="49" fontId="8" fillId="7" borderId="34" xfId="0" applyNumberFormat="1" applyFont="1" applyFill="1" applyBorder="1" applyAlignment="1" applyProtection="1">
      <alignment horizontal="left" vertical="center" indent="1"/>
      <protection locked="0"/>
    </xf>
    <xf numFmtId="0" fontId="55" fillId="0" borderId="0" xfId="0" applyFont="1" applyAlignment="1">
      <alignment horizontal="center" vertical="center"/>
    </xf>
    <xf numFmtId="6" fontId="74" fillId="11" borderId="20" xfId="0" applyNumberFormat="1" applyFont="1" applyFill="1" applyBorder="1" applyAlignment="1">
      <alignment horizontal="center" vertical="center"/>
    </xf>
    <xf numFmtId="6" fontId="74" fillId="11" borderId="62" xfId="0" applyNumberFormat="1" applyFont="1" applyFill="1" applyBorder="1" applyAlignment="1">
      <alignment horizontal="center" vertical="center"/>
    </xf>
    <xf numFmtId="6" fontId="74" fillId="11" borderId="32" xfId="0" applyNumberFormat="1" applyFont="1" applyFill="1" applyBorder="1" applyAlignment="1">
      <alignment horizontal="center" vertical="center"/>
    </xf>
    <xf numFmtId="14" fontId="9" fillId="0" borderId="0" xfId="0" applyNumberFormat="1" applyFont="1" applyAlignment="1">
      <alignment horizontal="center"/>
    </xf>
    <xf numFmtId="0" fontId="0" fillId="0" borderId="0" xfId="0" applyAlignment="1">
      <alignment horizontal="center"/>
    </xf>
    <xf numFmtId="0" fontId="12" fillId="0" borderId="8" xfId="0" applyFont="1" applyBorder="1" applyAlignment="1">
      <alignment horizontal="left" vertical="center" indent="1"/>
    </xf>
    <xf numFmtId="0" fontId="9" fillId="7" borderId="17" xfId="0" applyFont="1" applyFill="1" applyBorder="1" applyAlignment="1" applyProtection="1">
      <alignment horizontal="left" vertical="center"/>
      <protection locked="0"/>
    </xf>
    <xf numFmtId="0" fontId="9" fillId="7" borderId="294" xfId="0" applyFont="1" applyFill="1" applyBorder="1" applyAlignment="1" applyProtection="1">
      <alignment horizontal="left" vertical="center"/>
      <protection locked="0"/>
    </xf>
    <xf numFmtId="0" fontId="6" fillId="7" borderId="0" xfId="0" applyFont="1" applyFill="1" applyAlignment="1" applyProtection="1">
      <alignment horizontal="left" vertical="center" indent="1"/>
      <protection locked="0"/>
    </xf>
    <xf numFmtId="0" fontId="8" fillId="7" borderId="0" xfId="0" applyFont="1" applyFill="1" applyAlignment="1" applyProtection="1">
      <alignment horizontal="left" vertical="center" indent="1"/>
      <protection locked="0"/>
    </xf>
    <xf numFmtId="0" fontId="8" fillId="7" borderId="17" xfId="0" applyFont="1" applyFill="1" applyBorder="1" applyAlignment="1" applyProtection="1">
      <alignment horizontal="left" vertical="center" indent="1"/>
      <protection locked="0"/>
    </xf>
    <xf numFmtId="49" fontId="6" fillId="7" borderId="17" xfId="0" applyNumberFormat="1" applyFont="1" applyFill="1" applyBorder="1" applyAlignment="1" applyProtection="1">
      <alignment horizontal="left" vertical="center" indent="1"/>
      <protection locked="0"/>
    </xf>
    <xf numFmtId="49" fontId="8" fillId="7" borderId="17" xfId="0" applyNumberFormat="1" applyFont="1" applyFill="1" applyBorder="1" applyAlignment="1" applyProtection="1">
      <alignment horizontal="left" vertical="center" indent="1"/>
      <protection locked="0"/>
    </xf>
    <xf numFmtId="0" fontId="6" fillId="7" borderId="0" xfId="0" applyFont="1" applyFill="1" applyAlignment="1" applyProtection="1">
      <alignment horizontal="left" vertical="top"/>
      <protection locked="0"/>
    </xf>
    <xf numFmtId="0" fontId="6" fillId="7" borderId="293" xfId="0" applyFont="1" applyFill="1" applyBorder="1" applyAlignment="1" applyProtection="1">
      <alignment horizontal="left" vertical="top"/>
      <protection locked="0"/>
    </xf>
    <xf numFmtId="0" fontId="6" fillId="7" borderId="34" xfId="0" applyFont="1" applyFill="1" applyBorder="1" applyAlignment="1" applyProtection="1">
      <alignment horizontal="left" vertical="top"/>
      <protection locked="0"/>
    </xf>
    <xf numFmtId="0" fontId="6" fillId="7" borderId="292" xfId="0" applyFont="1" applyFill="1" applyBorder="1" applyAlignment="1" applyProtection="1">
      <alignment horizontal="left" vertical="top"/>
      <protection locked="0"/>
    </xf>
    <xf numFmtId="0" fontId="14" fillId="0" borderId="19" xfId="0" applyFont="1" applyBorder="1" applyAlignment="1">
      <alignment horizontal="left" vertical="center" wrapText="1"/>
    </xf>
    <xf numFmtId="0" fontId="14" fillId="0" borderId="8" xfId="0" applyFont="1" applyBorder="1" applyAlignment="1">
      <alignment horizontal="left" vertical="center"/>
    </xf>
    <xf numFmtId="0" fontId="14" fillId="0" borderId="54" xfId="0" applyFont="1" applyBorder="1" applyAlignment="1">
      <alignment horizontal="left" vertical="center"/>
    </xf>
    <xf numFmtId="0" fontId="14" fillId="0" borderId="3" xfId="0" applyFont="1" applyBorder="1" applyAlignment="1">
      <alignment horizontal="left" vertical="center"/>
    </xf>
    <xf numFmtId="0" fontId="69" fillId="11" borderId="19" xfId="0" applyFont="1" applyFill="1" applyBorder="1" applyAlignment="1">
      <alignment horizontal="left" vertical="center" indent="2"/>
    </xf>
    <xf numFmtId="0" fontId="69" fillId="11" borderId="8" xfId="0" applyFont="1" applyFill="1" applyBorder="1" applyAlignment="1">
      <alignment horizontal="left" vertical="center" indent="2"/>
    </xf>
    <xf numFmtId="0" fontId="69" fillId="11" borderId="24" xfId="0" applyFont="1" applyFill="1" applyBorder="1" applyAlignment="1">
      <alignment horizontal="left" vertical="center" indent="2"/>
    </xf>
    <xf numFmtId="0" fontId="69" fillId="11" borderId="17" xfId="0" applyFont="1" applyFill="1" applyBorder="1" applyAlignment="1">
      <alignment horizontal="left" vertical="center" indent="2"/>
    </xf>
    <xf numFmtId="0" fontId="69" fillId="11" borderId="57" xfId="0" applyFont="1" applyFill="1" applyBorder="1" applyAlignment="1">
      <alignment horizontal="left" vertical="center" indent="2"/>
    </xf>
    <xf numFmtId="0" fontId="69" fillId="11" borderId="34" xfId="0" applyFont="1" applyFill="1" applyBorder="1" applyAlignment="1">
      <alignment horizontal="left" vertical="center" indent="2"/>
    </xf>
    <xf numFmtId="0" fontId="15" fillId="0" borderId="303" xfId="0" applyFont="1" applyBorder="1" applyAlignment="1">
      <alignment horizontal="left" vertical="center"/>
    </xf>
    <xf numFmtId="0" fontId="15" fillId="0" borderId="304" xfId="0" applyFont="1" applyBorder="1" applyAlignment="1">
      <alignment horizontal="left" vertical="center"/>
    </xf>
    <xf numFmtId="0" fontId="15" fillId="0" borderId="11"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144" xfId="0" applyFont="1" applyBorder="1" applyAlignment="1">
      <alignment horizontal="center"/>
    </xf>
    <xf numFmtId="0" fontId="14" fillId="7" borderId="41" xfId="0" applyFont="1" applyFill="1" applyBorder="1" applyAlignment="1" applyProtection="1">
      <alignment horizontal="center"/>
      <protection locked="0"/>
    </xf>
    <xf numFmtId="0" fontId="14" fillId="7" borderId="144" xfId="0" applyFont="1" applyFill="1" applyBorder="1" applyAlignment="1" applyProtection="1">
      <alignment horizontal="center"/>
      <protection locked="0"/>
    </xf>
    <xf numFmtId="1" fontId="58" fillId="11" borderId="40" xfId="0" applyNumberFormat="1" applyFont="1" applyFill="1" applyBorder="1" applyAlignment="1">
      <alignment horizontal="center" vertical="center"/>
    </xf>
    <xf numFmtId="1" fontId="58" fillId="11" borderId="68" xfId="0" applyNumberFormat="1" applyFont="1" applyFill="1" applyBorder="1" applyAlignment="1">
      <alignment horizontal="center" vertical="center"/>
    </xf>
    <xf numFmtId="0" fontId="58" fillId="11" borderId="13" xfId="0" applyFont="1" applyFill="1" applyBorder="1" applyAlignment="1" applyProtection="1">
      <alignment horizontal="center" vertical="center"/>
      <protection hidden="1"/>
    </xf>
    <xf numFmtId="0" fontId="58" fillId="11" borderId="2" xfId="0" applyFont="1" applyFill="1" applyBorder="1" applyAlignment="1" applyProtection="1">
      <alignment horizontal="center" vertical="center"/>
      <protection hidden="1"/>
    </xf>
    <xf numFmtId="0" fontId="15" fillId="0" borderId="2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2" fillId="0" borderId="0" xfId="0" applyFont="1" applyAlignment="1">
      <alignment horizontal="left"/>
    </xf>
    <xf numFmtId="0" fontId="74" fillId="11" borderId="13"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6" fillId="11" borderId="27" xfId="0" applyFont="1" applyFill="1" applyBorder="1" applyAlignment="1">
      <alignment horizontal="left" vertical="center" wrapText="1" indent="1"/>
    </xf>
    <xf numFmtId="0" fontId="76" fillId="11" borderId="28" xfId="0" applyFont="1" applyFill="1" applyBorder="1" applyAlignment="1">
      <alignment horizontal="left" vertical="center" wrapText="1" indent="1"/>
    </xf>
    <xf numFmtId="0" fontId="76" fillId="11" borderId="40" xfId="0" applyFont="1" applyFill="1" applyBorder="1" applyAlignment="1">
      <alignment horizontal="left" vertical="center" wrapText="1" indent="1"/>
    </xf>
    <xf numFmtId="0" fontId="76" fillId="11" borderId="68" xfId="0" applyFont="1" applyFill="1" applyBorder="1" applyAlignment="1">
      <alignment horizontal="left" vertical="center" wrapText="1" indent="1"/>
    </xf>
    <xf numFmtId="0" fontId="7" fillId="5" borderId="21" xfId="0" applyFont="1" applyFill="1" applyBorder="1" applyAlignment="1">
      <alignment horizontal="center" vertical="center"/>
    </xf>
    <xf numFmtId="0" fontId="7" fillId="5" borderId="43" xfId="0" applyFont="1" applyFill="1" applyBorder="1" applyAlignment="1">
      <alignment horizontal="center" vertical="center"/>
    </xf>
    <xf numFmtId="9" fontId="15" fillId="0" borderId="336" xfId="0" applyNumberFormat="1" applyFont="1" applyBorder="1" applyAlignment="1">
      <alignment horizontal="left" vertical="center"/>
    </xf>
    <xf numFmtId="9" fontId="15" fillId="0" borderId="0" xfId="0" applyNumberFormat="1" applyFont="1" applyAlignment="1">
      <alignment horizontal="left" vertical="center"/>
    </xf>
    <xf numFmtId="0" fontId="9" fillId="0" borderId="0" xfId="0" applyFont="1" applyAlignment="1">
      <alignment horizontal="left"/>
    </xf>
    <xf numFmtId="0" fontId="69" fillId="11" borderId="331" xfId="0" applyFont="1" applyFill="1" applyBorder="1" applyAlignment="1">
      <alignment horizontal="center" vertical="center" wrapText="1"/>
    </xf>
    <xf numFmtId="0" fontId="77" fillId="11" borderId="332" xfId="0" applyFont="1" applyFill="1" applyBorder="1" applyAlignment="1">
      <alignment horizontal="center" vertical="center" wrapText="1"/>
    </xf>
    <xf numFmtId="0" fontId="77" fillId="11" borderId="344"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14" fillId="0" borderId="17" xfId="0" applyFont="1" applyBorder="1" applyAlignment="1">
      <alignment horizontal="center"/>
    </xf>
    <xf numFmtId="0" fontId="14" fillId="0" borderId="33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3" borderId="13" xfId="0" applyFont="1" applyFill="1" applyBorder="1" applyAlignment="1">
      <alignment horizontal="center" vertical="center" wrapText="1"/>
    </xf>
    <xf numFmtId="0" fontId="0" fillId="3" borderId="27" xfId="0" applyFill="1" applyBorder="1" applyAlignment="1">
      <alignment horizontal="center" vertical="center" wrapText="1"/>
    </xf>
    <xf numFmtId="0" fontId="82" fillId="0" borderId="21" xfId="0" applyFont="1" applyBorder="1" applyAlignment="1">
      <alignment horizontal="left" vertical="center"/>
    </xf>
    <xf numFmtId="0" fontId="88" fillId="0" borderId="11" xfId="0" applyFont="1" applyBorder="1" applyAlignment="1">
      <alignment horizontal="left" vertical="center"/>
    </xf>
    <xf numFmtId="0" fontId="88" fillId="0" borderId="43" xfId="0" applyFont="1" applyBorder="1" applyAlignment="1">
      <alignment horizontal="left" vertical="center"/>
    </xf>
    <xf numFmtId="167" fontId="15" fillId="0" borderId="21" xfId="0" applyNumberFormat="1" applyFont="1" applyBorder="1" applyAlignment="1">
      <alignment horizontal="center"/>
    </xf>
    <xf numFmtId="167" fontId="15" fillId="0" borderId="43" xfId="0" applyNumberFormat="1" applyFont="1" applyBorder="1" applyAlignment="1">
      <alignment horizontal="center"/>
    </xf>
    <xf numFmtId="0" fontId="14" fillId="6" borderId="11" xfId="0" applyFont="1" applyFill="1" applyBorder="1" applyAlignment="1">
      <alignment horizontal="right"/>
    </xf>
    <xf numFmtId="0" fontId="14" fillId="6" borderId="43" xfId="0" applyFont="1" applyFill="1" applyBorder="1" applyAlignment="1">
      <alignment horizontal="right"/>
    </xf>
    <xf numFmtId="167" fontId="15" fillId="6" borderId="21" xfId="0" applyNumberFormat="1" applyFont="1" applyFill="1" applyBorder="1" applyAlignment="1">
      <alignment horizontal="center"/>
    </xf>
    <xf numFmtId="167" fontId="15" fillId="6" borderId="43" xfId="0" applyNumberFormat="1" applyFont="1" applyFill="1" applyBorder="1" applyAlignment="1">
      <alignment horizontal="center"/>
    </xf>
    <xf numFmtId="0" fontId="14" fillId="0" borderId="11" xfId="0" applyFont="1" applyBorder="1" applyAlignment="1">
      <alignment horizontal="right"/>
    </xf>
    <xf numFmtId="0" fontId="14" fillId="0" borderId="43" xfId="0" applyFont="1" applyBorder="1" applyAlignment="1">
      <alignment horizontal="right"/>
    </xf>
    <xf numFmtId="164" fontId="15" fillId="6" borderId="21" xfId="2" applyNumberFormat="1" applyFont="1" applyFill="1" applyBorder="1" applyAlignment="1">
      <alignment horizontal="center"/>
    </xf>
    <xf numFmtId="164" fontId="15" fillId="6" borderId="43" xfId="2" applyNumberFormat="1" applyFont="1" applyFill="1" applyBorder="1" applyAlignment="1">
      <alignment horizontal="center"/>
    </xf>
    <xf numFmtId="0" fontId="9" fillId="3" borderId="4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3" fontId="9" fillId="3" borderId="13"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2" xfId="0" applyNumberFormat="1" applyFont="1" applyFill="1" applyBorder="1" applyAlignment="1">
      <alignment horizontal="center"/>
    </xf>
    <xf numFmtId="1" fontId="9" fillId="0" borderId="0" xfId="0" applyNumberFormat="1" applyFont="1" applyAlignment="1">
      <alignment horizontal="center"/>
    </xf>
    <xf numFmtId="0" fontId="9" fillId="0" borderId="0" xfId="0" applyFont="1" applyAlignment="1" applyProtection="1">
      <alignment horizontal="center" vertical="center"/>
      <protection hidden="1"/>
    </xf>
    <xf numFmtId="3" fontId="15" fillId="0" borderId="24" xfId="0" applyNumberFormat="1" applyFont="1" applyBorder="1" applyAlignment="1" applyProtection="1">
      <alignment horizontal="center" vertical="center"/>
      <protection hidden="1"/>
    </xf>
    <xf numFmtId="3" fontId="15" fillId="0" borderId="59" xfId="0" applyNumberFormat="1" applyFont="1" applyBorder="1" applyAlignment="1" applyProtection="1">
      <alignment horizontal="center" vertical="center"/>
      <protection hidden="1"/>
    </xf>
    <xf numFmtId="167" fontId="14" fillId="0" borderId="21" xfId="0" applyNumberFormat="1" applyFont="1" applyBorder="1" applyAlignment="1">
      <alignment horizontal="center"/>
    </xf>
    <xf numFmtId="167" fontId="14" fillId="0" borderId="43" xfId="0" applyNumberFormat="1" applyFont="1" applyBorder="1" applyAlignment="1">
      <alignment horizontal="center"/>
    </xf>
    <xf numFmtId="1" fontId="9" fillId="0" borderId="0" xfId="0" applyNumberFormat="1" applyFont="1" applyAlignment="1" applyProtection="1">
      <alignment horizontal="right"/>
      <protection hidden="1"/>
    </xf>
    <xf numFmtId="0" fontId="9" fillId="6" borderId="40"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8" xfId="0" applyFont="1" applyFill="1" applyBorder="1" applyAlignment="1">
      <alignment horizontal="center" vertical="center"/>
    </xf>
    <xf numFmtId="3" fontId="9" fillId="6" borderId="13" xfId="0" applyNumberFormat="1"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1" xfId="0" applyFont="1" applyFill="1" applyBorder="1" applyAlignment="1">
      <alignment horizontal="center"/>
    </xf>
    <xf numFmtId="0" fontId="9" fillId="6" borderId="67" xfId="0" applyFont="1" applyFill="1" applyBorder="1" applyAlignment="1">
      <alignment horizontal="center"/>
    </xf>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69" fillId="18" borderId="21" xfId="0" applyFont="1" applyFill="1" applyBorder="1" applyAlignment="1">
      <alignment horizontal="center" vertical="center"/>
    </xf>
    <xf numFmtId="0" fontId="69" fillId="18" borderId="11" xfId="0" applyFont="1" applyFill="1" applyBorder="1" applyAlignment="1">
      <alignment horizontal="center" vertical="center"/>
    </xf>
    <xf numFmtId="0" fontId="69" fillId="18" borderId="4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8" xfId="0" applyFont="1" applyFill="1" applyBorder="1" applyAlignment="1">
      <alignment horizontal="center" vertical="center"/>
    </xf>
    <xf numFmtId="0" fontId="12" fillId="0" borderId="0" xfId="0" applyFont="1" applyAlignment="1">
      <alignment horizontal="left" vertical="center"/>
    </xf>
    <xf numFmtId="0" fontId="9" fillId="0" borderId="17" xfId="0" applyFont="1" applyBorder="1" applyAlignment="1">
      <alignment horizontal="left" vertical="center"/>
    </xf>
    <xf numFmtId="0" fontId="9" fillId="0" borderId="17"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2" fontId="9" fillId="0" borderId="17" xfId="0" applyNumberFormat="1" applyFont="1" applyBorder="1" applyAlignment="1">
      <alignment horizontal="left" vertical="center"/>
    </xf>
    <xf numFmtId="1" fontId="6" fillId="0" borderId="0" xfId="0" applyNumberFormat="1" applyFont="1" applyAlignment="1">
      <alignment horizontal="left" vertical="center"/>
    </xf>
    <xf numFmtId="1" fontId="6" fillId="0" borderId="0" xfId="0" applyNumberFormat="1" applyFont="1" applyAlignment="1" applyProtection="1">
      <alignment horizontal="left" vertical="center"/>
      <protection hidden="1"/>
    </xf>
    <xf numFmtId="0" fontId="80" fillId="0" borderId="74" xfId="0" applyFont="1" applyBorder="1" applyAlignment="1" applyProtection="1">
      <alignment horizontal="right" vertical="center"/>
      <protection hidden="1"/>
    </xf>
    <xf numFmtId="0" fontId="80" fillId="0" borderId="44" xfId="0" applyFont="1" applyBorder="1" applyAlignment="1" applyProtection="1">
      <alignment horizontal="right" vertical="center"/>
      <protection hidden="1"/>
    </xf>
    <xf numFmtId="0" fontId="69" fillId="11" borderId="311" xfId="0" applyFont="1" applyFill="1" applyBorder="1" applyAlignment="1" applyProtection="1">
      <alignment horizontal="center" vertical="center"/>
      <protection hidden="1"/>
    </xf>
    <xf numFmtId="0" fontId="69" fillId="11" borderId="312" xfId="0" applyFont="1" applyFill="1" applyBorder="1" applyAlignment="1" applyProtection="1">
      <alignment horizontal="center" vertical="center"/>
      <protection hidden="1"/>
    </xf>
    <xf numFmtId="0" fontId="69" fillId="11" borderId="390" xfId="0" applyFont="1" applyFill="1" applyBorder="1" applyAlignment="1" applyProtection="1">
      <alignment horizontal="center" vertical="center"/>
      <protection hidden="1"/>
    </xf>
    <xf numFmtId="0" fontId="69" fillId="11" borderId="0" xfId="0" applyFont="1" applyFill="1" applyAlignment="1" applyProtection="1">
      <alignment horizontal="center" vertical="center"/>
      <protection hidden="1"/>
    </xf>
    <xf numFmtId="0" fontId="9" fillId="0" borderId="390" xfId="0" applyFont="1" applyBorder="1" applyAlignment="1">
      <alignment horizontal="left" vertical="center"/>
    </xf>
    <xf numFmtId="0" fontId="15" fillId="0" borderId="404" xfId="0" applyFont="1" applyBorder="1" applyAlignment="1" applyProtection="1">
      <alignment vertical="center"/>
      <protection hidden="1"/>
    </xf>
    <xf numFmtId="0" fontId="15" fillId="0" borderId="73" xfId="0" applyFont="1" applyBorder="1" applyAlignment="1" applyProtection="1">
      <alignment vertical="center"/>
      <protection hidden="1"/>
    </xf>
    <xf numFmtId="0" fontId="15" fillId="0" borderId="81" xfId="0" applyFont="1" applyBorder="1" applyAlignment="1" applyProtection="1">
      <alignment vertical="center"/>
      <protection hidden="1"/>
    </xf>
    <xf numFmtId="0" fontId="15" fillId="0" borderId="44" xfId="0" applyFont="1" applyBorder="1" applyAlignment="1">
      <alignment horizontal="left" vertical="center"/>
    </xf>
    <xf numFmtId="0" fontId="6" fillId="0" borderId="0" xfId="0" applyFont="1" applyAlignment="1" applyProtection="1">
      <alignment horizontal="center"/>
      <protection hidden="1"/>
    </xf>
    <xf numFmtId="0" fontId="15" fillId="0" borderId="403" xfId="0" applyFont="1" applyBorder="1" applyAlignment="1" applyProtection="1">
      <alignment horizontal="left" vertical="center"/>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15" fillId="0" borderId="146" xfId="0" applyFont="1" applyBorder="1" applyAlignment="1">
      <alignment horizontal="left" vertical="center" wrapText="1"/>
    </xf>
    <xf numFmtId="0" fontId="15" fillId="0" borderId="44" xfId="0" applyFont="1" applyBorder="1" applyAlignment="1">
      <alignment horizontal="left" vertical="center" wrapText="1"/>
    </xf>
    <xf numFmtId="0" fontId="15" fillId="0" borderId="131" xfId="0" applyFont="1" applyBorder="1" applyAlignment="1">
      <alignment horizontal="left" vertical="center"/>
    </xf>
    <xf numFmtId="0" fontId="69" fillId="11" borderId="311" xfId="0" applyFont="1" applyFill="1" applyBorder="1" applyAlignment="1">
      <alignment horizontal="left" vertical="center" wrapText="1"/>
    </xf>
    <xf numFmtId="0" fontId="69" fillId="11" borderId="312" xfId="0" applyFont="1" applyFill="1" applyBorder="1" applyAlignment="1">
      <alignment horizontal="left" vertical="center"/>
    </xf>
    <xf numFmtId="0" fontId="69" fillId="11" borderId="391" xfId="0" applyFont="1" applyFill="1" applyBorder="1" applyAlignment="1">
      <alignment horizontal="left" vertical="center"/>
    </xf>
    <xf numFmtId="0" fontId="69" fillId="11" borderId="17" xfId="0" applyFont="1" applyFill="1" applyBorder="1" applyAlignment="1">
      <alignment horizontal="left" vertical="center"/>
    </xf>
    <xf numFmtId="0" fontId="15" fillId="0" borderId="185" xfId="0" applyFont="1" applyBorder="1" applyAlignment="1">
      <alignment horizontal="right"/>
    </xf>
    <xf numFmtId="0" fontId="80" fillId="0" borderId="130" xfId="0" applyFont="1" applyBorder="1" applyAlignment="1" applyProtection="1">
      <alignment horizontal="right" vertical="center"/>
      <protection hidden="1"/>
    </xf>
    <xf numFmtId="0" fontId="80" fillId="0" borderId="131" xfId="0" applyFont="1" applyBorder="1" applyAlignment="1" applyProtection="1">
      <alignment horizontal="right" vertical="center"/>
      <protection hidden="1"/>
    </xf>
    <xf numFmtId="0" fontId="7" fillId="0" borderId="0" xfId="0" applyFont="1" applyAlignment="1" applyProtection="1">
      <alignment horizontal="right" vertical="top" wrapText="1"/>
      <protection hidden="1"/>
    </xf>
    <xf numFmtId="0" fontId="80" fillId="0" borderId="408" xfId="0" applyFont="1" applyBorder="1" applyAlignment="1" applyProtection="1">
      <alignment horizontal="right" vertical="center"/>
      <protection hidden="1"/>
    </xf>
    <xf numFmtId="0" fontId="80" fillId="0" borderId="167" xfId="0" applyFont="1" applyBorder="1" applyAlignment="1" applyProtection="1">
      <alignment horizontal="right" vertical="center"/>
      <protection hidden="1"/>
    </xf>
    <xf numFmtId="0" fontId="80" fillId="0" borderId="181" xfId="0" applyFont="1" applyBorder="1" applyAlignment="1" applyProtection="1">
      <alignment horizontal="right" vertical="center"/>
      <protection hidden="1"/>
    </xf>
    <xf numFmtId="0" fontId="15" fillId="0" borderId="131" xfId="0" quotePrefix="1" applyFont="1" applyBorder="1" applyAlignment="1">
      <alignment horizontal="left" vertical="center"/>
    </xf>
    <xf numFmtId="0" fontId="15" fillId="0" borderId="405" xfId="0" applyFont="1" applyBorder="1" applyAlignment="1" applyProtection="1">
      <alignment horizontal="left" vertical="center"/>
      <protection hidden="1"/>
    </xf>
    <xf numFmtId="0" fontId="15" fillId="0" borderId="82" xfId="0" applyFont="1" applyBorder="1" applyAlignment="1" applyProtection="1">
      <alignment horizontal="left" vertical="center"/>
      <protection hidden="1"/>
    </xf>
    <xf numFmtId="0" fontId="15" fillId="0" borderId="83" xfId="0" applyFont="1" applyBorder="1" applyAlignment="1" applyProtection="1">
      <alignment horizontal="left" vertical="center"/>
      <protection hidden="1"/>
    </xf>
    <xf numFmtId="0" fontId="15" fillId="0" borderId="390"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31" xfId="0" applyFont="1" applyBorder="1" applyAlignment="1" applyProtection="1">
      <alignment horizontal="left" vertical="center"/>
      <protection hidden="1"/>
    </xf>
    <xf numFmtId="0" fontId="15" fillId="0" borderId="406" xfId="0" applyFont="1" applyBorder="1" applyAlignment="1" applyProtection="1">
      <alignment horizontal="left" vertical="center"/>
      <protection hidden="1"/>
    </xf>
    <xf numFmtId="0" fontId="15" fillId="0" borderId="356" xfId="0" applyFont="1" applyBorder="1" applyAlignment="1" applyProtection="1">
      <alignment horizontal="left" vertical="center"/>
      <protection hidden="1"/>
    </xf>
    <xf numFmtId="0" fontId="15" fillId="0" borderId="357" xfId="0" applyFont="1" applyBorder="1" applyAlignment="1" applyProtection="1">
      <alignment horizontal="left" vertical="center"/>
      <protection hidden="1"/>
    </xf>
    <xf numFmtId="0" fontId="46" fillId="7" borderId="390" xfId="0" applyFont="1" applyFill="1" applyBorder="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6" fillId="7" borderId="410" xfId="0" applyFont="1" applyFill="1" applyBorder="1" applyAlignment="1" applyProtection="1">
      <alignment horizontal="left" vertical="center"/>
      <protection locked="0"/>
    </xf>
    <xf numFmtId="2" fontId="8" fillId="0" borderId="0" xfId="0" applyNumberFormat="1" applyFont="1" applyAlignment="1">
      <alignment horizontal="left" vertical="center"/>
    </xf>
    <xf numFmtId="0" fontId="9" fillId="0" borderId="31" xfId="0" applyFont="1" applyBorder="1" applyAlignment="1">
      <alignment horizontal="left" vertical="center"/>
    </xf>
    <xf numFmtId="0" fontId="9" fillId="0" borderId="14"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71" fillId="11" borderId="27" xfId="0" applyFont="1" applyFill="1" applyBorder="1" applyAlignment="1">
      <alignment horizontal="center" vertical="center"/>
    </xf>
    <xf numFmtId="0" fontId="71" fillId="11" borderId="0" xfId="0" applyFont="1" applyFill="1" applyAlignment="1">
      <alignment horizontal="center" vertical="center"/>
    </xf>
    <xf numFmtId="0" fontId="71" fillId="11" borderId="31" xfId="0" applyFont="1" applyFill="1" applyBorder="1" applyAlignment="1">
      <alignment horizontal="center"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18" fillId="0" borderId="44" xfId="0" applyFont="1" applyBorder="1" applyAlignment="1">
      <alignment horizontal="left" vertical="center" indent="1"/>
    </xf>
    <xf numFmtId="0" fontId="18" fillId="0" borderId="45" xfId="0" applyFont="1" applyBorder="1" applyAlignment="1">
      <alignment horizontal="left" vertical="center" indent="1"/>
    </xf>
    <xf numFmtId="0" fontId="18" fillId="0" borderId="74" xfId="0" applyFont="1" applyBorder="1" applyAlignment="1" applyProtection="1">
      <alignment horizontal="left" vertical="center" indent="1"/>
      <protection hidden="1"/>
    </xf>
    <xf numFmtId="0" fontId="18" fillId="0" borderId="44" xfId="0" applyFont="1" applyBorder="1" applyAlignment="1" applyProtection="1">
      <alignment horizontal="left" vertical="center" indent="1"/>
      <protection hidden="1"/>
    </xf>
    <xf numFmtId="0" fontId="18" fillId="0" borderId="45" xfId="0" applyFont="1" applyBorder="1" applyAlignment="1" applyProtection="1">
      <alignment horizontal="left" vertical="center" indent="1"/>
      <protection hidden="1"/>
    </xf>
    <xf numFmtId="0" fontId="18" fillId="0" borderId="27"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1" xfId="0" applyFont="1" applyBorder="1" applyAlignment="1" applyProtection="1">
      <alignment horizontal="left" vertical="center" indent="1"/>
      <protection hidden="1"/>
    </xf>
    <xf numFmtId="0" fontId="18" fillId="0" borderId="74" xfId="0" applyFont="1" applyBorder="1" applyAlignment="1">
      <alignment horizontal="left" vertical="center" indent="1"/>
    </xf>
    <xf numFmtId="0" fontId="58" fillId="11" borderId="26" xfId="0" applyFont="1" applyFill="1" applyBorder="1" applyAlignment="1">
      <alignment horizontal="center" vertical="center"/>
    </xf>
    <xf numFmtId="0" fontId="58" fillId="11" borderId="0" xfId="0" applyFont="1" applyFill="1" applyAlignment="1">
      <alignment horizontal="center" vertical="center"/>
    </xf>
    <xf numFmtId="0" fontId="58" fillId="11" borderId="31" xfId="0" applyFont="1" applyFill="1" applyBorder="1" applyAlignment="1">
      <alignment horizontal="center" vertical="center"/>
    </xf>
    <xf numFmtId="0" fontId="58" fillId="11" borderId="57"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42" xfId="0" applyFont="1" applyFill="1" applyBorder="1" applyAlignment="1">
      <alignment horizontal="center" vertical="center"/>
    </xf>
    <xf numFmtId="0" fontId="0" fillId="0" borderId="0" xfId="0" applyAlignment="1">
      <alignment horizontal="left" vertical="center"/>
    </xf>
    <xf numFmtId="0" fontId="15" fillId="0" borderId="45" xfId="0" applyFont="1" applyBorder="1" applyAlignment="1">
      <alignment horizontal="left" vertical="center"/>
    </xf>
    <xf numFmtId="0" fontId="9" fillId="0" borderId="120" xfId="0" applyFont="1" applyBorder="1" applyAlignment="1" applyProtection="1">
      <alignment horizontal="right" vertical="center"/>
      <protection hidden="1"/>
    </xf>
    <xf numFmtId="0" fontId="15" fillId="0" borderId="77" xfId="0" applyFont="1" applyBorder="1" applyAlignment="1">
      <alignment horizontal="left" vertical="center"/>
    </xf>
    <xf numFmtId="0" fontId="14" fillId="0" borderId="44" xfId="0" applyFont="1" applyBorder="1" applyAlignment="1">
      <alignment horizontal="left" vertical="center"/>
    </xf>
    <xf numFmtId="0" fontId="15" fillId="0" borderId="78" xfId="0" applyFont="1" applyBorder="1" applyAlignment="1">
      <alignment horizontal="left" vertical="center"/>
    </xf>
    <xf numFmtId="0" fontId="9" fillId="14" borderId="28" xfId="0" applyFont="1" applyFill="1" applyBorder="1" applyAlignment="1" applyProtection="1">
      <alignment horizontal="center" vertical="center"/>
      <protection locked="0"/>
    </xf>
    <xf numFmtId="0" fontId="0" fillId="14" borderId="28" xfId="0" applyFill="1" applyBorder="1" applyAlignment="1" applyProtection="1">
      <alignment horizontal="center" vertical="center"/>
      <protection locked="0"/>
    </xf>
    <xf numFmtId="1" fontId="8" fillId="0" borderId="0" xfId="0" applyNumberFormat="1" applyFont="1" applyAlignment="1">
      <alignment horizontal="left" vertical="center"/>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0" fontId="74" fillId="11" borderId="13" xfId="0" applyFont="1" applyFill="1" applyBorder="1" applyAlignment="1" applyProtection="1">
      <alignment horizontal="center"/>
      <protection hidden="1"/>
    </xf>
    <xf numFmtId="0" fontId="74" fillId="11" borderId="2" xfId="0" applyFont="1" applyFill="1" applyBorder="1" applyAlignment="1" applyProtection="1">
      <alignment horizontal="center"/>
      <protection hidden="1"/>
    </xf>
    <xf numFmtId="49" fontId="74" fillId="11" borderId="40" xfId="0" applyNumberFormat="1" applyFont="1" applyFill="1" applyBorder="1" applyAlignment="1" applyProtection="1">
      <alignment horizontal="center"/>
      <protection hidden="1"/>
    </xf>
    <xf numFmtId="0" fontId="74" fillId="11" borderId="68" xfId="0" applyFont="1" applyFill="1" applyBorder="1" applyAlignment="1" applyProtection="1">
      <alignment horizontal="center"/>
      <protection hidden="1"/>
    </xf>
    <xf numFmtId="167" fontId="15" fillId="7" borderId="16" xfId="0" applyNumberFormat="1" applyFont="1" applyFill="1" applyBorder="1" applyAlignment="1" applyProtection="1">
      <alignment horizontal="center" vertical="center"/>
      <protection locked="0"/>
    </xf>
    <xf numFmtId="167" fontId="15" fillId="7" borderId="25"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protection hidden="1"/>
    </xf>
    <xf numFmtId="49" fontId="74" fillId="11" borderId="27" xfId="0" applyNumberFormat="1" applyFont="1" applyFill="1" applyBorder="1" applyAlignment="1" applyProtection="1">
      <alignment horizontal="center"/>
      <protection hidden="1"/>
    </xf>
    <xf numFmtId="0" fontId="74" fillId="11" borderId="28" xfId="0" applyFont="1" applyFill="1" applyBorder="1" applyAlignment="1" applyProtection="1">
      <alignment horizontal="center"/>
      <protection hidden="1"/>
    </xf>
    <xf numFmtId="167" fontId="15" fillId="6" borderId="95" xfId="0" applyNumberFormat="1" applyFont="1" applyFill="1" applyBorder="1" applyAlignment="1">
      <alignment horizontal="center" vertical="center"/>
    </xf>
    <xf numFmtId="0" fontId="7" fillId="0" borderId="0" xfId="0" applyFont="1" applyAlignment="1">
      <alignment horizontal="right" vertical="center"/>
    </xf>
    <xf numFmtId="1" fontId="15" fillId="0" borderId="0" xfId="0" applyNumberFormat="1" applyFont="1" applyAlignment="1" applyProtection="1">
      <alignment horizontal="right"/>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left" vertical="center" wrapText="1"/>
      <protection hidden="1"/>
    </xf>
    <xf numFmtId="0" fontId="14" fillId="0" borderId="75" xfId="0" applyFont="1" applyBorder="1" applyAlignment="1" applyProtection="1">
      <alignment horizontal="left" vertical="center" wrapText="1"/>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14"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49" fontId="8" fillId="0" borderId="0" xfId="0" applyNumberFormat="1" applyFont="1" applyAlignment="1" applyProtection="1">
      <alignment horizontal="center"/>
      <protection hidden="1"/>
    </xf>
    <xf numFmtId="0" fontId="15" fillId="0" borderId="0" xfId="0" applyFont="1" applyAlignment="1" applyProtection="1">
      <alignment horizontal="left"/>
      <protection hidden="1"/>
    </xf>
    <xf numFmtId="1" fontId="14" fillId="0" borderId="0" xfId="0" applyNumberFormat="1" applyFont="1" applyAlignment="1" applyProtection="1">
      <alignment horizontal="center"/>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right" vertical="center"/>
      <protection hidden="1"/>
    </xf>
    <xf numFmtId="3" fontId="15" fillId="0" borderId="0" xfId="0" applyNumberFormat="1" applyFont="1" applyAlignment="1" applyProtection="1">
      <alignment horizontal="right"/>
      <protection hidden="1"/>
    </xf>
    <xf numFmtId="0" fontId="74" fillId="11" borderId="13" xfId="0" applyFont="1" applyFill="1" applyBorder="1" applyAlignment="1" applyProtection="1">
      <alignment horizontal="center" vertical="center"/>
      <protection hidden="1"/>
    </xf>
    <xf numFmtId="0" fontId="78" fillId="11" borderId="3" xfId="0" applyFont="1" applyFill="1" applyBorder="1" applyAlignment="1">
      <alignment horizontal="center" vertical="center"/>
    </xf>
    <xf numFmtId="0" fontId="78" fillId="11" borderId="2" xfId="0"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3" fontId="0" fillId="0" borderId="0" xfId="0" applyNumberFormat="1" applyAlignment="1" applyProtection="1">
      <alignment horizontal="center"/>
      <protection hidden="1"/>
    </xf>
    <xf numFmtId="0" fontId="10" fillId="0" borderId="0" xfId="0" applyFont="1" applyAlignment="1">
      <alignment horizontal="left" vertical="center"/>
    </xf>
    <xf numFmtId="0" fontId="14" fillId="0" borderId="40"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9" fillId="15" borderId="24" xfId="0" applyFont="1" applyFill="1" applyBorder="1" applyAlignment="1" applyProtection="1">
      <alignment horizontal="left" vertical="center"/>
      <protection hidden="1"/>
    </xf>
    <xf numFmtId="0" fontId="9" fillId="15" borderId="17" xfId="0" applyFont="1" applyFill="1" applyBorder="1" applyAlignment="1" applyProtection="1">
      <alignment horizontal="left" vertical="center"/>
      <protection hidden="1"/>
    </xf>
    <xf numFmtId="0" fontId="9" fillId="15" borderId="59" xfId="0" applyFont="1" applyFill="1" applyBorder="1" applyAlignment="1" applyProtection="1">
      <alignment horizontal="left" vertical="center"/>
      <protection hidden="1"/>
    </xf>
    <xf numFmtId="0" fontId="46" fillId="0" borderId="21" xfId="0" applyFont="1" applyBorder="1" applyAlignment="1">
      <alignment horizontal="left" vertical="center"/>
    </xf>
    <xf numFmtId="0" fontId="5" fillId="0" borderId="11" xfId="0" applyFont="1" applyBorder="1" applyAlignment="1">
      <alignment horizontal="left" vertical="center"/>
    </xf>
    <xf numFmtId="0" fontId="5" fillId="0" borderId="43" xfId="0" applyFont="1" applyBorder="1" applyAlignment="1">
      <alignment horizontal="left" vertical="center"/>
    </xf>
    <xf numFmtId="0" fontId="46" fillId="6" borderId="21"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43" xfId="0" applyFont="1" applyFill="1" applyBorder="1" applyAlignment="1">
      <alignment horizontal="left" vertical="center"/>
    </xf>
    <xf numFmtId="0" fontId="46" fillId="7" borderId="21"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3"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43" xfId="0" applyFont="1" applyBorder="1" applyAlignment="1">
      <alignment horizontal="left" vertical="center"/>
    </xf>
    <xf numFmtId="0" fontId="74" fillId="11" borderId="1" xfId="0" applyFont="1" applyFill="1" applyBorder="1" applyAlignment="1">
      <alignment horizontal="center" vertical="center"/>
    </xf>
    <xf numFmtId="0" fontId="74" fillId="11" borderId="39" xfId="0" applyFont="1" applyFill="1" applyBorder="1" applyAlignment="1">
      <alignment horizontal="center" vertical="center"/>
    </xf>
    <xf numFmtId="0" fontId="74" fillId="11" borderId="183" xfId="0" applyFont="1" applyFill="1" applyBorder="1" applyAlignment="1">
      <alignment horizontal="center" vertical="center"/>
    </xf>
    <xf numFmtId="3" fontId="15" fillId="0" borderId="0" xfId="0" applyNumberFormat="1" applyFont="1" applyAlignment="1" applyProtection="1">
      <alignment horizontal="center" vertical="center"/>
      <protection hidden="1"/>
    </xf>
    <xf numFmtId="17" fontId="10" fillId="0" borderId="21" xfId="0" applyNumberFormat="1" applyFont="1" applyBorder="1" applyAlignment="1" applyProtection="1">
      <alignment horizontal="center" vertical="center"/>
      <protection hidden="1"/>
    </xf>
    <xf numFmtId="17" fontId="10" fillId="0" borderId="67" xfId="0" applyNumberFormat="1" applyFont="1" applyBorder="1" applyAlignment="1" applyProtection="1">
      <alignment horizontal="center" vertical="center"/>
      <protection hidden="1"/>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43" xfId="0" applyFont="1" applyBorder="1" applyAlignment="1">
      <alignment horizontal="left" vertical="center"/>
    </xf>
    <xf numFmtId="10" fontId="7" fillId="5" borderId="36" xfId="2" applyNumberFormat="1" applyFont="1" applyFill="1" applyBorder="1" applyAlignment="1" applyProtection="1">
      <alignment horizontal="right" vertical="center"/>
      <protection hidden="1"/>
    </xf>
    <xf numFmtId="10" fontId="7" fillId="5" borderId="18" xfId="2" applyNumberFormat="1" applyFont="1" applyFill="1" applyBorder="1" applyAlignment="1" applyProtection="1">
      <alignment horizontal="right" vertical="center"/>
      <protection hidden="1"/>
    </xf>
    <xf numFmtId="16" fontId="46" fillId="0" borderId="21" xfId="0" quotePrefix="1" applyNumberFormat="1" applyFont="1" applyBorder="1" applyAlignment="1">
      <alignment horizontal="left" vertical="center"/>
    </xf>
    <xf numFmtId="16" fontId="46" fillId="0" borderId="11" xfId="0" quotePrefix="1" applyNumberFormat="1" applyFont="1" applyBorder="1" applyAlignment="1">
      <alignment horizontal="left" vertical="center"/>
    </xf>
    <xf numFmtId="16" fontId="46" fillId="0" borderId="43" xfId="0" quotePrefix="1" applyNumberFormat="1" applyFont="1" applyBorder="1" applyAlignment="1">
      <alignment horizontal="left" vertical="center"/>
    </xf>
    <xf numFmtId="0" fontId="7" fillId="0" borderId="18" xfId="0" applyFont="1" applyBorder="1" applyAlignment="1">
      <alignment horizontal="center"/>
    </xf>
    <xf numFmtId="10" fontId="7" fillId="5" borderId="43" xfId="2" applyNumberFormat="1" applyFont="1" applyFill="1" applyBorder="1" applyAlignment="1" applyProtection="1">
      <alignment horizontal="right" vertical="center"/>
      <protection hidden="1"/>
    </xf>
    <xf numFmtId="0" fontId="11" fillId="2" borderId="0" xfId="0" applyFont="1" applyFill="1" applyAlignment="1">
      <alignment horizontal="right" vertical="center"/>
    </xf>
    <xf numFmtId="0" fontId="74" fillId="11" borderId="1" xfId="0" applyFont="1" applyFill="1" applyBorder="1" applyAlignment="1">
      <alignment horizontal="center" vertical="center" wrapText="1"/>
    </xf>
    <xf numFmtId="0" fontId="74" fillId="11" borderId="39"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protection hidden="1"/>
    </xf>
    <xf numFmtId="0" fontId="9" fillId="14" borderId="0" xfId="0" applyFont="1" applyFill="1" applyAlignment="1">
      <alignment horizontal="center" vertical="center"/>
    </xf>
    <xf numFmtId="0" fontId="11" fillId="7" borderId="0" xfId="0" applyFont="1" applyFill="1" applyAlignment="1" applyProtection="1">
      <alignment horizontal="left" vertical="center"/>
      <protection locked="0"/>
    </xf>
    <xf numFmtId="0" fontId="26" fillId="0" borderId="0" xfId="0" applyFont="1" applyAlignment="1">
      <alignment horizontal="center"/>
    </xf>
    <xf numFmtId="0" fontId="14" fillId="8" borderId="299" xfId="0" applyFont="1" applyFill="1" applyBorder="1" applyAlignment="1">
      <alignment horizontal="left" vertical="center" indent="1"/>
    </xf>
    <xf numFmtId="0" fontId="14" fillId="8" borderId="300" xfId="0" applyFont="1" applyFill="1" applyBorder="1" applyAlignment="1">
      <alignment horizontal="left" vertical="center" indent="1"/>
    </xf>
    <xf numFmtId="0" fontId="14" fillId="8" borderId="301" xfId="0" applyFont="1" applyFill="1" applyBorder="1" applyAlignment="1">
      <alignment horizontal="left" vertical="center" indent="1"/>
    </xf>
    <xf numFmtId="0" fontId="58" fillId="11" borderId="11" xfId="0" applyFont="1" applyFill="1" applyBorder="1" applyAlignment="1">
      <alignment horizontal="left" vertical="center" indent="1"/>
    </xf>
    <xf numFmtId="0" fontId="58" fillId="11" borderId="43" xfId="0" applyFont="1" applyFill="1" applyBorder="1" applyAlignment="1">
      <alignment horizontal="left" vertical="center" indent="1"/>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59" xfId="0" applyFont="1" applyBorder="1" applyAlignment="1">
      <alignment horizontal="left" vertical="center"/>
    </xf>
    <xf numFmtId="0" fontId="46" fillId="0" borderId="90" xfId="0" applyFont="1" applyBorder="1" applyAlignment="1">
      <alignment horizontal="left" vertical="center"/>
    </xf>
    <xf numFmtId="0" fontId="5" fillId="0" borderId="91" xfId="0" applyFont="1" applyBorder="1" applyAlignment="1">
      <alignment horizontal="left" vertical="center"/>
    </xf>
    <xf numFmtId="0" fontId="5" fillId="0" borderId="94" xfId="0" applyFont="1" applyBorder="1" applyAlignment="1">
      <alignment horizontal="left" vertical="center"/>
    </xf>
    <xf numFmtId="0" fontId="58" fillId="11" borderId="15" xfId="0" applyFont="1" applyFill="1" applyBorder="1" applyAlignment="1">
      <alignment horizontal="left" vertical="center" indent="1"/>
    </xf>
    <xf numFmtId="0" fontId="42" fillId="0" borderId="60" xfId="0" applyFont="1" applyBorder="1" applyAlignment="1">
      <alignment horizontal="center" vertical="center"/>
    </xf>
    <xf numFmtId="0" fontId="42" fillId="0" borderId="32" xfId="0" applyFont="1" applyBorder="1" applyAlignment="1">
      <alignment horizontal="center" vertical="center"/>
    </xf>
    <xf numFmtId="0" fontId="9" fillId="2" borderId="0" xfId="0" applyFont="1" applyFill="1" applyAlignment="1">
      <alignment horizontal="left"/>
    </xf>
    <xf numFmtId="0" fontId="6" fillId="0" borderId="0" xfId="0" applyFont="1" applyAlignment="1">
      <alignment horizontal="left" vertical="center"/>
    </xf>
    <xf numFmtId="0" fontId="42" fillId="0" borderId="29" xfId="0" applyFont="1" applyBorder="1" applyAlignment="1" applyProtection="1">
      <alignment horizontal="center" vertical="center"/>
      <protection hidden="1"/>
    </xf>
    <xf numFmtId="0" fontId="42" fillId="0" borderId="32" xfId="0" applyFont="1" applyBorder="1" applyAlignment="1" applyProtection="1">
      <alignment horizontal="center" vertical="center"/>
      <protection hidden="1"/>
    </xf>
    <xf numFmtId="0" fontId="82" fillId="4" borderId="48" xfId="0" applyFont="1" applyFill="1" applyBorder="1" applyAlignment="1" applyProtection="1">
      <alignment horizontal="left" vertical="center"/>
      <protection hidden="1"/>
    </xf>
    <xf numFmtId="0" fontId="82" fillId="4" borderId="64" xfId="0" applyFont="1" applyFill="1" applyBorder="1" applyAlignment="1" applyProtection="1">
      <alignment horizontal="left" vertical="center"/>
      <protection hidden="1"/>
    </xf>
    <xf numFmtId="0" fontId="82" fillId="4" borderId="93" xfId="0" applyFont="1" applyFill="1" applyBorder="1" applyAlignment="1" applyProtection="1">
      <alignment horizontal="left" vertical="center"/>
      <protection hidden="1"/>
    </xf>
    <xf numFmtId="0" fontId="82" fillId="8" borderId="48" xfId="0" applyFont="1" applyFill="1" applyBorder="1" applyAlignment="1" applyProtection="1">
      <alignment horizontal="left" vertical="center"/>
      <protection hidden="1"/>
    </xf>
    <xf numFmtId="0" fontId="82" fillId="8" borderId="64" xfId="0" applyFont="1" applyFill="1" applyBorder="1" applyAlignment="1" applyProtection="1">
      <alignment horizontal="left" vertical="center"/>
      <protection hidden="1"/>
    </xf>
    <xf numFmtId="0" fontId="11" fillId="0" borderId="0" xfId="0" applyFont="1" applyAlignment="1">
      <alignment horizontal="left"/>
    </xf>
    <xf numFmtId="0" fontId="9" fillId="15" borderId="19" xfId="0" applyFont="1" applyFill="1" applyBorder="1" applyAlignment="1" applyProtection="1">
      <alignment horizontal="left" vertical="center"/>
      <protection hidden="1"/>
    </xf>
    <xf numFmtId="0" fontId="9" fillId="15" borderId="8" xfId="0" applyFont="1" applyFill="1" applyBorder="1" applyAlignment="1" applyProtection="1">
      <alignment horizontal="left" vertical="center"/>
      <protection hidden="1"/>
    </xf>
    <xf numFmtId="0" fontId="9" fillId="15" borderId="9" xfId="0" applyFont="1" applyFill="1" applyBorder="1" applyAlignment="1" applyProtection="1">
      <alignment horizontal="left" vertical="center"/>
      <protection hidden="1"/>
    </xf>
    <xf numFmtId="0" fontId="14" fillId="0" borderId="299" xfId="0" applyFont="1" applyBorder="1" applyProtection="1">
      <protection hidden="1"/>
    </xf>
    <xf numFmtId="0" fontId="14" fillId="0" borderId="300" xfId="0" applyFont="1" applyBorder="1" applyProtection="1">
      <protection hidden="1"/>
    </xf>
    <xf numFmtId="0" fontId="14" fillId="0" borderId="301" xfId="0" applyFont="1" applyBorder="1" applyProtection="1">
      <protection hidden="1"/>
    </xf>
    <xf numFmtId="0" fontId="9" fillId="6" borderId="24" xfId="0" applyFont="1" applyFill="1" applyBorder="1" applyAlignment="1" applyProtection="1">
      <alignment horizontal="left" vertical="center"/>
      <protection hidden="1"/>
    </xf>
    <xf numFmtId="0" fontId="9" fillId="6" borderId="17" xfId="0" applyFont="1" applyFill="1" applyBorder="1" applyAlignment="1" applyProtection="1">
      <alignment horizontal="left" vertical="center"/>
      <protection hidden="1"/>
    </xf>
    <xf numFmtId="0" fontId="9" fillId="6" borderId="59" xfId="0" applyFont="1" applyFill="1" applyBorder="1" applyAlignment="1" applyProtection="1">
      <alignment horizontal="left" vertical="center"/>
      <protection hidden="1"/>
    </xf>
    <xf numFmtId="0" fontId="5" fillId="6" borderId="11" xfId="0" applyFont="1" applyFill="1" applyBorder="1" applyAlignment="1">
      <alignment horizontal="left" vertical="center"/>
    </xf>
    <xf numFmtId="0" fontId="5" fillId="6" borderId="43" xfId="0" applyFont="1" applyFill="1" applyBorder="1" applyAlignment="1">
      <alignment horizontal="left" vertical="center"/>
    </xf>
    <xf numFmtId="0" fontId="9" fillId="0" borderId="34" xfId="0" applyFont="1" applyBorder="1" applyAlignment="1">
      <alignment horizontal="center" vertical="center"/>
    </xf>
    <xf numFmtId="0" fontId="9" fillId="6" borderId="19" xfId="0" applyFont="1" applyFill="1" applyBorder="1" applyAlignment="1" applyProtection="1">
      <alignment horizontal="left" vertical="center"/>
      <protection hidden="1"/>
    </xf>
    <xf numFmtId="0" fontId="9" fillId="6" borderId="8" xfId="0" applyFont="1" applyFill="1" applyBorder="1" applyAlignment="1" applyProtection="1">
      <alignment horizontal="left" vertical="center"/>
      <protection hidden="1"/>
    </xf>
    <xf numFmtId="0" fontId="9" fillId="6" borderId="9" xfId="0" applyFont="1" applyFill="1" applyBorder="1" applyAlignment="1" applyProtection="1">
      <alignment horizontal="left" vertical="center"/>
      <protection hidden="1"/>
    </xf>
    <xf numFmtId="0" fontId="71" fillId="2" borderId="0" xfId="0" applyFont="1" applyFill="1" applyAlignment="1" applyProtection="1">
      <alignment horizontal="left" vertical="center"/>
      <protection hidden="1"/>
    </xf>
    <xf numFmtId="0" fontId="46" fillId="0" borderId="48" xfId="0" applyFont="1" applyBorder="1" applyAlignment="1">
      <alignment horizontal="left" vertical="center"/>
    </xf>
    <xf numFmtId="0" fontId="5" fillId="0" borderId="64" xfId="0" applyFont="1" applyBorder="1" applyAlignment="1">
      <alignment horizontal="left" vertical="center"/>
    </xf>
    <xf numFmtId="0" fontId="5" fillId="0" borderId="93" xfId="0" applyFont="1" applyBorder="1" applyAlignment="1">
      <alignment horizontal="left" vertical="center"/>
    </xf>
    <xf numFmtId="10" fontId="7" fillId="0" borderId="0" xfId="2" applyNumberFormat="1" applyFont="1" applyFill="1" applyBorder="1" applyAlignment="1" applyProtection="1">
      <alignment horizontal="right" vertical="center"/>
      <protection hidden="1"/>
    </xf>
    <xf numFmtId="17" fontId="10" fillId="0" borderId="0" xfId="0" applyNumberFormat="1" applyFont="1" applyAlignment="1" applyProtection="1">
      <alignment horizontal="center" vertical="center"/>
      <protection hidden="1"/>
    </xf>
    <xf numFmtId="0" fontId="58" fillId="11" borderId="88" xfId="0" applyFont="1" applyFill="1" applyBorder="1" applyAlignment="1">
      <alignment horizontal="left" vertical="center" indent="1"/>
    </xf>
    <xf numFmtId="0" fontId="10" fillId="0" borderId="0" xfId="0" applyFont="1" applyAlignment="1" applyProtection="1">
      <alignment horizontal="center" vertical="center" wrapText="1"/>
      <protection hidden="1"/>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42" fillId="0" borderId="20" xfId="0" applyFont="1" applyBorder="1" applyAlignment="1">
      <alignment horizontal="center" vertical="center"/>
    </xf>
    <xf numFmtId="0" fontId="1" fillId="0" borderId="21" xfId="0" applyFont="1" applyBorder="1" applyAlignment="1">
      <alignment horizontal="left" vertical="center"/>
    </xf>
    <xf numFmtId="0" fontId="42" fillId="0" borderId="29" xfId="0" applyFont="1" applyBorder="1" applyAlignment="1">
      <alignment horizontal="center" vertical="center"/>
    </xf>
    <xf numFmtId="0" fontId="1" fillId="0" borderId="21" xfId="0" applyFont="1" applyBorder="1" applyAlignment="1">
      <alignment horizontal="left"/>
    </xf>
    <xf numFmtId="0" fontId="1" fillId="0" borderId="11" xfId="0" applyFont="1" applyBorder="1" applyAlignment="1">
      <alignment horizontal="left"/>
    </xf>
    <xf numFmtId="0" fontId="1" fillId="0" borderId="43" xfId="0" applyFont="1" applyBorder="1" applyAlignment="1">
      <alignment horizontal="left"/>
    </xf>
    <xf numFmtId="0" fontId="1" fillId="0" borderId="11" xfId="0" applyFont="1" applyBorder="1" applyAlignment="1">
      <alignment horizontal="left" vertical="center"/>
    </xf>
    <xf numFmtId="0" fontId="1" fillId="0" borderId="43" xfId="0" applyFont="1" applyBorder="1" applyAlignment="1">
      <alignment horizontal="left" vertical="center"/>
    </xf>
    <xf numFmtId="0" fontId="14" fillId="0" borderId="371" xfId="0" applyFont="1" applyBorder="1" applyAlignment="1" applyProtection="1">
      <alignment horizontal="left" vertical="center"/>
      <protection hidden="1"/>
    </xf>
    <xf numFmtId="14" fontId="14" fillId="0" borderId="17" xfId="0" applyNumberFormat="1"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10" fillId="0" borderId="0" xfId="0" applyFont="1" applyAlignment="1" applyProtection="1">
      <alignment horizontal="center"/>
      <protection hidden="1"/>
    </xf>
    <xf numFmtId="0" fontId="81" fillId="0" borderId="0" xfId="0" applyFont="1" applyAlignment="1" applyProtection="1">
      <alignment horizontal="left" vertical="center"/>
      <protection hidden="1"/>
    </xf>
    <xf numFmtId="0" fontId="15" fillId="0" borderId="17" xfId="0" applyFont="1" applyBorder="1" applyAlignment="1" applyProtection="1">
      <alignment horizontal="left" vertical="center"/>
      <protection hidden="1"/>
    </xf>
    <xf numFmtId="0" fontId="15" fillId="7" borderId="0" xfId="0" applyFont="1" applyFill="1" applyAlignment="1" applyProtection="1">
      <alignment horizontal="left" vertical="center"/>
      <protection locked="0"/>
    </xf>
    <xf numFmtId="0" fontId="58" fillId="11" borderId="372" xfId="0" applyFont="1" applyFill="1" applyBorder="1" applyAlignment="1" applyProtection="1">
      <alignment horizontal="left" vertical="center" indent="2"/>
      <protection hidden="1"/>
    </xf>
    <xf numFmtId="0" fontId="58" fillId="11" borderId="373" xfId="0" applyFont="1" applyFill="1" applyBorder="1" applyAlignment="1" applyProtection="1">
      <alignment horizontal="left" vertical="center" indent="2"/>
      <protection hidden="1"/>
    </xf>
    <xf numFmtId="0" fontId="58" fillId="11" borderId="375" xfId="0" applyFont="1" applyFill="1" applyBorder="1" applyAlignment="1" applyProtection="1">
      <alignment horizontal="left" vertical="center" indent="2"/>
      <protection hidden="1"/>
    </xf>
    <xf numFmtId="0" fontId="58" fillId="11" borderId="376" xfId="0" applyFont="1" applyFill="1" applyBorder="1" applyAlignment="1" applyProtection="1">
      <alignment horizontal="left" vertical="center" indent="2"/>
      <protection hidden="1"/>
    </xf>
    <xf numFmtId="6" fontId="74" fillId="11" borderId="373" xfId="0" applyNumberFormat="1" applyFont="1" applyFill="1" applyBorder="1" applyAlignment="1" applyProtection="1">
      <alignment horizontal="center" vertical="center" wrapText="1"/>
      <protection hidden="1"/>
    </xf>
    <xf numFmtId="6" fontId="74" fillId="11" borderId="376" xfId="0" applyNumberFormat="1" applyFont="1" applyFill="1" applyBorder="1" applyAlignment="1" applyProtection="1">
      <alignment horizontal="center" vertical="center" wrapText="1"/>
      <protection hidden="1"/>
    </xf>
    <xf numFmtId="0" fontId="75" fillId="11" borderId="373" xfId="0" applyFont="1" applyFill="1" applyBorder="1" applyAlignment="1" applyProtection="1">
      <alignment horizontal="left" vertical="center" indent="1"/>
      <protection hidden="1"/>
    </xf>
    <xf numFmtId="0" fontId="75" fillId="11" borderId="374" xfId="0" applyFont="1" applyFill="1" applyBorder="1" applyAlignment="1" applyProtection="1">
      <alignment horizontal="left" vertical="center" indent="1"/>
      <protection hidden="1"/>
    </xf>
    <xf numFmtId="0" fontId="75" fillId="11" borderId="376" xfId="0" applyFont="1" applyFill="1" applyBorder="1" applyAlignment="1" applyProtection="1">
      <alignment horizontal="left" vertical="center" indent="1"/>
      <protection hidden="1"/>
    </xf>
    <xf numFmtId="0" fontId="75" fillId="11" borderId="377" xfId="0" applyFont="1" applyFill="1" applyBorder="1" applyAlignment="1" applyProtection="1">
      <alignment horizontal="left" vertical="center" indent="1"/>
      <protection hidden="1"/>
    </xf>
    <xf numFmtId="0" fontId="14" fillId="0" borderId="17" xfId="0" applyFont="1" applyBorder="1" applyAlignment="1" applyProtection="1">
      <alignment horizontal="left" vertical="center"/>
      <protection hidden="1"/>
    </xf>
    <xf numFmtId="0" fontId="15" fillId="0" borderId="370" xfId="0" applyFont="1" applyBorder="1" applyAlignment="1" applyProtection="1">
      <alignment horizontal="left" vertical="center"/>
      <protection hidden="1"/>
    </xf>
    <xf numFmtId="0" fontId="15" fillId="0" borderId="368" xfId="0" applyFont="1" applyBorder="1" applyAlignment="1" applyProtection="1">
      <alignment horizontal="left" vertical="center"/>
      <protection hidden="1"/>
    </xf>
    <xf numFmtId="0" fontId="10" fillId="0" borderId="370" xfId="0" applyFont="1" applyBorder="1" applyAlignment="1" applyProtection="1">
      <alignment horizontal="left" vertical="center" indent="1"/>
      <protection hidden="1"/>
    </xf>
    <xf numFmtId="0" fontId="10" fillId="0" borderId="368" xfId="0" applyFont="1" applyBorder="1" applyAlignment="1" applyProtection="1">
      <alignment horizontal="left" vertical="center" indent="1"/>
      <protection hidden="1"/>
    </xf>
    <xf numFmtId="0" fontId="15" fillId="0" borderId="366" xfId="0" applyFont="1" applyBorder="1" applyAlignment="1" applyProtection="1">
      <alignment horizontal="left" vertical="center"/>
      <protection hidden="1"/>
    </xf>
    <xf numFmtId="0" fontId="15" fillId="0" borderId="367" xfId="0" applyFont="1" applyBorder="1" applyAlignment="1" applyProtection="1">
      <alignment horizontal="left" vertical="center"/>
      <protection hidden="1"/>
    </xf>
    <xf numFmtId="6" fontId="75" fillId="11" borderId="368" xfId="0" applyNumberFormat="1" applyFont="1" applyFill="1" applyBorder="1" applyAlignment="1" applyProtection="1">
      <alignment horizontal="center" vertical="center"/>
      <protection hidden="1"/>
    </xf>
    <xf numFmtId="0" fontId="10" fillId="0" borderId="371" xfId="0" applyFont="1" applyBorder="1" applyAlignment="1" applyProtection="1">
      <alignment horizontal="left" vertical="center" indent="1"/>
      <protection hidden="1"/>
    </xf>
    <xf numFmtId="0" fontId="75" fillId="11" borderId="380" xfId="0" applyFont="1" applyFill="1" applyBorder="1" applyAlignment="1" applyProtection="1">
      <alignment horizontal="left" vertical="center" wrapText="1" indent="1"/>
      <protection hidden="1"/>
    </xf>
    <xf numFmtId="0" fontId="75" fillId="11" borderId="381" xfId="0" applyFont="1" applyFill="1" applyBorder="1" applyAlignment="1" applyProtection="1">
      <alignment horizontal="left" vertical="center" wrapText="1" indent="1"/>
      <protection hidden="1"/>
    </xf>
    <xf numFmtId="0" fontId="75" fillId="11" borderId="0" xfId="0" applyFont="1" applyFill="1" applyAlignment="1" applyProtection="1">
      <alignment horizontal="left" vertical="center" wrapText="1" indent="1"/>
      <protection hidden="1"/>
    </xf>
    <xf numFmtId="0" fontId="75" fillId="11" borderId="363" xfId="0" applyFont="1" applyFill="1" applyBorder="1" applyAlignment="1" applyProtection="1">
      <alignment horizontal="left" vertical="center" wrapText="1" indent="1"/>
      <protection hidden="1"/>
    </xf>
    <xf numFmtId="0" fontId="14" fillId="0" borderId="36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362" xfId="0" applyFont="1" applyBorder="1" applyAlignment="1" applyProtection="1">
      <alignment horizontal="left"/>
      <protection hidden="1"/>
    </xf>
    <xf numFmtId="0" fontId="14" fillId="0" borderId="0" xfId="0" applyFont="1" applyAlignment="1" applyProtection="1">
      <alignment horizontal="left"/>
      <protection hidden="1"/>
    </xf>
    <xf numFmtId="0" fontId="7"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5" fillId="0" borderId="370" xfId="0" applyFont="1" applyBorder="1" applyAlignment="1" applyProtection="1">
      <alignment horizontal="left" vertical="center" wrapText="1"/>
      <protection hidden="1"/>
    </xf>
    <xf numFmtId="0" fontId="14" fillId="0" borderId="370" xfId="0" applyFont="1" applyBorder="1" applyAlignment="1" applyProtection="1">
      <alignment horizontal="left" vertical="center"/>
      <protection hidden="1"/>
    </xf>
    <xf numFmtId="0" fontId="14" fillId="0" borderId="368" xfId="0" applyFont="1" applyBorder="1" applyAlignment="1" applyProtection="1">
      <alignment horizontal="left" vertical="center"/>
      <protection hidden="1"/>
    </xf>
    <xf numFmtId="0" fontId="58" fillId="11" borderId="379" xfId="0" applyFont="1" applyFill="1" applyBorder="1" applyAlignment="1" applyProtection="1">
      <alignment horizontal="left" vertical="center" indent="2"/>
      <protection hidden="1"/>
    </xf>
    <xf numFmtId="0" fontId="58" fillId="11" borderId="380" xfId="0" applyFont="1" applyFill="1" applyBorder="1" applyAlignment="1" applyProtection="1">
      <alignment horizontal="left" vertical="center" indent="2"/>
      <protection hidden="1"/>
    </xf>
    <xf numFmtId="0" fontId="58" fillId="11" borderId="362" xfId="0" applyFont="1" applyFill="1" applyBorder="1" applyAlignment="1" applyProtection="1">
      <alignment horizontal="left" vertical="center" indent="2"/>
      <protection hidden="1"/>
    </xf>
    <xf numFmtId="0" fontId="58" fillId="11" borderId="0" xfId="0" applyFont="1" applyFill="1" applyAlignment="1" applyProtection="1">
      <alignment horizontal="left" vertical="center" indent="2"/>
      <protection hidden="1"/>
    </xf>
    <xf numFmtId="0" fontId="58" fillId="11" borderId="362" xfId="0" applyFont="1" applyFill="1" applyBorder="1" applyAlignment="1" applyProtection="1">
      <alignment horizontal="left" vertical="center" indent="1"/>
      <protection hidden="1"/>
    </xf>
    <xf numFmtId="0" fontId="58" fillId="11" borderId="0" xfId="0" applyFont="1" applyFill="1" applyAlignment="1" applyProtection="1">
      <alignment horizontal="left" vertical="center" indent="1"/>
      <protection hidden="1"/>
    </xf>
    <xf numFmtId="0" fontId="75" fillId="11" borderId="0" xfId="0" applyFont="1" applyFill="1" applyAlignment="1" applyProtection="1">
      <alignment horizontal="center"/>
      <protection hidden="1"/>
    </xf>
    <xf numFmtId="0" fontId="74" fillId="11" borderId="367" xfId="0" applyFont="1" applyFill="1" applyBorder="1" applyAlignment="1" applyProtection="1">
      <alignment horizontal="center"/>
      <protection hidden="1"/>
    </xf>
    <xf numFmtId="0" fontId="7" fillId="6" borderId="0" xfId="0" applyFont="1" applyFill="1" applyAlignment="1" applyProtection="1">
      <alignment horizontal="center" vertical="center"/>
      <protection hidden="1"/>
    </xf>
    <xf numFmtId="0" fontId="7" fillId="6" borderId="363" xfId="0" applyFont="1" applyFill="1" applyBorder="1" applyAlignment="1" applyProtection="1">
      <alignment horizontal="center" vertical="center"/>
      <protection hidden="1"/>
    </xf>
    <xf numFmtId="0" fontId="75" fillId="11" borderId="368" xfId="0" applyFont="1" applyFill="1" applyBorder="1" applyAlignment="1" applyProtection="1">
      <alignment horizontal="center"/>
      <protection hidden="1"/>
    </xf>
    <xf numFmtId="49" fontId="75" fillId="11" borderId="368" xfId="0" applyNumberFormat="1" applyFont="1" applyFill="1" applyBorder="1" applyAlignment="1" applyProtection="1">
      <alignment horizontal="center"/>
      <protection hidden="1"/>
    </xf>
    <xf numFmtId="3" fontId="15" fillId="0" borderId="371" xfId="0" applyNumberFormat="1" applyFont="1" applyBorder="1" applyAlignment="1" applyProtection="1">
      <alignment horizontal="center" vertical="center"/>
      <protection hidden="1"/>
    </xf>
    <xf numFmtId="3" fontId="15" fillId="8" borderId="371" xfId="0" applyNumberFormat="1" applyFont="1" applyFill="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0" fontId="74" fillId="11" borderId="382" xfId="0" applyFont="1" applyFill="1" applyBorder="1" applyAlignment="1" applyProtection="1">
      <alignment horizontal="center" vertical="center"/>
      <protection hidden="1"/>
    </xf>
    <xf numFmtId="0" fontId="74" fillId="11" borderId="362" xfId="0" applyFont="1" applyFill="1" applyBorder="1" applyAlignment="1" applyProtection="1">
      <alignment horizontal="center" vertical="center"/>
      <protection hidden="1"/>
    </xf>
    <xf numFmtId="1" fontId="74" fillId="11" borderId="367" xfId="0" applyNumberFormat="1" applyFont="1" applyFill="1" applyBorder="1" applyAlignment="1" applyProtection="1">
      <alignment horizontal="center" vertical="center"/>
      <protection hidden="1"/>
    </xf>
    <xf numFmtId="0" fontId="74" fillId="11" borderId="367" xfId="0" applyFont="1" applyFill="1" applyBorder="1" applyAlignment="1" applyProtection="1">
      <alignment horizontal="center" vertical="center"/>
      <protection hidden="1"/>
    </xf>
    <xf numFmtId="0" fontId="74" fillId="11" borderId="364" xfId="0" applyFont="1" applyFill="1" applyBorder="1" applyAlignment="1" applyProtection="1">
      <alignment horizontal="center" vertical="center"/>
      <protection hidden="1"/>
    </xf>
    <xf numFmtId="0" fontId="14" fillId="0" borderId="0" xfId="0" applyFont="1" applyAlignment="1">
      <alignment horizontal="left"/>
    </xf>
    <xf numFmtId="0" fontId="25" fillId="0" borderId="0" xfId="0" applyFont="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0" fillId="0" borderId="0" xfId="0" applyAlignment="1">
      <alignment shrinkToFit="1"/>
    </xf>
    <xf numFmtId="14" fontId="14" fillId="0" borderId="0" xfId="0" applyNumberFormat="1"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167" fontId="14" fillId="0" borderId="371" xfId="0" applyNumberFormat="1" applyFont="1" applyBorder="1" applyAlignment="1" applyProtection="1">
      <alignment horizontal="center"/>
      <protection hidden="1"/>
    </xf>
    <xf numFmtId="167" fontId="14" fillId="0" borderId="370" xfId="0" applyNumberFormat="1" applyFont="1" applyBorder="1" applyAlignment="1" applyProtection="1">
      <alignment horizontal="center"/>
      <protection hidden="1"/>
    </xf>
    <xf numFmtId="167" fontId="14"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protection hidden="1"/>
    </xf>
    <xf numFmtId="167" fontId="15" fillId="0" borderId="370" xfId="0" applyNumberFormat="1" applyFont="1" applyBorder="1" applyAlignment="1" applyProtection="1">
      <alignment horizontal="center"/>
      <protection hidden="1"/>
    </xf>
    <xf numFmtId="0" fontId="80" fillId="0" borderId="371" xfId="0" applyFont="1" applyBorder="1" applyAlignment="1" applyProtection="1">
      <alignment horizontal="left" vertical="center"/>
      <protection hidden="1"/>
    </xf>
    <xf numFmtId="0" fontId="80" fillId="0" borderId="370" xfId="0" applyFont="1" applyBorder="1" applyAlignment="1" applyProtection="1">
      <alignment horizontal="left" vertical="center"/>
      <protection hidden="1"/>
    </xf>
    <xf numFmtId="164" fontId="47" fillId="0" borderId="368" xfId="0" applyNumberFormat="1" applyFont="1" applyBorder="1" applyAlignment="1" applyProtection="1">
      <alignment horizontal="center" vertical="center"/>
      <protection hidden="1"/>
    </xf>
    <xf numFmtId="167" fontId="15" fillId="0" borderId="370" xfId="0" applyNumberFormat="1" applyFont="1" applyBorder="1" applyAlignment="1" applyProtection="1">
      <alignment horizontal="center" vertical="center"/>
      <protection hidden="1"/>
    </xf>
    <xf numFmtId="167" fontId="67" fillId="0" borderId="368" xfId="0" applyNumberFormat="1" applyFont="1" applyBorder="1" applyAlignment="1" applyProtection="1">
      <alignment horizontal="center" vertical="center"/>
      <protection hidden="1"/>
    </xf>
    <xf numFmtId="0" fontId="46" fillId="0" borderId="371" xfId="0" applyFont="1" applyBorder="1" applyAlignment="1" applyProtection="1">
      <alignment horizontal="left"/>
      <protection hidden="1"/>
    </xf>
    <xf numFmtId="0" fontId="46" fillId="0" borderId="370" xfId="0" applyFont="1" applyBorder="1" applyAlignment="1" applyProtection="1">
      <alignment horizontal="left"/>
      <protection hidden="1"/>
    </xf>
    <xf numFmtId="167" fontId="47" fillId="0" borderId="371" xfId="0" applyNumberFormat="1" applyFont="1" applyBorder="1" applyAlignment="1" applyProtection="1">
      <alignment horizontal="left" vertical="center"/>
      <protection hidden="1"/>
    </xf>
    <xf numFmtId="167" fontId="47" fillId="0" borderId="370" xfId="0" applyNumberFormat="1" applyFont="1" applyBorder="1" applyAlignment="1" applyProtection="1">
      <alignment horizontal="left" vertical="center"/>
      <protection hidden="1"/>
    </xf>
    <xf numFmtId="167" fontId="14" fillId="0" borderId="128" xfId="0" applyNumberFormat="1" applyFont="1" applyBorder="1" applyAlignment="1" applyProtection="1">
      <alignment horizontal="center"/>
      <protection hidden="1"/>
    </xf>
    <xf numFmtId="167" fontId="14" fillId="0" borderId="118" xfId="0" applyNumberFormat="1" applyFont="1" applyBorder="1" applyAlignment="1" applyProtection="1">
      <alignment horizontal="center"/>
      <protection hidden="1"/>
    </xf>
    <xf numFmtId="167" fontId="14" fillId="0" borderId="369" xfId="0" applyNumberFormat="1" applyFont="1" applyBorder="1" applyAlignment="1" applyProtection="1">
      <alignment horizontal="center" vertical="center"/>
      <protection hidden="1"/>
    </xf>
    <xf numFmtId="0" fontId="58" fillId="11" borderId="367" xfId="0" applyFont="1" applyFill="1" applyBorder="1" applyAlignment="1" applyProtection="1">
      <alignment horizontal="left" vertical="center" indent="2"/>
      <protection hidden="1"/>
    </xf>
    <xf numFmtId="0" fontId="58" fillId="11" borderId="368" xfId="0" applyFont="1" applyFill="1" applyBorder="1" applyAlignment="1" applyProtection="1">
      <alignment horizontal="left" vertical="center" indent="2"/>
      <protection hidden="1"/>
    </xf>
    <xf numFmtId="167" fontId="15" fillId="8" borderId="371" xfId="0" applyNumberFormat="1" applyFont="1" applyFill="1" applyBorder="1" applyAlignment="1" applyProtection="1">
      <alignment horizontal="center"/>
      <protection hidden="1"/>
    </xf>
    <xf numFmtId="167" fontId="15" fillId="8" borderId="370" xfId="0" applyNumberFormat="1" applyFont="1" applyFill="1" applyBorder="1" applyAlignment="1" applyProtection="1">
      <alignment horizontal="center"/>
      <protection hidden="1"/>
    </xf>
    <xf numFmtId="167" fontId="14" fillId="8" borderId="371" xfId="0" applyNumberFormat="1" applyFont="1" applyFill="1" applyBorder="1" applyAlignment="1" applyProtection="1">
      <alignment horizontal="center"/>
      <protection hidden="1"/>
    </xf>
    <xf numFmtId="167" fontId="14" fillId="8" borderId="370" xfId="0" applyNumberFormat="1" applyFont="1" applyFill="1" applyBorder="1" applyAlignment="1" applyProtection="1">
      <alignment horizontal="center"/>
      <protection hidden="1"/>
    </xf>
    <xf numFmtId="0" fontId="80" fillId="0" borderId="371" xfId="0" applyFont="1" applyBorder="1" applyAlignment="1" applyProtection="1">
      <alignment horizontal="left" vertical="center" indent="1"/>
      <protection hidden="1"/>
    </xf>
    <xf numFmtId="0" fontId="87" fillId="0" borderId="371" xfId="0" applyFont="1" applyBorder="1" applyAlignment="1" applyProtection="1">
      <alignment horizontal="left" vertical="center" indent="1"/>
      <protection hidden="1"/>
    </xf>
    <xf numFmtId="167" fontId="47" fillId="0" borderId="371" xfId="0" applyNumberFormat="1" applyFont="1" applyBorder="1" applyProtection="1">
      <protection hidden="1"/>
    </xf>
    <xf numFmtId="167" fontId="47" fillId="8" borderId="371" xfId="0" applyNumberFormat="1" applyFont="1" applyFill="1" applyBorder="1" applyAlignment="1" applyProtection="1">
      <alignment horizontal="left"/>
      <protection hidden="1"/>
    </xf>
    <xf numFmtId="167" fontId="47" fillId="8" borderId="370" xfId="0" applyNumberFormat="1" applyFont="1" applyFill="1" applyBorder="1" applyAlignment="1" applyProtection="1">
      <alignment horizontal="left"/>
      <protection hidden="1"/>
    </xf>
    <xf numFmtId="167" fontId="47" fillId="0" borderId="368" xfId="0" applyNumberFormat="1" applyFont="1" applyBorder="1" applyAlignment="1" applyProtection="1">
      <alignment horizontal="center" vertical="center"/>
      <protection hidden="1"/>
    </xf>
    <xf numFmtId="0" fontId="75" fillId="11" borderId="382" xfId="0" applyFont="1" applyFill="1" applyBorder="1" applyAlignment="1" applyProtection="1">
      <alignment horizontal="center" vertical="center"/>
      <protection hidden="1"/>
    </xf>
    <xf numFmtId="0" fontId="75" fillId="11" borderId="367" xfId="0" applyFont="1" applyFill="1" applyBorder="1" applyAlignment="1" applyProtection="1">
      <alignment horizontal="center" vertical="center"/>
      <protection hidden="1"/>
    </xf>
    <xf numFmtId="0" fontId="15" fillId="6" borderId="368" xfId="0" applyFont="1" applyFill="1" applyBorder="1" applyAlignment="1" applyProtection="1">
      <alignment horizontal="center"/>
      <protection hidden="1"/>
    </xf>
    <xf numFmtId="0" fontId="15" fillId="0" borderId="365" xfId="0" applyFont="1" applyBorder="1" applyAlignment="1" applyProtection="1">
      <alignment horizontal="left" vertical="center"/>
      <protection hidden="1"/>
    </xf>
    <xf numFmtId="0" fontId="15" fillId="0" borderId="371" xfId="0" applyFont="1" applyBorder="1" applyAlignment="1" applyProtection="1">
      <alignment horizontal="left" vertical="center"/>
      <protection hidden="1"/>
    </xf>
    <xf numFmtId="0" fontId="15" fillId="0" borderId="371" xfId="0" applyFont="1" applyBorder="1" applyAlignment="1" applyProtection="1">
      <alignment horizontal="left" vertical="center" wrapText="1"/>
      <protection hidden="1"/>
    </xf>
    <xf numFmtId="0" fontId="15" fillId="6" borderId="371" xfId="0" applyFont="1" applyFill="1" applyBorder="1" applyAlignment="1" applyProtection="1">
      <alignment horizontal="center"/>
      <protection hidden="1"/>
    </xf>
    <xf numFmtId="0" fontId="15" fillId="6" borderId="370" xfId="0" applyFont="1" applyFill="1" applyBorder="1" applyAlignment="1" applyProtection="1">
      <alignment horizontal="center"/>
      <protection hidden="1"/>
    </xf>
    <xf numFmtId="167" fontId="15" fillId="6" borderId="368" xfId="0" applyNumberFormat="1" applyFont="1" applyFill="1" applyBorder="1" applyAlignment="1" applyProtection="1">
      <alignment horizontal="center" vertical="center"/>
      <protection hidden="1"/>
    </xf>
    <xf numFmtId="0" fontId="12" fillId="0" borderId="0" xfId="0" applyFont="1" applyAlignment="1" applyProtection="1">
      <alignment horizontal="left" shrinkToFit="1"/>
      <protection hidden="1"/>
    </xf>
    <xf numFmtId="0" fontId="0" fillId="0" borderId="0" xfId="0" applyAlignment="1">
      <alignment horizontal="left" shrinkToFit="1"/>
    </xf>
    <xf numFmtId="0" fontId="20" fillId="0" borderId="0" xfId="0" applyFont="1" applyAlignment="1">
      <alignment horizontal="left" vertical="center"/>
    </xf>
    <xf numFmtId="14" fontId="14" fillId="0" borderId="0" xfId="0" applyNumberFormat="1" applyFont="1" applyAlignment="1">
      <alignment horizontal="left" shrinkToFit="1"/>
    </xf>
    <xf numFmtId="0" fontId="74" fillId="11" borderId="369" xfId="0" applyFont="1" applyFill="1" applyBorder="1" applyAlignment="1" applyProtection="1">
      <alignment horizontal="center" vertical="center"/>
      <protection hidden="1"/>
    </xf>
    <xf numFmtId="0" fontId="58" fillId="11" borderId="362" xfId="0" applyFont="1" applyFill="1" applyBorder="1" applyAlignment="1" applyProtection="1">
      <alignment horizontal="left" vertical="center" wrapText="1" indent="2"/>
      <protection hidden="1"/>
    </xf>
    <xf numFmtId="0" fontId="58" fillId="11" borderId="0" xfId="0" applyFont="1" applyFill="1" applyAlignment="1" applyProtection="1">
      <alignment horizontal="left" vertical="center" wrapText="1" indent="2"/>
      <protection hidden="1"/>
    </xf>
    <xf numFmtId="0" fontId="58" fillId="11" borderId="363" xfId="0" applyFont="1" applyFill="1" applyBorder="1" applyAlignment="1" applyProtection="1">
      <alignment horizontal="left" vertical="center" wrapText="1" indent="2"/>
      <protection hidden="1"/>
    </xf>
    <xf numFmtId="0" fontId="58" fillId="11" borderId="364" xfId="0" applyFont="1" applyFill="1" applyBorder="1" applyAlignment="1" applyProtection="1">
      <alignment horizontal="left" vertical="center" wrapText="1" indent="2"/>
      <protection hidden="1"/>
    </xf>
    <xf numFmtId="0" fontId="58" fillId="11" borderId="365" xfId="0" applyFont="1" applyFill="1" applyBorder="1" applyAlignment="1" applyProtection="1">
      <alignment horizontal="left" vertical="center" wrapText="1" indent="2"/>
      <protection hidden="1"/>
    </xf>
    <xf numFmtId="0" fontId="58" fillId="11" borderId="366" xfId="0" applyFont="1" applyFill="1" applyBorder="1" applyAlignment="1" applyProtection="1">
      <alignment horizontal="left" vertical="center" wrapText="1" indent="2"/>
      <protection hidden="1"/>
    </xf>
    <xf numFmtId="167" fontId="15" fillId="0" borderId="368" xfId="0" applyNumberFormat="1" applyFont="1" applyBorder="1" applyAlignment="1">
      <alignment horizontal="center" vertical="center" shrinkToFit="1"/>
    </xf>
    <xf numFmtId="164" fontId="47" fillId="0" borderId="368" xfId="0" applyNumberFormat="1" applyFont="1" applyBorder="1" applyAlignment="1">
      <alignment horizontal="center" vertical="center" shrinkToFit="1"/>
    </xf>
    <xf numFmtId="166" fontId="47" fillId="0" borderId="368" xfId="0" applyNumberFormat="1" applyFont="1" applyBorder="1" applyAlignment="1">
      <alignment horizontal="center" vertical="center" shrinkToFit="1"/>
    </xf>
    <xf numFmtId="166" fontId="15" fillId="0" borderId="368" xfId="2" applyNumberFormat="1" applyFont="1" applyBorder="1" applyAlignment="1">
      <alignment horizontal="center" vertical="center" shrinkToFit="1"/>
    </xf>
    <xf numFmtId="0" fontId="74" fillId="11" borderId="367" xfId="0" applyFont="1" applyFill="1" applyBorder="1" applyAlignment="1">
      <alignment horizontal="left" vertical="center" wrapText="1" indent="2"/>
    </xf>
    <xf numFmtId="0" fontId="74" fillId="11" borderId="368" xfId="0" applyFont="1" applyFill="1" applyBorder="1" applyAlignment="1">
      <alignment horizontal="left" vertical="center" wrapText="1" indent="2"/>
    </xf>
    <xf numFmtId="0" fontId="74" fillId="11" borderId="369" xfId="0" applyFont="1" applyFill="1" applyBorder="1" applyAlignment="1">
      <alignment horizontal="left" vertical="center" wrapText="1" indent="2"/>
    </xf>
    <xf numFmtId="0" fontId="75" fillId="11" borderId="367" xfId="0" applyFont="1" applyFill="1" applyBorder="1" applyAlignment="1">
      <alignment horizontal="center" vertical="center" wrapText="1"/>
    </xf>
    <xf numFmtId="0" fontId="75" fillId="11" borderId="368" xfId="0" applyFont="1" applyFill="1" applyBorder="1" applyAlignment="1">
      <alignment horizontal="center" vertical="center" wrapText="1"/>
    </xf>
    <xf numFmtId="0" fontId="76" fillId="11" borderId="367" xfId="0" applyFont="1" applyFill="1" applyBorder="1" applyAlignment="1">
      <alignment horizontal="center" vertical="center" wrapText="1"/>
    </xf>
    <xf numFmtId="0" fontId="76" fillId="11" borderId="368" xfId="0" applyFont="1" applyFill="1" applyBorder="1" applyAlignment="1">
      <alignment horizontal="center" vertical="center" wrapText="1"/>
    </xf>
    <xf numFmtId="0" fontId="74" fillId="11" borderId="367" xfId="0" applyFont="1" applyFill="1" applyBorder="1" applyAlignment="1">
      <alignment horizontal="center" vertical="center" shrinkToFit="1"/>
    </xf>
    <xf numFmtId="0" fontId="74" fillId="11" borderId="368" xfId="0" applyFont="1" applyFill="1" applyBorder="1" applyAlignment="1">
      <alignment horizontal="center" vertical="center" shrinkToFit="1"/>
    </xf>
    <xf numFmtId="0" fontId="74" fillId="11" borderId="367" xfId="0" applyFont="1" applyFill="1" applyBorder="1" applyAlignment="1">
      <alignment horizontal="center" vertical="center"/>
    </xf>
    <xf numFmtId="0" fontId="74" fillId="11" borderId="368" xfId="0" applyFont="1" applyFill="1" applyBorder="1" applyAlignment="1">
      <alignment horizontal="center" vertical="center"/>
    </xf>
    <xf numFmtId="1" fontId="74" fillId="11" borderId="368" xfId="0" applyNumberFormat="1" applyFont="1" applyFill="1" applyBorder="1" applyAlignment="1">
      <alignment horizontal="center" vertical="top"/>
    </xf>
    <xf numFmtId="0" fontId="74" fillId="11" borderId="368" xfId="0" applyFont="1" applyFill="1" applyBorder="1" applyAlignment="1">
      <alignment horizontal="center" vertical="top"/>
    </xf>
    <xf numFmtId="167" fontId="15" fillId="13" borderId="368" xfId="0" applyNumberFormat="1" applyFont="1" applyFill="1" applyBorder="1" applyAlignment="1">
      <alignment horizontal="center" vertical="center" shrinkToFit="1"/>
    </xf>
    <xf numFmtId="0" fontId="15" fillId="8" borderId="368" xfId="0" applyFont="1" applyFill="1" applyBorder="1" applyAlignment="1" applyProtection="1">
      <alignment horizontal="left" vertical="center"/>
      <protection hidden="1"/>
    </xf>
    <xf numFmtId="2" fontId="14" fillId="8" borderId="368" xfId="0" applyNumberFormat="1" applyFont="1" applyFill="1" applyBorder="1" applyAlignment="1" applyProtection="1">
      <alignment horizontal="right" vertical="center" indent="1"/>
      <protection hidden="1"/>
    </xf>
    <xf numFmtId="0" fontId="14" fillId="8" borderId="368" xfId="0" applyFont="1" applyFill="1" applyBorder="1" applyAlignment="1" applyProtection="1">
      <alignment horizontal="left" vertical="center" indent="1"/>
      <protection hidden="1"/>
    </xf>
    <xf numFmtId="0" fontId="14" fillId="8" borderId="383" xfId="0" applyFont="1" applyFill="1" applyBorder="1" applyAlignment="1" applyProtection="1">
      <alignment horizontal="left" vertical="center" indent="1"/>
      <protection hidden="1"/>
    </xf>
    <xf numFmtId="0" fontId="14" fillId="8" borderId="370" xfId="0" applyFont="1" applyFill="1" applyBorder="1" applyAlignment="1" applyProtection="1">
      <alignment horizontal="left" vertical="center" indent="1"/>
      <protection hidden="1"/>
    </xf>
    <xf numFmtId="0" fontId="14" fillId="8" borderId="368" xfId="0" applyFont="1" applyFill="1" applyBorder="1" applyAlignment="1" applyProtection="1">
      <alignment horizontal="right" vertical="center" indent="1"/>
      <protection hidden="1"/>
    </xf>
    <xf numFmtId="167"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 fontId="14" fillId="6" borderId="368" xfId="0" applyNumberFormat="1" applyFont="1" applyFill="1" applyBorder="1" applyAlignment="1" applyProtection="1">
      <alignment horizontal="center" vertical="center"/>
      <protection hidden="1"/>
    </xf>
    <xf numFmtId="0" fontId="14" fillId="8" borderId="384" xfId="0" applyFont="1" applyFill="1" applyBorder="1" applyAlignment="1" applyProtection="1">
      <alignment horizontal="left" vertical="top" wrapText="1" indent="1"/>
      <protection hidden="1"/>
    </xf>
    <xf numFmtId="0" fontId="14" fillId="8" borderId="255" xfId="0" applyFont="1" applyFill="1" applyBorder="1" applyAlignment="1" applyProtection="1">
      <alignment horizontal="left" vertical="center" indent="1"/>
      <protection hidden="1"/>
    </xf>
    <xf numFmtId="0" fontId="14" fillId="8" borderId="291" xfId="0" applyFont="1" applyFill="1" applyBorder="1" applyAlignment="1" applyProtection="1">
      <alignment horizontal="left" vertical="center" indent="1"/>
      <protection hidden="1"/>
    </xf>
    <xf numFmtId="166" fontId="14" fillId="8" borderId="368" xfId="0" applyNumberFormat="1" applyFont="1" applyFill="1" applyBorder="1" applyAlignment="1" applyProtection="1">
      <alignment horizontal="center" vertical="center"/>
      <protection hidden="1"/>
    </xf>
    <xf numFmtId="0" fontId="14" fillId="8" borderId="383" xfId="0" applyFont="1" applyFill="1" applyBorder="1" applyAlignment="1" applyProtection="1">
      <alignment horizontal="left" vertical="center" wrapText="1" indent="1"/>
      <protection hidden="1"/>
    </xf>
    <xf numFmtId="0" fontId="14" fillId="8" borderId="370" xfId="0" applyFont="1" applyFill="1" applyBorder="1" applyAlignment="1" applyProtection="1">
      <alignment horizontal="left" vertical="center" wrapText="1" indent="1"/>
      <protection hidden="1"/>
    </xf>
    <xf numFmtId="3" fontId="14" fillId="8" borderId="368" xfId="0" applyNumberFormat="1"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4" fillId="0" borderId="365" xfId="0" applyFont="1" applyBorder="1" applyAlignment="1" applyProtection="1">
      <alignment horizontal="left" vertical="center"/>
      <protection hidden="1"/>
    </xf>
    <xf numFmtId="0" fontId="48" fillId="0" borderId="371" xfId="0" applyFont="1" applyBorder="1" applyAlignment="1" applyProtection="1">
      <alignment horizontal="left" vertical="center"/>
      <protection hidden="1"/>
    </xf>
    <xf numFmtId="167" fontId="66" fillId="0" borderId="368" xfId="0" applyNumberFormat="1" applyFont="1" applyBorder="1" applyAlignment="1" applyProtection="1">
      <alignment horizontal="center" vertical="center"/>
      <protection hidden="1"/>
    </xf>
    <xf numFmtId="167" fontId="66" fillId="0" borderId="370" xfId="0" applyNumberFormat="1" applyFont="1" applyBorder="1" applyAlignment="1" applyProtection="1">
      <alignment horizontal="center" vertical="center"/>
      <protection hidden="1"/>
    </xf>
    <xf numFmtId="0" fontId="72" fillId="0" borderId="368" xfId="0" applyFont="1" applyBorder="1" applyAlignment="1" applyProtection="1">
      <alignment horizontal="center" vertical="center"/>
      <protection hidden="1"/>
    </xf>
    <xf numFmtId="0" fontId="72" fillId="0" borderId="370" xfId="0" applyFont="1" applyBorder="1" applyAlignment="1" applyProtection="1">
      <alignment horizontal="center" vertical="center"/>
      <protection hidden="1"/>
    </xf>
    <xf numFmtId="0" fontId="82" fillId="0" borderId="371" xfId="0" applyFont="1" applyBorder="1" applyAlignment="1" applyProtection="1">
      <alignment horizontal="left" vertical="center"/>
      <protection hidden="1"/>
    </xf>
    <xf numFmtId="0" fontId="52" fillId="0" borderId="371" xfId="0" applyFont="1" applyBorder="1" applyAlignment="1" applyProtection="1">
      <alignment horizontal="left" vertical="center"/>
      <protection hidden="1"/>
    </xf>
    <xf numFmtId="3" fontId="15" fillId="7" borderId="368" xfId="0" applyNumberFormat="1" applyFont="1" applyFill="1" applyBorder="1" applyAlignment="1" applyProtection="1">
      <alignment horizontal="center" vertical="center"/>
      <protection locked="0"/>
    </xf>
    <xf numFmtId="167" fontId="7" fillId="0" borderId="0" xfId="0" applyNumberFormat="1" applyFont="1" applyAlignment="1" applyProtection="1">
      <alignment horizontal="center"/>
      <protection hidden="1"/>
    </xf>
    <xf numFmtId="166" fontId="15" fillId="0" borderId="368" xfId="2" applyNumberFormat="1" applyFont="1" applyBorder="1" applyAlignment="1" applyProtection="1">
      <alignment horizontal="center" vertical="center"/>
      <protection hidden="1"/>
    </xf>
    <xf numFmtId="166" fontId="15" fillId="0" borderId="370" xfId="2" applyNumberFormat="1" applyFont="1" applyBorder="1" applyAlignment="1" applyProtection="1">
      <alignment horizontal="center" vertical="center"/>
      <protection hidden="1"/>
    </xf>
    <xf numFmtId="0" fontId="63" fillId="0" borderId="371" xfId="0" applyFont="1" applyBorder="1" applyAlignment="1" applyProtection="1">
      <alignment horizontal="left" vertical="center"/>
      <protection hidden="1"/>
    </xf>
    <xf numFmtId="164" fontId="15" fillId="0" borderId="368" xfId="2" applyNumberFormat="1" applyFont="1" applyBorder="1" applyAlignment="1" applyProtection="1">
      <alignment horizontal="center" vertical="center"/>
      <protection hidden="1"/>
    </xf>
    <xf numFmtId="164" fontId="15" fillId="0" borderId="370" xfId="2" applyNumberFormat="1" applyFont="1" applyBorder="1" applyAlignment="1" applyProtection="1">
      <alignment horizontal="center" vertical="center"/>
      <protection hidden="1"/>
    </xf>
    <xf numFmtId="0" fontId="15" fillId="8" borderId="247" xfId="0" applyFont="1" applyFill="1" applyBorder="1" applyAlignment="1" applyProtection="1">
      <alignment horizontal="left" vertical="center"/>
      <protection hidden="1"/>
    </xf>
    <xf numFmtId="0" fontId="15" fillId="8" borderId="271" xfId="0" applyFont="1" applyFill="1" applyBorder="1" applyAlignment="1" applyProtection="1">
      <alignment horizontal="left" vertical="center"/>
      <protection hidden="1"/>
    </xf>
    <xf numFmtId="0" fontId="15" fillId="8" borderId="252" xfId="0" applyFont="1" applyFill="1" applyBorder="1" applyAlignment="1" applyProtection="1">
      <alignment horizontal="left" vertical="center"/>
      <protection hidden="1"/>
    </xf>
    <xf numFmtId="0" fontId="15" fillId="8" borderId="276" xfId="0" applyFont="1" applyFill="1" applyBorder="1" applyAlignment="1" applyProtection="1">
      <alignment horizontal="left" vertical="center"/>
      <protection hidden="1"/>
    </xf>
    <xf numFmtId="0" fontId="15" fillId="8" borderId="254" xfId="0" applyFont="1" applyFill="1" applyBorder="1" applyAlignment="1" applyProtection="1">
      <alignment horizontal="left" vertical="center"/>
      <protection hidden="1"/>
    </xf>
    <xf numFmtId="0" fontId="15" fillId="8" borderId="278" xfId="0" applyFont="1" applyFill="1" applyBorder="1" applyAlignment="1" applyProtection="1">
      <alignment horizontal="left" vertical="center"/>
      <protection hidden="1"/>
    </xf>
    <xf numFmtId="0" fontId="15" fillId="7" borderId="17" xfId="0" applyFont="1" applyFill="1" applyBorder="1" applyAlignment="1" applyProtection="1">
      <alignment horizontal="left" vertical="center"/>
      <protection locked="0"/>
    </xf>
    <xf numFmtId="0" fontId="80" fillId="0" borderId="123" xfId="0" applyFont="1" applyBorder="1" applyAlignment="1" applyProtection="1">
      <alignment horizontal="left" vertical="center" indent="1"/>
      <protection hidden="1"/>
    </xf>
    <xf numFmtId="0" fontId="80" fillId="0" borderId="167" xfId="0" applyFont="1" applyBorder="1" applyAlignment="1" applyProtection="1">
      <alignment horizontal="left" vertical="center" indent="1"/>
      <protection hidden="1"/>
    </xf>
    <xf numFmtId="0" fontId="15" fillId="0" borderId="123" xfId="0" applyFont="1" applyBorder="1" applyAlignment="1" applyProtection="1">
      <alignment horizontal="left" vertical="center"/>
      <protection hidden="1"/>
    </xf>
    <xf numFmtId="0" fontId="58" fillId="11" borderId="225" xfId="0" applyFont="1" applyFill="1" applyBorder="1" applyAlignment="1" applyProtection="1">
      <alignment horizontal="left" vertical="center" indent="1"/>
      <protection hidden="1"/>
    </xf>
    <xf numFmtId="0" fontId="58" fillId="11" borderId="226" xfId="0" applyFont="1" applyFill="1" applyBorder="1" applyAlignment="1" applyProtection="1">
      <alignment horizontal="left" vertical="center" indent="1"/>
      <protection hidden="1"/>
    </xf>
    <xf numFmtId="0" fontId="58" fillId="11" borderId="118" xfId="0" applyFont="1" applyFill="1" applyBorder="1" applyAlignment="1" applyProtection="1">
      <alignment horizontal="left" vertical="center" indent="1"/>
      <protection hidden="1"/>
    </xf>
    <xf numFmtId="167" fontId="15" fillId="0" borderId="170" xfId="0" applyNumberFormat="1" applyFont="1" applyBorder="1" applyAlignment="1" applyProtection="1">
      <alignment horizontal="center"/>
      <protection hidden="1"/>
    </xf>
    <xf numFmtId="167" fontId="15" fillId="0" borderId="176" xfId="0" applyNumberFormat="1" applyFont="1" applyBorder="1" applyAlignment="1" applyProtection="1">
      <alignment horizontal="center"/>
      <protection hidden="1"/>
    </xf>
    <xf numFmtId="167" fontId="15" fillId="8" borderId="134" xfId="0" applyNumberFormat="1" applyFont="1" applyFill="1" applyBorder="1" applyAlignment="1" applyProtection="1">
      <alignment horizontal="center"/>
      <protection hidden="1"/>
    </xf>
    <xf numFmtId="167" fontId="15" fillId="8" borderId="177" xfId="0" applyNumberFormat="1" applyFont="1" applyFill="1" applyBorder="1" applyAlignment="1" applyProtection="1">
      <alignment horizontal="center"/>
      <protection hidden="1"/>
    </xf>
    <xf numFmtId="167" fontId="15" fillId="0" borderId="167" xfId="0" applyNumberFormat="1" applyFont="1" applyBorder="1" applyAlignment="1" applyProtection="1">
      <alignment horizontal="center"/>
      <protection hidden="1"/>
    </xf>
    <xf numFmtId="0" fontId="15" fillId="0" borderId="123" xfId="0" applyFont="1" applyBorder="1" applyAlignment="1" applyProtection="1">
      <alignment horizontal="left" vertical="center" wrapText="1"/>
      <protection hidden="1"/>
    </xf>
    <xf numFmtId="167" fontId="15" fillId="0" borderId="201" xfId="0" applyNumberFormat="1" applyFont="1" applyBorder="1" applyAlignment="1">
      <alignment horizontal="center" vertical="center" shrinkToFit="1"/>
    </xf>
    <xf numFmtId="167" fontId="15" fillId="0" borderId="202" xfId="0" applyNumberFormat="1" applyFont="1" applyBorder="1" applyAlignment="1">
      <alignment horizontal="center" vertical="center" shrinkToFit="1"/>
    </xf>
    <xf numFmtId="166" fontId="47" fillId="0" borderId="203" xfId="0" applyNumberFormat="1" applyFont="1" applyBorder="1" applyAlignment="1">
      <alignment horizontal="center" vertical="center" shrinkToFit="1"/>
    </xf>
    <xf numFmtId="166" fontId="47" fillId="0" borderId="204" xfId="0" applyNumberFormat="1" applyFont="1" applyBorder="1" applyAlignment="1">
      <alignment horizontal="center" vertical="center" shrinkToFit="1"/>
    </xf>
    <xf numFmtId="0" fontId="15" fillId="8" borderId="246" xfId="0" applyFont="1" applyFill="1" applyBorder="1" applyAlignment="1" applyProtection="1">
      <alignment horizontal="left" vertical="center"/>
      <protection hidden="1"/>
    </xf>
    <xf numFmtId="0" fontId="15" fillId="8" borderId="270" xfId="0" applyFont="1" applyFill="1" applyBorder="1" applyAlignment="1" applyProtection="1">
      <alignment horizontal="left" vertical="center"/>
      <protection hidden="1"/>
    </xf>
    <xf numFmtId="0" fontId="15" fillId="8" borderId="250" xfId="0" applyFont="1" applyFill="1" applyBorder="1" applyAlignment="1" applyProtection="1">
      <alignment horizontal="left" vertical="center"/>
      <protection hidden="1"/>
    </xf>
    <xf numFmtId="0" fontId="15" fillId="8" borderId="274" xfId="0" applyFont="1" applyFill="1" applyBorder="1" applyAlignment="1" applyProtection="1">
      <alignment horizontal="left" vertical="center"/>
      <protection hidden="1"/>
    </xf>
    <xf numFmtId="0" fontId="15" fillId="8" borderId="248" xfId="0" applyFont="1" applyFill="1" applyBorder="1" applyAlignment="1" applyProtection="1">
      <alignment horizontal="left" vertical="center"/>
      <protection hidden="1"/>
    </xf>
    <xf numFmtId="0" fontId="15" fillId="8" borderId="272" xfId="0" applyFont="1" applyFill="1" applyBorder="1" applyAlignment="1" applyProtection="1">
      <alignment horizontal="left" vertical="center"/>
      <protection hidden="1"/>
    </xf>
    <xf numFmtId="0" fontId="15" fillId="8" borderId="249" xfId="0" applyFont="1" applyFill="1" applyBorder="1" applyAlignment="1" applyProtection="1">
      <alignment horizontal="left" vertical="center"/>
      <protection hidden="1"/>
    </xf>
    <xf numFmtId="0" fontId="15" fillId="8" borderId="273" xfId="0" applyFont="1" applyFill="1" applyBorder="1" applyAlignment="1" applyProtection="1">
      <alignment horizontal="left" vertical="center"/>
      <protection hidden="1"/>
    </xf>
    <xf numFmtId="0" fontId="75" fillId="11" borderId="187" xfId="0" applyFont="1" applyFill="1" applyBorder="1" applyAlignment="1">
      <alignment horizontal="center" vertical="center" wrapText="1"/>
    </xf>
    <xf numFmtId="0" fontId="75" fillId="11" borderId="192" xfId="0" applyFont="1" applyFill="1" applyBorder="1" applyAlignment="1">
      <alignment horizontal="center" vertical="center" wrapText="1"/>
    </xf>
    <xf numFmtId="0" fontId="74" fillId="11" borderId="186" xfId="0" applyFont="1" applyFill="1" applyBorder="1" applyAlignment="1">
      <alignment horizontal="center" shrinkToFit="1"/>
    </xf>
    <xf numFmtId="0" fontId="74" fillId="11" borderId="190" xfId="0" applyFont="1" applyFill="1" applyBorder="1" applyAlignment="1">
      <alignment horizontal="center" shrinkToFit="1"/>
    </xf>
    <xf numFmtId="0" fontId="74" fillId="11" borderId="187" xfId="0" applyFont="1" applyFill="1" applyBorder="1" applyAlignment="1">
      <alignment horizontal="center" shrinkToFit="1"/>
    </xf>
    <xf numFmtId="0" fontId="74" fillId="11" borderId="191" xfId="0" applyFont="1" applyFill="1" applyBorder="1" applyAlignment="1">
      <alignment horizontal="center" shrinkToFit="1"/>
    </xf>
    <xf numFmtId="0" fontId="74" fillId="11" borderId="0" xfId="0" applyFont="1" applyFill="1" applyAlignment="1">
      <alignment horizontal="center" shrinkToFit="1"/>
    </xf>
    <xf numFmtId="0" fontId="74" fillId="11" borderId="192" xfId="0" applyFont="1" applyFill="1" applyBorder="1" applyAlignment="1">
      <alignment horizontal="center" shrinkToFit="1"/>
    </xf>
    <xf numFmtId="0" fontId="74" fillId="11" borderId="186" xfId="0" applyFont="1" applyFill="1" applyBorder="1" applyAlignment="1">
      <alignment horizontal="center"/>
    </xf>
    <xf numFmtId="0" fontId="74" fillId="11" borderId="190" xfId="0" applyFont="1" applyFill="1" applyBorder="1" applyAlignment="1">
      <alignment horizontal="center"/>
    </xf>
    <xf numFmtId="0" fontId="74" fillId="11" borderId="187" xfId="0" applyFont="1" applyFill="1" applyBorder="1" applyAlignment="1">
      <alignment horizontal="center"/>
    </xf>
    <xf numFmtId="0" fontId="74" fillId="11" borderId="191" xfId="0" applyFont="1" applyFill="1" applyBorder="1" applyAlignment="1">
      <alignment horizontal="center"/>
    </xf>
    <xf numFmtId="0" fontId="74" fillId="11" borderId="0" xfId="0" applyFont="1" applyFill="1" applyAlignment="1">
      <alignment horizontal="center"/>
    </xf>
    <xf numFmtId="0" fontId="74" fillId="11" borderId="192" xfId="0" applyFont="1" applyFill="1" applyBorder="1" applyAlignment="1">
      <alignment horizontal="center"/>
    </xf>
    <xf numFmtId="0" fontId="74" fillId="11" borderId="289" xfId="0" applyFont="1" applyFill="1" applyBorder="1" applyAlignment="1">
      <alignment horizontal="center" shrinkToFit="1"/>
    </xf>
    <xf numFmtId="0" fontId="74" fillId="11" borderId="101" xfId="0" applyFont="1" applyFill="1" applyBorder="1" applyAlignment="1">
      <alignment horizontal="center" shrinkToFit="1"/>
    </xf>
    <xf numFmtId="0" fontId="74" fillId="11" borderId="290" xfId="0" applyFont="1" applyFill="1" applyBorder="1" applyAlignment="1">
      <alignment horizontal="center" shrinkToFit="1"/>
    </xf>
    <xf numFmtId="167" fontId="15" fillId="0" borderId="127" xfId="0" applyNumberFormat="1" applyFont="1" applyBorder="1" applyAlignment="1" applyProtection="1">
      <alignment horizontal="center" vertical="center"/>
      <protection hidden="1"/>
    </xf>
    <xf numFmtId="167" fontId="15" fillId="0" borderId="223" xfId="0" applyNumberFormat="1" applyFont="1" applyBorder="1" applyAlignment="1" applyProtection="1">
      <alignment horizontal="center" vertical="center"/>
      <protection hidden="1"/>
    </xf>
    <xf numFmtId="167" fontId="14" fillId="0" borderId="127" xfId="0" applyNumberFormat="1" applyFont="1" applyBorder="1" applyAlignment="1" applyProtection="1">
      <alignment horizontal="center" vertical="center"/>
      <protection hidden="1"/>
    </xf>
    <xf numFmtId="167" fontId="14" fillId="0" borderId="126" xfId="0" applyNumberFormat="1" applyFont="1" applyBorder="1" applyAlignment="1" applyProtection="1">
      <alignment horizontal="center" vertical="center"/>
      <protection hidden="1"/>
    </xf>
    <xf numFmtId="164" fontId="47" fillId="0" borderId="201" xfId="0" applyNumberFormat="1" applyFont="1" applyBorder="1" applyAlignment="1">
      <alignment horizontal="center" vertical="center" shrinkToFit="1"/>
    </xf>
    <xf numFmtId="164" fontId="47" fillId="0" borderId="202" xfId="0" applyNumberFormat="1" applyFont="1" applyBorder="1" applyAlignment="1">
      <alignment horizontal="center" vertical="center" shrinkToFit="1"/>
    </xf>
    <xf numFmtId="167" fontId="15" fillId="0" borderId="233" xfId="0" applyNumberFormat="1" applyFont="1" applyBorder="1" applyAlignment="1">
      <alignment horizontal="center" vertical="center" shrinkToFit="1"/>
    </xf>
    <xf numFmtId="167" fontId="15" fillId="0" borderId="234" xfId="0" applyNumberFormat="1" applyFont="1" applyBorder="1" applyAlignment="1">
      <alignment horizontal="center" vertical="center" shrinkToFit="1"/>
    </xf>
    <xf numFmtId="167" fontId="15" fillId="0" borderId="126" xfId="0" applyNumberFormat="1" applyFont="1" applyBorder="1" applyAlignment="1" applyProtection="1">
      <alignment horizontal="center" vertical="center"/>
      <protection hidden="1"/>
    </xf>
    <xf numFmtId="167" fontId="14" fillId="0" borderId="223" xfId="0" applyNumberFormat="1" applyFont="1" applyBorder="1" applyAlignment="1" applyProtection="1">
      <alignment horizontal="center" vertical="center"/>
      <protection hidden="1"/>
    </xf>
    <xf numFmtId="0" fontId="74" fillId="11" borderId="105" xfId="0" applyFont="1" applyFill="1" applyBorder="1" applyAlignment="1" applyProtection="1">
      <alignment horizontal="center" vertical="center"/>
      <protection hidden="1"/>
    </xf>
    <xf numFmtId="0" fontId="74" fillId="11" borderId="104" xfId="0" applyFont="1" applyFill="1" applyBorder="1" applyAlignment="1" applyProtection="1">
      <alignment horizontal="center" vertical="center"/>
      <protection hidden="1"/>
    </xf>
    <xf numFmtId="166" fontId="15" fillId="0" borderId="201" xfId="2" applyNumberFormat="1" applyFont="1" applyBorder="1" applyAlignment="1">
      <alignment horizontal="center" vertical="center" shrinkToFit="1"/>
    </xf>
    <xf numFmtId="166" fontId="15" fillId="0" borderId="202" xfId="2" applyNumberFormat="1" applyFont="1" applyBorder="1" applyAlignment="1">
      <alignment horizontal="center" vertical="center" shrinkToFit="1"/>
    </xf>
    <xf numFmtId="0" fontId="74" fillId="11" borderId="186" xfId="0" applyFont="1" applyFill="1" applyBorder="1" applyAlignment="1" applyProtection="1">
      <alignment horizontal="center" vertical="center"/>
      <protection hidden="1"/>
    </xf>
    <xf numFmtId="0" fontId="74" fillId="11" borderId="187" xfId="0" applyFont="1" applyFill="1" applyBorder="1" applyAlignment="1" applyProtection="1">
      <alignment horizontal="center" vertical="center"/>
      <protection hidden="1"/>
    </xf>
    <xf numFmtId="167" fontId="15" fillId="0" borderId="205" xfId="0" applyNumberFormat="1" applyFont="1" applyBorder="1" applyAlignment="1">
      <alignment horizontal="center" vertical="center" shrinkToFit="1"/>
    </xf>
    <xf numFmtId="167" fontId="15" fillId="0" borderId="206" xfId="0" applyNumberFormat="1" applyFont="1" applyBorder="1" applyAlignment="1">
      <alignment horizontal="center" vertical="center" shrinkToFit="1"/>
    </xf>
    <xf numFmtId="1" fontId="74" fillId="11" borderId="242" xfId="0" applyNumberFormat="1" applyFont="1" applyFill="1" applyBorder="1" applyAlignment="1">
      <alignment horizontal="center" vertical="top"/>
    </xf>
    <xf numFmtId="0" fontId="74" fillId="11" borderId="242" xfId="0" applyFont="1" applyFill="1" applyBorder="1" applyAlignment="1">
      <alignment horizontal="center" vertical="top"/>
    </xf>
    <xf numFmtId="0" fontId="74" fillId="11" borderId="189" xfId="0" applyFont="1" applyFill="1" applyBorder="1" applyAlignment="1">
      <alignment horizontal="center" vertical="top"/>
    </xf>
    <xf numFmtId="166" fontId="47" fillId="0" borderId="201" xfId="0" applyNumberFormat="1" applyFont="1" applyBorder="1" applyAlignment="1">
      <alignment horizontal="center" vertical="center" shrinkToFit="1"/>
    </xf>
    <xf numFmtId="166" fontId="47" fillId="0" borderId="202" xfId="0" applyNumberFormat="1" applyFont="1" applyBorder="1" applyAlignment="1">
      <alignment horizontal="center" vertical="center" shrinkToFit="1"/>
    </xf>
    <xf numFmtId="0" fontId="74" fillId="11" borderId="207" xfId="0" applyFont="1" applyFill="1" applyBorder="1" applyAlignment="1" applyProtection="1">
      <alignment horizontal="center" vertical="center"/>
      <protection hidden="1"/>
    </xf>
    <xf numFmtId="0" fontId="74" fillId="11" borderId="102" xfId="0" applyFont="1" applyFill="1" applyBorder="1" applyAlignment="1" applyProtection="1">
      <alignment horizontal="center" vertical="center"/>
      <protection hidden="1"/>
    </xf>
    <xf numFmtId="0" fontId="48" fillId="0" borderId="123" xfId="0" applyFont="1" applyBorder="1" applyAlignment="1" applyProtection="1">
      <alignment horizontal="left" vertical="center"/>
      <protection hidden="1"/>
    </xf>
    <xf numFmtId="167" fontId="15" fillId="13" borderId="205" xfId="0" applyNumberFormat="1" applyFont="1" applyFill="1" applyBorder="1" applyAlignment="1">
      <alignment horizontal="center" vertical="center" shrinkToFit="1"/>
    </xf>
    <xf numFmtId="167" fontId="15" fillId="13" borderId="206" xfId="0" applyNumberFormat="1" applyFont="1" applyFill="1" applyBorder="1" applyAlignment="1">
      <alignment horizontal="center" vertical="center" shrinkToFit="1"/>
    </xf>
    <xf numFmtId="167" fontId="15" fillId="0" borderId="178" xfId="0" applyNumberFormat="1" applyFont="1" applyBorder="1" applyAlignment="1" applyProtection="1">
      <alignment horizontal="center" vertical="center"/>
      <protection hidden="1"/>
    </xf>
    <xf numFmtId="167" fontId="66" fillId="0" borderId="178" xfId="0" applyNumberFormat="1" applyFont="1" applyBorder="1" applyAlignment="1" applyProtection="1">
      <alignment horizontal="center" vertical="center"/>
      <protection hidden="1"/>
    </xf>
    <xf numFmtId="0" fontId="76" fillId="11" borderId="193" xfId="0" applyFont="1" applyFill="1" applyBorder="1" applyAlignment="1">
      <alignment horizontal="center" vertical="center" wrapText="1"/>
    </xf>
    <xf numFmtId="0" fontId="76" fillId="11" borderId="194" xfId="0" applyFont="1" applyFill="1" applyBorder="1" applyAlignment="1">
      <alignment horizontal="center" vertical="center" wrapText="1"/>
    </xf>
    <xf numFmtId="0" fontId="75" fillId="11" borderId="193" xfId="0" applyFont="1" applyFill="1" applyBorder="1" applyAlignment="1">
      <alignment horizontal="center" vertical="center" wrapText="1"/>
    </xf>
    <xf numFmtId="0" fontId="75" fillId="11" borderId="194" xfId="0" applyFont="1" applyFill="1" applyBorder="1" applyAlignment="1">
      <alignment horizontal="center" vertical="center" wrapText="1"/>
    </xf>
    <xf numFmtId="166" fontId="15" fillId="0" borderId="113" xfId="2" applyNumberFormat="1" applyFont="1" applyBorder="1" applyAlignment="1" applyProtection="1">
      <alignment horizontal="center" vertical="center"/>
      <protection hidden="1"/>
    </xf>
    <xf numFmtId="0" fontId="72" fillId="0" borderId="113" xfId="0" applyFont="1" applyBorder="1" applyAlignment="1" applyProtection="1">
      <alignment horizontal="center" vertical="center"/>
      <protection hidden="1"/>
    </xf>
    <xf numFmtId="0" fontId="74" fillId="11" borderId="188" xfId="0" applyFont="1" applyFill="1" applyBorder="1" applyAlignment="1" applyProtection="1">
      <alignment horizontal="center" vertical="center"/>
      <protection hidden="1"/>
    </xf>
    <xf numFmtId="0" fontId="74" fillId="11" borderId="189" xfId="0" applyFont="1" applyFill="1" applyBorder="1" applyAlignment="1" applyProtection="1">
      <alignment horizontal="center" vertical="center"/>
      <protection hidden="1"/>
    </xf>
    <xf numFmtId="0" fontId="15" fillId="0" borderId="134" xfId="0" applyFont="1" applyBorder="1" applyAlignment="1" applyProtection="1">
      <alignment horizontal="left" vertical="center" wrapText="1"/>
      <protection hidden="1"/>
    </xf>
    <xf numFmtId="167" fontId="15" fillId="6" borderId="127" xfId="0" applyNumberFormat="1" applyFont="1" applyFill="1" applyBorder="1" applyAlignment="1" applyProtection="1">
      <alignment horizontal="center" vertical="center"/>
      <protection hidden="1"/>
    </xf>
    <xf numFmtId="167" fontId="15" fillId="6" borderId="126" xfId="0" applyNumberFormat="1" applyFont="1" applyFill="1" applyBorder="1" applyAlignment="1" applyProtection="1">
      <alignment horizontal="center" vertical="center"/>
      <protection hidden="1"/>
    </xf>
    <xf numFmtId="0" fontId="15" fillId="6" borderId="241" xfId="0" applyFont="1" applyFill="1" applyBorder="1" applyAlignment="1" applyProtection="1">
      <alignment horizontal="center"/>
      <protection hidden="1"/>
    </xf>
    <xf numFmtId="0" fontId="15" fillId="6" borderId="122" xfId="0" applyFont="1" applyFill="1" applyBorder="1" applyAlignment="1" applyProtection="1">
      <alignment horizontal="center"/>
      <protection hidden="1"/>
    </xf>
    <xf numFmtId="0" fontId="15" fillId="6" borderId="153" xfId="0" applyFont="1" applyFill="1" applyBorder="1" applyAlignment="1" applyProtection="1">
      <alignment horizontal="center"/>
      <protection hidden="1"/>
    </xf>
    <xf numFmtId="167" fontId="15" fillId="0" borderId="122" xfId="0" applyNumberFormat="1" applyFont="1" applyBorder="1" applyAlignment="1" applyProtection="1">
      <alignment horizontal="center" vertical="center"/>
      <protection hidden="1"/>
    </xf>
    <xf numFmtId="167" fontId="15" fillId="0" borderId="153" xfId="0" applyNumberFormat="1" applyFont="1" applyBorder="1" applyAlignment="1" applyProtection="1">
      <alignment horizontal="center" vertical="center"/>
      <protection hidden="1"/>
    </xf>
    <xf numFmtId="167" fontId="14" fillId="0" borderId="122" xfId="0" applyNumberFormat="1" applyFont="1" applyBorder="1" applyAlignment="1" applyProtection="1">
      <alignment horizontal="center" vertical="center"/>
      <protection hidden="1"/>
    </xf>
    <xf numFmtId="167" fontId="14" fillId="0" borderId="153" xfId="0" applyNumberFormat="1" applyFont="1" applyBorder="1" applyAlignment="1" applyProtection="1">
      <alignment horizontal="center" vertical="center"/>
      <protection hidden="1"/>
    </xf>
    <xf numFmtId="0" fontId="74" fillId="11" borderId="225" xfId="0" applyFont="1" applyFill="1" applyBorder="1" applyAlignment="1" applyProtection="1">
      <alignment horizontal="center" vertical="center"/>
      <protection hidden="1"/>
    </xf>
    <xf numFmtId="0" fontId="74" fillId="11" borderId="227" xfId="0" applyFont="1" applyFill="1" applyBorder="1" applyAlignment="1" applyProtection="1">
      <alignment horizontal="center" vertical="center"/>
      <protection hidden="1"/>
    </xf>
    <xf numFmtId="0" fontId="74" fillId="11" borderId="118" xfId="0" applyFont="1" applyFill="1" applyBorder="1" applyAlignment="1" applyProtection="1">
      <alignment horizontal="center" vertical="center"/>
      <protection hidden="1"/>
    </xf>
    <xf numFmtId="0" fontId="74" fillId="11" borderId="128" xfId="0" applyFont="1" applyFill="1" applyBorder="1" applyAlignment="1" applyProtection="1">
      <alignment horizontal="center" vertical="center"/>
      <protection hidden="1"/>
    </xf>
    <xf numFmtId="167" fontId="14" fillId="0" borderId="230" xfId="0" applyNumberFormat="1" applyFont="1" applyBorder="1" applyAlignment="1" applyProtection="1">
      <alignment horizontal="center"/>
      <protection hidden="1"/>
    </xf>
    <xf numFmtId="167" fontId="14" fillId="0" borderId="229" xfId="0" applyNumberFormat="1" applyFont="1" applyBorder="1" applyAlignment="1" applyProtection="1">
      <alignment horizontal="center"/>
      <protection hidden="1"/>
    </xf>
    <xf numFmtId="167" fontId="14" fillId="8" borderId="230" xfId="0" applyNumberFormat="1" applyFont="1" applyFill="1" applyBorder="1" applyAlignment="1" applyProtection="1">
      <alignment horizontal="center"/>
      <protection hidden="1"/>
    </xf>
    <xf numFmtId="167" fontId="14" fillId="8" borderId="237" xfId="0" applyNumberFormat="1" applyFont="1" applyFill="1" applyBorder="1" applyAlignment="1" applyProtection="1">
      <alignment horizontal="center"/>
      <protection hidden="1"/>
    </xf>
    <xf numFmtId="167" fontId="14" fillId="0" borderId="238" xfId="0" applyNumberFormat="1" applyFont="1" applyBorder="1" applyAlignment="1" applyProtection="1">
      <alignment horizontal="center" vertical="center"/>
      <protection hidden="1"/>
    </xf>
    <xf numFmtId="167" fontId="15" fillId="0" borderId="113" xfId="0" applyNumberFormat="1" applyFont="1" applyBorder="1" applyAlignment="1" applyProtection="1">
      <alignment horizontal="center" vertical="center"/>
      <protection hidden="1"/>
    </xf>
    <xf numFmtId="167" fontId="15" fillId="0" borderId="171" xfId="0" applyNumberFormat="1" applyFont="1" applyBorder="1" applyAlignment="1" applyProtection="1">
      <alignment horizontal="center" vertical="center"/>
      <protection hidden="1"/>
    </xf>
    <xf numFmtId="167" fontId="47" fillId="0" borderId="170" xfId="0" applyNumberFormat="1" applyFont="1" applyBorder="1" applyProtection="1">
      <protection hidden="1"/>
    </xf>
    <xf numFmtId="167" fontId="47" fillId="0" borderId="176" xfId="0" applyNumberFormat="1" applyFont="1" applyBorder="1" applyProtection="1">
      <protection hidden="1"/>
    </xf>
    <xf numFmtId="167" fontId="47" fillId="8" borderId="134" xfId="0" applyNumberFormat="1" applyFont="1" applyFill="1" applyBorder="1" applyAlignment="1" applyProtection="1">
      <alignment horizontal="left"/>
      <protection hidden="1"/>
    </xf>
    <xf numFmtId="167" fontId="47" fillId="8" borderId="177" xfId="0" applyNumberFormat="1" applyFont="1" applyFill="1" applyBorder="1" applyAlignment="1" applyProtection="1">
      <alignment horizontal="left"/>
      <protection hidden="1"/>
    </xf>
    <xf numFmtId="167" fontId="47" fillId="0" borderId="153" xfId="0" applyNumberFormat="1" applyFont="1" applyBorder="1" applyAlignment="1" applyProtection="1">
      <alignment horizontal="center" vertical="center"/>
      <protection hidden="1"/>
    </xf>
    <xf numFmtId="167" fontId="47" fillId="0" borderId="113" xfId="0" applyNumberFormat="1" applyFont="1" applyBorder="1" applyAlignment="1" applyProtection="1">
      <alignment horizontal="center" vertical="center"/>
      <protection hidden="1"/>
    </xf>
    <xf numFmtId="167" fontId="47" fillId="0" borderId="171" xfId="0" applyNumberFormat="1" applyFont="1" applyBorder="1" applyAlignment="1" applyProtection="1">
      <alignment horizontal="center" vertical="center"/>
      <protection hidden="1"/>
    </xf>
    <xf numFmtId="167" fontId="14" fillId="0" borderId="113" xfId="0" applyNumberFormat="1" applyFont="1" applyBorder="1" applyAlignment="1" applyProtection="1">
      <alignment horizontal="center" vertical="center"/>
      <protection hidden="1"/>
    </xf>
    <xf numFmtId="167" fontId="14" fillId="0" borderId="171" xfId="0" applyNumberFormat="1" applyFont="1" applyBorder="1" applyAlignment="1" applyProtection="1">
      <alignment horizontal="center" vertical="center"/>
      <protection hidden="1"/>
    </xf>
    <xf numFmtId="167" fontId="14" fillId="0" borderId="167" xfId="0" applyNumberFormat="1" applyFont="1" applyBorder="1" applyAlignment="1" applyProtection="1">
      <alignment horizontal="center"/>
      <protection hidden="1"/>
    </xf>
    <xf numFmtId="167" fontId="14" fillId="8" borderId="134" xfId="0" applyNumberFormat="1" applyFont="1" applyFill="1" applyBorder="1" applyAlignment="1" applyProtection="1">
      <alignment horizontal="center"/>
      <protection hidden="1"/>
    </xf>
    <xf numFmtId="167" fontId="14" fillId="8" borderId="177" xfId="0" applyNumberFormat="1" applyFont="1" applyFill="1" applyBorder="1" applyAlignment="1" applyProtection="1">
      <alignment horizontal="center"/>
      <protection hidden="1"/>
    </xf>
    <xf numFmtId="167" fontId="14" fillId="8" borderId="128" xfId="0" applyNumberFormat="1" applyFont="1" applyFill="1" applyBorder="1" applyAlignment="1" applyProtection="1">
      <alignment horizontal="center"/>
      <protection hidden="1"/>
    </xf>
    <xf numFmtId="167" fontId="14" fillId="8" borderId="133" xfId="0" applyNumberFormat="1" applyFont="1" applyFill="1" applyBorder="1" applyAlignment="1" applyProtection="1">
      <alignment horizontal="center"/>
      <protection hidden="1"/>
    </xf>
    <xf numFmtId="167" fontId="14" fillId="0" borderId="133" xfId="0" applyNumberFormat="1" applyFont="1" applyBorder="1" applyAlignment="1" applyProtection="1">
      <alignment horizontal="center" vertical="center"/>
      <protection hidden="1"/>
    </xf>
    <xf numFmtId="167" fontId="14" fillId="0" borderId="237" xfId="0" applyNumberFormat="1" applyFont="1" applyBorder="1" applyAlignment="1" applyProtection="1">
      <alignment horizontal="center" vertical="center"/>
      <protection hidden="1"/>
    </xf>
    <xf numFmtId="0" fontId="74" fillId="11" borderId="226" xfId="0" applyFont="1" applyFill="1" applyBorder="1" applyAlignment="1" applyProtection="1">
      <alignment horizontal="center" vertical="center"/>
      <protection hidden="1"/>
    </xf>
    <xf numFmtId="0" fontId="74" fillId="11" borderId="125" xfId="0" applyFont="1" applyFill="1" applyBorder="1" applyAlignment="1" applyProtection="1">
      <alignment horizontal="center" vertical="center"/>
      <protection hidden="1"/>
    </xf>
    <xf numFmtId="167" fontId="14" fillId="0" borderId="237" xfId="0" applyNumberFormat="1" applyFont="1" applyBorder="1" applyAlignment="1" applyProtection="1">
      <alignment horizontal="center"/>
      <protection hidden="1"/>
    </xf>
    <xf numFmtId="0" fontId="74" fillId="11" borderId="229" xfId="0" applyFont="1" applyFill="1" applyBorder="1" applyAlignment="1" applyProtection="1">
      <alignment horizontal="center" vertical="center"/>
      <protection hidden="1"/>
    </xf>
    <xf numFmtId="0" fontId="74" fillId="11" borderId="230" xfId="0" applyFont="1" applyFill="1" applyBorder="1" applyAlignment="1" applyProtection="1">
      <alignment horizontal="center" vertical="center"/>
      <protection hidden="1"/>
    </xf>
    <xf numFmtId="167" fontId="15" fillId="0" borderId="123" xfId="0" applyNumberFormat="1" applyFont="1" applyBorder="1" applyAlignment="1" applyProtection="1">
      <alignment horizontal="center" vertical="center"/>
      <protection hidden="1"/>
    </xf>
    <xf numFmtId="167" fontId="15" fillId="0" borderId="174" xfId="0" applyNumberFormat="1" applyFont="1" applyBorder="1" applyAlignment="1" applyProtection="1">
      <alignment horizontal="center" vertical="center"/>
      <protection hidden="1"/>
    </xf>
    <xf numFmtId="167" fontId="15" fillId="0" borderId="175" xfId="0" applyNumberFormat="1" applyFont="1" applyBorder="1" applyAlignment="1" applyProtection="1">
      <alignment horizontal="center" vertical="center"/>
      <protection hidden="1"/>
    </xf>
    <xf numFmtId="167" fontId="15" fillId="0" borderId="123" xfId="0" applyNumberFormat="1" applyFont="1" applyBorder="1" applyAlignment="1" applyProtection="1">
      <alignment horizontal="center"/>
      <protection hidden="1"/>
    </xf>
    <xf numFmtId="167" fontId="15" fillId="0" borderId="174" xfId="0" applyNumberFormat="1" applyFont="1" applyBorder="1" applyAlignment="1" applyProtection="1">
      <alignment horizontal="center"/>
      <protection hidden="1"/>
    </xf>
    <xf numFmtId="167" fontId="15" fillId="0" borderId="175" xfId="0" applyNumberFormat="1" applyFont="1" applyBorder="1" applyAlignment="1" applyProtection="1">
      <alignment horizontal="center"/>
      <protection hidden="1"/>
    </xf>
    <xf numFmtId="167" fontId="14" fillId="0" borderId="174" xfId="0" applyNumberFormat="1" applyFont="1" applyBorder="1" applyAlignment="1" applyProtection="1">
      <alignment horizontal="center"/>
      <protection hidden="1"/>
    </xf>
    <xf numFmtId="167" fontId="14" fillId="0" borderId="175" xfId="0" applyNumberFormat="1" applyFont="1" applyBorder="1" applyAlignment="1" applyProtection="1">
      <alignment horizontal="center"/>
      <protection hidden="1"/>
    </xf>
    <xf numFmtId="164" fontId="47" fillId="0" borderId="113" xfId="0" applyNumberFormat="1" applyFont="1" applyBorder="1" applyAlignment="1" applyProtection="1">
      <alignment horizontal="center" vertical="center"/>
      <protection hidden="1"/>
    </xf>
    <xf numFmtId="164" fontId="47" fillId="0" borderId="171" xfId="0" applyNumberFormat="1" applyFont="1" applyBorder="1" applyAlignment="1" applyProtection="1">
      <alignment horizontal="center" vertical="center"/>
      <protection hidden="1"/>
    </xf>
    <xf numFmtId="167" fontId="14" fillId="0" borderId="123" xfId="0" applyNumberFormat="1" applyFont="1" applyBorder="1" applyAlignment="1" applyProtection="1">
      <alignment horizontal="center"/>
      <protection hidden="1"/>
    </xf>
    <xf numFmtId="1" fontId="74" fillId="11" borderId="105" xfId="0" applyNumberFormat="1" applyFont="1" applyFill="1" applyBorder="1" applyAlignment="1" applyProtection="1">
      <alignment horizontal="center" vertical="center"/>
      <protection hidden="1"/>
    </xf>
    <xf numFmtId="1" fontId="74" fillId="11" borderId="231" xfId="0" applyNumberFormat="1" applyFont="1" applyFill="1" applyBorder="1" applyAlignment="1" applyProtection="1">
      <alignment horizontal="center" vertical="center"/>
      <protection hidden="1"/>
    </xf>
    <xf numFmtId="0" fontId="74" fillId="11" borderId="232" xfId="0" applyFont="1" applyFill="1" applyBorder="1" applyAlignment="1" applyProtection="1">
      <alignment horizontal="center" vertical="center"/>
      <protection hidden="1"/>
    </xf>
    <xf numFmtId="0" fontId="14" fillId="0" borderId="111" xfId="0" applyFont="1" applyBorder="1" applyAlignment="1" applyProtection="1">
      <alignment horizontal="left" vertical="center"/>
      <protection hidden="1"/>
    </xf>
    <xf numFmtId="0" fontId="14" fillId="0" borderId="111" xfId="0" applyFont="1" applyBorder="1" applyAlignment="1" applyProtection="1">
      <alignment horizontal="left"/>
      <protection hidden="1"/>
    </xf>
    <xf numFmtId="0" fontId="75" fillId="11" borderId="101" xfId="0" applyFont="1" applyFill="1" applyBorder="1" applyAlignment="1" applyProtection="1">
      <alignment horizontal="center"/>
      <protection hidden="1"/>
    </xf>
    <xf numFmtId="0" fontId="75" fillId="11" borderId="102" xfId="0" applyFont="1" applyFill="1" applyBorder="1" applyAlignment="1" applyProtection="1">
      <alignment horizontal="center"/>
      <protection hidden="1"/>
    </xf>
    <xf numFmtId="0" fontId="74" fillId="11" borderId="207" xfId="0" applyFont="1" applyFill="1" applyBorder="1" applyAlignment="1" applyProtection="1">
      <alignment horizontal="center"/>
      <protection hidden="1"/>
    </xf>
    <xf numFmtId="0" fontId="74" fillId="11" borderId="102" xfId="0" applyFont="1" applyFill="1" applyBorder="1" applyAlignment="1" applyProtection="1">
      <alignment horizontal="center"/>
      <protection hidden="1"/>
    </xf>
    <xf numFmtId="170" fontId="15" fillId="0" borderId="17" xfId="0" applyNumberFormat="1" applyFont="1" applyBorder="1" applyAlignment="1" applyProtection="1">
      <alignment horizontal="left" vertical="center"/>
      <protection hidden="1"/>
    </xf>
    <xf numFmtId="6" fontId="74" fillId="11" borderId="222" xfId="0" applyNumberFormat="1" applyFont="1" applyFill="1" applyBorder="1" applyAlignment="1" applyProtection="1">
      <alignment horizontal="center" vertical="center"/>
      <protection hidden="1"/>
    </xf>
    <xf numFmtId="6" fontId="74"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indent="1"/>
      <protection hidden="1"/>
    </xf>
    <xf numFmtId="0" fontId="75" fillId="11" borderId="102" xfId="0" applyFont="1" applyFill="1" applyBorder="1" applyAlignment="1" applyProtection="1">
      <alignment horizontal="left" vertical="center" indent="1"/>
      <protection hidden="1"/>
    </xf>
    <xf numFmtId="0" fontId="75" fillId="11" borderId="103" xfId="0" applyFont="1" applyFill="1" applyBorder="1" applyAlignment="1" applyProtection="1">
      <alignment horizontal="left" vertical="center" indent="1"/>
      <protection hidden="1"/>
    </xf>
    <xf numFmtId="0" fontId="75" fillId="11" borderId="104"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indent="1"/>
      <protection hidden="1"/>
    </xf>
    <xf numFmtId="0" fontId="58" fillId="11" borderId="101" xfId="0" applyFont="1" applyFill="1" applyBorder="1" applyAlignment="1" applyProtection="1">
      <alignment horizontal="left" vertical="center" indent="1"/>
      <protection hidden="1"/>
    </xf>
    <xf numFmtId="0" fontId="58" fillId="11" borderId="105" xfId="0" applyFont="1" applyFill="1" applyBorder="1" applyAlignment="1" applyProtection="1">
      <alignment horizontal="left" vertical="center" indent="1"/>
      <protection hidden="1"/>
    </xf>
    <xf numFmtId="0" fontId="58" fillId="11" borderId="103"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protection hidden="1"/>
    </xf>
    <xf numFmtId="0" fontId="58" fillId="11" borderId="101" xfId="0" applyFont="1" applyFill="1" applyBorder="1" applyAlignment="1" applyProtection="1">
      <alignment horizontal="left" vertical="center"/>
      <protection hidden="1"/>
    </xf>
    <xf numFmtId="0" fontId="58" fillId="11" borderId="102" xfId="0" applyFont="1" applyFill="1" applyBorder="1" applyAlignment="1" applyProtection="1">
      <alignment horizontal="left" vertical="center"/>
      <protection hidden="1"/>
    </xf>
    <xf numFmtId="0" fontId="58" fillId="11" borderId="105" xfId="0" applyFont="1" applyFill="1" applyBorder="1" applyAlignment="1" applyProtection="1">
      <alignment horizontal="left" vertical="center"/>
      <protection hidden="1"/>
    </xf>
    <xf numFmtId="0" fontId="58" fillId="11" borderId="103" xfId="0" applyFont="1" applyFill="1" applyBorder="1" applyAlignment="1" applyProtection="1">
      <alignment horizontal="left" vertical="center"/>
      <protection hidden="1"/>
    </xf>
    <xf numFmtId="0" fontId="58" fillId="11" borderId="104" xfId="0" applyFont="1" applyFill="1" applyBorder="1" applyAlignment="1" applyProtection="1">
      <alignment horizontal="left" vertical="center"/>
      <protection hidden="1"/>
    </xf>
    <xf numFmtId="0" fontId="15" fillId="0" borderId="100" xfId="0" applyFont="1" applyBorder="1" applyAlignment="1" applyProtection="1">
      <alignment horizontal="left" vertical="center"/>
      <protection hidden="1"/>
    </xf>
    <xf numFmtId="0" fontId="10" fillId="0" borderId="167" xfId="0" applyFont="1" applyBorder="1" applyAlignment="1" applyProtection="1">
      <alignment horizontal="left" vertical="center" indent="1"/>
      <protection hidden="1"/>
    </xf>
    <xf numFmtId="0" fontId="10" fillId="0" borderId="166" xfId="0" applyFont="1" applyBorder="1" applyAlignment="1" applyProtection="1">
      <alignment horizontal="left" vertical="center" indent="1"/>
      <protection hidden="1"/>
    </xf>
    <xf numFmtId="0" fontId="10" fillId="7" borderId="111" xfId="0" applyFont="1" applyFill="1" applyBorder="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1" fontId="15" fillId="0" borderId="17" xfId="0" applyNumberFormat="1" applyFont="1" applyBorder="1" applyAlignment="1" applyProtection="1">
      <alignment horizontal="left" vertical="center"/>
      <protection hidden="1"/>
    </xf>
    <xf numFmtId="3" fontId="15" fillId="0" borderId="113" xfId="0" applyNumberFormat="1" applyFont="1" applyBorder="1" applyAlignment="1" applyProtection="1">
      <alignment horizontal="center" vertical="center"/>
      <protection hidden="1"/>
    </xf>
    <xf numFmtId="0" fontId="58" fillId="11" borderId="225" xfId="0" applyFont="1" applyFill="1" applyBorder="1" applyAlignment="1" applyProtection="1">
      <alignment horizontal="left" vertical="center"/>
      <protection hidden="1"/>
    </xf>
    <xf numFmtId="0" fontId="58" fillId="11" borderId="226" xfId="0" applyFont="1" applyFill="1" applyBorder="1" applyAlignment="1" applyProtection="1">
      <alignment horizontal="left" vertical="center"/>
      <protection hidden="1"/>
    </xf>
    <xf numFmtId="0" fontId="58" fillId="11" borderId="229" xfId="0" applyFont="1" applyFill="1" applyBorder="1" applyAlignment="1" applyProtection="1">
      <alignment horizontal="left" vertical="center"/>
      <protection hidden="1"/>
    </xf>
    <xf numFmtId="0" fontId="58" fillId="11" borderId="125" xfId="0" applyFont="1" applyFill="1" applyBorder="1" applyAlignment="1" applyProtection="1">
      <alignment horizontal="left" vertical="center"/>
      <protection hidden="1"/>
    </xf>
    <xf numFmtId="167" fontId="14" fillId="0" borderId="133" xfId="0" applyNumberFormat="1" applyFont="1" applyBorder="1" applyAlignment="1" applyProtection="1">
      <alignment horizontal="center"/>
      <protection hidden="1"/>
    </xf>
    <xf numFmtId="0" fontId="74" fillId="11" borderId="235" xfId="0" applyFont="1" applyFill="1" applyBorder="1" applyAlignment="1" applyProtection="1">
      <alignment horizontal="center" vertical="center"/>
      <protection hidden="1"/>
    </xf>
    <xf numFmtId="0" fontId="74" fillId="11" borderId="236" xfId="0" applyFont="1" applyFill="1" applyBorder="1" applyAlignment="1" applyProtection="1">
      <alignment horizontal="center" vertical="center"/>
      <protection hidden="1"/>
    </xf>
    <xf numFmtId="0" fontId="74" fillId="11" borderId="184" xfId="0" applyFont="1" applyFill="1" applyBorder="1" applyAlignment="1" applyProtection="1">
      <alignment horizontal="center" vertical="center"/>
      <protection hidden="1"/>
    </xf>
    <xf numFmtId="0" fontId="74" fillId="11" borderId="228" xfId="0" applyFont="1" applyFill="1" applyBorder="1" applyAlignment="1" applyProtection="1">
      <alignment horizontal="center" vertical="center"/>
      <protection hidden="1"/>
    </xf>
    <xf numFmtId="0" fontId="7" fillId="6" borderId="114" xfId="0" applyFont="1" applyFill="1" applyBorder="1" applyAlignment="1" applyProtection="1">
      <alignment horizontal="center" vertical="center"/>
      <protection hidden="1"/>
    </xf>
    <xf numFmtId="0" fontId="7" fillId="6" borderId="223"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0" fontId="74" fillId="11" borderId="101" xfId="0" applyFont="1" applyFill="1" applyBorder="1" applyAlignment="1" applyProtection="1">
      <alignment horizontal="center"/>
      <protection hidden="1"/>
    </xf>
    <xf numFmtId="0" fontId="75" fillId="11" borderId="100" xfId="0" applyFont="1" applyFill="1" applyBorder="1" applyAlignment="1" applyProtection="1">
      <alignment horizontal="center"/>
      <protection hidden="1"/>
    </xf>
    <xf numFmtId="0" fontId="75" fillId="11" borderId="111" xfId="0" applyFont="1" applyFill="1" applyBorder="1" applyAlignment="1" applyProtection="1">
      <alignment horizontal="center"/>
      <protection hidden="1"/>
    </xf>
    <xf numFmtId="49" fontId="75" fillId="11" borderId="0" xfId="0" applyNumberFormat="1" applyFont="1" applyFill="1" applyAlignment="1" applyProtection="1">
      <alignment horizont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0" fontId="10" fillId="0" borderId="166" xfId="0" applyFont="1" applyBorder="1" applyAlignment="1" applyProtection="1">
      <alignment horizontal="left" vertical="center"/>
      <protection hidden="1"/>
    </xf>
    <xf numFmtId="6" fontId="75" fillId="11" borderId="222" xfId="0" applyNumberFormat="1" applyFont="1" applyFill="1" applyBorder="1" applyAlignment="1" applyProtection="1">
      <alignment horizontal="center" vertical="center"/>
      <protection hidden="1"/>
    </xf>
    <xf numFmtId="6" fontId="75"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wrapText="1" indent="1"/>
      <protection hidden="1"/>
    </xf>
    <xf numFmtId="0" fontId="75" fillId="11" borderId="102" xfId="0" applyFont="1" applyFill="1" applyBorder="1" applyAlignment="1" applyProtection="1">
      <alignment horizontal="left" vertical="center" wrapText="1" indent="1"/>
      <protection hidden="1"/>
    </xf>
    <xf numFmtId="0" fontId="75" fillId="11" borderId="103" xfId="0" applyFont="1" applyFill="1" applyBorder="1" applyAlignment="1" applyProtection="1">
      <alignment horizontal="left" vertical="center" wrapText="1" indent="1"/>
      <protection hidden="1"/>
    </xf>
    <xf numFmtId="0" fontId="75" fillId="11" borderId="104" xfId="0" applyFont="1" applyFill="1" applyBorder="1" applyAlignment="1" applyProtection="1">
      <alignment horizontal="left" vertical="center" wrapText="1" indent="1"/>
      <protection hidden="1"/>
    </xf>
    <xf numFmtId="0" fontId="7" fillId="7" borderId="111" xfId="0" applyFont="1" applyFill="1" applyBorder="1" applyAlignment="1" applyProtection="1">
      <alignment horizontal="left" vertical="center" indent="1"/>
      <protection locked="0"/>
    </xf>
    <xf numFmtId="0" fontId="7" fillId="7" borderId="0" xfId="0" applyFont="1" applyFill="1" applyAlignment="1" applyProtection="1">
      <alignment horizontal="left" vertical="center" indent="1"/>
      <protection locked="0"/>
    </xf>
    <xf numFmtId="0" fontId="15" fillId="0" borderId="154" xfId="0" applyFont="1" applyBorder="1" applyAlignment="1" applyProtection="1">
      <alignment horizontal="left" vertical="center"/>
      <protection hidden="1"/>
    </xf>
    <xf numFmtId="0" fontId="15" fillId="0" borderId="296"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75" fillId="11" borderId="230" xfId="0" applyFont="1" applyFill="1" applyBorder="1" applyAlignment="1" applyProtection="1">
      <alignment horizontal="center" vertical="center"/>
      <protection hidden="1"/>
    </xf>
    <xf numFmtId="0" fontId="75" fillId="11" borderId="229" xfId="0" applyFont="1" applyFill="1" applyBorder="1" applyAlignment="1" applyProtection="1">
      <alignment horizontal="center" vertical="center"/>
      <protection hidden="1"/>
    </xf>
    <xf numFmtId="1" fontId="74" fillId="11" borderId="121" xfId="0" applyNumberFormat="1" applyFont="1" applyFill="1" applyBorder="1" applyAlignment="1" applyProtection="1">
      <alignment horizontal="center" vertical="center"/>
      <protection hidden="1"/>
    </xf>
    <xf numFmtId="0" fontId="74" fillId="11" borderId="121" xfId="0" applyFont="1" applyFill="1" applyBorder="1" applyAlignment="1" applyProtection="1">
      <alignment horizontal="center" vertical="center"/>
      <protection hidden="1"/>
    </xf>
    <xf numFmtId="0" fontId="14" fillId="8" borderId="191" xfId="0" applyFont="1" applyFill="1" applyBorder="1" applyAlignment="1" applyProtection="1">
      <alignment horizontal="left" vertical="center" wrapText="1" indent="1"/>
      <protection hidden="1"/>
    </xf>
    <xf numFmtId="0" fontId="14" fillId="8" borderId="192" xfId="0" applyFont="1" applyFill="1" applyBorder="1" applyAlignment="1" applyProtection="1">
      <alignment horizontal="left" vertical="center" wrapText="1" indent="1"/>
      <protection hidden="1"/>
    </xf>
    <xf numFmtId="0" fontId="14" fillId="8" borderId="255" xfId="0" applyFont="1" applyFill="1" applyBorder="1" applyAlignment="1" applyProtection="1">
      <alignment horizontal="left" vertical="center" wrapText="1" indent="1"/>
      <protection hidden="1"/>
    </xf>
    <xf numFmtId="0" fontId="14" fillId="8" borderId="291" xfId="0" applyFont="1" applyFill="1" applyBorder="1" applyAlignment="1" applyProtection="1">
      <alignment horizontal="left" vertical="center" wrapText="1" indent="1"/>
      <protection hidden="1"/>
    </xf>
    <xf numFmtId="3" fontId="14" fillId="8" borderId="102" xfId="0" applyNumberFormat="1" applyFont="1" applyFill="1" applyBorder="1" applyAlignment="1" applyProtection="1">
      <alignment horizontal="center" vertical="center"/>
      <protection hidden="1"/>
    </xf>
    <xf numFmtId="3" fontId="14" fillId="8" borderId="104" xfId="0" applyNumberFormat="1" applyFont="1" applyFill="1" applyBorder="1" applyAlignment="1" applyProtection="1">
      <alignment horizontal="center" vertical="center"/>
      <protection hidden="1"/>
    </xf>
    <xf numFmtId="1" fontId="14" fillId="6" borderId="101" xfId="0" applyNumberFormat="1" applyFont="1" applyFill="1" applyBorder="1" applyAlignment="1" applyProtection="1">
      <alignment horizontal="center" vertical="center"/>
      <protection hidden="1"/>
    </xf>
    <xf numFmtId="1" fontId="14" fillId="6" borderId="103" xfId="0" applyNumberFormat="1" applyFont="1" applyFill="1" applyBorder="1" applyAlignment="1" applyProtection="1">
      <alignment horizontal="center" vertical="center"/>
      <protection hidden="1"/>
    </xf>
    <xf numFmtId="166" fontId="14" fillId="8" borderId="222" xfId="0" applyNumberFormat="1" applyFont="1" applyFill="1" applyBorder="1" applyAlignment="1" applyProtection="1">
      <alignment horizontal="center" vertical="center"/>
      <protection hidden="1"/>
    </xf>
    <xf numFmtId="166" fontId="14" fillId="8" borderId="121" xfId="0" applyNumberFormat="1" applyFont="1" applyFill="1" applyBorder="1" applyAlignment="1" applyProtection="1">
      <alignment horizontal="center" vertical="center"/>
      <protection hidden="1"/>
    </xf>
    <xf numFmtId="3" fontId="14" fillId="6" borderId="101" xfId="0" applyNumberFormat="1" applyFont="1" applyFill="1" applyBorder="1" applyAlignment="1" applyProtection="1">
      <alignment horizontal="center" vertical="center"/>
      <protection hidden="1"/>
    </xf>
    <xf numFmtId="3" fontId="14" fillId="6" borderId="103" xfId="0" applyNumberFormat="1" applyFont="1" applyFill="1" applyBorder="1" applyAlignment="1" applyProtection="1">
      <alignment horizontal="center" vertical="center"/>
      <protection hidden="1"/>
    </xf>
    <xf numFmtId="1" fontId="14" fillId="6" borderId="222" xfId="0" applyNumberFormat="1" applyFont="1" applyFill="1" applyBorder="1" applyAlignment="1" applyProtection="1">
      <alignment horizontal="center" vertical="center"/>
      <protection hidden="1"/>
    </xf>
    <xf numFmtId="1" fontId="14" fillId="6" borderId="121" xfId="0" applyNumberFormat="1" applyFont="1" applyFill="1" applyBorder="1" applyAlignment="1" applyProtection="1">
      <alignment horizontal="center" vertical="center"/>
      <protection hidden="1"/>
    </xf>
    <xf numFmtId="167" fontId="14" fillId="8" borderId="222" xfId="0" applyNumberFormat="1" applyFont="1" applyFill="1" applyBorder="1" applyAlignment="1" applyProtection="1">
      <alignment horizontal="center" vertical="center"/>
      <protection hidden="1"/>
    </xf>
    <xf numFmtId="167" fontId="14" fillId="8" borderId="121" xfId="0" applyNumberFormat="1" applyFont="1" applyFill="1" applyBorder="1" applyAlignment="1" applyProtection="1">
      <alignment horizontal="center" vertical="center"/>
      <protection hidden="1"/>
    </xf>
    <xf numFmtId="167" fontId="14" fillId="8" borderId="266" xfId="0" applyNumberFormat="1" applyFont="1" applyFill="1" applyBorder="1" applyAlignment="1" applyProtection="1">
      <alignment horizontal="center" vertical="center"/>
      <protection hidden="1"/>
    </xf>
    <xf numFmtId="167" fontId="14" fillId="8" borderId="267" xfId="0" applyNumberFormat="1" applyFont="1" applyFill="1" applyBorder="1" applyAlignment="1" applyProtection="1">
      <alignment horizontal="center" vertical="center"/>
      <protection hidden="1"/>
    </xf>
    <xf numFmtId="0" fontId="63" fillId="0" borderId="243" xfId="0" applyFont="1" applyBorder="1" applyAlignment="1" applyProtection="1">
      <alignment horizontal="left" vertical="center"/>
      <protection hidden="1"/>
    </xf>
    <xf numFmtId="167" fontId="66" fillId="0" borderId="245" xfId="0" applyNumberFormat="1" applyFont="1" applyBorder="1" applyAlignment="1" applyProtection="1">
      <alignment horizontal="center" vertical="center"/>
      <protection hidden="1"/>
    </xf>
    <xf numFmtId="164" fontId="15" fillId="0" borderId="184" xfId="2" applyNumberFormat="1" applyFont="1" applyBorder="1" applyAlignment="1" applyProtection="1">
      <alignment horizontal="center" vertical="center"/>
      <protection hidden="1"/>
    </xf>
    <xf numFmtId="0" fontId="48" fillId="0" borderId="243" xfId="0" applyFont="1" applyBorder="1" applyAlignment="1" applyProtection="1">
      <alignment horizontal="left" vertical="center"/>
      <protection hidden="1"/>
    </xf>
    <xf numFmtId="0" fontId="63" fillId="0" borderId="123" xfId="0" applyFont="1" applyBorder="1" applyAlignment="1" applyProtection="1">
      <alignment horizontal="left" vertical="center"/>
      <protection hidden="1"/>
    </xf>
    <xf numFmtId="0" fontId="80" fillId="0" borderId="179" xfId="0" applyFont="1" applyBorder="1" applyAlignment="1" applyProtection="1">
      <alignment horizontal="left" vertical="center" indent="1"/>
      <protection hidden="1"/>
    </xf>
    <xf numFmtId="0" fontId="14" fillId="8" borderId="255" xfId="0" applyFont="1" applyFill="1" applyBorder="1" applyAlignment="1" applyProtection="1">
      <alignment horizontal="left" vertical="top" wrapText="1" indent="1"/>
      <protection hidden="1"/>
    </xf>
    <xf numFmtId="0" fontId="14" fillId="8" borderId="291" xfId="0" applyFont="1" applyFill="1" applyBorder="1" applyAlignment="1" applyProtection="1">
      <alignment horizontal="left" vertical="top" wrapText="1" indent="1"/>
      <protection hidden="1"/>
    </xf>
    <xf numFmtId="0" fontId="14" fillId="8" borderId="253" xfId="0" applyFont="1" applyFill="1" applyBorder="1" applyAlignment="1" applyProtection="1">
      <alignment horizontal="left" vertical="center" indent="3"/>
      <protection hidden="1"/>
    </xf>
    <xf numFmtId="0" fontId="14" fillId="8" borderId="277" xfId="0" applyFont="1" applyFill="1" applyBorder="1" applyAlignment="1" applyProtection="1">
      <alignment horizontal="left" vertical="center" indent="3"/>
      <protection hidden="1"/>
    </xf>
    <xf numFmtId="2" fontId="14" fillId="8" borderId="253" xfId="0" applyNumberFormat="1" applyFont="1" applyFill="1" applyBorder="1" applyAlignment="1" applyProtection="1">
      <alignment horizontal="left" vertical="center" indent="2"/>
      <protection hidden="1"/>
    </xf>
    <xf numFmtId="2" fontId="14" fillId="8" borderId="277" xfId="0" applyNumberFormat="1" applyFont="1" applyFill="1" applyBorder="1" applyAlignment="1" applyProtection="1">
      <alignment horizontal="left" vertical="center" indent="2"/>
      <protection hidden="1"/>
    </xf>
    <xf numFmtId="0" fontId="74" fillId="11" borderId="186" xfId="0" applyFont="1" applyFill="1" applyBorder="1" applyAlignment="1">
      <alignment horizontal="left" vertical="center" wrapText="1" indent="2"/>
    </xf>
    <xf numFmtId="0" fontId="74" fillId="11" borderId="187" xfId="0" applyFont="1" applyFill="1" applyBorder="1" applyAlignment="1">
      <alignment horizontal="left" vertical="center" wrapText="1" indent="2"/>
    </xf>
    <xf numFmtId="0" fontId="74" fillId="11" borderId="191" xfId="0" applyFont="1" applyFill="1" applyBorder="1" applyAlignment="1">
      <alignment horizontal="left" vertical="center" wrapText="1" indent="2"/>
    </xf>
    <xf numFmtId="0" fontId="74" fillId="11" borderId="192" xfId="0" applyFont="1" applyFill="1" applyBorder="1" applyAlignment="1">
      <alignment horizontal="left" vertical="center" wrapText="1" indent="2"/>
    </xf>
    <xf numFmtId="0" fontId="15" fillId="8" borderId="251" xfId="0" applyFont="1" applyFill="1" applyBorder="1" applyAlignment="1" applyProtection="1">
      <alignment horizontal="left" vertical="center"/>
      <protection hidden="1"/>
    </xf>
    <xf numFmtId="0" fontId="15" fillId="8" borderId="275" xfId="0" applyFont="1" applyFill="1" applyBorder="1" applyAlignment="1" applyProtection="1">
      <alignment horizontal="left" vertical="center"/>
      <protection hidden="1"/>
    </xf>
    <xf numFmtId="167" fontId="47" fillId="0" borderId="174" xfId="0" applyNumberFormat="1" applyFont="1" applyBorder="1" applyAlignment="1" applyProtection="1">
      <alignment horizontal="left" vertical="center"/>
      <protection hidden="1"/>
    </xf>
    <xf numFmtId="167" fontId="47" fillId="0" borderId="175" xfId="0" applyNumberFormat="1" applyFont="1" applyBorder="1" applyAlignment="1" applyProtection="1">
      <alignment horizontal="left" vertical="center"/>
      <protection hidden="1"/>
    </xf>
    <xf numFmtId="167" fontId="67" fillId="0" borderId="113" xfId="0" applyNumberFormat="1" applyFont="1" applyBorder="1" applyAlignment="1" applyProtection="1">
      <alignment horizontal="center" vertical="center"/>
      <protection hidden="1"/>
    </xf>
    <xf numFmtId="167" fontId="67" fillId="0" borderId="171" xfId="0" applyNumberFormat="1" applyFont="1" applyBorder="1" applyAlignment="1" applyProtection="1">
      <alignment horizontal="center" vertical="center"/>
      <protection hidden="1"/>
    </xf>
    <xf numFmtId="167" fontId="47" fillId="0" borderId="123" xfId="0" applyNumberFormat="1" applyFont="1" applyBorder="1" applyAlignment="1" applyProtection="1">
      <alignment horizontal="left" vertical="center"/>
      <protection hidden="1"/>
    </xf>
    <xf numFmtId="167" fontId="15" fillId="0" borderId="103" xfId="0" applyNumberFormat="1" applyFont="1" applyBorder="1" applyAlignment="1" applyProtection="1">
      <alignment horizontal="center" vertical="center"/>
      <protection hidden="1"/>
    </xf>
    <xf numFmtId="167" fontId="15" fillId="8" borderId="103" xfId="0" applyNumberFormat="1" applyFont="1" applyFill="1" applyBorder="1" applyAlignment="1" applyProtection="1">
      <alignment horizontal="center" vertical="center"/>
      <protection hidden="1"/>
    </xf>
    <xf numFmtId="167" fontId="15" fillId="8" borderId="104" xfId="0" applyNumberFormat="1" applyFont="1" applyFill="1" applyBorder="1" applyAlignment="1" applyProtection="1">
      <alignment horizontal="center" vertical="center"/>
      <protection hidden="1"/>
    </xf>
    <xf numFmtId="167" fontId="15" fillId="0" borderId="121" xfId="0" applyNumberFormat="1" applyFont="1" applyBorder="1" applyAlignment="1" applyProtection="1">
      <alignment horizontal="center" vertical="center"/>
      <protection hidden="1"/>
    </xf>
    <xf numFmtId="167" fontId="15" fillId="0" borderId="104" xfId="0" applyNumberFormat="1" applyFont="1" applyBorder="1" applyAlignment="1" applyProtection="1">
      <alignment horizontal="center" vertical="center"/>
      <protection hidden="1"/>
    </xf>
    <xf numFmtId="3" fontId="15" fillId="8" borderId="124" xfId="0" applyNumberFormat="1" applyFont="1" applyFill="1" applyBorder="1" applyAlignment="1" applyProtection="1">
      <alignment horizontal="center" vertical="center"/>
      <protection hidden="1"/>
    </xf>
    <xf numFmtId="3" fontId="15" fillId="8" borderId="223" xfId="0" applyNumberFormat="1" applyFont="1" applyFill="1" applyBorder="1" applyAlignment="1" applyProtection="1">
      <alignment horizontal="center" vertical="center"/>
      <protection hidden="1"/>
    </xf>
    <xf numFmtId="0" fontId="75" fillId="11" borderId="227" xfId="0" applyFont="1" applyFill="1" applyBorder="1" applyAlignment="1" applyProtection="1">
      <alignment horizontal="center" vertical="center"/>
      <protection hidden="1"/>
    </xf>
    <xf numFmtId="0" fontId="75" fillId="11" borderId="225" xfId="0" applyFont="1" applyFill="1" applyBorder="1" applyAlignment="1" applyProtection="1">
      <alignment horizontal="center" vertical="center"/>
      <protection hidden="1"/>
    </xf>
    <xf numFmtId="0" fontId="58" fillId="11" borderId="207" xfId="0" applyFont="1" applyFill="1" applyBorder="1" applyAlignment="1" applyProtection="1">
      <alignment horizontal="left" vertical="center" wrapText="1" indent="1"/>
      <protection hidden="1"/>
    </xf>
    <xf numFmtId="0" fontId="58" fillId="11" borderId="101" xfId="0" applyFont="1" applyFill="1" applyBorder="1" applyAlignment="1" applyProtection="1">
      <alignment horizontal="left" vertical="center" wrapText="1" indent="1"/>
      <protection hidden="1"/>
    </xf>
    <xf numFmtId="0" fontId="58" fillId="11" borderId="105" xfId="0" applyFont="1" applyFill="1" applyBorder="1" applyAlignment="1" applyProtection="1">
      <alignment horizontal="left" vertical="center" wrapText="1" indent="1"/>
      <protection hidden="1"/>
    </xf>
    <xf numFmtId="0" fontId="58" fillId="11" borderId="103" xfId="0" applyFont="1" applyFill="1" applyBorder="1" applyAlignment="1" applyProtection="1">
      <alignment horizontal="left" vertical="center" wrapText="1" indent="1"/>
      <protection hidden="1"/>
    </xf>
    <xf numFmtId="2" fontId="14" fillId="0" borderId="17" xfId="0" applyNumberFormat="1" applyFont="1" applyBorder="1" applyAlignment="1" applyProtection="1">
      <alignment horizontal="left" vertical="center"/>
      <protection hidden="1"/>
    </xf>
    <xf numFmtId="0" fontId="58" fillId="11" borderId="111" xfId="0" applyFont="1" applyFill="1" applyBorder="1" applyAlignment="1" applyProtection="1">
      <alignment horizontal="left" vertical="center" indent="1"/>
      <protection hidden="1"/>
    </xf>
    <xf numFmtId="0" fontId="14" fillId="8" borderId="103" xfId="0" applyFont="1" applyFill="1" applyBorder="1" applyAlignment="1" applyProtection="1">
      <alignment horizontal="left" vertical="center" indent="1"/>
      <protection hidden="1"/>
    </xf>
    <xf numFmtId="0" fontId="80" fillId="0" borderId="123" xfId="0" applyFont="1" applyBorder="1" applyAlignment="1" applyProtection="1">
      <alignment horizontal="left" vertical="center"/>
      <protection hidden="1"/>
    </xf>
    <xf numFmtId="0" fontId="80" fillId="0" borderId="174" xfId="0" applyFont="1" applyBorder="1" applyAlignment="1" applyProtection="1">
      <alignment horizontal="left" vertical="center"/>
      <protection hidden="1"/>
    </xf>
    <xf numFmtId="1" fontId="74" fillId="11" borderId="188" xfId="0" applyNumberFormat="1" applyFont="1" applyFill="1" applyBorder="1" applyAlignment="1">
      <alignment horizontal="center" vertical="top"/>
    </xf>
    <xf numFmtId="3" fontId="15" fillId="0" borderId="124" xfId="0" applyNumberFormat="1" applyFont="1" applyBorder="1" applyAlignment="1" applyProtection="1">
      <alignment horizontal="center" vertical="center"/>
      <protection hidden="1"/>
    </xf>
  </cellXfs>
  <cellStyles count="3">
    <cellStyle name="Normaali" xfId="0" builtinId="0"/>
    <cellStyle name="Normaali 13" xfId="1" xr:uid="{00000000-0005-0000-0000-000001000000}"/>
    <cellStyle name="Prosenttia" xfId="2" builtinId="5"/>
  </cellStyles>
  <dxfs count="9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99"/>
      <color rgb="FF0152A1"/>
      <color rgb="FFE1E1E1"/>
      <color rgb="FF000066"/>
      <color rgb="FF000080"/>
      <color rgb="FF1F497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2"/>
          <c:order val="0"/>
          <c:tx>
            <c:strRef>
              <c:f>'8. T5 CASH BUDGET'!$C$58</c:f>
              <c:strCache>
                <c:ptCount val="1"/>
                <c:pt idx="0">
                  <c:v> INCOME - EXPENSES</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BUDGET'!$G$58:$R$58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651-4E76-BB66-E7DE2E75DE2B}"/>
            </c:ext>
          </c:extLst>
        </c:ser>
        <c:ser>
          <c:idx val="3"/>
          <c:order val="1"/>
          <c:tx>
            <c:strRef>
              <c:f>'8. T5 CASH BUDGET'!$C$59</c:f>
              <c:strCache>
                <c:ptCount val="1"/>
                <c:pt idx="0">
                  <c:v> CASH AT THE END OF THE MONTH </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BUDGET'!$G$59:$R$59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651-4E76-BB66-E7DE2E75DE2B}"/>
            </c:ext>
          </c:extLst>
        </c:ser>
        <c:ser>
          <c:idx val="0"/>
          <c:order val="2"/>
          <c:tx>
            <c:v>INCOME-EXPENSES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651-4E76-BB66-E7DE2E75DE2B}"/>
            </c:ext>
          </c:extLst>
        </c:ser>
        <c:ser>
          <c:idx val="1"/>
          <c:order val="3"/>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651-4E76-BB66-E7DE2E75DE2B}"/>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delete val="1"/>
      </c:legendEntry>
      <c:legendEntry>
        <c:idx val="1"/>
        <c:delete val="1"/>
      </c:legendEntry>
      <c:legendEntry>
        <c:idx val="2"/>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3"/>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6136682189426946"/>
          <c:y val="3.2804971593479795E-2"/>
          <c:w val="0.46989453339163639"/>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a:t>
            </a:r>
            <a:r>
              <a:rPr lang="fi-FI" baseline="0"/>
              <a:t> kannattavuus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Kaaviot!$B$27</c:f>
              <c:strCache>
                <c:ptCount val="1"/>
                <c:pt idx="0">
                  <c:v> Käyttökate-%</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0-6E9C-40D6-821C-685436C17CF5}"/>
            </c:ext>
          </c:extLst>
        </c:ser>
        <c:ser>
          <c:idx val="1"/>
          <c:order val="1"/>
          <c:tx>
            <c:strRef>
              <c:f>Kaaviot!$B$28</c:f>
              <c:strCache>
                <c:ptCount val="1"/>
                <c:pt idx="0">
                  <c:v> Tilikauden voitto-%</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1-6E9C-40D6-821C-685436C17CF5}"/>
            </c:ext>
          </c:extLst>
        </c:ser>
        <c:ser>
          <c:idx val="2"/>
          <c:order val="2"/>
          <c:tx>
            <c:strRef>
              <c:f>Kaaviot!$B$29</c:f>
              <c:strCache>
                <c:ptCount val="1"/>
                <c:pt idx="0">
                  <c:v> Sijoitetun pääoman tuotto-%</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2-6E9C-40D6-821C-685436C17CF5}"/>
            </c:ext>
          </c:extLst>
        </c:ser>
        <c:dLbls>
          <c:dLblPos val="ctr"/>
          <c:showLegendKey val="0"/>
          <c:showVal val="1"/>
          <c:showCatName val="0"/>
          <c:showSerName val="0"/>
          <c:showPercent val="0"/>
          <c:showBubbleSize val="0"/>
        </c:dLbls>
        <c:marker val="1"/>
        <c:smooth val="0"/>
        <c:axId val="1575814559"/>
        <c:axId val="1996122223"/>
      </c:lineChart>
      <c:catAx>
        <c:axId val="15758145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 sourceLinked="1"/>
        <c:majorTickMark val="none"/>
        <c:minorTickMark val="none"/>
        <c:tickLblPos val="nextTo"/>
        <c:crossAx val="15758145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Kaaviot!$B$50</c:f>
              <c:strCache>
                <c:ptCount val="1"/>
                <c:pt idx="0">
                  <c:v> Varat</c:v>
                </c:pt>
              </c:strCache>
            </c:strRef>
          </c:tx>
          <c:spPr>
            <a:solidFill>
              <a:schemeClr val="accent1"/>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4E60-4C93-9508-80A3514FE627}"/>
            </c:ext>
          </c:extLst>
        </c:ser>
        <c:ser>
          <c:idx val="1"/>
          <c:order val="1"/>
          <c:tx>
            <c:strRef>
              <c:f>Kaaviot!$B$51</c:f>
              <c:strCache>
                <c:ptCount val="1"/>
                <c:pt idx="0">
                  <c:v> Velat </c:v>
                </c:pt>
              </c:strCache>
            </c:strRef>
          </c:tx>
          <c:spPr>
            <a:solidFill>
              <a:schemeClr val="accent2"/>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4E60-4C93-9508-80A3514FE627}"/>
            </c:ext>
          </c:extLst>
        </c:ser>
        <c:ser>
          <c:idx val="2"/>
          <c:order val="2"/>
          <c:tx>
            <c:strRef>
              <c:f>Kaaviot!$B$52</c:f>
              <c:strCache>
                <c:ptCount val="1"/>
                <c:pt idx="0">
                  <c:v> Nettovarallisuus</c:v>
                </c:pt>
              </c:strCache>
            </c:strRef>
          </c:tx>
          <c:spPr>
            <a:solidFill>
              <a:schemeClr val="accent3"/>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4E60-4C93-9508-80A3514FE627}"/>
            </c:ext>
          </c:extLst>
        </c:ser>
        <c:dLbls>
          <c:showLegendKey val="0"/>
          <c:showVal val="0"/>
          <c:showCatName val="0"/>
          <c:showSerName val="0"/>
          <c:showPercent val="0"/>
          <c:showBubbleSize val="0"/>
        </c:dLbls>
        <c:gapWidth val="219"/>
        <c:overlap val="-27"/>
        <c:axId val="1576264383"/>
        <c:axId val="1689908399"/>
      </c:barChart>
      <c:catAx>
        <c:axId val="15762643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0"/>
          <c:order val="0"/>
          <c:tx>
            <c:v>INCOME - 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CB-4E6E-9490-8D973BA091DD}"/>
            </c:ext>
          </c:extLst>
        </c:ser>
        <c:ser>
          <c:idx val="1"/>
          <c:order val="1"/>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BCB-4E6E-9490-8D973BA091DD}"/>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1"/>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4784808115819246"/>
          <c:y val="3.5751599011288646E-2"/>
          <c:w val="0.50917215428033868"/>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Business Scope</a:t>
            </a:r>
            <a:r>
              <a:rPr lang="fi-FI" baseline="0"/>
              <a:t> </a:t>
            </a:r>
            <a:r>
              <a:rPr lang="fi-FI"/>
              <a:t>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D14-469E-B410-661315458CE2}"/>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D14-469E-B410-661315458CE2}"/>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D14-469E-B410-661315458CE2}"/>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sz="1600" b="1" i="0" u="none" strike="noStrike" baseline="0"/>
              <a:t>Business profitability</a:t>
            </a:r>
            <a:endParaRPr lang="fi-FI"/>
          </a:p>
        </c:rich>
      </c:tx>
      <c:layout>
        <c:manualLayout>
          <c:xMode val="edge"/>
          <c:yMode val="edge"/>
          <c:x val="0.38887536744739648"/>
          <c:y val="1.505540715837191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C02B-44E3-B7E5-0D8A077A2B1C}"/>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C02B-44E3-B7E5-0D8A077A2B1C}"/>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C02B-44E3-B7E5-0D8A077A2B1C}"/>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3-C02B-44E3-B7E5-0D8A077A2B1C}"/>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baseline="0"/>
              <a:t>ASSETS</a:t>
            </a:r>
            <a:r>
              <a:rPr lang="fi-FI"/>
              <a:t>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A082-4048-B610-E93D9836A218}"/>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A082-4048-B610-E93D9836A218}"/>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A082-4048-B610-E93D9836A218}"/>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A3E-4F38-B924-D74A530538C3}"/>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A3E-4F38-B924-D74A530538C3}"/>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A3E-4F38-B924-D74A530538C3}"/>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kannattavuus </a:t>
            </a:r>
          </a:p>
        </c:rich>
      </c:tx>
      <c:layout>
        <c:manualLayout>
          <c:xMode val="edge"/>
          <c:yMode val="edge"/>
          <c:x val="0.30415511240442772"/>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49F2-4369-91DA-E962B9CF0AC3}"/>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49F2-4369-91DA-E962B9CF0AC3}"/>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49F2-4369-91DA-E962B9CF0AC3}"/>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1-2A57-46C1-86B7-3F88E558EF5F}"/>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Nettovarallisuus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6CFD-4B93-B063-567837B737A9}"/>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6CFD-4B93-B063-567837B737A9}"/>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6CFD-4B93-B063-567837B737A9}"/>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Kaaviot!$B$3</c:f>
              <c:strCache>
                <c:ptCount val="1"/>
                <c:pt idx="0">
                  <c:v> Liikevaihto</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0-1AF9-4762-AF1A-3944E50AA0D6}"/>
            </c:ext>
          </c:extLst>
        </c:ser>
        <c:ser>
          <c:idx val="1"/>
          <c:order val="1"/>
          <c:tx>
            <c:strRef>
              <c:f>Kaaviot!$B$4</c:f>
              <c:strCache>
                <c:ptCount val="1"/>
                <c:pt idx="0">
                  <c:v>Taseen loppusumma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1-1AF9-4762-AF1A-3944E50AA0D6}"/>
            </c:ext>
          </c:extLst>
        </c:ser>
        <c:ser>
          <c:idx val="2"/>
          <c:order val="2"/>
          <c:tx>
            <c:strRef>
              <c:f>Kaaviot!$B$5</c:f>
              <c:strCache>
                <c:ptCount val="1"/>
                <c:pt idx="0">
                  <c:v> Sijoitettu pääoma</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2-1AF9-4762-AF1A-3944E50AA0D6}"/>
            </c:ext>
          </c:extLst>
        </c:ser>
        <c:dLbls>
          <c:dLblPos val="ctr"/>
          <c:showLegendKey val="0"/>
          <c:showVal val="1"/>
          <c:showCatName val="0"/>
          <c:showSerName val="0"/>
          <c:showPercent val="0"/>
          <c:showBubbleSize val="0"/>
        </c:dLbls>
        <c:marker val="1"/>
        <c:smooth val="0"/>
        <c:axId val="1572531983"/>
        <c:axId val="1688287663"/>
      </c:lineChart>
      <c:catAx>
        <c:axId val="15725319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0" sourceLinked="1"/>
        <c:majorTickMark val="none"/>
        <c:minorTickMark val="none"/>
        <c:tickLblPos val="nextTo"/>
        <c:crossAx val="157253198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4. E2 TURNOVER'!A1"/><Relationship Id="rId18" Type="http://schemas.openxmlformats.org/officeDocument/2006/relationships/image" Target="../media/image10.png"/><Relationship Id="rId3" Type="http://schemas.openxmlformats.org/officeDocument/2006/relationships/hyperlink" Target="#'1. T1 INVESTMENT Plan'!A1"/><Relationship Id="rId21" Type="http://schemas.openxmlformats.org/officeDocument/2006/relationships/image" Target="../media/image12.png"/><Relationship Id="rId7" Type="http://schemas.openxmlformats.org/officeDocument/2006/relationships/hyperlink" Target="#'5. T4 FINANCING PLAN'!A1"/><Relationship Id="rId12" Type="http://schemas.openxmlformats.org/officeDocument/2006/relationships/image" Target="../media/image7.png"/><Relationship Id="rId17" Type="http://schemas.openxmlformats.org/officeDocument/2006/relationships/hyperlink" Target="#PRINT!A1"/><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hyperlink" Target="#'8. T5 CASH BUDGET'!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7. T2 RESULT BUDGET '!A1"/><Relationship Id="rId5" Type="http://schemas.openxmlformats.org/officeDocument/2006/relationships/hyperlink" Target="#'3. E1 OPERATING COSTS'!A1"/><Relationship Id="rId15" Type="http://schemas.openxmlformats.org/officeDocument/2006/relationships/hyperlink" Target="#'2. T7 LOANS'!A1"/><Relationship Id="rId23" Type="http://schemas.openxmlformats.org/officeDocument/2006/relationships/image" Target="../media/image14.jpg"/><Relationship Id="rId10" Type="http://schemas.openxmlformats.org/officeDocument/2006/relationships/image" Target="../media/image6.png"/><Relationship Id="rId19"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hyperlink" Target="#'6. T3 BALANCE SHEET '!A1"/><Relationship Id="rId14" Type="http://schemas.openxmlformats.org/officeDocument/2006/relationships/image" Target="../media/image8.png"/><Relationship Id="rId22"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8" Type="http://schemas.openxmlformats.org/officeDocument/2006/relationships/hyperlink" Target="#'2. T7 LOANS'!A1"/><Relationship Id="rId13" Type="http://schemas.openxmlformats.org/officeDocument/2006/relationships/image" Target="../media/image69.png"/><Relationship Id="rId18" Type="http://schemas.openxmlformats.org/officeDocument/2006/relationships/hyperlink" Target="#'6. T3 BALANCE SHEET '!A1"/><Relationship Id="rId3" Type="http://schemas.openxmlformats.org/officeDocument/2006/relationships/chart" Target="../charts/chart5.xml"/><Relationship Id="rId21" Type="http://schemas.openxmlformats.org/officeDocument/2006/relationships/image" Target="../media/image71.png"/><Relationship Id="rId7" Type="http://schemas.openxmlformats.org/officeDocument/2006/relationships/image" Target="../media/image68.png"/><Relationship Id="rId12" Type="http://schemas.openxmlformats.org/officeDocument/2006/relationships/hyperlink" Target="#'7. T2 RESULT BUDGET '!A1"/><Relationship Id="rId17" Type="http://schemas.openxmlformats.org/officeDocument/2006/relationships/image" Target="../media/image33.png"/><Relationship Id="rId25" Type="http://schemas.openxmlformats.org/officeDocument/2006/relationships/image" Target="../media/image74.svg"/><Relationship Id="rId2" Type="http://schemas.openxmlformats.org/officeDocument/2006/relationships/chart" Target="../charts/chart4.xml"/><Relationship Id="rId16" Type="http://schemas.openxmlformats.org/officeDocument/2006/relationships/hyperlink" Target="#'4. E2 TURNOVER'!A1"/><Relationship Id="rId20" Type="http://schemas.openxmlformats.org/officeDocument/2006/relationships/hyperlink" Target="#'1. T1 INVESTMENT PLAN'!A1"/><Relationship Id="rId1" Type="http://schemas.openxmlformats.org/officeDocument/2006/relationships/chart" Target="../charts/chart3.xml"/><Relationship Id="rId6" Type="http://schemas.openxmlformats.org/officeDocument/2006/relationships/image" Target="../media/image67.png"/><Relationship Id="rId11" Type="http://schemas.openxmlformats.org/officeDocument/2006/relationships/image" Target="../media/image55.png"/><Relationship Id="rId24" Type="http://schemas.openxmlformats.org/officeDocument/2006/relationships/image" Target="../media/image73.png"/><Relationship Id="rId5" Type="http://schemas.openxmlformats.org/officeDocument/2006/relationships/image" Target="../media/image66.png"/><Relationship Id="rId15" Type="http://schemas.openxmlformats.org/officeDocument/2006/relationships/image" Target="../media/image5.png"/><Relationship Id="rId23" Type="http://schemas.openxmlformats.org/officeDocument/2006/relationships/image" Target="../media/image72.png"/><Relationship Id="rId10" Type="http://schemas.openxmlformats.org/officeDocument/2006/relationships/hyperlink" Target="#'3. E1 OPERATING COSTS'!A1"/><Relationship Id="rId19" Type="http://schemas.openxmlformats.org/officeDocument/2006/relationships/image" Target="../media/image70.png"/><Relationship Id="rId4" Type="http://schemas.openxmlformats.org/officeDocument/2006/relationships/image" Target="../media/image65.png"/><Relationship Id="rId9" Type="http://schemas.openxmlformats.org/officeDocument/2006/relationships/image" Target="../media/image9.png"/><Relationship Id="rId14" Type="http://schemas.openxmlformats.org/officeDocument/2006/relationships/hyperlink" Target="#'5. T4 FINANCING PLAN'!A1"/><Relationship Id="rId22" Type="http://schemas.openxmlformats.org/officeDocument/2006/relationships/hyperlink" Target="#'8. T5 CASH BUDGET'!A1"/></Relationships>
</file>

<file path=xl/drawings/_rels/drawing11.xml.rels><?xml version="1.0" encoding="UTF-8" standalone="yes"?>
<Relationships xmlns="http://schemas.openxmlformats.org/package/2006/relationships"><Relationship Id="rId8" Type="http://schemas.openxmlformats.org/officeDocument/2006/relationships/hyperlink" Target="#'7. T2 TULOSSUUN.'!A1"/><Relationship Id="rId13" Type="http://schemas.openxmlformats.org/officeDocument/2006/relationships/image" Target="../media/image20.png"/><Relationship Id="rId18" Type="http://schemas.openxmlformats.org/officeDocument/2006/relationships/hyperlink" Target="#'8. T5 KASSABUDJETTI'!A1"/><Relationship Id="rId26" Type="http://schemas.openxmlformats.org/officeDocument/2006/relationships/image" Target="../media/image70.png"/><Relationship Id="rId3" Type="http://schemas.openxmlformats.org/officeDocument/2006/relationships/chart" Target="../charts/chart8.xml"/><Relationship Id="rId21" Type="http://schemas.openxmlformats.org/officeDocument/2006/relationships/image" Target="../media/image79.svg"/><Relationship Id="rId7" Type="http://schemas.openxmlformats.org/officeDocument/2006/relationships/image" Target="../media/image49.png"/><Relationship Id="rId12" Type="http://schemas.openxmlformats.org/officeDocument/2006/relationships/hyperlink" Target="#'4. E2 LIIKEVAIHTO'!A1"/><Relationship Id="rId17" Type="http://schemas.openxmlformats.org/officeDocument/2006/relationships/image" Target="../media/image77.png"/><Relationship Id="rId25" Type="http://schemas.openxmlformats.org/officeDocument/2006/relationships/image" Target="../media/image33.png"/><Relationship Id="rId2" Type="http://schemas.openxmlformats.org/officeDocument/2006/relationships/chart" Target="../charts/chart7.xml"/><Relationship Id="rId16" Type="http://schemas.openxmlformats.org/officeDocument/2006/relationships/hyperlink" Target="#'1. T1 INVESTOINTISUUN.'!A1"/><Relationship Id="rId20" Type="http://schemas.openxmlformats.org/officeDocument/2006/relationships/image" Target="../media/image73.png"/><Relationship Id="rId29" Type="http://schemas.openxmlformats.org/officeDocument/2006/relationships/image" Target="../media/image72.png"/><Relationship Id="rId1" Type="http://schemas.openxmlformats.org/officeDocument/2006/relationships/chart" Target="../charts/chart6.xml"/><Relationship Id="rId6" Type="http://schemas.openxmlformats.org/officeDocument/2006/relationships/hyperlink" Target="#'3. E1 KUSTANNUKSET'!A1"/><Relationship Id="rId11" Type="http://schemas.openxmlformats.org/officeDocument/2006/relationships/image" Target="../media/image5.png"/><Relationship Id="rId24" Type="http://schemas.openxmlformats.org/officeDocument/2006/relationships/image" Target="../media/image55.png"/><Relationship Id="rId5" Type="http://schemas.openxmlformats.org/officeDocument/2006/relationships/image" Target="../media/image75.png"/><Relationship Id="rId15" Type="http://schemas.openxmlformats.org/officeDocument/2006/relationships/image" Target="../media/image76.png"/><Relationship Id="rId23" Type="http://schemas.openxmlformats.org/officeDocument/2006/relationships/image" Target="../media/image9.png"/><Relationship Id="rId28" Type="http://schemas.openxmlformats.org/officeDocument/2006/relationships/hyperlink" Target="#'8. T5 CASH BUDGET'!A1"/><Relationship Id="rId10" Type="http://schemas.openxmlformats.org/officeDocument/2006/relationships/hyperlink" Target="#'5. T4 RAHOITUSSUUN.'!A1"/><Relationship Id="rId19" Type="http://schemas.openxmlformats.org/officeDocument/2006/relationships/image" Target="../media/image78.png"/><Relationship Id="rId4" Type="http://schemas.openxmlformats.org/officeDocument/2006/relationships/hyperlink" Target="#'2. T7 LAINAT'!A1"/><Relationship Id="rId9" Type="http://schemas.openxmlformats.org/officeDocument/2006/relationships/image" Target="../media/image69.png"/><Relationship Id="rId14" Type="http://schemas.openxmlformats.org/officeDocument/2006/relationships/hyperlink" Target="#'6. T3 TASE'!A1"/><Relationship Id="rId22" Type="http://schemas.openxmlformats.org/officeDocument/2006/relationships/image" Target="../media/image80.jpeg"/><Relationship Id="rId27" Type="http://schemas.openxmlformats.org/officeDocument/2006/relationships/image" Target="../media/image71.png"/><Relationship Id="rId30" Type="http://schemas.openxmlformats.org/officeDocument/2006/relationships/image" Target="../media/image74.svg"/></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hyperlink" Target="#'7. T2 RESULT BUDGET '!A1"/><Relationship Id="rId13" Type="http://schemas.openxmlformats.org/officeDocument/2006/relationships/image" Target="../media/image20.png"/><Relationship Id="rId18" Type="http://schemas.openxmlformats.org/officeDocument/2006/relationships/image" Target="../media/image11.svg"/><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4. E2 TURNOVER'!A1"/><Relationship Id="rId17" Type="http://schemas.openxmlformats.org/officeDocument/2006/relationships/image" Target="../media/image10.png"/><Relationship Id="rId2" Type="http://schemas.openxmlformats.org/officeDocument/2006/relationships/hyperlink" Target="#'2. T7 LOANS'!A1"/><Relationship Id="rId16" Type="http://schemas.openxmlformats.org/officeDocument/2006/relationships/hyperlink" Target="#Print!A1"/><Relationship Id="rId1" Type="http://schemas.openxmlformats.org/officeDocument/2006/relationships/image" Target="../media/image15.png"/><Relationship Id="rId6" Type="http://schemas.openxmlformats.org/officeDocument/2006/relationships/hyperlink" Target="#'8. T5 CASH BUDGET'!A1"/><Relationship Id="rId11" Type="http://schemas.openxmlformats.org/officeDocument/2006/relationships/image" Target="../media/image5.png"/><Relationship Id="rId5" Type="http://schemas.openxmlformats.org/officeDocument/2006/relationships/image" Target="../media/image17.png"/><Relationship Id="rId15" Type="http://schemas.openxmlformats.org/officeDocument/2006/relationships/image" Target="../media/image21.png"/><Relationship Id="rId10" Type="http://schemas.openxmlformats.org/officeDocument/2006/relationships/hyperlink" Target="#'5. T4 FINANCING PLAN'!A1"/><Relationship Id="rId19" Type="http://schemas.openxmlformats.org/officeDocument/2006/relationships/image" Target="../media/image22.png"/><Relationship Id="rId4" Type="http://schemas.openxmlformats.org/officeDocument/2006/relationships/hyperlink" Target="#'3. E1 OPERATING COSTS'!A1"/><Relationship Id="rId9" Type="http://schemas.openxmlformats.org/officeDocument/2006/relationships/image" Target="../media/image19.png"/><Relationship Id="rId14" Type="http://schemas.openxmlformats.org/officeDocument/2006/relationships/hyperlink" Target="#'6. T3 BALANCE SHEET '!A1"/></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hyperlink" Target="#'Front Page'!A1"/><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5. T4 FINANCING PLAN'!A1"/><Relationship Id="rId12" Type="http://schemas.openxmlformats.org/officeDocument/2006/relationships/image" Target="../media/image28.png"/><Relationship Id="rId17" Type="http://schemas.openxmlformats.org/officeDocument/2006/relationships/image" Target="../media/image10.png"/><Relationship Id="rId2" Type="http://schemas.openxmlformats.org/officeDocument/2006/relationships/image" Target="../media/image23.png"/><Relationship Id="rId16" Type="http://schemas.openxmlformats.org/officeDocument/2006/relationships/hyperlink" Target="#PRINT!A1"/><Relationship Id="rId1" Type="http://schemas.openxmlformats.org/officeDocument/2006/relationships/hyperlink" Target="#'8. T5 CASH BUDGET'!A1"/><Relationship Id="rId6" Type="http://schemas.openxmlformats.org/officeDocument/2006/relationships/image" Target="../media/image25.png"/><Relationship Id="rId11" Type="http://schemas.openxmlformats.org/officeDocument/2006/relationships/hyperlink" Target="#'6. T3 BALANCE SHEET '!A1"/><Relationship Id="rId5" Type="http://schemas.openxmlformats.org/officeDocument/2006/relationships/hyperlink" Target="#'7. T2 RESULT BUDGET '!A1"/><Relationship Id="rId15" Type="http://schemas.openxmlformats.org/officeDocument/2006/relationships/image" Target="../media/image30.png"/><Relationship Id="rId10" Type="http://schemas.openxmlformats.org/officeDocument/2006/relationships/image" Target="../media/image27.png"/><Relationship Id="rId19" Type="http://schemas.openxmlformats.org/officeDocument/2006/relationships/image" Target="../media/image22.png"/><Relationship Id="rId4" Type="http://schemas.openxmlformats.org/officeDocument/2006/relationships/image" Target="../media/image24.png"/><Relationship Id="rId9" Type="http://schemas.openxmlformats.org/officeDocument/2006/relationships/hyperlink" Target="#'4. E2 TURNOVER'!A1"/><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hyperlink" Target="#'1. T1 INVESTMENT Plan'!A1"/><Relationship Id="rId18" Type="http://schemas.openxmlformats.org/officeDocument/2006/relationships/image" Target="../media/image11.svg"/><Relationship Id="rId26" Type="http://schemas.openxmlformats.org/officeDocument/2006/relationships/image" Target="../media/image22.png"/><Relationship Id="rId3" Type="http://schemas.openxmlformats.org/officeDocument/2006/relationships/hyperlink" Target="#'8. T5 CASH BUDGET'!A1"/><Relationship Id="rId21" Type="http://schemas.openxmlformats.org/officeDocument/2006/relationships/hyperlink" Target="#'7. T2 RESULT BUDGET '!A1"/><Relationship Id="rId7" Type="http://schemas.openxmlformats.org/officeDocument/2006/relationships/hyperlink" Target="#'5. T4 FINANCIAL Plan'!A1"/><Relationship Id="rId12" Type="http://schemas.openxmlformats.org/officeDocument/2006/relationships/image" Target="../media/image21.png"/><Relationship Id="rId17" Type="http://schemas.openxmlformats.org/officeDocument/2006/relationships/image" Target="../media/image10.png"/><Relationship Id="rId25"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hyperlink" Target="#PRINT!A1"/><Relationship Id="rId20" Type="http://schemas.openxmlformats.org/officeDocument/2006/relationships/image" Target="../media/image37.png"/><Relationship Id="rId1" Type="http://schemas.openxmlformats.org/officeDocument/2006/relationships/hyperlink" Target="#'2. T7 LOANS'!A1"/><Relationship Id="rId6" Type="http://schemas.openxmlformats.org/officeDocument/2006/relationships/image" Target="../media/image19.png"/><Relationship Id="rId11" Type="http://schemas.openxmlformats.org/officeDocument/2006/relationships/hyperlink" Target="#'6. T3 BALANCE SHEET '!A1"/><Relationship Id="rId24" Type="http://schemas.openxmlformats.org/officeDocument/2006/relationships/image" Target="../media/image39.png"/><Relationship Id="rId5" Type="http://schemas.openxmlformats.org/officeDocument/2006/relationships/hyperlink" Target="#'7. T2 PROFIT Plan'!A1"/><Relationship Id="rId15" Type="http://schemas.openxmlformats.org/officeDocument/2006/relationships/image" Target="../media/image35.png"/><Relationship Id="rId23" Type="http://schemas.openxmlformats.org/officeDocument/2006/relationships/image" Target="../media/image38.png"/><Relationship Id="rId10" Type="http://schemas.openxmlformats.org/officeDocument/2006/relationships/image" Target="../media/image33.png"/><Relationship Id="rId19" Type="http://schemas.openxmlformats.org/officeDocument/2006/relationships/image" Target="../media/image36.png"/><Relationship Id="rId4" Type="http://schemas.openxmlformats.org/officeDocument/2006/relationships/image" Target="../media/image31.png"/><Relationship Id="rId9" Type="http://schemas.openxmlformats.org/officeDocument/2006/relationships/hyperlink" Target="#'4. E2 TURNOVER'!A1"/><Relationship Id="rId14" Type="http://schemas.openxmlformats.org/officeDocument/2006/relationships/image" Target="../media/image34.png"/><Relationship Id="rId22" Type="http://schemas.openxmlformats.org/officeDocument/2006/relationships/hyperlink" Target="#'5. T4 FINANCING PLAN'!A1"/></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42.png"/><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21.png"/><Relationship Id="rId17" Type="http://schemas.openxmlformats.org/officeDocument/2006/relationships/image" Target="../media/image10.png"/><Relationship Id="rId2" Type="http://schemas.openxmlformats.org/officeDocument/2006/relationships/image" Target="../media/image9.png"/><Relationship Id="rId16" Type="http://schemas.openxmlformats.org/officeDocument/2006/relationships/hyperlink" Target="#PRINT!A1"/><Relationship Id="rId1" Type="http://schemas.openxmlformats.org/officeDocument/2006/relationships/hyperlink" Target="#'2. T7 LOANS'!A1"/><Relationship Id="rId6" Type="http://schemas.openxmlformats.org/officeDocument/2006/relationships/image" Target="../media/image31.png"/><Relationship Id="rId11" Type="http://schemas.openxmlformats.org/officeDocument/2006/relationships/hyperlink" Target="#'6. T3 BALANCE SHEET '!A1"/><Relationship Id="rId5" Type="http://schemas.openxmlformats.org/officeDocument/2006/relationships/hyperlink" Target="#'8. T5 CASH BUDGET'!A1"/><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22.png"/><Relationship Id="rId4" Type="http://schemas.openxmlformats.org/officeDocument/2006/relationships/image" Target="../media/image41.png"/><Relationship Id="rId9" Type="http://schemas.openxmlformats.org/officeDocument/2006/relationships/hyperlink" Target="#'5. T4 FINANCING PLAN'!A1"/><Relationship Id="rId14" Type="http://schemas.openxmlformats.org/officeDocument/2006/relationships/hyperlink" Target="#'1. T1 INVESTMENT Plan'!A1"/></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21.pn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46.png"/><Relationship Id="rId17" Type="http://schemas.openxmlformats.org/officeDocument/2006/relationships/hyperlink" Target="#'6. T3 BALANCE SHEET '!A1"/><Relationship Id="rId2" Type="http://schemas.openxmlformats.org/officeDocument/2006/relationships/image" Target="../media/image36.png"/><Relationship Id="rId16" Type="http://schemas.openxmlformats.org/officeDocument/2006/relationships/image" Target="../media/image47.png"/><Relationship Id="rId1" Type="http://schemas.openxmlformats.org/officeDocument/2006/relationships/hyperlink" Target="#'2. T7 LOANS'!A1"/><Relationship Id="rId6" Type="http://schemas.openxmlformats.org/officeDocument/2006/relationships/image" Target="../media/image45.png"/><Relationship Id="rId11" Type="http://schemas.openxmlformats.org/officeDocument/2006/relationships/hyperlink" Target="#'1. T1 INVESTMENT Plan'!A1"/><Relationship Id="rId5" Type="http://schemas.openxmlformats.org/officeDocument/2006/relationships/hyperlink" Target="#'8. T5 CASH BUDGET'!A1"/><Relationship Id="rId15" Type="http://schemas.openxmlformats.org/officeDocument/2006/relationships/image" Target="../media/image11.svg"/><Relationship Id="rId10" Type="http://schemas.openxmlformats.org/officeDocument/2006/relationships/image" Target="../media/image20.png"/><Relationship Id="rId19" Type="http://schemas.openxmlformats.org/officeDocument/2006/relationships/image" Target="../media/image22.png"/><Relationship Id="rId4" Type="http://schemas.openxmlformats.org/officeDocument/2006/relationships/image" Target="../media/image44.png"/><Relationship Id="rId9" Type="http://schemas.openxmlformats.org/officeDocument/2006/relationships/hyperlink" Target="#'4. E2 TURNOVER'!A1"/><Relationship Id="rId1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53.png"/><Relationship Id="rId26" Type="http://schemas.openxmlformats.org/officeDocument/2006/relationships/hyperlink" Target="#'5. T4 FINANCING PLAN'!A1"/><Relationship Id="rId3" Type="http://schemas.openxmlformats.org/officeDocument/2006/relationships/hyperlink" Target="#'3. E1 OPERATING COSTS'!A1"/><Relationship Id="rId21" Type="http://schemas.openxmlformats.org/officeDocument/2006/relationships/hyperlink" Target="#'8. T5 CASH BUDGET'!A1"/><Relationship Id="rId7" Type="http://schemas.openxmlformats.org/officeDocument/2006/relationships/hyperlink" Target="#'7. T2 PROFIT Plan'!A1"/><Relationship Id="rId12" Type="http://schemas.openxmlformats.org/officeDocument/2006/relationships/image" Target="../media/image52.png"/><Relationship Id="rId17" Type="http://schemas.openxmlformats.org/officeDocument/2006/relationships/image" Target="../media/image5.png"/><Relationship Id="rId25" Type="http://schemas.openxmlformats.org/officeDocument/2006/relationships/image" Target="../media/image56.png"/><Relationship Id="rId2" Type="http://schemas.openxmlformats.org/officeDocument/2006/relationships/image" Target="../media/image48.png"/><Relationship Id="rId16" Type="http://schemas.openxmlformats.org/officeDocument/2006/relationships/hyperlink" Target="#'5. T4 FINANCIAL Plan'!A1"/><Relationship Id="rId20" Type="http://schemas.openxmlformats.org/officeDocument/2006/relationships/image" Target="../media/image55.png"/><Relationship Id="rId1" Type="http://schemas.openxmlformats.org/officeDocument/2006/relationships/hyperlink" Target="#'2. T7 LOANS'!A1"/><Relationship Id="rId6" Type="http://schemas.openxmlformats.org/officeDocument/2006/relationships/image" Target="../media/image50.png"/><Relationship Id="rId11" Type="http://schemas.openxmlformats.org/officeDocument/2006/relationships/hyperlink" Target="#'1. T1 INVESTMENT Plan'!A1"/><Relationship Id="rId24" Type="http://schemas.openxmlformats.org/officeDocument/2006/relationships/image" Target="../media/image33.png"/><Relationship Id="rId5" Type="http://schemas.openxmlformats.org/officeDocument/2006/relationships/hyperlink" Target="#'8. T5 CASHBUDGET'!A1"/><Relationship Id="rId15" Type="http://schemas.openxmlformats.org/officeDocument/2006/relationships/image" Target="../media/image11.svg"/><Relationship Id="rId23" Type="http://schemas.openxmlformats.org/officeDocument/2006/relationships/hyperlink" Target="#'7. T2 RESULT BUDGET '!A1"/><Relationship Id="rId28" Type="http://schemas.openxmlformats.org/officeDocument/2006/relationships/image" Target="../media/image22.png"/><Relationship Id="rId10" Type="http://schemas.openxmlformats.org/officeDocument/2006/relationships/image" Target="../media/image51.png"/><Relationship Id="rId19" Type="http://schemas.openxmlformats.org/officeDocument/2006/relationships/image" Target="../media/image54.png"/><Relationship Id="rId4" Type="http://schemas.openxmlformats.org/officeDocument/2006/relationships/image" Target="../media/image49.png"/><Relationship Id="rId9" Type="http://schemas.openxmlformats.org/officeDocument/2006/relationships/hyperlink" Target="#'4. E2 TURNOVER'!A1"/><Relationship Id="rId14" Type="http://schemas.openxmlformats.org/officeDocument/2006/relationships/image" Target="../media/image10.png"/><Relationship Id="rId22" Type="http://schemas.openxmlformats.org/officeDocument/2006/relationships/image" Target="../media/image31.png"/><Relationship Id="rId27"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hyperlink" Target="#'5. T4 FINANCING PLAN'!A1"/><Relationship Id="rId13" Type="http://schemas.openxmlformats.org/officeDocument/2006/relationships/image" Target="../media/image21.png"/><Relationship Id="rId18" Type="http://schemas.openxmlformats.org/officeDocument/2006/relationships/image" Target="../media/image10.png"/><Relationship Id="rId3" Type="http://schemas.openxmlformats.org/officeDocument/2006/relationships/image" Target="../media/image9.png"/><Relationship Id="rId7" Type="http://schemas.openxmlformats.org/officeDocument/2006/relationships/image" Target="../media/image31.png"/><Relationship Id="rId12" Type="http://schemas.openxmlformats.org/officeDocument/2006/relationships/hyperlink" Target="#'6. T3 BALANCE SHEET '!A1"/><Relationship Id="rId17" Type="http://schemas.openxmlformats.org/officeDocument/2006/relationships/hyperlink" Target="#PRINT!A1"/><Relationship Id="rId2" Type="http://schemas.openxmlformats.org/officeDocument/2006/relationships/hyperlink" Target="#'2. T7 LOANS'!A1"/><Relationship Id="rId16" Type="http://schemas.openxmlformats.org/officeDocument/2006/relationships/image" Target="../media/image60.png"/><Relationship Id="rId20" Type="http://schemas.openxmlformats.org/officeDocument/2006/relationships/image" Target="../media/image22.png"/><Relationship Id="rId1" Type="http://schemas.openxmlformats.org/officeDocument/2006/relationships/image" Target="../media/image58.jpeg"/><Relationship Id="rId6" Type="http://schemas.openxmlformats.org/officeDocument/2006/relationships/hyperlink" Target="#'8. T5 CASH BUDGET'!A1"/><Relationship Id="rId11" Type="http://schemas.openxmlformats.org/officeDocument/2006/relationships/image" Target="../media/image33.png"/><Relationship Id="rId5" Type="http://schemas.openxmlformats.org/officeDocument/2006/relationships/image" Target="../media/image55.png"/><Relationship Id="rId15" Type="http://schemas.openxmlformats.org/officeDocument/2006/relationships/hyperlink" Target="#'1. T1 INVESTMENT Plan'!A1"/><Relationship Id="rId10" Type="http://schemas.openxmlformats.org/officeDocument/2006/relationships/hyperlink" Target="#'4. E2 TURNOVER'!A1"/><Relationship Id="rId19" Type="http://schemas.openxmlformats.org/officeDocument/2006/relationships/image" Target="../media/image11.svg"/><Relationship Id="rId4" Type="http://schemas.openxmlformats.org/officeDocument/2006/relationships/hyperlink" Target="#'3. E1 OPERATING COSTS'!A1"/><Relationship Id="rId9" Type="http://schemas.openxmlformats.org/officeDocument/2006/relationships/image" Target="../media/image32.png"/><Relationship Id="rId14" Type="http://schemas.openxmlformats.org/officeDocument/2006/relationships/image" Target="../media/image59.png"/></Relationships>
</file>

<file path=xl/drawings/_rels/drawing9.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4. E2 TURNOVER'!A1"/><Relationship Id="rId18" Type="http://schemas.openxmlformats.org/officeDocument/2006/relationships/image" Target="../media/image63.png"/><Relationship Id="rId3" Type="http://schemas.openxmlformats.org/officeDocument/2006/relationships/image" Target="../media/image10.png"/><Relationship Id="rId21" Type="http://schemas.openxmlformats.org/officeDocument/2006/relationships/image" Target="../media/image22.png"/><Relationship Id="rId7" Type="http://schemas.openxmlformats.org/officeDocument/2006/relationships/hyperlink" Target="#'3. E1 OPERATING COSTS'!A1"/><Relationship Id="rId12" Type="http://schemas.openxmlformats.org/officeDocument/2006/relationships/image" Target="../media/image38.png"/><Relationship Id="rId17" Type="http://schemas.openxmlformats.org/officeDocument/2006/relationships/hyperlink" Target="#'1. T1 INVESTMENT Plan'!A1"/><Relationship Id="rId2" Type="http://schemas.openxmlformats.org/officeDocument/2006/relationships/hyperlink" Target="#PRINT!A1"/><Relationship Id="rId16" Type="http://schemas.openxmlformats.org/officeDocument/2006/relationships/image" Target="../media/image21.png"/><Relationship Id="rId20"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6.png"/><Relationship Id="rId11" Type="http://schemas.openxmlformats.org/officeDocument/2006/relationships/hyperlink" Target="#'5. T4 FINANCING PLAN'!A1"/><Relationship Id="rId5" Type="http://schemas.openxmlformats.org/officeDocument/2006/relationships/hyperlink" Target="#'2. T7 LOANS'!A1"/><Relationship Id="rId15" Type="http://schemas.openxmlformats.org/officeDocument/2006/relationships/hyperlink" Target="#'6. T3 BALANCE SHEET '!A1"/><Relationship Id="rId10" Type="http://schemas.openxmlformats.org/officeDocument/2006/relationships/image" Target="../media/image19.png"/><Relationship Id="rId19" Type="http://schemas.openxmlformats.org/officeDocument/2006/relationships/image" Target="../media/image64.png"/><Relationship Id="rId4" Type="http://schemas.openxmlformats.org/officeDocument/2006/relationships/image" Target="../media/image11.svg"/><Relationship Id="rId9" Type="http://schemas.openxmlformats.org/officeDocument/2006/relationships/hyperlink" Target="#'7. T2 RESULT BUDGET '!A1"/><Relationship Id="rId1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6611</xdr:rowOff>
    </xdr:from>
    <xdr:to>
      <xdr:col>7</xdr:col>
      <xdr:colOff>167640</xdr:colOff>
      <xdr:row>32</xdr:row>
      <xdr:rowOff>28575</xdr:rowOff>
    </xdr:to>
    <xdr:pic>
      <xdr:nvPicPr>
        <xdr:cNvPr id="12" name="Kuva 11">
          <a:extLst>
            <a:ext uri="{FF2B5EF4-FFF2-40B4-BE49-F238E27FC236}">
              <a16:creationId xmlns:a16="http://schemas.microsoft.com/office/drawing/2014/main" id="{E7EBB07C-152E-5F92-1F8A-68ACDCCD24A8}"/>
            </a:ext>
          </a:extLst>
        </xdr:cNvPr>
        <xdr:cNvPicPr>
          <a:picLocks noChangeAspect="1"/>
        </xdr:cNvPicPr>
      </xdr:nvPicPr>
      <xdr:blipFill>
        <a:blip xmlns:r="http://schemas.openxmlformats.org/officeDocument/2006/relationships" r:embed="rId1"/>
        <a:stretch>
          <a:fillRect/>
        </a:stretch>
      </xdr:blipFill>
      <xdr:spPr>
        <a:xfrm>
          <a:off x="0" y="2568836"/>
          <a:ext cx="10073640" cy="4232014"/>
        </a:xfrm>
        <a:prstGeom prst="rect">
          <a:avLst/>
        </a:prstGeom>
      </xdr:spPr>
    </xdr:pic>
    <xdr:clientData/>
  </xdr:twoCellAnchor>
  <xdr:twoCellAnchor editAs="oneCell">
    <xdr:from>
      <xdr:col>0</xdr:col>
      <xdr:colOff>0</xdr:colOff>
      <xdr:row>0</xdr:row>
      <xdr:rowOff>13335</xdr:rowOff>
    </xdr:from>
    <xdr:to>
      <xdr:col>7</xdr:col>
      <xdr:colOff>371475</xdr:colOff>
      <xdr:row>5</xdr:row>
      <xdr:rowOff>52524</xdr:rowOff>
    </xdr:to>
    <xdr:pic>
      <xdr:nvPicPr>
        <xdr:cNvPr id="25" name="Kuva 24">
          <a:extLst>
            <a:ext uri="{FF2B5EF4-FFF2-40B4-BE49-F238E27FC236}">
              <a16:creationId xmlns:a16="http://schemas.microsoft.com/office/drawing/2014/main" id="{D6903AA1-EA78-412D-A809-E9D4CF7B2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
          <a:ext cx="10277475" cy="620214"/>
        </a:xfrm>
        <a:prstGeom prst="rect">
          <a:avLst/>
        </a:prstGeom>
        <a:effectLst/>
      </xdr:spPr>
    </xdr:pic>
    <xdr:clientData/>
  </xdr:twoCellAnchor>
  <xdr:twoCellAnchor editAs="oneCell">
    <xdr:from>
      <xdr:col>1</xdr:col>
      <xdr:colOff>162354</xdr:colOff>
      <xdr:row>5</xdr:row>
      <xdr:rowOff>231374</xdr:rowOff>
    </xdr:from>
    <xdr:to>
      <xdr:col>2</xdr:col>
      <xdr:colOff>34534</xdr:colOff>
      <xdr:row>7</xdr:row>
      <xdr:rowOff>115564</xdr:rowOff>
    </xdr:to>
    <xdr:pic>
      <xdr:nvPicPr>
        <xdr:cNvPr id="10" name="Kuva 9">
          <a:hlinkClick xmlns:r="http://schemas.openxmlformats.org/officeDocument/2006/relationships" r:id="rId3"/>
          <a:extLst>
            <a:ext uri="{FF2B5EF4-FFF2-40B4-BE49-F238E27FC236}">
              <a16:creationId xmlns:a16="http://schemas.microsoft.com/office/drawing/2014/main" id="{9DE59754-C351-4DCD-B20C-FB0C59991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79" y="812399"/>
          <a:ext cx="431434" cy="39854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170565</xdr:colOff>
      <xdr:row>10</xdr:row>
      <xdr:rowOff>36034</xdr:rowOff>
    </xdr:from>
    <xdr:to>
      <xdr:col>2</xdr:col>
      <xdr:colOff>23729</xdr:colOff>
      <xdr:row>11</xdr:row>
      <xdr:rowOff>268605</xdr:rowOff>
    </xdr:to>
    <xdr:pic>
      <xdr:nvPicPr>
        <xdr:cNvPr id="14" name="Kuva 13">
          <a:hlinkClick xmlns:r="http://schemas.openxmlformats.org/officeDocument/2006/relationships" r:id="rId5"/>
          <a:extLst>
            <a:ext uri="{FF2B5EF4-FFF2-40B4-BE49-F238E27FC236}">
              <a16:creationId xmlns:a16="http://schemas.microsoft.com/office/drawing/2014/main" id="{441E2632-FD4F-4ADE-B6F9-4F9D64AC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45" y="2055334"/>
          <a:ext cx="382754" cy="39259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156096</xdr:colOff>
      <xdr:row>14</xdr:row>
      <xdr:rowOff>80378</xdr:rowOff>
    </xdr:from>
    <xdr:to>
      <xdr:col>2</xdr:col>
      <xdr:colOff>3544</xdr:colOff>
      <xdr:row>15</xdr:row>
      <xdr:rowOff>333322</xdr:rowOff>
    </xdr:to>
    <xdr:pic>
      <xdr:nvPicPr>
        <xdr:cNvPr id="16" name="Kuva 15">
          <a:hlinkClick xmlns:r="http://schemas.openxmlformats.org/officeDocument/2006/relationships" r:id="rId7"/>
          <a:extLst>
            <a:ext uri="{FF2B5EF4-FFF2-40B4-BE49-F238E27FC236}">
              <a16:creationId xmlns:a16="http://schemas.microsoft.com/office/drawing/2014/main" id="{9DBF8A1F-27F1-4C10-9443-787F07C9EF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5176" y="3181718"/>
          <a:ext cx="380848" cy="411059"/>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172719</xdr:colOff>
      <xdr:row>17</xdr:row>
      <xdr:rowOff>223151</xdr:rowOff>
    </xdr:from>
    <xdr:to>
      <xdr:col>2</xdr:col>
      <xdr:colOff>23977</xdr:colOff>
      <xdr:row>19</xdr:row>
      <xdr:rowOff>111203</xdr:rowOff>
    </xdr:to>
    <xdr:pic>
      <xdr:nvPicPr>
        <xdr:cNvPr id="18" name="Kuva 17">
          <a:hlinkClick xmlns:r="http://schemas.openxmlformats.org/officeDocument/2006/relationships" r:id="rId9"/>
          <a:extLst>
            <a:ext uri="{FF2B5EF4-FFF2-40B4-BE49-F238E27FC236}">
              <a16:creationId xmlns:a16="http://schemas.microsoft.com/office/drawing/2014/main" id="{877C068D-579E-4EFB-BEF7-FF8F634715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1799" y="4025531"/>
          <a:ext cx="380848" cy="42716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170402</xdr:colOff>
      <xdr:row>20</xdr:row>
      <xdr:rowOff>7407</xdr:rowOff>
    </xdr:from>
    <xdr:to>
      <xdr:col>2</xdr:col>
      <xdr:colOff>25108</xdr:colOff>
      <xdr:row>21</xdr:row>
      <xdr:rowOff>221247</xdr:rowOff>
    </xdr:to>
    <xdr:pic>
      <xdr:nvPicPr>
        <xdr:cNvPr id="45" name="Kuva 44">
          <a:hlinkClick xmlns:r="http://schemas.openxmlformats.org/officeDocument/2006/relationships" r:id="rId11"/>
          <a:extLst>
            <a:ext uri="{FF2B5EF4-FFF2-40B4-BE49-F238E27FC236}">
              <a16:creationId xmlns:a16="http://schemas.microsoft.com/office/drawing/2014/main" id="{6B819CB9-5861-4440-BD42-C9370655E8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9482" y="4731807"/>
          <a:ext cx="384296" cy="37195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168358</xdr:colOff>
      <xdr:row>12</xdr:row>
      <xdr:rowOff>38966</xdr:rowOff>
    </xdr:from>
    <xdr:to>
      <xdr:col>2</xdr:col>
      <xdr:colOff>23699</xdr:colOff>
      <xdr:row>13</xdr:row>
      <xdr:rowOff>270176</xdr:rowOff>
    </xdr:to>
    <xdr:pic>
      <xdr:nvPicPr>
        <xdr:cNvPr id="61" name="Kuva 60">
          <a:hlinkClick xmlns:r="http://schemas.openxmlformats.org/officeDocument/2006/relationships" r:id="rId13"/>
          <a:extLst>
            <a:ext uri="{FF2B5EF4-FFF2-40B4-BE49-F238E27FC236}">
              <a16:creationId xmlns:a16="http://schemas.microsoft.com/office/drawing/2014/main" id="{AC12E3AF-1DD7-4B11-A067-929D09284B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438" y="2599286"/>
          <a:ext cx="384931" cy="39123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163153</xdr:colOff>
      <xdr:row>8</xdr:row>
      <xdr:rowOff>24331</xdr:rowOff>
    </xdr:from>
    <xdr:to>
      <xdr:col>2</xdr:col>
      <xdr:colOff>22304</xdr:colOff>
      <xdr:row>9</xdr:row>
      <xdr:rowOff>268332</xdr:rowOff>
    </xdr:to>
    <xdr:pic>
      <xdr:nvPicPr>
        <xdr:cNvPr id="63" name="Kuva 62">
          <a:hlinkClick xmlns:r="http://schemas.openxmlformats.org/officeDocument/2006/relationships" r:id="rId15"/>
          <a:extLst>
            <a:ext uri="{FF2B5EF4-FFF2-40B4-BE49-F238E27FC236}">
              <a16:creationId xmlns:a16="http://schemas.microsoft.com/office/drawing/2014/main" id="{2EDF2BE8-CA04-474B-8016-1B4A4040F6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233" y="1502611"/>
          <a:ext cx="388741" cy="40402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197280</xdr:colOff>
      <xdr:row>27</xdr:row>
      <xdr:rowOff>112091</xdr:rowOff>
    </xdr:from>
    <xdr:to>
      <xdr:col>1</xdr:col>
      <xdr:colOff>529022</xdr:colOff>
      <xdr:row>29</xdr:row>
      <xdr:rowOff>151553</xdr:rowOff>
    </xdr:to>
    <xdr:pic>
      <xdr:nvPicPr>
        <xdr:cNvPr id="6" name="Kuva 5" descr="Tulostin">
          <a:hlinkClick xmlns:r="http://schemas.openxmlformats.org/officeDocument/2006/relationships" r:id="rId17"/>
          <a:extLst>
            <a:ext uri="{FF2B5EF4-FFF2-40B4-BE49-F238E27FC236}">
              <a16:creationId xmlns:a16="http://schemas.microsoft.com/office/drawing/2014/main" id="{B042DC7C-637A-4E4E-A272-A6ED6EDD52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56360" y="6154751"/>
          <a:ext cx="331742" cy="359502"/>
        </a:xfrm>
        <a:prstGeom prst="rect">
          <a:avLst/>
        </a:prstGeom>
      </xdr:spPr>
    </xdr:pic>
    <xdr:clientData/>
  </xdr:twoCellAnchor>
  <xdr:twoCellAnchor>
    <xdr:from>
      <xdr:col>2</xdr:col>
      <xdr:colOff>72388</xdr:colOff>
      <xdr:row>5</xdr:row>
      <xdr:rowOff>183832</xdr:rowOff>
    </xdr:from>
    <xdr:to>
      <xdr:col>4</xdr:col>
      <xdr:colOff>929640</xdr:colOff>
      <xdr:row>7</xdr:row>
      <xdr:rowOff>308609</xdr:rowOff>
    </xdr:to>
    <xdr:sp macro="" textlink="">
      <xdr:nvSpPr>
        <xdr:cNvPr id="3" name="Suorakulmio: Pyöristetyt kulmat 2">
          <a:extLst>
            <a:ext uri="{FF2B5EF4-FFF2-40B4-BE49-F238E27FC236}">
              <a16:creationId xmlns:a16="http://schemas.microsoft.com/office/drawing/2014/main" id="{01BD8536-CFD9-4E26-87A7-3448D7F19778}"/>
            </a:ext>
          </a:extLst>
        </xdr:cNvPr>
        <xdr:cNvSpPr/>
      </xdr:nvSpPr>
      <xdr:spPr>
        <a:xfrm>
          <a:off x="864868" y="770572"/>
          <a:ext cx="3760472" cy="635317"/>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T1</a:t>
          </a:r>
          <a:r>
            <a:rPr lang="fi-FI" sz="1000" b="1" baseline="0">
              <a:solidFill>
                <a:sysClr val="windowText" lastClr="000000"/>
              </a:solidFill>
              <a:latin typeface="Arial" pitchFamily="34" charset="0"/>
              <a:cs typeface="Arial" pitchFamily="34" charset="0"/>
            </a:rPr>
            <a:t> INVESTMENT PLAN</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Basic information about the project, explaining the use of money and financing.</a:t>
          </a:r>
          <a:endParaRPr lang="fi-FI" sz="1200" b="0">
            <a:solidFill>
              <a:schemeClr val="tx1"/>
            </a:solidFill>
            <a:latin typeface="Arial" pitchFamily="34" charset="0"/>
            <a:cs typeface="Arial" pitchFamily="34" charset="0"/>
          </a:endParaRPr>
        </a:p>
      </xdr:txBody>
    </xdr:sp>
    <xdr:clientData/>
  </xdr:twoCellAnchor>
  <xdr:twoCellAnchor>
    <xdr:from>
      <xdr:col>3</xdr:col>
      <xdr:colOff>1032508</xdr:colOff>
      <xdr:row>1</xdr:row>
      <xdr:rowOff>39053</xdr:rowOff>
    </xdr:from>
    <xdr:to>
      <xdr:col>6</xdr:col>
      <xdr:colOff>1238250</xdr:colOff>
      <xdr:row>4</xdr:row>
      <xdr:rowOff>223838</xdr:rowOff>
    </xdr:to>
    <xdr:sp macro="" textlink="">
      <xdr:nvSpPr>
        <xdr:cNvPr id="13" name="Tekstiruutu 12">
          <a:extLst>
            <a:ext uri="{FF2B5EF4-FFF2-40B4-BE49-F238E27FC236}">
              <a16:creationId xmlns:a16="http://schemas.microsoft.com/office/drawing/2014/main" id="{A0B61EDB-C99F-4313-8AE6-77A37BE8857B}"/>
            </a:ext>
          </a:extLst>
        </xdr:cNvPr>
        <xdr:cNvSpPr txBox="1"/>
      </xdr:nvSpPr>
      <xdr:spPr>
        <a:xfrm>
          <a:off x="3118483" y="134303"/>
          <a:ext cx="5606417"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800" b="0" i="0">
              <a:solidFill>
                <a:schemeClr val="bg1"/>
              </a:solidFill>
              <a:latin typeface="Arial Black" panose="020B0A04020102020204" pitchFamily="34" charset="0"/>
            </a:rPr>
            <a:t>BP6 FINANCIAL</a:t>
          </a:r>
          <a:r>
            <a:rPr lang="fi-FI" sz="1800" b="0" i="0" baseline="0">
              <a:solidFill>
                <a:schemeClr val="bg1"/>
              </a:solidFill>
              <a:latin typeface="Arial Black" panose="020B0A04020102020204" pitchFamily="34" charset="0"/>
            </a:rPr>
            <a:t> PROJECTION</a:t>
          </a:r>
          <a:endParaRPr lang="fi-FI" sz="1800" b="0" i="0">
            <a:solidFill>
              <a:schemeClr val="bg1"/>
            </a:solidFill>
            <a:latin typeface="Arial Black" panose="020B0A04020102020204" pitchFamily="34" charset="0"/>
          </a:endParaRPr>
        </a:p>
      </xdr:txBody>
    </xdr:sp>
    <xdr:clientData/>
  </xdr:twoCellAnchor>
  <xdr:twoCellAnchor>
    <xdr:from>
      <xdr:col>2</xdr:col>
      <xdr:colOff>77006</xdr:colOff>
      <xdr:row>8</xdr:row>
      <xdr:rowOff>30520</xdr:rowOff>
    </xdr:from>
    <xdr:to>
      <xdr:col>4</xdr:col>
      <xdr:colOff>925175</xdr:colOff>
      <xdr:row>9</xdr:row>
      <xdr:rowOff>342493</xdr:rowOff>
    </xdr:to>
    <xdr:sp macro="" textlink="">
      <xdr:nvSpPr>
        <xdr:cNvPr id="26" name="Suorakulmio: Pyöristetyt kulmat 25">
          <a:extLst>
            <a:ext uri="{FF2B5EF4-FFF2-40B4-BE49-F238E27FC236}">
              <a16:creationId xmlns:a16="http://schemas.microsoft.com/office/drawing/2014/main" id="{B0E72D77-D801-45BE-B174-36FADC420F01}"/>
            </a:ext>
          </a:extLst>
        </xdr:cNvPr>
        <xdr:cNvSpPr/>
      </xdr:nvSpPr>
      <xdr:spPr>
        <a:xfrm>
          <a:off x="869486" y="1508800"/>
          <a:ext cx="3751389" cy="471993"/>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T7 LOANS</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Loans and repayments are invested by year of withdrawal</a:t>
          </a:r>
          <a:r>
            <a:rPr lang="fi-FI" sz="1000" b="0" baseline="0">
              <a:solidFill>
                <a:schemeClr val="tx1"/>
              </a:solidFill>
              <a:latin typeface="Arial" panose="020B0604020202020204" pitchFamily="34" charset="0"/>
              <a:cs typeface="Arial" panose="020B0604020202020204" pitchFamily="34" charset="0"/>
            </a:rPr>
            <a:t>.</a:t>
          </a:r>
          <a:endParaRPr lang="fi-FI"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69379</xdr:colOff>
      <xdr:row>10</xdr:row>
      <xdr:rowOff>54370</xdr:rowOff>
    </xdr:from>
    <xdr:to>
      <xdr:col>4</xdr:col>
      <xdr:colOff>924219</xdr:colOff>
      <xdr:row>11</xdr:row>
      <xdr:rowOff>358720</xdr:rowOff>
    </xdr:to>
    <xdr:sp macro="" textlink="">
      <xdr:nvSpPr>
        <xdr:cNvPr id="27" name="Suorakulmio: Pyöristetyt kulmat 26">
          <a:extLst>
            <a:ext uri="{FF2B5EF4-FFF2-40B4-BE49-F238E27FC236}">
              <a16:creationId xmlns:a16="http://schemas.microsoft.com/office/drawing/2014/main" id="{DBF4EC3A-86B8-496D-8E26-8B6A97361E20}"/>
            </a:ext>
          </a:extLst>
        </xdr:cNvPr>
        <xdr:cNvSpPr/>
      </xdr:nvSpPr>
      <xdr:spPr>
        <a:xfrm>
          <a:off x="861859" y="2073670"/>
          <a:ext cx="3758060"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E1 OPERATING COSTS</a:t>
          </a:r>
          <a:br>
            <a:rPr lang="fi-FI" sz="1050" b="1">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A</a:t>
          </a:r>
          <a:r>
            <a:rPr lang="fi-FI" sz="1000">
              <a:solidFill>
                <a:schemeClr val="tx1"/>
              </a:solidFill>
              <a:latin typeface="Arial" panose="020B0604020202020204" pitchFamily="34" charset="0"/>
              <a:cs typeface="Arial" panose="020B0604020202020204" pitchFamily="34" charset="0"/>
            </a:rPr>
            <a:t>nnual operating costs</a:t>
          </a:r>
          <a:r>
            <a:rPr lang="fi-FI" sz="1000" baseline="0">
              <a:solidFill>
                <a:schemeClr val="tx1"/>
              </a:solidFill>
              <a:latin typeface="Arial" panose="020B0604020202020204" pitchFamily="34" charset="0"/>
              <a:cs typeface="Arial" panose="020B0604020202020204" pitchFamily="34" charset="0"/>
            </a:rPr>
            <a:t> and leasing finance costs.</a:t>
          </a:r>
          <a:endParaRPr lang="fi-FI" sz="1200" b="0">
            <a:solidFill>
              <a:schemeClr val="tx1"/>
            </a:solidFill>
            <a:latin typeface="Arial" pitchFamily="34" charset="0"/>
            <a:cs typeface="Arial" pitchFamily="34" charset="0"/>
          </a:endParaRPr>
        </a:p>
      </xdr:txBody>
    </xdr:sp>
    <xdr:clientData/>
  </xdr:twoCellAnchor>
  <xdr:twoCellAnchor>
    <xdr:from>
      <xdr:col>2</xdr:col>
      <xdr:colOff>89938</xdr:colOff>
      <xdr:row>12</xdr:row>
      <xdr:rowOff>54543</xdr:rowOff>
    </xdr:from>
    <xdr:to>
      <xdr:col>4</xdr:col>
      <xdr:colOff>943825</xdr:colOff>
      <xdr:row>13</xdr:row>
      <xdr:rowOff>358893</xdr:rowOff>
    </xdr:to>
    <xdr:sp macro="" textlink="">
      <xdr:nvSpPr>
        <xdr:cNvPr id="28" name="Suorakulmio: Pyöristetyt kulmat 27">
          <a:extLst>
            <a:ext uri="{FF2B5EF4-FFF2-40B4-BE49-F238E27FC236}">
              <a16:creationId xmlns:a16="http://schemas.microsoft.com/office/drawing/2014/main" id="{BC7AFCBF-0058-492D-AF36-F0BE67D9E6E5}"/>
            </a:ext>
          </a:extLst>
        </xdr:cNvPr>
        <xdr:cNvSpPr/>
      </xdr:nvSpPr>
      <xdr:spPr>
        <a:xfrm>
          <a:off x="882418" y="2614863"/>
          <a:ext cx="3757107"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E2 TURNOVER</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a:t>
          </a:r>
          <a:r>
            <a:rPr lang="fi-FI" sz="1000">
              <a:solidFill>
                <a:schemeClr val="tx1"/>
              </a:solidFill>
              <a:latin typeface="Arial" panose="020B0604020202020204" pitchFamily="34" charset="0"/>
              <a:cs typeface="Arial" panose="020B0604020202020204" pitchFamily="34" charset="0"/>
            </a:rPr>
            <a:t>ales plan for the coming years</a:t>
          </a:r>
          <a:r>
            <a:rPr lang="fi-FI" sz="1000" b="0">
              <a:solidFill>
                <a:sysClr val="windowText" lastClr="000000"/>
              </a:solidFill>
              <a:latin typeface="Arial" pitchFamily="34" charset="0"/>
              <a:cs typeface="Arial" pitchFamily="34" charset="0"/>
            </a:rPr>
            <a:t>.</a:t>
          </a:r>
          <a:endParaRPr lang="fi-FI" sz="1200" b="0">
            <a:solidFill>
              <a:sysClr val="windowText" lastClr="000000"/>
            </a:solidFill>
            <a:latin typeface="Arial" pitchFamily="34" charset="0"/>
            <a:cs typeface="Arial" pitchFamily="34" charset="0"/>
          </a:endParaRPr>
        </a:p>
      </xdr:txBody>
    </xdr:sp>
    <xdr:clientData/>
  </xdr:twoCellAnchor>
  <xdr:twoCellAnchor>
    <xdr:from>
      <xdr:col>2</xdr:col>
      <xdr:colOff>78133</xdr:colOff>
      <xdr:row>14</xdr:row>
      <xdr:rowOff>68146</xdr:rowOff>
    </xdr:from>
    <xdr:to>
      <xdr:col>4</xdr:col>
      <xdr:colOff>923443</xdr:colOff>
      <xdr:row>17</xdr:row>
      <xdr:rowOff>123550</xdr:rowOff>
    </xdr:to>
    <xdr:sp macro="" textlink="">
      <xdr:nvSpPr>
        <xdr:cNvPr id="35" name="Suorakulmio: Pyöristetyt kulmat 34">
          <a:extLst>
            <a:ext uri="{FF2B5EF4-FFF2-40B4-BE49-F238E27FC236}">
              <a16:creationId xmlns:a16="http://schemas.microsoft.com/office/drawing/2014/main" id="{239947AD-21FB-40DA-8E81-A361AACC1F88}"/>
            </a:ext>
          </a:extLst>
        </xdr:cNvPr>
        <xdr:cNvSpPr/>
      </xdr:nvSpPr>
      <xdr:spPr>
        <a:xfrm>
          <a:off x="870613" y="3169486"/>
          <a:ext cx="3748530" cy="756444"/>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T4 FINANCING PLAN</a:t>
          </a:r>
        </a:p>
        <a:p>
          <a:pPr algn="l"/>
          <a:r>
            <a:rPr lang="fi-FI" sz="1000" b="0">
              <a:solidFill>
                <a:sysClr val="windowText" lastClr="000000"/>
              </a:solidFill>
              <a:latin typeface="Arial" pitchFamily="34" charset="0"/>
              <a:cs typeface="Arial" pitchFamily="34" charset="0"/>
            </a:rPr>
            <a:t>Set the correct turnover rates for inventory, accounts payable, and accounts receivable. Plan dividend distribution/private placements.</a:t>
          </a:r>
        </a:p>
      </xdr:txBody>
    </xdr:sp>
    <xdr:clientData/>
  </xdr:twoCellAnchor>
  <xdr:twoCellAnchor>
    <xdr:from>
      <xdr:col>2</xdr:col>
      <xdr:colOff>72410</xdr:colOff>
      <xdr:row>19</xdr:row>
      <xdr:rowOff>374591</xdr:rowOff>
    </xdr:from>
    <xdr:to>
      <xdr:col>4</xdr:col>
      <xdr:colOff>925344</xdr:colOff>
      <xdr:row>22</xdr:row>
      <xdr:rowOff>62902</xdr:rowOff>
    </xdr:to>
    <xdr:sp macro="" textlink="">
      <xdr:nvSpPr>
        <xdr:cNvPr id="36" name="Suorakulmio: Pyöristetyt kulmat 35">
          <a:extLst>
            <a:ext uri="{FF2B5EF4-FFF2-40B4-BE49-F238E27FC236}">
              <a16:creationId xmlns:a16="http://schemas.microsoft.com/office/drawing/2014/main" id="{ECEA007D-AE4C-411E-93D8-4D7FEF5F27E7}"/>
            </a:ext>
          </a:extLst>
        </xdr:cNvPr>
        <xdr:cNvSpPr/>
      </xdr:nvSpPr>
      <xdr:spPr>
        <a:xfrm>
          <a:off x="864890" y="4717991"/>
          <a:ext cx="3756154"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T2 RESULT BUDGET</a:t>
          </a:r>
          <a:r>
            <a:rPr lang="fi-FI" sz="1000" b="1" baseline="0">
              <a:solidFill>
                <a:sysClr val="windowText" lastClr="000000"/>
              </a:solidFill>
              <a:latin typeface="Arial" pitchFamily="34" charset="0"/>
              <a:cs typeface="Arial" pitchFamily="34" charset="0"/>
            </a:rPr>
            <a:t> </a:t>
          </a:r>
        </a:p>
        <a:p>
          <a:pPr algn="l"/>
          <a:r>
            <a:rPr lang="fi-FI" sz="1000" b="0">
              <a:solidFill>
                <a:sysClr val="windowText" lastClr="000000"/>
              </a:solidFill>
              <a:latin typeface="Arial" pitchFamily="34" charset="0"/>
              <a:cs typeface="Arial" pitchFamily="34" charset="0"/>
            </a:rPr>
            <a:t>Other operating income and external services are entered into the accounting program.</a:t>
          </a:r>
        </a:p>
      </xdr:txBody>
    </xdr:sp>
    <xdr:clientData/>
  </xdr:twoCellAnchor>
  <xdr:twoCellAnchor>
    <xdr:from>
      <xdr:col>2</xdr:col>
      <xdr:colOff>72356</xdr:colOff>
      <xdr:row>22</xdr:row>
      <xdr:rowOff>144486</xdr:rowOff>
    </xdr:from>
    <xdr:to>
      <xdr:col>4</xdr:col>
      <xdr:colOff>925290</xdr:colOff>
      <xdr:row>27</xdr:row>
      <xdr:rowOff>7768</xdr:rowOff>
    </xdr:to>
    <xdr:sp macro="" textlink="">
      <xdr:nvSpPr>
        <xdr:cNvPr id="38" name="Suorakulmio: Pyöristetyt kulmat 37">
          <a:extLst>
            <a:ext uri="{FF2B5EF4-FFF2-40B4-BE49-F238E27FC236}">
              <a16:creationId xmlns:a16="http://schemas.microsoft.com/office/drawing/2014/main" id="{711EF7E8-2A2F-4499-8340-DA02896AB1BD}"/>
            </a:ext>
          </a:extLst>
        </xdr:cNvPr>
        <xdr:cNvSpPr/>
      </xdr:nvSpPr>
      <xdr:spPr>
        <a:xfrm>
          <a:off x="864836" y="5409906"/>
          <a:ext cx="3756154" cy="640522"/>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T5 CASH BUDGET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Revenue and expenditure forecast for the 1st or 2nd forecast period.</a:t>
          </a:r>
        </a:p>
      </xdr:txBody>
    </xdr:sp>
    <xdr:clientData/>
  </xdr:twoCellAnchor>
  <xdr:twoCellAnchor>
    <xdr:from>
      <xdr:col>2</xdr:col>
      <xdr:colOff>71538</xdr:colOff>
      <xdr:row>27</xdr:row>
      <xdr:rowOff>98874</xdr:rowOff>
    </xdr:from>
    <xdr:to>
      <xdr:col>4</xdr:col>
      <xdr:colOff>914943</xdr:colOff>
      <xdr:row>30</xdr:row>
      <xdr:rowOff>86994</xdr:rowOff>
    </xdr:to>
    <xdr:sp macro="" textlink="">
      <xdr:nvSpPr>
        <xdr:cNvPr id="39" name="Suorakulmio: Pyöristetyt kulmat 38">
          <a:extLst>
            <a:ext uri="{FF2B5EF4-FFF2-40B4-BE49-F238E27FC236}">
              <a16:creationId xmlns:a16="http://schemas.microsoft.com/office/drawing/2014/main" id="{DF71DAFF-E431-481A-8214-151BEB6C7764}"/>
            </a:ext>
          </a:extLst>
        </xdr:cNvPr>
        <xdr:cNvSpPr/>
      </xdr:nvSpPr>
      <xdr:spPr>
        <a:xfrm>
          <a:off x="864018" y="6141534"/>
          <a:ext cx="3746625" cy="468180"/>
        </a:xfrm>
        <a:prstGeom prst="roundRect">
          <a:avLst/>
        </a:prstGeom>
        <a:solidFill>
          <a:schemeClr val="bg1">
            <a:lumMod val="95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PRINT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Summary of calculation. Print or save as PDF.</a:t>
          </a:r>
        </a:p>
      </xdr:txBody>
    </xdr:sp>
    <xdr:clientData/>
  </xdr:twoCellAnchor>
  <xdr:twoCellAnchor>
    <xdr:from>
      <xdr:col>2</xdr:col>
      <xdr:colOff>75417</xdr:colOff>
      <xdr:row>17</xdr:row>
      <xdr:rowOff>205779</xdr:rowOff>
    </xdr:from>
    <xdr:to>
      <xdr:col>4</xdr:col>
      <xdr:colOff>922633</xdr:colOff>
      <xdr:row>19</xdr:row>
      <xdr:rowOff>275090</xdr:rowOff>
    </xdr:to>
    <xdr:sp macro="" textlink="">
      <xdr:nvSpPr>
        <xdr:cNvPr id="24" name="Suorakulmio: Pyöristetyt kulmat 23">
          <a:extLst>
            <a:ext uri="{FF2B5EF4-FFF2-40B4-BE49-F238E27FC236}">
              <a16:creationId xmlns:a16="http://schemas.microsoft.com/office/drawing/2014/main" id="{D676BCAA-BF8F-4D59-9960-F2F3CEDF23A9}"/>
            </a:ext>
          </a:extLst>
        </xdr:cNvPr>
        <xdr:cNvSpPr/>
      </xdr:nvSpPr>
      <xdr:spPr>
        <a:xfrm>
          <a:off x="867897" y="4008159"/>
          <a:ext cx="3750436"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T3 BALANCE</a:t>
          </a:r>
          <a:r>
            <a:rPr lang="fi-FI" sz="1000" b="1" baseline="0">
              <a:solidFill>
                <a:sysClr val="windowText" lastClr="000000"/>
              </a:solidFill>
              <a:latin typeface="Arial" pitchFamily="34" charset="0"/>
              <a:cs typeface="Arial" pitchFamily="34" charset="0"/>
            </a:rPr>
            <a:t> SHEET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Check that the balance sheet ASSETS and LIABILITIES ending amounts match.</a:t>
          </a:r>
        </a:p>
      </xdr:txBody>
    </xdr:sp>
    <xdr:clientData/>
  </xdr:twoCellAnchor>
  <xdr:twoCellAnchor editAs="oneCell">
    <xdr:from>
      <xdr:col>1</xdr:col>
      <xdr:colOff>170189</xdr:colOff>
      <xdr:row>22</xdr:row>
      <xdr:rowOff>137166</xdr:rowOff>
    </xdr:from>
    <xdr:to>
      <xdr:col>2</xdr:col>
      <xdr:colOff>21448</xdr:colOff>
      <xdr:row>25</xdr:row>
      <xdr:rowOff>95995</xdr:rowOff>
    </xdr:to>
    <xdr:pic>
      <xdr:nvPicPr>
        <xdr:cNvPr id="4" name="Kuva 3">
          <a:hlinkClick xmlns:r="http://schemas.openxmlformats.org/officeDocument/2006/relationships" r:id="rId20"/>
          <a:extLst>
            <a:ext uri="{FF2B5EF4-FFF2-40B4-BE49-F238E27FC236}">
              <a16:creationId xmlns:a16="http://schemas.microsoft.com/office/drawing/2014/main" id="{19A746FE-40BE-4751-8512-5921D023CB8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269" y="5402586"/>
          <a:ext cx="380849" cy="412219"/>
        </a:xfrm>
        <a:prstGeom prst="rect">
          <a:avLst/>
        </a:prstGeom>
      </xdr:spPr>
    </xdr:pic>
    <xdr:clientData/>
  </xdr:twoCellAnchor>
  <xdr:twoCellAnchor>
    <xdr:from>
      <xdr:col>4</xdr:col>
      <xdr:colOff>1120140</xdr:colOff>
      <xdr:row>10</xdr:row>
      <xdr:rowOff>67221</xdr:rowOff>
    </xdr:from>
    <xdr:to>
      <xdr:col>6</xdr:col>
      <xdr:colOff>2409825</xdr:colOff>
      <xdr:row>21</xdr:row>
      <xdr:rowOff>36195</xdr:rowOff>
    </xdr:to>
    <xdr:sp macro="" textlink="">
      <xdr:nvSpPr>
        <xdr:cNvPr id="42" name="Tekstiruutu 41">
          <a:extLst>
            <a:ext uri="{FF2B5EF4-FFF2-40B4-BE49-F238E27FC236}">
              <a16:creationId xmlns:a16="http://schemas.microsoft.com/office/drawing/2014/main" id="{6612E85D-8A3B-4640-BF73-94B635DF9DED}"/>
            </a:ext>
          </a:extLst>
        </xdr:cNvPr>
        <xdr:cNvSpPr txBox="1"/>
      </xdr:nvSpPr>
      <xdr:spPr>
        <a:xfrm>
          <a:off x="5930265" y="2086521"/>
          <a:ext cx="3966210" cy="2845524"/>
        </a:xfrm>
        <a:prstGeom prst="rect">
          <a:avLst/>
        </a:prstGeom>
        <a:solidFill>
          <a:srgbClr val="FFC000">
            <a:alpha val="9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rtl="0" eaLnBrk="1" fontAlgn="auto" latinLnBrk="0" hangingPunct="1">
            <a:lnSpc>
              <a:spcPts val="1500"/>
            </a:lnSpc>
            <a:spcBef>
              <a:spcPts val="0"/>
            </a:spcBef>
          </a:pPr>
          <a:br>
            <a:rPr lang="fi-FI" sz="1100" b="1" i="0" baseline="0">
              <a:ln>
                <a:noFill/>
              </a:ln>
              <a:solidFill>
                <a:schemeClr val="tx1"/>
              </a:solidFill>
              <a:effectLst/>
              <a:latin typeface="+mn-lt"/>
              <a:ea typeface="+mn-ea"/>
              <a:cs typeface="+mn-cs"/>
            </a:rPr>
          </a:br>
          <a:r>
            <a:rPr lang="fi-FI" sz="1100" b="1" i="0" baseline="0">
              <a:ln>
                <a:noFill/>
              </a:ln>
              <a:solidFill>
                <a:schemeClr val="tx1"/>
              </a:solidFill>
              <a:effectLst/>
              <a:latin typeface="+mn-lt"/>
              <a:ea typeface="+mn-ea"/>
              <a:cs typeface="+mn-cs"/>
            </a:rPr>
            <a:t>GUIDE</a:t>
          </a:r>
        </a:p>
        <a:p>
          <a:pPr rtl="0" eaLnBrk="1" fontAlgn="auto" latinLnBrk="0" hangingPunct="1">
            <a:lnSpc>
              <a:spcPts val="1500"/>
            </a:lnSpc>
            <a:spcBef>
              <a:spcPts val="0"/>
            </a:spcBef>
          </a:pPr>
          <a:b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You can use this calculation program as follows:</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overall financial planning of a new company</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planning business transactions of existing companies</a:t>
          </a:r>
        </a:p>
        <a:p>
          <a:pPr marL="171450" indent="-72000" rtl="0" eaLnBrk="1" fontAlgn="auto" latinLnBrk="0" hangingPunct="1">
            <a:lnSpc>
              <a:spcPts val="1500"/>
            </a:lnSpc>
            <a:spcBef>
              <a:spcPts val="0"/>
            </a:spcBef>
            <a:buFont typeface="Arial" panose="020B0604020202020204" pitchFamily="34" charset="0"/>
            <a:buChar char="•"/>
          </a:pPr>
          <a:r>
            <a:rPr lang="fi-FI" sz="105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preparing funding application financial calculations attachments for financiers.</a:t>
          </a:r>
          <a:br>
            <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endPar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rtl="0" eaLnBrk="1" fontAlgn="auto" latinLnBrk="0" hangingPunct="1">
            <a:lnSpc>
              <a:spcPts val="1500"/>
            </a:lnSpc>
            <a:spcBef>
              <a:spcPts val="0"/>
            </a:spcBef>
          </a:pPr>
          <a:r>
            <a:rPr lang="fi-FI" sz="1050" b="1">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Instructions</a:t>
          </a:r>
          <a:b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Do the calculation in numerical order on the left side.</a:t>
          </a:r>
        </a:p>
      </xdr:txBody>
    </xdr:sp>
    <xdr:clientData/>
  </xdr:twoCellAnchor>
  <xdr:twoCellAnchor editAs="oneCell">
    <xdr:from>
      <xdr:col>1</xdr:col>
      <xdr:colOff>38100</xdr:colOff>
      <xdr:row>2</xdr:row>
      <xdr:rowOff>14313</xdr:rowOff>
    </xdr:from>
    <xdr:to>
      <xdr:col>3</xdr:col>
      <xdr:colOff>1642447</xdr:colOff>
      <xdr:row>4</xdr:row>
      <xdr:rowOff>186690</xdr:rowOff>
    </xdr:to>
    <xdr:pic>
      <xdr:nvPicPr>
        <xdr:cNvPr id="17" name="Kuva 16">
          <a:extLst>
            <a:ext uri="{FF2B5EF4-FFF2-40B4-BE49-F238E27FC236}">
              <a16:creationId xmlns:a16="http://schemas.microsoft.com/office/drawing/2014/main" id="{9C7F6857-E477-BED6-EC2A-3F779B6E28D3}"/>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val="0"/>
            </a:ext>
          </a:extLst>
        </a:blip>
        <a:stretch>
          <a:fillRect/>
        </a:stretch>
      </xdr:blipFill>
      <xdr:spPr>
        <a:xfrm>
          <a:off x="297180" y="181953"/>
          <a:ext cx="2314912" cy="240957"/>
        </a:xfrm>
        <a:prstGeom prst="rect">
          <a:avLst/>
        </a:prstGeom>
      </xdr:spPr>
    </xdr:pic>
    <xdr:clientData/>
  </xdr:twoCellAnchor>
  <xdr:twoCellAnchor editAs="oneCell">
    <xdr:from>
      <xdr:col>4</xdr:col>
      <xdr:colOff>1581149</xdr:colOff>
      <xdr:row>6</xdr:row>
      <xdr:rowOff>57150</xdr:rowOff>
    </xdr:from>
    <xdr:to>
      <xdr:col>6</xdr:col>
      <xdr:colOff>2065289</xdr:colOff>
      <xdr:row>9</xdr:row>
      <xdr:rowOff>138303</xdr:rowOff>
    </xdr:to>
    <xdr:pic>
      <xdr:nvPicPr>
        <xdr:cNvPr id="46" name="Kuva 45">
          <a:extLst>
            <a:ext uri="{FF2B5EF4-FFF2-40B4-BE49-F238E27FC236}">
              <a16:creationId xmlns:a16="http://schemas.microsoft.com/office/drawing/2014/main" id="{F63E3E56-DF20-EB41-A018-C4AC555B63A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391274" y="990600"/>
          <a:ext cx="3160665" cy="786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xdr:colOff>
      <xdr:row>255</xdr:row>
      <xdr:rowOff>85643</xdr:rowOff>
    </xdr:from>
    <xdr:to>
      <xdr:col>17</xdr:col>
      <xdr:colOff>203834</xdr:colOff>
      <xdr:row>276</xdr:row>
      <xdr:rowOff>11430</xdr:rowOff>
    </xdr:to>
    <xdr:graphicFrame macro="">
      <xdr:nvGraphicFramePr>
        <xdr:cNvPr id="2" name="Kaavio 1">
          <a:extLst>
            <a:ext uri="{FF2B5EF4-FFF2-40B4-BE49-F238E27FC236}">
              <a16:creationId xmlns:a16="http://schemas.microsoft.com/office/drawing/2014/main" id="{45A9D3F7-23C9-4332-A348-AB03B0A88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xdr:colOff>
      <xdr:row>281</xdr:row>
      <xdr:rowOff>88191</xdr:rowOff>
    </xdr:from>
    <xdr:to>
      <xdr:col>17</xdr:col>
      <xdr:colOff>171450</xdr:colOff>
      <xdr:row>301</xdr:row>
      <xdr:rowOff>25774</xdr:rowOff>
    </xdr:to>
    <xdr:graphicFrame macro="">
      <xdr:nvGraphicFramePr>
        <xdr:cNvPr id="3" name="Kaavio 2">
          <a:extLst>
            <a:ext uri="{FF2B5EF4-FFF2-40B4-BE49-F238E27FC236}">
              <a16:creationId xmlns:a16="http://schemas.microsoft.com/office/drawing/2014/main" id="{B7A85B5C-2835-4116-90E1-189E99222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6448</xdr:colOff>
      <xdr:row>310</xdr:row>
      <xdr:rowOff>30505</xdr:rowOff>
    </xdr:from>
    <xdr:to>
      <xdr:col>17</xdr:col>
      <xdr:colOff>116937</xdr:colOff>
      <xdr:row>330</xdr:row>
      <xdr:rowOff>96751</xdr:rowOff>
    </xdr:to>
    <xdr:graphicFrame macro="">
      <xdr:nvGraphicFramePr>
        <xdr:cNvPr id="4" name="Kaavio 3">
          <a:extLst>
            <a:ext uri="{FF2B5EF4-FFF2-40B4-BE49-F238E27FC236}">
              <a16:creationId xmlns:a16="http://schemas.microsoft.com/office/drawing/2014/main" id="{3FC1C5B5-5BD4-4EC2-88BB-7BAFBC5B5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8436</xdr:colOff>
      <xdr:row>276</xdr:row>
      <xdr:rowOff>44903</xdr:rowOff>
    </xdr:from>
    <xdr:to>
      <xdr:col>14</xdr:col>
      <xdr:colOff>124367</xdr:colOff>
      <xdr:row>278</xdr:row>
      <xdr:rowOff>56333</xdr:rowOff>
    </xdr:to>
    <xdr:grpSp>
      <xdr:nvGrpSpPr>
        <xdr:cNvPr id="17" name="Ryhmä 16">
          <a:extLst>
            <a:ext uri="{FF2B5EF4-FFF2-40B4-BE49-F238E27FC236}">
              <a16:creationId xmlns:a16="http://schemas.microsoft.com/office/drawing/2014/main" id="{11B16051-9543-D4BD-1FDF-64DE90D20A0D}"/>
            </a:ext>
          </a:extLst>
        </xdr:cNvPr>
        <xdr:cNvGrpSpPr/>
      </xdr:nvGrpSpPr>
      <xdr:grpSpPr>
        <a:xfrm>
          <a:off x="2646861" y="44888603"/>
          <a:ext cx="4821281" cy="335280"/>
          <a:chOff x="2644140" y="47303055"/>
          <a:chExt cx="4185284" cy="348615"/>
        </a:xfrm>
      </xdr:grpSpPr>
      <xdr:sp macro="" textlink="">
        <xdr:nvSpPr>
          <xdr:cNvPr id="9" name="Suorakulmio 8">
            <a:extLst>
              <a:ext uri="{FF2B5EF4-FFF2-40B4-BE49-F238E27FC236}">
                <a16:creationId xmlns:a16="http://schemas.microsoft.com/office/drawing/2014/main" id="{9E0442C0-1E69-2E2F-CAF2-06216EE1BEFF}"/>
              </a:ext>
            </a:extLst>
          </xdr:cNvPr>
          <xdr:cNvSpPr/>
        </xdr:nvSpPr>
        <xdr:spPr>
          <a:xfrm>
            <a:off x="5240655" y="47379255"/>
            <a:ext cx="150495" cy="127635"/>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0" name="Tekstiruutu 9">
            <a:extLst>
              <a:ext uri="{FF2B5EF4-FFF2-40B4-BE49-F238E27FC236}">
                <a16:creationId xmlns:a16="http://schemas.microsoft.com/office/drawing/2014/main" id="{2DE3A9E5-EB91-6B1F-7185-676FD4BCBDBA}"/>
              </a:ext>
            </a:extLst>
          </xdr:cNvPr>
          <xdr:cNvSpPr txBox="1"/>
        </xdr:nvSpPr>
        <xdr:spPr>
          <a:xfrm>
            <a:off x="2758440" y="47303055"/>
            <a:ext cx="104775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TURNOVER</a:t>
            </a:r>
          </a:p>
        </xdr:txBody>
      </xdr:sp>
      <xdr:sp macro="" textlink="">
        <xdr:nvSpPr>
          <xdr:cNvPr id="11" name="Tekstiruutu 10">
            <a:extLst>
              <a:ext uri="{FF2B5EF4-FFF2-40B4-BE49-F238E27FC236}">
                <a16:creationId xmlns:a16="http://schemas.microsoft.com/office/drawing/2014/main" id="{7BF26FCD-6544-4517-8385-3D99F5CDB225}"/>
              </a:ext>
            </a:extLst>
          </xdr:cNvPr>
          <xdr:cNvSpPr txBox="1"/>
        </xdr:nvSpPr>
        <xdr:spPr>
          <a:xfrm>
            <a:off x="3890009" y="47303055"/>
            <a:ext cx="1202056"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 IN TOTAL </a:t>
            </a:r>
            <a:r>
              <a:rPr lang="fi-FI" sz="1100" b="0" i="0" u="none" strike="noStrike" baseline="0">
                <a:solidFill>
                  <a:schemeClr val="dk1"/>
                </a:solidFill>
                <a:latin typeface="+mn-lt"/>
                <a:ea typeface="+mn-ea"/>
                <a:cs typeface="+mn-cs"/>
              </a:rPr>
              <a:t>	</a:t>
            </a:r>
          </a:p>
        </xdr:txBody>
      </xdr:sp>
      <xdr:sp macro="" textlink="">
        <xdr:nvSpPr>
          <xdr:cNvPr id="12" name="Suorakulmio 11">
            <a:extLst>
              <a:ext uri="{FF2B5EF4-FFF2-40B4-BE49-F238E27FC236}">
                <a16:creationId xmlns:a16="http://schemas.microsoft.com/office/drawing/2014/main" id="{08D4CEF0-4696-4D31-ACD1-CEE707723CA4}"/>
              </a:ext>
            </a:extLst>
          </xdr:cNvPr>
          <xdr:cNvSpPr/>
        </xdr:nvSpPr>
        <xdr:spPr>
          <a:xfrm>
            <a:off x="2644140" y="47375445"/>
            <a:ext cx="125730" cy="123825"/>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3" name="Suorakulmio 12">
            <a:extLst>
              <a:ext uri="{FF2B5EF4-FFF2-40B4-BE49-F238E27FC236}">
                <a16:creationId xmlns:a16="http://schemas.microsoft.com/office/drawing/2014/main" id="{4198B8B4-8BE5-4016-BC37-96031A995A1A}"/>
              </a:ext>
            </a:extLst>
          </xdr:cNvPr>
          <xdr:cNvSpPr/>
        </xdr:nvSpPr>
        <xdr:spPr>
          <a:xfrm>
            <a:off x="3735705" y="47375445"/>
            <a:ext cx="146685" cy="131445"/>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4" name="Tekstiruutu 13">
            <a:extLst>
              <a:ext uri="{FF2B5EF4-FFF2-40B4-BE49-F238E27FC236}">
                <a16:creationId xmlns:a16="http://schemas.microsoft.com/office/drawing/2014/main" id="{F5205A7E-12E8-4D61-8D03-CEC771702D97}"/>
              </a:ext>
            </a:extLst>
          </xdr:cNvPr>
          <xdr:cNvSpPr txBox="1"/>
        </xdr:nvSpPr>
        <xdr:spPr>
          <a:xfrm>
            <a:off x="5417819" y="47316390"/>
            <a:ext cx="1411605"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CAPITAL INVESTED</a:t>
            </a:r>
            <a:r>
              <a:rPr lang="fi-FI" sz="1100" b="0" i="0" u="none" strike="noStrike" baseline="0">
                <a:solidFill>
                  <a:schemeClr val="dk1"/>
                </a:solidFill>
                <a:latin typeface="+mn-lt"/>
                <a:ea typeface="+mn-ea"/>
                <a:cs typeface="+mn-cs"/>
              </a:rPr>
              <a:t>	</a:t>
            </a:r>
          </a:p>
        </xdr:txBody>
      </xdr:sp>
    </xdr:grpSp>
    <xdr:clientData/>
  </xdr:twoCellAnchor>
  <xdr:twoCellAnchor>
    <xdr:from>
      <xdr:col>2</xdr:col>
      <xdr:colOff>1139453</xdr:colOff>
      <xdr:row>301</xdr:row>
      <xdr:rowOff>78959</xdr:rowOff>
    </xdr:from>
    <xdr:to>
      <xdr:col>15</xdr:col>
      <xdr:colOff>380082</xdr:colOff>
      <xdr:row>303</xdr:row>
      <xdr:rowOff>101031</xdr:rowOff>
    </xdr:to>
    <xdr:grpSp>
      <xdr:nvGrpSpPr>
        <xdr:cNvPr id="25" name="Ryhmä 24">
          <a:extLst>
            <a:ext uri="{FF2B5EF4-FFF2-40B4-BE49-F238E27FC236}">
              <a16:creationId xmlns:a16="http://schemas.microsoft.com/office/drawing/2014/main" id="{11DF521B-DF16-E527-39E5-204E3AC8CD6B}"/>
            </a:ext>
          </a:extLst>
        </xdr:cNvPr>
        <xdr:cNvGrpSpPr/>
      </xdr:nvGrpSpPr>
      <xdr:grpSpPr>
        <a:xfrm>
          <a:off x="1977653" y="48970784"/>
          <a:ext cx="6231979" cy="345922"/>
          <a:chOff x="950924" y="50158124"/>
          <a:chExt cx="5822732" cy="357287"/>
        </a:xfrm>
      </xdr:grpSpPr>
      <xdr:sp macro="" textlink="">
        <xdr:nvSpPr>
          <xdr:cNvPr id="15" name="Tekstiruutu 14">
            <a:extLst>
              <a:ext uri="{FF2B5EF4-FFF2-40B4-BE49-F238E27FC236}">
                <a16:creationId xmlns:a16="http://schemas.microsoft.com/office/drawing/2014/main" id="{F72EAC36-D5C3-4195-B2A7-2C1B8F0C195A}"/>
              </a:ext>
            </a:extLst>
          </xdr:cNvPr>
          <xdr:cNvSpPr txBox="1"/>
        </xdr:nvSpPr>
        <xdr:spPr>
          <a:xfrm>
            <a:off x="1060296" y="50166401"/>
            <a:ext cx="925831" cy="33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EBITDA %</a:t>
            </a:r>
            <a:r>
              <a:rPr lang="fi-FI" sz="1100" b="0" i="0" u="none" strike="noStrike" baseline="0">
                <a:solidFill>
                  <a:schemeClr val="dk1"/>
                </a:solidFill>
                <a:latin typeface="+mn-lt"/>
                <a:ea typeface="+mn-ea"/>
                <a:cs typeface="+mn-cs"/>
              </a:rPr>
              <a:t>	</a:t>
            </a:r>
          </a:p>
        </xdr:txBody>
      </xdr:sp>
      <xdr:sp macro="" textlink="">
        <xdr:nvSpPr>
          <xdr:cNvPr id="16" name="Suorakulmio 15">
            <a:extLst>
              <a:ext uri="{FF2B5EF4-FFF2-40B4-BE49-F238E27FC236}">
                <a16:creationId xmlns:a16="http://schemas.microsoft.com/office/drawing/2014/main" id="{D00B4C16-C8FD-49C5-AEAE-3EEE8788245F}"/>
              </a:ext>
            </a:extLst>
          </xdr:cNvPr>
          <xdr:cNvSpPr/>
        </xdr:nvSpPr>
        <xdr:spPr>
          <a:xfrm>
            <a:off x="950924" y="50235178"/>
            <a:ext cx="146685" cy="129540"/>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8" name="Suorakulmio 17">
            <a:extLst>
              <a:ext uri="{FF2B5EF4-FFF2-40B4-BE49-F238E27FC236}">
                <a16:creationId xmlns:a16="http://schemas.microsoft.com/office/drawing/2014/main" id="{D81DC386-8B70-41D4-B9AF-EAC375CA2CCF}"/>
              </a:ext>
            </a:extLst>
          </xdr:cNvPr>
          <xdr:cNvSpPr/>
        </xdr:nvSpPr>
        <xdr:spPr>
          <a:xfrm>
            <a:off x="2017724" y="50228609"/>
            <a:ext cx="154305" cy="137160"/>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9" name="Tekstiruutu 18">
            <a:extLst>
              <a:ext uri="{FF2B5EF4-FFF2-40B4-BE49-F238E27FC236}">
                <a16:creationId xmlns:a16="http://schemas.microsoft.com/office/drawing/2014/main" id="{EE7CE483-7F13-43EA-9C3F-D22909190E1F}"/>
              </a:ext>
            </a:extLst>
          </xdr:cNvPr>
          <xdr:cNvSpPr txBox="1"/>
        </xdr:nvSpPr>
        <xdr:spPr>
          <a:xfrm>
            <a:off x="2137475" y="50173824"/>
            <a:ext cx="90868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PROFIT %</a:t>
            </a:r>
            <a:r>
              <a:rPr lang="fi-FI" sz="1100" b="0" i="0" u="none" strike="noStrike" baseline="0">
                <a:solidFill>
                  <a:schemeClr val="dk1"/>
                </a:solidFill>
                <a:latin typeface="+mn-lt"/>
                <a:ea typeface="+mn-ea"/>
                <a:cs typeface="+mn-cs"/>
              </a:rPr>
              <a:t>	</a:t>
            </a:r>
          </a:p>
        </xdr:txBody>
      </xdr:sp>
      <xdr:sp macro="" textlink="">
        <xdr:nvSpPr>
          <xdr:cNvPr id="20" name="Suorakulmio 19">
            <a:extLst>
              <a:ext uri="{FF2B5EF4-FFF2-40B4-BE49-F238E27FC236}">
                <a16:creationId xmlns:a16="http://schemas.microsoft.com/office/drawing/2014/main" id="{96EA7334-6B97-4523-88B8-D03BB39626B9}"/>
              </a:ext>
            </a:extLst>
          </xdr:cNvPr>
          <xdr:cNvSpPr/>
        </xdr:nvSpPr>
        <xdr:spPr>
          <a:xfrm>
            <a:off x="3117566" y="50215668"/>
            <a:ext cx="150495" cy="144124"/>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1" name="Tekstiruutu 20">
            <a:extLst>
              <a:ext uri="{FF2B5EF4-FFF2-40B4-BE49-F238E27FC236}">
                <a16:creationId xmlns:a16="http://schemas.microsoft.com/office/drawing/2014/main" id="{7797A681-8C8D-4EA8-B620-D096F4F1B663}"/>
              </a:ext>
            </a:extLst>
          </xdr:cNvPr>
          <xdr:cNvSpPr txBox="1"/>
        </xdr:nvSpPr>
        <xdr:spPr>
          <a:xfrm>
            <a:off x="3267795" y="50158124"/>
            <a:ext cx="2603020"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ROIC %  </a:t>
            </a:r>
            <a:r>
              <a:rPr lang="fi-FI"/>
              <a:t>The Return on Invested Capital</a:t>
            </a:r>
            <a:r>
              <a:rPr lang="fi-FI" sz="1100" b="0" i="0" u="none" strike="noStrike" baseline="0">
                <a:solidFill>
                  <a:schemeClr val="dk1"/>
                </a:solidFill>
                <a:latin typeface="+mn-lt"/>
                <a:ea typeface="+mn-ea"/>
                <a:cs typeface="+mn-cs"/>
              </a:rPr>
              <a:t>	</a:t>
            </a:r>
          </a:p>
        </xdr:txBody>
      </xdr:sp>
      <xdr:sp macro="" textlink="">
        <xdr:nvSpPr>
          <xdr:cNvPr id="22" name="Suorakulmio 21">
            <a:extLst>
              <a:ext uri="{FF2B5EF4-FFF2-40B4-BE49-F238E27FC236}">
                <a16:creationId xmlns:a16="http://schemas.microsoft.com/office/drawing/2014/main" id="{A672BB5E-176E-438B-A612-1805CC369DF4}"/>
              </a:ext>
            </a:extLst>
          </xdr:cNvPr>
          <xdr:cNvSpPr/>
        </xdr:nvSpPr>
        <xdr:spPr>
          <a:xfrm>
            <a:off x="5836198" y="50229857"/>
            <a:ext cx="152400" cy="138409"/>
          </a:xfrm>
          <a:prstGeom prst="rect">
            <a:avLst/>
          </a:prstGeom>
          <a:solidFill>
            <a:srgbClr val="7030A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3" name="Tekstiruutu 22">
            <a:extLst>
              <a:ext uri="{FF2B5EF4-FFF2-40B4-BE49-F238E27FC236}">
                <a16:creationId xmlns:a16="http://schemas.microsoft.com/office/drawing/2014/main" id="{E839861F-4405-4FFE-8BB0-D0967EC9951D}"/>
              </a:ext>
            </a:extLst>
          </xdr:cNvPr>
          <xdr:cNvSpPr txBox="1"/>
        </xdr:nvSpPr>
        <xdr:spPr>
          <a:xfrm>
            <a:off x="5969350" y="50169357"/>
            <a:ext cx="80430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 %</a:t>
            </a:r>
            <a:r>
              <a:rPr lang="fi-FI" sz="1100" b="0" i="0" u="none" strike="noStrike" baseline="0">
                <a:solidFill>
                  <a:schemeClr val="dk1"/>
                </a:solidFill>
                <a:latin typeface="+mn-lt"/>
                <a:ea typeface="+mn-ea"/>
                <a:cs typeface="+mn-cs"/>
              </a:rPr>
              <a:t>	</a:t>
            </a:r>
          </a:p>
        </xdr:txBody>
      </xdr:sp>
    </xdr:grpSp>
    <xdr:clientData/>
  </xdr:twoCellAnchor>
  <xdr:twoCellAnchor>
    <xdr:from>
      <xdr:col>4</xdr:col>
      <xdr:colOff>246446</xdr:colOff>
      <xdr:row>330</xdr:row>
      <xdr:rowOff>159453</xdr:rowOff>
    </xdr:from>
    <xdr:to>
      <xdr:col>16</xdr:col>
      <xdr:colOff>244142</xdr:colOff>
      <xdr:row>333</xdr:row>
      <xdr:rowOff>56907</xdr:rowOff>
    </xdr:to>
    <xdr:grpSp>
      <xdr:nvGrpSpPr>
        <xdr:cNvPr id="35" name="Ryhmä 34">
          <a:extLst>
            <a:ext uri="{FF2B5EF4-FFF2-40B4-BE49-F238E27FC236}">
              <a16:creationId xmlns:a16="http://schemas.microsoft.com/office/drawing/2014/main" id="{898C8650-F277-9FE1-AF68-2CBB50A2E4A3}"/>
            </a:ext>
          </a:extLst>
        </xdr:cNvPr>
        <xdr:cNvGrpSpPr/>
      </xdr:nvGrpSpPr>
      <xdr:grpSpPr>
        <a:xfrm>
          <a:off x="2884871" y="53747103"/>
          <a:ext cx="5674596" cy="383229"/>
          <a:chOff x="1795358" y="53712565"/>
          <a:chExt cx="4908509" cy="357061"/>
        </a:xfrm>
      </xdr:grpSpPr>
      <xdr:sp macro="" textlink="">
        <xdr:nvSpPr>
          <xdr:cNvPr id="27" name="Tekstiruutu 26">
            <a:extLst>
              <a:ext uri="{FF2B5EF4-FFF2-40B4-BE49-F238E27FC236}">
                <a16:creationId xmlns:a16="http://schemas.microsoft.com/office/drawing/2014/main" id="{D38F1E66-8C0D-EA04-8C19-BA93F7AFA75C}"/>
              </a:ext>
            </a:extLst>
          </xdr:cNvPr>
          <xdr:cNvSpPr txBox="1"/>
        </xdr:nvSpPr>
        <xdr:spPr>
          <a:xfrm>
            <a:off x="1904988" y="53712565"/>
            <a:ext cx="926111" cy="33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a:t>
            </a:r>
            <a:r>
              <a:rPr lang="fi-FI" sz="1100" b="0" i="0" u="none" strike="noStrike" baseline="0">
                <a:solidFill>
                  <a:schemeClr val="dk1"/>
                </a:solidFill>
                <a:latin typeface="+mn-lt"/>
                <a:ea typeface="+mn-ea"/>
                <a:cs typeface="+mn-cs"/>
              </a:rPr>
              <a:t>	</a:t>
            </a:r>
          </a:p>
        </xdr:txBody>
      </xdr:sp>
      <xdr:sp macro="" textlink="">
        <xdr:nvSpPr>
          <xdr:cNvPr id="28" name="Suorakulmio 27">
            <a:extLst>
              <a:ext uri="{FF2B5EF4-FFF2-40B4-BE49-F238E27FC236}">
                <a16:creationId xmlns:a16="http://schemas.microsoft.com/office/drawing/2014/main" id="{34E9B6B6-B2F1-BE78-914C-F10B731BECC2}"/>
              </a:ext>
            </a:extLst>
          </xdr:cNvPr>
          <xdr:cNvSpPr/>
        </xdr:nvSpPr>
        <xdr:spPr>
          <a:xfrm>
            <a:off x="1795358" y="53775781"/>
            <a:ext cx="147031" cy="133639"/>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9" name="Suorakulmio 28">
            <a:extLst>
              <a:ext uri="{FF2B5EF4-FFF2-40B4-BE49-F238E27FC236}">
                <a16:creationId xmlns:a16="http://schemas.microsoft.com/office/drawing/2014/main" id="{6EE8E093-FAFA-8E4A-053C-4929D0503B5E}"/>
              </a:ext>
            </a:extLst>
          </xdr:cNvPr>
          <xdr:cNvSpPr/>
        </xdr:nvSpPr>
        <xdr:spPr>
          <a:xfrm>
            <a:off x="2860865" y="53776817"/>
            <a:ext cx="150859" cy="133656"/>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0" name="Tekstiruutu 29">
            <a:extLst>
              <a:ext uri="{FF2B5EF4-FFF2-40B4-BE49-F238E27FC236}">
                <a16:creationId xmlns:a16="http://schemas.microsoft.com/office/drawing/2014/main" id="{8F15C763-2991-0F16-9E28-4B29FD1AEEF6}"/>
              </a:ext>
            </a:extLst>
          </xdr:cNvPr>
          <xdr:cNvSpPr txBox="1"/>
        </xdr:nvSpPr>
        <xdr:spPr>
          <a:xfrm>
            <a:off x="2978994" y="53721910"/>
            <a:ext cx="916545" cy="33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t>LIABILITIES</a:t>
            </a:r>
            <a:endParaRPr lang="fi-FI" sz="1100" b="1" i="0" u="none" strike="noStrike" baseline="0">
              <a:solidFill>
                <a:schemeClr val="dk1"/>
              </a:solidFill>
              <a:latin typeface="+mn-lt"/>
              <a:ea typeface="+mn-ea"/>
              <a:cs typeface="+mn-cs"/>
            </a:endParaRPr>
          </a:p>
        </xdr:txBody>
      </xdr:sp>
      <xdr:sp macro="" textlink="">
        <xdr:nvSpPr>
          <xdr:cNvPr id="31" name="Suorakulmio 30">
            <a:extLst>
              <a:ext uri="{FF2B5EF4-FFF2-40B4-BE49-F238E27FC236}">
                <a16:creationId xmlns:a16="http://schemas.microsoft.com/office/drawing/2014/main" id="{C20B6358-D56A-D5AA-1F52-CC694B96E267}"/>
              </a:ext>
            </a:extLst>
          </xdr:cNvPr>
          <xdr:cNvSpPr/>
        </xdr:nvSpPr>
        <xdr:spPr>
          <a:xfrm>
            <a:off x="3967113" y="53760037"/>
            <a:ext cx="148945" cy="142540"/>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2" name="Tekstiruutu 31">
            <a:extLst>
              <a:ext uri="{FF2B5EF4-FFF2-40B4-BE49-F238E27FC236}">
                <a16:creationId xmlns:a16="http://schemas.microsoft.com/office/drawing/2014/main" id="{A187EC9C-473E-81C7-6661-DAF1F84C1E26}"/>
              </a:ext>
            </a:extLst>
          </xdr:cNvPr>
          <xdr:cNvSpPr txBox="1"/>
        </xdr:nvSpPr>
        <xdr:spPr>
          <a:xfrm>
            <a:off x="4099413" y="53728318"/>
            <a:ext cx="2604454" cy="341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NET ASSETS</a:t>
            </a:r>
            <a:r>
              <a:rPr lang="fi-FI" sz="1100" b="0" i="0" u="none" strike="noStrike" baseline="0">
                <a:solidFill>
                  <a:schemeClr val="dk1"/>
                </a:solidFill>
                <a:latin typeface="+mn-lt"/>
                <a:ea typeface="+mn-ea"/>
                <a:cs typeface="+mn-cs"/>
              </a:rPr>
              <a:t>	</a:t>
            </a:r>
          </a:p>
        </xdr:txBody>
      </xdr:sp>
    </xdr:grpSp>
    <xdr:clientData/>
  </xdr:twoCellAnchor>
  <xdr:twoCellAnchor editAs="oneCell">
    <xdr:from>
      <xdr:col>13</xdr:col>
      <xdr:colOff>399233</xdr:colOff>
      <xdr:row>165</xdr:row>
      <xdr:rowOff>32656</xdr:rowOff>
    </xdr:from>
    <xdr:to>
      <xdr:col>17</xdr:col>
      <xdr:colOff>353848</xdr:colOff>
      <xdr:row>166</xdr:row>
      <xdr:rowOff>64260</xdr:rowOff>
    </xdr:to>
    <xdr:pic>
      <xdr:nvPicPr>
        <xdr:cNvPr id="37" name="Kuva 36">
          <a:extLst>
            <a:ext uri="{FF2B5EF4-FFF2-40B4-BE49-F238E27FC236}">
              <a16:creationId xmlns:a16="http://schemas.microsoft.com/office/drawing/2014/main" id="{F46A86D7-249E-3A19-69B7-A6A1071A1B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2493" y="27838036"/>
          <a:ext cx="1966295" cy="199244"/>
        </a:xfrm>
        <a:prstGeom prst="rect">
          <a:avLst/>
        </a:prstGeom>
      </xdr:spPr>
    </xdr:pic>
    <xdr:clientData/>
  </xdr:twoCellAnchor>
  <xdr:twoCellAnchor editAs="oneCell">
    <xdr:from>
      <xdr:col>13</xdr:col>
      <xdr:colOff>420189</xdr:colOff>
      <xdr:row>82</xdr:row>
      <xdr:rowOff>24221</xdr:rowOff>
    </xdr:from>
    <xdr:to>
      <xdr:col>17</xdr:col>
      <xdr:colOff>366277</xdr:colOff>
      <xdr:row>83</xdr:row>
      <xdr:rowOff>80408</xdr:rowOff>
    </xdr:to>
    <xdr:pic>
      <xdr:nvPicPr>
        <xdr:cNvPr id="38" name="Kuva 37">
          <a:extLst>
            <a:ext uri="{FF2B5EF4-FFF2-40B4-BE49-F238E27FC236}">
              <a16:creationId xmlns:a16="http://schemas.microsoft.com/office/drawing/2014/main" id="{D1ECEAA0-DC7C-4E1D-B4E2-4D9CF3A2FE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53449" y="13961201"/>
          <a:ext cx="1957768" cy="231447"/>
        </a:xfrm>
        <a:prstGeom prst="rect">
          <a:avLst/>
        </a:prstGeom>
      </xdr:spPr>
    </xdr:pic>
    <xdr:clientData/>
  </xdr:twoCellAnchor>
  <xdr:twoCellAnchor editAs="oneCell">
    <xdr:from>
      <xdr:col>1</xdr:col>
      <xdr:colOff>16601</xdr:colOff>
      <xdr:row>0</xdr:row>
      <xdr:rowOff>42727</xdr:rowOff>
    </xdr:from>
    <xdr:to>
      <xdr:col>3</xdr:col>
      <xdr:colOff>430367</xdr:colOff>
      <xdr:row>1</xdr:row>
      <xdr:rowOff>78957</xdr:rowOff>
    </xdr:to>
    <xdr:pic>
      <xdr:nvPicPr>
        <xdr:cNvPr id="39" name="Kuva 38">
          <a:extLst>
            <a:ext uri="{FF2B5EF4-FFF2-40B4-BE49-F238E27FC236}">
              <a16:creationId xmlns:a16="http://schemas.microsoft.com/office/drawing/2014/main" id="{0D87A71A-F0B1-4B42-9C99-1E0EBC0CB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9744" y="42727"/>
          <a:ext cx="2042949" cy="197248"/>
        </a:xfrm>
        <a:prstGeom prst="rect">
          <a:avLst/>
        </a:prstGeom>
      </xdr:spPr>
    </xdr:pic>
    <xdr:clientData/>
  </xdr:twoCellAnchor>
  <xdr:twoCellAnchor editAs="oneCell">
    <xdr:from>
      <xdr:col>1</xdr:col>
      <xdr:colOff>8164</xdr:colOff>
      <xdr:row>251</xdr:row>
      <xdr:rowOff>70756</xdr:rowOff>
    </xdr:from>
    <xdr:to>
      <xdr:col>3</xdr:col>
      <xdr:colOff>436172</xdr:colOff>
      <xdr:row>252</xdr:row>
      <xdr:rowOff>111432</xdr:rowOff>
    </xdr:to>
    <xdr:pic>
      <xdr:nvPicPr>
        <xdr:cNvPr id="40" name="Kuva 39">
          <a:extLst>
            <a:ext uri="{FF2B5EF4-FFF2-40B4-BE49-F238E27FC236}">
              <a16:creationId xmlns:a16="http://schemas.microsoft.com/office/drawing/2014/main" id="{6572980B-B838-45A8-8931-0D394CE4AC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307" y="39863485"/>
          <a:ext cx="2066081" cy="197247"/>
        </a:xfrm>
        <a:prstGeom prst="rect">
          <a:avLst/>
        </a:prstGeom>
      </xdr:spPr>
    </xdr:pic>
    <xdr:clientData/>
  </xdr:twoCellAnchor>
  <xdr:twoCellAnchor>
    <xdr:from>
      <xdr:col>14</xdr:col>
      <xdr:colOff>9330</xdr:colOff>
      <xdr:row>248</xdr:row>
      <xdr:rowOff>164030</xdr:rowOff>
    </xdr:from>
    <xdr:to>
      <xdr:col>14</xdr:col>
      <xdr:colOff>183379</xdr:colOff>
      <xdr:row>248</xdr:row>
      <xdr:rowOff>283794</xdr:rowOff>
    </xdr:to>
    <xdr:sp macro="" textlink="">
      <xdr:nvSpPr>
        <xdr:cNvPr id="6" name="Suorakulmio 5">
          <a:extLst>
            <a:ext uri="{FF2B5EF4-FFF2-40B4-BE49-F238E27FC236}">
              <a16:creationId xmlns:a16="http://schemas.microsoft.com/office/drawing/2014/main" id="{497CD36F-F1CE-C487-4FD2-318CB648F147}"/>
            </a:ext>
          </a:extLst>
        </xdr:cNvPr>
        <xdr:cNvSpPr/>
      </xdr:nvSpPr>
      <xdr:spPr>
        <a:xfrm>
          <a:off x="7754516" y="38993373"/>
          <a:ext cx="174049" cy="119764"/>
        </a:xfrm>
        <a:prstGeom prst="rect">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9</xdr:col>
      <xdr:colOff>192063</xdr:colOff>
      <xdr:row>248</xdr:row>
      <xdr:rowOff>97972</xdr:rowOff>
    </xdr:from>
    <xdr:to>
      <xdr:col>10</xdr:col>
      <xdr:colOff>429987</xdr:colOff>
      <xdr:row>249</xdr:row>
      <xdr:rowOff>28000</xdr:rowOff>
    </xdr:to>
    <xdr:sp macro="" textlink="">
      <xdr:nvSpPr>
        <xdr:cNvPr id="7" name="Tekstiruutu 6">
          <a:extLst>
            <a:ext uri="{FF2B5EF4-FFF2-40B4-BE49-F238E27FC236}">
              <a16:creationId xmlns:a16="http://schemas.microsoft.com/office/drawing/2014/main" id="{9C8EEB88-94F0-B68A-5487-12441D480106}"/>
            </a:ext>
          </a:extLst>
        </xdr:cNvPr>
        <xdr:cNvSpPr txBox="1"/>
      </xdr:nvSpPr>
      <xdr:spPr>
        <a:xfrm>
          <a:off x="5591377" y="38927315"/>
          <a:ext cx="754996" cy="31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GOOD</a:t>
          </a:r>
        </a:p>
      </xdr:txBody>
    </xdr:sp>
    <xdr:clientData/>
  </xdr:twoCellAnchor>
  <xdr:twoCellAnchor>
    <xdr:from>
      <xdr:col>11</xdr:col>
      <xdr:colOff>97972</xdr:colOff>
      <xdr:row>248</xdr:row>
      <xdr:rowOff>97971</xdr:rowOff>
    </xdr:from>
    <xdr:to>
      <xdr:col>13</xdr:col>
      <xdr:colOff>413658</xdr:colOff>
      <xdr:row>249</xdr:row>
      <xdr:rowOff>19062</xdr:rowOff>
    </xdr:to>
    <xdr:sp macro="" textlink="">
      <xdr:nvSpPr>
        <xdr:cNvPr id="8" name="Tekstiruutu 7">
          <a:extLst>
            <a:ext uri="{FF2B5EF4-FFF2-40B4-BE49-F238E27FC236}">
              <a16:creationId xmlns:a16="http://schemas.microsoft.com/office/drawing/2014/main" id="{38501725-CEC0-935D-BDC1-39298F726161}"/>
            </a:ext>
          </a:extLst>
        </xdr:cNvPr>
        <xdr:cNvSpPr txBox="1"/>
      </xdr:nvSpPr>
      <xdr:spPr>
        <a:xfrm>
          <a:off x="6531429" y="38927314"/>
          <a:ext cx="1143000" cy="30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SATISFACTORY</a:t>
          </a:r>
          <a:r>
            <a:rPr lang="fi-FI" sz="1100" b="0" i="0" u="none" strike="noStrike" baseline="0">
              <a:solidFill>
                <a:schemeClr val="dk1"/>
              </a:solidFill>
              <a:latin typeface="+mn-lt"/>
              <a:ea typeface="+mn-ea"/>
              <a:cs typeface="+mn-cs"/>
            </a:rPr>
            <a:t>	</a:t>
          </a:r>
        </a:p>
      </xdr:txBody>
    </xdr:sp>
    <xdr:clientData/>
  </xdr:twoCellAnchor>
  <xdr:twoCellAnchor>
    <xdr:from>
      <xdr:col>9</xdr:col>
      <xdr:colOff>27216</xdr:colOff>
      <xdr:row>248</xdr:row>
      <xdr:rowOff>160455</xdr:rowOff>
    </xdr:from>
    <xdr:to>
      <xdr:col>9</xdr:col>
      <xdr:colOff>172624</xdr:colOff>
      <xdr:row>248</xdr:row>
      <xdr:rowOff>276644</xdr:rowOff>
    </xdr:to>
    <xdr:sp macro="" textlink="">
      <xdr:nvSpPr>
        <xdr:cNvPr id="24" name="Suorakulmio 23">
          <a:extLst>
            <a:ext uri="{FF2B5EF4-FFF2-40B4-BE49-F238E27FC236}">
              <a16:creationId xmlns:a16="http://schemas.microsoft.com/office/drawing/2014/main" id="{70E8C54F-A438-C6B2-D8B0-8BF08E48C042}"/>
            </a:ext>
          </a:extLst>
        </xdr:cNvPr>
        <xdr:cNvSpPr/>
      </xdr:nvSpPr>
      <xdr:spPr>
        <a:xfrm>
          <a:off x="5426530" y="38989798"/>
          <a:ext cx="145408" cy="116189"/>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10</xdr:col>
      <xdr:colOff>413322</xdr:colOff>
      <xdr:row>248</xdr:row>
      <xdr:rowOff>165899</xdr:rowOff>
    </xdr:from>
    <xdr:to>
      <xdr:col>11</xdr:col>
      <xdr:colOff>65894</xdr:colOff>
      <xdr:row>248</xdr:row>
      <xdr:rowOff>289238</xdr:rowOff>
    </xdr:to>
    <xdr:sp macro="" textlink="">
      <xdr:nvSpPr>
        <xdr:cNvPr id="26" name="Suorakulmio 25">
          <a:extLst>
            <a:ext uri="{FF2B5EF4-FFF2-40B4-BE49-F238E27FC236}">
              <a16:creationId xmlns:a16="http://schemas.microsoft.com/office/drawing/2014/main" id="{F8593A6E-6E48-3E1C-9DF4-E6800D4D8FC3}"/>
            </a:ext>
          </a:extLst>
        </xdr:cNvPr>
        <xdr:cNvSpPr/>
      </xdr:nvSpPr>
      <xdr:spPr>
        <a:xfrm>
          <a:off x="6329708" y="38995242"/>
          <a:ext cx="169643" cy="123339"/>
        </a:xfrm>
        <a:prstGeom prst="rect">
          <a:avLst/>
        </a:prstGeom>
        <a:solidFill>
          <a:srgbClr val="FFC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14</xdr:col>
      <xdr:colOff>185057</xdr:colOff>
      <xdr:row>248</xdr:row>
      <xdr:rowOff>88713</xdr:rowOff>
    </xdr:from>
    <xdr:to>
      <xdr:col>17</xdr:col>
      <xdr:colOff>223157</xdr:colOff>
      <xdr:row>249</xdr:row>
      <xdr:rowOff>22316</xdr:rowOff>
    </xdr:to>
    <xdr:sp macro="" textlink="">
      <xdr:nvSpPr>
        <xdr:cNvPr id="33" name="Tekstiruutu 32">
          <a:extLst>
            <a:ext uri="{FF2B5EF4-FFF2-40B4-BE49-F238E27FC236}">
              <a16:creationId xmlns:a16="http://schemas.microsoft.com/office/drawing/2014/main" id="{A882C492-0E3B-6767-FE85-ABA4606CCF47}"/>
            </a:ext>
          </a:extLst>
        </xdr:cNvPr>
        <xdr:cNvSpPr txBox="1"/>
      </xdr:nvSpPr>
      <xdr:spPr>
        <a:xfrm>
          <a:off x="7930243" y="38918056"/>
          <a:ext cx="1279071" cy="314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WEAK</a:t>
          </a:r>
          <a:r>
            <a:rPr lang="fi-FI" sz="1100" b="0" i="0" u="none" strike="noStrike" baseline="0">
              <a:solidFill>
                <a:schemeClr val="dk1"/>
              </a:solidFill>
              <a:latin typeface="+mn-lt"/>
              <a:ea typeface="+mn-ea"/>
              <a:cs typeface="+mn-cs"/>
            </a:rPr>
            <a:t>	</a:t>
          </a:r>
        </a:p>
      </xdr:txBody>
    </xdr:sp>
    <xdr:clientData/>
  </xdr:twoCellAnchor>
  <xdr:twoCellAnchor>
    <xdr:from>
      <xdr:col>0</xdr:col>
      <xdr:colOff>85010</xdr:colOff>
      <xdr:row>23</xdr:row>
      <xdr:rowOff>80963</xdr:rowOff>
    </xdr:from>
    <xdr:to>
      <xdr:col>0</xdr:col>
      <xdr:colOff>546606</xdr:colOff>
      <xdr:row>46</xdr:row>
      <xdr:rowOff>104986</xdr:rowOff>
    </xdr:to>
    <xdr:grpSp>
      <xdr:nvGrpSpPr>
        <xdr:cNvPr id="47" name="Ryhmä 46">
          <a:extLst>
            <a:ext uri="{FF2B5EF4-FFF2-40B4-BE49-F238E27FC236}">
              <a16:creationId xmlns:a16="http://schemas.microsoft.com/office/drawing/2014/main" id="{C646D3F0-3808-58A9-9CE3-068409FF23F2}"/>
            </a:ext>
          </a:extLst>
        </xdr:cNvPr>
        <xdr:cNvGrpSpPr/>
      </xdr:nvGrpSpPr>
      <xdr:grpSpPr>
        <a:xfrm>
          <a:off x="85010" y="3833813"/>
          <a:ext cx="461596" cy="3814973"/>
          <a:chOff x="102870" y="4521994"/>
          <a:chExt cx="461596" cy="3786398"/>
        </a:xfrm>
      </xdr:grpSpPr>
      <xdr:pic>
        <xdr:nvPicPr>
          <xdr:cNvPr id="5" name="Kuva 4">
            <a:hlinkClick xmlns:r="http://schemas.openxmlformats.org/officeDocument/2006/relationships" r:id="rId8"/>
            <a:extLst>
              <a:ext uri="{FF2B5EF4-FFF2-40B4-BE49-F238E27FC236}">
                <a16:creationId xmlns:a16="http://schemas.microsoft.com/office/drawing/2014/main" id="{9D144AE8-2653-4F20-BD4B-3CBA70825DED}"/>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35" y="4923275"/>
            <a:ext cx="396000" cy="401129"/>
          </a:xfrm>
          <a:prstGeom prst="rect">
            <a:avLst/>
          </a:prstGeom>
        </xdr:spPr>
      </xdr:pic>
      <xdr:pic>
        <xdr:nvPicPr>
          <xdr:cNvPr id="34" name="Kuva 33">
            <a:hlinkClick xmlns:r="http://schemas.openxmlformats.org/officeDocument/2006/relationships" r:id="rId10"/>
            <a:extLst>
              <a:ext uri="{FF2B5EF4-FFF2-40B4-BE49-F238E27FC236}">
                <a16:creationId xmlns:a16="http://schemas.microsoft.com/office/drawing/2014/main" id="{4E55A09C-7DEF-425A-A181-59AA2FE1CDF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030" y="5354793"/>
            <a:ext cx="396000" cy="396000"/>
          </a:xfrm>
          <a:prstGeom prst="rect">
            <a:avLst/>
          </a:prstGeom>
        </xdr:spPr>
      </xdr:pic>
      <xdr:pic>
        <xdr:nvPicPr>
          <xdr:cNvPr id="36" name="Kuva 35">
            <a:hlinkClick xmlns:r="http://schemas.openxmlformats.org/officeDocument/2006/relationships" r:id="rId12"/>
            <a:extLst>
              <a:ext uri="{FF2B5EF4-FFF2-40B4-BE49-F238E27FC236}">
                <a16:creationId xmlns:a16="http://schemas.microsoft.com/office/drawing/2014/main" id="{6B80FC2A-44E8-4288-B07B-97A1A490F1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145" y="6984678"/>
            <a:ext cx="396000" cy="396000"/>
          </a:xfrm>
          <a:prstGeom prst="rect">
            <a:avLst/>
          </a:prstGeom>
        </xdr:spPr>
      </xdr:pic>
      <xdr:pic>
        <xdr:nvPicPr>
          <xdr:cNvPr id="41" name="Kuva 40">
            <a:hlinkClick xmlns:r="http://schemas.openxmlformats.org/officeDocument/2006/relationships" r:id="rId14"/>
            <a:extLst>
              <a:ext uri="{FF2B5EF4-FFF2-40B4-BE49-F238E27FC236}">
                <a16:creationId xmlns:a16="http://schemas.microsoft.com/office/drawing/2014/main" id="{8779D9A9-FD15-4B7F-86D0-D50451B58505}"/>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5014" y="6180114"/>
            <a:ext cx="396000" cy="396000"/>
          </a:xfrm>
          <a:prstGeom prst="rect">
            <a:avLst/>
          </a:prstGeom>
        </xdr:spPr>
      </xdr:pic>
      <xdr:pic>
        <xdr:nvPicPr>
          <xdr:cNvPr id="42" name="Kuva 41">
            <a:hlinkClick xmlns:r="http://schemas.openxmlformats.org/officeDocument/2006/relationships" r:id="rId16"/>
            <a:extLst>
              <a:ext uri="{FF2B5EF4-FFF2-40B4-BE49-F238E27FC236}">
                <a16:creationId xmlns:a16="http://schemas.microsoft.com/office/drawing/2014/main" id="{5DAA028A-E0D7-47A2-BFE2-48EFFC4CB3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181" y="5759640"/>
            <a:ext cx="396000" cy="396000"/>
          </a:xfrm>
          <a:prstGeom prst="rect">
            <a:avLst/>
          </a:prstGeom>
        </xdr:spPr>
      </xdr:pic>
      <xdr:pic>
        <xdr:nvPicPr>
          <xdr:cNvPr id="43" name="Kuva 42">
            <a:hlinkClick xmlns:r="http://schemas.openxmlformats.org/officeDocument/2006/relationships" r:id="rId18"/>
            <a:extLst>
              <a:ext uri="{FF2B5EF4-FFF2-40B4-BE49-F238E27FC236}">
                <a16:creationId xmlns:a16="http://schemas.microsoft.com/office/drawing/2014/main" id="{603E3C3B-1D22-4CC7-BD07-0427BC98825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25" y="6582646"/>
            <a:ext cx="396000" cy="396000"/>
          </a:xfrm>
          <a:prstGeom prst="rect">
            <a:avLst/>
          </a:prstGeom>
        </xdr:spPr>
      </xdr:pic>
      <xdr:pic>
        <xdr:nvPicPr>
          <xdr:cNvPr id="44" name="Kuva 43">
            <a:hlinkClick xmlns:r="http://schemas.openxmlformats.org/officeDocument/2006/relationships" r:id="rId20"/>
            <a:extLst>
              <a:ext uri="{FF2B5EF4-FFF2-40B4-BE49-F238E27FC236}">
                <a16:creationId xmlns:a16="http://schemas.microsoft.com/office/drawing/2014/main" id="{26A28699-FC16-49BD-80BB-BC05E6D00888}"/>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4233" y="4521994"/>
            <a:ext cx="396000" cy="396000"/>
          </a:xfrm>
          <a:prstGeom prst="rect">
            <a:avLst/>
          </a:prstGeom>
        </xdr:spPr>
      </xdr:pic>
      <xdr:pic>
        <xdr:nvPicPr>
          <xdr:cNvPr id="45" name="Kuva 44">
            <a:hlinkClick xmlns:r="http://schemas.openxmlformats.org/officeDocument/2006/relationships" r:id="rId22"/>
            <a:extLst>
              <a:ext uri="{FF2B5EF4-FFF2-40B4-BE49-F238E27FC236}">
                <a16:creationId xmlns:a16="http://schemas.microsoft.com/office/drawing/2014/main" id="{A38BB63C-02E9-4D32-9455-945B64FEB74D}"/>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8249" y="7397933"/>
            <a:ext cx="396000" cy="396000"/>
          </a:xfrm>
          <a:prstGeom prst="rect">
            <a:avLst/>
          </a:prstGeom>
        </xdr:spPr>
      </xdr:pic>
      <xdr:pic>
        <xdr:nvPicPr>
          <xdr:cNvPr id="46" name="Kuva 45" descr="Tulostin">
            <a:extLst>
              <a:ext uri="{FF2B5EF4-FFF2-40B4-BE49-F238E27FC236}">
                <a16:creationId xmlns:a16="http://schemas.microsoft.com/office/drawing/2014/main" id="{25E39CA3-B0A0-4DE2-B37D-8960D32F09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02870" y="7839122"/>
            <a:ext cx="461596" cy="46927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68580</xdr:colOff>
      <xdr:row>259</xdr:row>
      <xdr:rowOff>17063</xdr:rowOff>
    </xdr:from>
    <xdr:to>
      <xdr:col>17</xdr:col>
      <xdr:colOff>175259</xdr:colOff>
      <xdr:row>279</xdr:row>
      <xdr:rowOff>114300</xdr:rowOff>
    </xdr:to>
    <xdr:graphicFrame macro="">
      <xdr:nvGraphicFramePr>
        <xdr:cNvPr id="10" name="Kaavio 9">
          <a:extLst>
            <a:ext uri="{FF2B5EF4-FFF2-40B4-BE49-F238E27FC236}">
              <a16:creationId xmlns:a16="http://schemas.microsoft.com/office/drawing/2014/main" id="{B42A2A97-49E8-4DAB-8869-3AD91EED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68580</xdr:colOff>
      <xdr:row>282</xdr:row>
      <xdr:rowOff>119216</xdr:rowOff>
    </xdr:from>
    <xdr:to>
      <xdr:col>17</xdr:col>
      <xdr:colOff>190500</xdr:colOff>
      <xdr:row>302</xdr:row>
      <xdr:rowOff>78026</xdr:rowOff>
    </xdr:to>
    <xdr:graphicFrame macro="">
      <xdr:nvGraphicFramePr>
        <xdr:cNvPr id="11" name="Kaavio 10">
          <a:extLst>
            <a:ext uri="{FF2B5EF4-FFF2-40B4-BE49-F238E27FC236}">
              <a16:creationId xmlns:a16="http://schemas.microsoft.com/office/drawing/2014/main" id="{70607819-A0D0-412E-A0E3-A69B26578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34834</xdr:colOff>
      <xdr:row>305</xdr:row>
      <xdr:rowOff>68292</xdr:rowOff>
    </xdr:from>
    <xdr:to>
      <xdr:col>17</xdr:col>
      <xdr:colOff>141513</xdr:colOff>
      <xdr:row>321</xdr:row>
      <xdr:rowOff>757262</xdr:rowOff>
    </xdr:to>
    <xdr:graphicFrame macro="">
      <xdr:nvGraphicFramePr>
        <xdr:cNvPr id="12" name="Kaavio 11">
          <a:extLst>
            <a:ext uri="{FF2B5EF4-FFF2-40B4-BE49-F238E27FC236}">
              <a16:creationId xmlns:a16="http://schemas.microsoft.com/office/drawing/2014/main" id="{1B7AFD0A-97C0-42BD-BE19-8A395E83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169971</xdr:colOff>
      <xdr:row>145</xdr:row>
      <xdr:rowOff>35548</xdr:rowOff>
    </xdr:from>
    <xdr:to>
      <xdr:col>0</xdr:col>
      <xdr:colOff>601439</xdr:colOff>
      <xdr:row>147</xdr:row>
      <xdr:rowOff>143308</xdr:rowOff>
    </xdr:to>
    <xdr:pic>
      <xdr:nvPicPr>
        <xdr:cNvPr id="26" name="Kuva 25">
          <a:hlinkClick xmlns:r="http://schemas.openxmlformats.org/officeDocument/2006/relationships" r:id="rId4"/>
          <a:extLst>
            <a:ext uri="{FF2B5EF4-FFF2-40B4-BE49-F238E27FC236}">
              <a16:creationId xmlns:a16="http://schemas.microsoft.com/office/drawing/2014/main" id="{1C8953F7-9713-4EBA-8ED4-B02E104B5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971" y="21611034"/>
          <a:ext cx="421943" cy="399224"/>
        </a:xfrm>
        <a:prstGeom prst="rect">
          <a:avLst/>
        </a:prstGeom>
      </xdr:spPr>
    </xdr:pic>
    <xdr:clientData/>
  </xdr:twoCellAnchor>
  <xdr:twoCellAnchor editAs="oneCell">
    <xdr:from>
      <xdr:col>0</xdr:col>
      <xdr:colOff>168611</xdr:colOff>
      <xdr:row>147</xdr:row>
      <xdr:rowOff>149535</xdr:rowOff>
    </xdr:from>
    <xdr:to>
      <xdr:col>0</xdr:col>
      <xdr:colOff>601984</xdr:colOff>
      <xdr:row>150</xdr:row>
      <xdr:rowOff>74999</xdr:rowOff>
    </xdr:to>
    <xdr:pic>
      <xdr:nvPicPr>
        <xdr:cNvPr id="27" name="Kuva 26">
          <a:hlinkClick xmlns:r="http://schemas.openxmlformats.org/officeDocument/2006/relationships" r:id="rId6"/>
          <a:extLst>
            <a:ext uri="{FF2B5EF4-FFF2-40B4-BE49-F238E27FC236}">
              <a16:creationId xmlns:a16="http://schemas.microsoft.com/office/drawing/2014/main" id="{E14ABC3D-0BD7-4B68-A634-D44EDA90CC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611" y="22029821"/>
          <a:ext cx="421943" cy="382665"/>
        </a:xfrm>
        <a:prstGeom prst="rect">
          <a:avLst/>
        </a:prstGeom>
      </xdr:spPr>
    </xdr:pic>
    <xdr:clientData/>
  </xdr:twoCellAnchor>
  <xdr:twoCellAnchor editAs="oneCell">
    <xdr:from>
      <xdr:col>0</xdr:col>
      <xdr:colOff>174558</xdr:colOff>
      <xdr:row>159</xdr:row>
      <xdr:rowOff>28066</xdr:rowOff>
    </xdr:from>
    <xdr:to>
      <xdr:col>0</xdr:col>
      <xdr:colOff>575545</xdr:colOff>
      <xdr:row>161</xdr:row>
      <xdr:rowOff>107055</xdr:rowOff>
    </xdr:to>
    <xdr:pic>
      <xdr:nvPicPr>
        <xdr:cNvPr id="28" name="Kuva 27">
          <a:hlinkClick xmlns:r="http://schemas.openxmlformats.org/officeDocument/2006/relationships" r:id="rId8"/>
          <a:extLst>
            <a:ext uri="{FF2B5EF4-FFF2-40B4-BE49-F238E27FC236}">
              <a16:creationId xmlns:a16="http://schemas.microsoft.com/office/drawing/2014/main" id="{1D1DEF6D-AA65-4561-940A-3FB049BC60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558" y="24160569"/>
          <a:ext cx="406702" cy="377268"/>
        </a:xfrm>
        <a:prstGeom prst="rect">
          <a:avLst/>
        </a:prstGeom>
      </xdr:spPr>
    </xdr:pic>
    <xdr:clientData/>
  </xdr:twoCellAnchor>
  <xdr:twoCellAnchor editAs="oneCell">
    <xdr:from>
      <xdr:col>0</xdr:col>
      <xdr:colOff>169760</xdr:colOff>
      <xdr:row>153</xdr:row>
      <xdr:rowOff>97873</xdr:rowOff>
    </xdr:from>
    <xdr:to>
      <xdr:col>0</xdr:col>
      <xdr:colOff>566938</xdr:colOff>
      <xdr:row>156</xdr:row>
      <xdr:rowOff>34293</xdr:rowOff>
    </xdr:to>
    <xdr:pic>
      <xdr:nvPicPr>
        <xdr:cNvPr id="29" name="Kuva 28">
          <a:hlinkClick xmlns:r="http://schemas.openxmlformats.org/officeDocument/2006/relationships" r:id="rId10"/>
          <a:extLst>
            <a:ext uri="{FF2B5EF4-FFF2-40B4-BE49-F238E27FC236}">
              <a16:creationId xmlns:a16="http://schemas.microsoft.com/office/drawing/2014/main" id="{B9246B02-C4D6-4212-A0D9-99B5DD91B8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9760" y="23306967"/>
          <a:ext cx="397178" cy="394313"/>
        </a:xfrm>
        <a:prstGeom prst="rect">
          <a:avLst/>
        </a:prstGeom>
      </xdr:spPr>
    </xdr:pic>
    <xdr:clientData/>
  </xdr:twoCellAnchor>
  <xdr:twoCellAnchor editAs="oneCell">
    <xdr:from>
      <xdr:col>0</xdr:col>
      <xdr:colOff>167589</xdr:colOff>
      <xdr:row>150</xdr:row>
      <xdr:rowOff>128252</xdr:rowOff>
    </xdr:from>
    <xdr:to>
      <xdr:col>0</xdr:col>
      <xdr:colOff>574292</xdr:colOff>
      <xdr:row>153</xdr:row>
      <xdr:rowOff>67052</xdr:rowOff>
    </xdr:to>
    <xdr:pic>
      <xdr:nvPicPr>
        <xdr:cNvPr id="30" name="Kuva 29">
          <a:hlinkClick xmlns:r="http://schemas.openxmlformats.org/officeDocument/2006/relationships" r:id="rId12"/>
          <a:extLst>
            <a:ext uri="{FF2B5EF4-FFF2-40B4-BE49-F238E27FC236}">
              <a16:creationId xmlns:a16="http://schemas.microsoft.com/office/drawing/2014/main" id="{73708891-7E74-471B-8511-BD1495D6AD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7589" y="22465738"/>
          <a:ext cx="406703" cy="384570"/>
        </a:xfrm>
        <a:prstGeom prst="rect">
          <a:avLst/>
        </a:prstGeom>
      </xdr:spPr>
    </xdr:pic>
    <xdr:clientData/>
  </xdr:twoCellAnchor>
  <xdr:twoCellAnchor editAs="oneCell">
    <xdr:from>
      <xdr:col>0</xdr:col>
      <xdr:colOff>177660</xdr:colOff>
      <xdr:row>156</xdr:row>
      <xdr:rowOff>61898</xdr:rowOff>
    </xdr:from>
    <xdr:to>
      <xdr:col>0</xdr:col>
      <xdr:colOff>576743</xdr:colOff>
      <xdr:row>158</xdr:row>
      <xdr:rowOff>148077</xdr:rowOff>
    </xdr:to>
    <xdr:pic>
      <xdr:nvPicPr>
        <xdr:cNvPr id="49" name="Kuva 48">
          <a:hlinkClick xmlns:r="http://schemas.openxmlformats.org/officeDocument/2006/relationships" r:id="rId14"/>
          <a:extLst>
            <a:ext uri="{FF2B5EF4-FFF2-40B4-BE49-F238E27FC236}">
              <a16:creationId xmlns:a16="http://schemas.microsoft.com/office/drawing/2014/main" id="{AE754DE2-618F-4FC2-88D6-C94543DDC7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660" y="23732696"/>
          <a:ext cx="406703" cy="392078"/>
        </a:xfrm>
        <a:prstGeom prst="rect">
          <a:avLst/>
        </a:prstGeom>
      </xdr:spPr>
    </xdr:pic>
    <xdr:clientData/>
  </xdr:twoCellAnchor>
  <xdr:twoCellAnchor editAs="oneCell">
    <xdr:from>
      <xdr:col>0</xdr:col>
      <xdr:colOff>173374</xdr:colOff>
      <xdr:row>142</xdr:row>
      <xdr:rowOff>78490</xdr:rowOff>
    </xdr:from>
    <xdr:to>
      <xdr:col>0</xdr:col>
      <xdr:colOff>602599</xdr:colOff>
      <xdr:row>144</xdr:row>
      <xdr:rowOff>143457</xdr:rowOff>
    </xdr:to>
    <xdr:pic>
      <xdr:nvPicPr>
        <xdr:cNvPr id="50" name="Kuva 49">
          <a:hlinkClick xmlns:r="http://schemas.openxmlformats.org/officeDocument/2006/relationships" r:id="rId16"/>
          <a:extLst>
            <a:ext uri="{FF2B5EF4-FFF2-40B4-BE49-F238E27FC236}">
              <a16:creationId xmlns:a16="http://schemas.microsoft.com/office/drawing/2014/main" id="{315B4D3F-4CF0-4A14-A60E-C8EE3533175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3374" y="21196776"/>
          <a:ext cx="417795" cy="358336"/>
        </a:xfrm>
        <a:prstGeom prst="rect">
          <a:avLst/>
        </a:prstGeom>
      </xdr:spPr>
    </xdr:pic>
    <xdr:clientData/>
  </xdr:twoCellAnchor>
  <xdr:twoCellAnchor editAs="oneCell">
    <xdr:from>
      <xdr:col>0</xdr:col>
      <xdr:colOff>155891</xdr:colOff>
      <xdr:row>161</xdr:row>
      <xdr:rowOff>130075</xdr:rowOff>
    </xdr:from>
    <xdr:to>
      <xdr:col>0</xdr:col>
      <xdr:colOff>573686</xdr:colOff>
      <xdr:row>164</xdr:row>
      <xdr:rowOff>74042</xdr:rowOff>
    </xdr:to>
    <xdr:pic>
      <xdr:nvPicPr>
        <xdr:cNvPr id="4" name="Kuva 3">
          <a:hlinkClick xmlns:r="http://schemas.openxmlformats.org/officeDocument/2006/relationships" r:id="rId18"/>
          <a:extLst>
            <a:ext uri="{FF2B5EF4-FFF2-40B4-BE49-F238E27FC236}">
              <a16:creationId xmlns:a16="http://schemas.microsoft.com/office/drawing/2014/main" id="{25C2F4E6-5963-4EEE-A202-87B4E3748B7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5891" y="24570381"/>
          <a:ext cx="417795" cy="405670"/>
        </a:xfrm>
        <a:prstGeom prst="rect">
          <a:avLst/>
        </a:prstGeom>
      </xdr:spPr>
    </xdr:pic>
    <xdr:clientData/>
  </xdr:twoCellAnchor>
  <xdr:twoCellAnchor editAs="oneCell">
    <xdr:from>
      <xdr:col>0</xdr:col>
      <xdr:colOff>135423</xdr:colOff>
      <xdr:row>164</xdr:row>
      <xdr:rowOff>136821</xdr:rowOff>
    </xdr:from>
    <xdr:to>
      <xdr:col>0</xdr:col>
      <xdr:colOff>577969</xdr:colOff>
      <xdr:row>168</xdr:row>
      <xdr:rowOff>3809</xdr:rowOff>
    </xdr:to>
    <xdr:pic>
      <xdr:nvPicPr>
        <xdr:cNvPr id="8" name="Kuva 7" descr="Tulostin">
          <a:extLst>
            <a:ext uri="{FF2B5EF4-FFF2-40B4-BE49-F238E27FC236}">
              <a16:creationId xmlns:a16="http://schemas.microsoft.com/office/drawing/2014/main" id="{A15F584A-722C-4269-ADF1-C66C1E3D97C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5423" y="25038831"/>
          <a:ext cx="450166" cy="482706"/>
        </a:xfrm>
        <a:prstGeom prst="rect">
          <a:avLst/>
        </a:prstGeom>
      </xdr:spPr>
    </xdr:pic>
    <xdr:clientData/>
  </xdr:twoCellAnchor>
  <xdr:twoCellAnchor editAs="oneCell">
    <xdr:from>
      <xdr:col>15</xdr:col>
      <xdr:colOff>257325</xdr:colOff>
      <xdr:row>83</xdr:row>
      <xdr:rowOff>70338</xdr:rowOff>
    </xdr:from>
    <xdr:to>
      <xdr:col>17</xdr:col>
      <xdr:colOff>257842</xdr:colOff>
      <xdr:row>85</xdr:row>
      <xdr:rowOff>68583</xdr:rowOff>
    </xdr:to>
    <xdr:pic>
      <xdr:nvPicPr>
        <xdr:cNvPr id="13" name="Kuva 12">
          <a:extLst>
            <a:ext uri="{FF2B5EF4-FFF2-40B4-BE49-F238E27FC236}">
              <a16:creationId xmlns:a16="http://schemas.microsoft.com/office/drawing/2014/main" id="{9E5A2C20-A9EC-4501-A192-A1BAD021981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77325" y="12294995"/>
          <a:ext cx="934239" cy="304406"/>
        </a:xfrm>
        <a:prstGeom prst="rect">
          <a:avLst/>
        </a:prstGeom>
      </xdr:spPr>
    </xdr:pic>
    <xdr:clientData/>
  </xdr:twoCellAnchor>
  <xdr:twoCellAnchor editAs="oneCell">
    <xdr:from>
      <xdr:col>15</xdr:col>
      <xdr:colOff>277447</xdr:colOff>
      <xdr:row>253</xdr:row>
      <xdr:rowOff>64770</xdr:rowOff>
    </xdr:from>
    <xdr:to>
      <xdr:col>17</xdr:col>
      <xdr:colOff>233822</xdr:colOff>
      <xdr:row>255</xdr:row>
      <xdr:rowOff>76350</xdr:rowOff>
    </xdr:to>
    <xdr:pic>
      <xdr:nvPicPr>
        <xdr:cNvPr id="51" name="Kuva 50">
          <a:extLst>
            <a:ext uri="{FF2B5EF4-FFF2-40B4-BE49-F238E27FC236}">
              <a16:creationId xmlns:a16="http://schemas.microsoft.com/office/drawing/2014/main" id="{B24E9A9A-0280-4C9D-982B-ED7C545D9B4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97447" y="37527956"/>
          <a:ext cx="911052" cy="332708"/>
        </a:xfrm>
        <a:prstGeom prst="rect">
          <a:avLst/>
        </a:prstGeom>
      </xdr:spPr>
    </xdr:pic>
    <xdr:clientData/>
  </xdr:twoCellAnchor>
  <xdr:twoCellAnchor editAs="oneCell">
    <xdr:from>
      <xdr:col>15</xdr:col>
      <xdr:colOff>363697</xdr:colOff>
      <xdr:row>1</xdr:row>
      <xdr:rowOff>29501</xdr:rowOff>
    </xdr:from>
    <xdr:to>
      <xdr:col>17</xdr:col>
      <xdr:colOff>377154</xdr:colOff>
      <xdr:row>3</xdr:row>
      <xdr:rowOff>33461</xdr:rowOff>
    </xdr:to>
    <xdr:pic>
      <xdr:nvPicPr>
        <xdr:cNvPr id="52" name="Kuva 51">
          <a:extLst>
            <a:ext uri="{FF2B5EF4-FFF2-40B4-BE49-F238E27FC236}">
              <a16:creationId xmlns:a16="http://schemas.microsoft.com/office/drawing/2014/main" id="{DAAE5EE0-11B6-421C-A94C-5784F7456A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636840" y="187156"/>
          <a:ext cx="959388" cy="330419"/>
        </a:xfrm>
        <a:prstGeom prst="rect">
          <a:avLst/>
        </a:prstGeom>
      </xdr:spPr>
    </xdr:pic>
    <xdr:clientData/>
  </xdr:twoCellAnchor>
  <xdr:twoCellAnchor editAs="oneCell">
    <xdr:from>
      <xdr:col>15</xdr:col>
      <xdr:colOff>304800</xdr:colOff>
      <xdr:row>166</xdr:row>
      <xdr:rowOff>91440</xdr:rowOff>
    </xdr:from>
    <xdr:to>
      <xdr:col>17</xdr:col>
      <xdr:colOff>301452</xdr:colOff>
      <xdr:row>169</xdr:row>
      <xdr:rowOff>150</xdr:rowOff>
    </xdr:to>
    <xdr:pic>
      <xdr:nvPicPr>
        <xdr:cNvPr id="17" name="Kuva 16">
          <a:extLst>
            <a:ext uri="{FF2B5EF4-FFF2-40B4-BE49-F238E27FC236}">
              <a16:creationId xmlns:a16="http://schemas.microsoft.com/office/drawing/2014/main" id="{CF982E4A-71B5-48CA-B7D3-5926C9B5CCA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24800" y="24872769"/>
          <a:ext cx="937994" cy="344138"/>
        </a:xfrm>
        <a:prstGeom prst="rect">
          <a:avLst/>
        </a:prstGeom>
      </xdr:spPr>
    </xdr:pic>
    <xdr:clientData/>
  </xdr:twoCellAnchor>
  <xdr:twoCellAnchor>
    <xdr:from>
      <xdr:col>0</xdr:col>
      <xdr:colOff>118348</xdr:colOff>
      <xdr:row>21</xdr:row>
      <xdr:rowOff>7977</xdr:rowOff>
    </xdr:from>
    <xdr:to>
      <xdr:col>0</xdr:col>
      <xdr:colOff>579944</xdr:colOff>
      <xdr:row>45</xdr:row>
      <xdr:rowOff>91055</xdr:rowOff>
    </xdr:to>
    <xdr:grpSp>
      <xdr:nvGrpSpPr>
        <xdr:cNvPr id="2" name="Ryhmä 1">
          <a:extLst>
            <a:ext uri="{FF2B5EF4-FFF2-40B4-BE49-F238E27FC236}">
              <a16:creationId xmlns:a16="http://schemas.microsoft.com/office/drawing/2014/main" id="{AD7866CD-3AC5-7D2B-7327-4798D416DAD6}"/>
            </a:ext>
          </a:extLst>
        </xdr:cNvPr>
        <xdr:cNvGrpSpPr/>
      </xdr:nvGrpSpPr>
      <xdr:grpSpPr>
        <a:xfrm>
          <a:off x="118348" y="3113127"/>
          <a:ext cx="461596" cy="3759728"/>
          <a:chOff x="160020" y="4639508"/>
          <a:chExt cx="461596" cy="3809734"/>
        </a:xfrm>
      </xdr:grpSpPr>
      <xdr:pic>
        <xdr:nvPicPr>
          <xdr:cNvPr id="18" name="Kuva 17">
            <a:hlinkClick xmlns:r="http://schemas.openxmlformats.org/officeDocument/2006/relationships" r:id="rId4"/>
            <a:extLst>
              <a:ext uri="{FF2B5EF4-FFF2-40B4-BE49-F238E27FC236}">
                <a16:creationId xmlns:a16="http://schemas.microsoft.com/office/drawing/2014/main" id="{139E1DDE-1505-4E50-B446-96C1766408E4}"/>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4170" y="5041980"/>
            <a:ext cx="396000" cy="401129"/>
          </a:xfrm>
          <a:prstGeom prst="rect">
            <a:avLst/>
          </a:prstGeom>
        </xdr:spPr>
      </xdr:pic>
      <xdr:pic>
        <xdr:nvPicPr>
          <xdr:cNvPr id="19" name="Kuva 18">
            <a:hlinkClick xmlns:r="http://schemas.openxmlformats.org/officeDocument/2006/relationships" r:id="rId6"/>
            <a:extLst>
              <a:ext uri="{FF2B5EF4-FFF2-40B4-BE49-F238E27FC236}">
                <a16:creationId xmlns:a16="http://schemas.microsoft.com/office/drawing/2014/main" id="{7C660B7F-AB4C-48FF-96C3-455B9B62F15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275" y="5461830"/>
            <a:ext cx="396000" cy="396000"/>
          </a:xfrm>
          <a:prstGeom prst="rect">
            <a:avLst/>
          </a:prstGeom>
        </xdr:spPr>
      </xdr:pic>
      <xdr:pic>
        <xdr:nvPicPr>
          <xdr:cNvPr id="20" name="Kuva 19">
            <a:hlinkClick xmlns:r="http://schemas.openxmlformats.org/officeDocument/2006/relationships" r:id="rId8"/>
            <a:extLst>
              <a:ext uri="{FF2B5EF4-FFF2-40B4-BE49-F238E27FC236}">
                <a16:creationId xmlns:a16="http://schemas.microsoft.com/office/drawing/2014/main" id="{93A32DEE-055A-4AB7-A223-37C5774E02DB}"/>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5485" y="7112193"/>
            <a:ext cx="396000" cy="396000"/>
          </a:xfrm>
          <a:prstGeom prst="rect">
            <a:avLst/>
          </a:prstGeom>
        </xdr:spPr>
      </xdr:pic>
      <xdr:pic>
        <xdr:nvPicPr>
          <xdr:cNvPr id="21" name="Kuva 20">
            <a:hlinkClick xmlns:r="http://schemas.openxmlformats.org/officeDocument/2006/relationships" r:id="rId10"/>
            <a:extLst>
              <a:ext uri="{FF2B5EF4-FFF2-40B4-BE49-F238E27FC236}">
                <a16:creationId xmlns:a16="http://schemas.microsoft.com/office/drawing/2014/main" id="{29C3C514-BFAC-4111-95C9-CC25AF56CDF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2164" y="6299295"/>
            <a:ext cx="396000" cy="396000"/>
          </a:xfrm>
          <a:prstGeom prst="rect">
            <a:avLst/>
          </a:prstGeom>
        </xdr:spPr>
      </xdr:pic>
      <xdr:pic>
        <xdr:nvPicPr>
          <xdr:cNvPr id="22" name="Kuva 21">
            <a:hlinkClick xmlns:r="http://schemas.openxmlformats.org/officeDocument/2006/relationships" r:id="rId12"/>
            <a:extLst>
              <a:ext uri="{FF2B5EF4-FFF2-40B4-BE49-F238E27FC236}">
                <a16:creationId xmlns:a16="http://schemas.microsoft.com/office/drawing/2014/main" id="{0C934381-7046-4D5A-BB76-013978BEDF58}"/>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6521" y="5882631"/>
            <a:ext cx="396000" cy="396000"/>
          </a:xfrm>
          <a:prstGeom prst="rect">
            <a:avLst/>
          </a:prstGeom>
        </xdr:spPr>
      </xdr:pic>
      <xdr:pic>
        <xdr:nvPicPr>
          <xdr:cNvPr id="23" name="Kuva 22">
            <a:hlinkClick xmlns:r="http://schemas.openxmlformats.org/officeDocument/2006/relationships" r:id="rId14"/>
            <a:extLst>
              <a:ext uri="{FF2B5EF4-FFF2-40B4-BE49-F238E27FC236}">
                <a16:creationId xmlns:a16="http://schemas.microsoft.com/office/drawing/2014/main" id="{9E13A4CC-D7C7-4B1E-B91F-D7DA119112ED}"/>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5865" y="6708733"/>
            <a:ext cx="396000" cy="396000"/>
          </a:xfrm>
          <a:prstGeom prst="rect">
            <a:avLst/>
          </a:prstGeom>
        </xdr:spPr>
      </xdr:pic>
      <xdr:pic>
        <xdr:nvPicPr>
          <xdr:cNvPr id="24" name="Kuva 23">
            <a:hlinkClick xmlns:r="http://schemas.openxmlformats.org/officeDocument/2006/relationships" r:id="rId16"/>
            <a:extLst>
              <a:ext uri="{FF2B5EF4-FFF2-40B4-BE49-F238E27FC236}">
                <a16:creationId xmlns:a16="http://schemas.microsoft.com/office/drawing/2014/main" id="{F2EAD9B2-7FCF-4ED8-9CAF-A21C9C56FAE9}"/>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7573" y="4639508"/>
            <a:ext cx="396000" cy="396000"/>
          </a:xfrm>
          <a:prstGeom prst="rect">
            <a:avLst/>
          </a:prstGeom>
        </xdr:spPr>
      </xdr:pic>
      <xdr:pic>
        <xdr:nvPicPr>
          <xdr:cNvPr id="25" name="Kuva 24">
            <a:hlinkClick xmlns:r="http://schemas.openxmlformats.org/officeDocument/2006/relationships" r:id="rId28"/>
            <a:extLst>
              <a:ext uri="{FF2B5EF4-FFF2-40B4-BE49-F238E27FC236}">
                <a16:creationId xmlns:a16="http://schemas.microsoft.com/office/drawing/2014/main" id="{75483E71-FABD-4BF8-82D5-3C225B15B792}"/>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9684" y="7534259"/>
            <a:ext cx="396000" cy="396000"/>
          </a:xfrm>
          <a:prstGeom prst="rect">
            <a:avLst/>
          </a:prstGeom>
        </xdr:spPr>
      </xdr:pic>
      <xdr:pic>
        <xdr:nvPicPr>
          <xdr:cNvPr id="31" name="Kuva 30" descr="Tulostin">
            <a:extLst>
              <a:ext uri="{FF2B5EF4-FFF2-40B4-BE49-F238E27FC236}">
                <a16:creationId xmlns:a16="http://schemas.microsoft.com/office/drawing/2014/main" id="{224FDD31-D432-47DC-A71F-07675C9094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60020" y="7979972"/>
            <a:ext cx="461596" cy="46927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504825</xdr:colOff>
      <xdr:row>5</xdr:row>
      <xdr:rowOff>152400</xdr:rowOff>
    </xdr:from>
    <xdr:to>
      <xdr:col>6</xdr:col>
      <xdr:colOff>333375</xdr:colOff>
      <xdr:row>22</xdr:row>
      <xdr:rowOff>142875</xdr:rowOff>
    </xdr:to>
    <xdr:graphicFrame macro="">
      <xdr:nvGraphicFramePr>
        <xdr:cNvPr id="4" name="Kaavio 3">
          <a:extLst>
            <a:ext uri="{FF2B5EF4-FFF2-40B4-BE49-F238E27FC236}">
              <a16:creationId xmlns:a16="http://schemas.microsoft.com/office/drawing/2014/main" id="{695C0891-A2F1-4335-B854-AA8EEEB91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602932</xdr:colOff>
      <xdr:row>31</xdr:row>
      <xdr:rowOff>76200</xdr:rowOff>
    </xdr:from>
    <xdr:to>
      <xdr:col>6</xdr:col>
      <xdr:colOff>437197</xdr:colOff>
      <xdr:row>46</xdr:row>
      <xdr:rowOff>91440</xdr:rowOff>
    </xdr:to>
    <xdr:graphicFrame macro="">
      <xdr:nvGraphicFramePr>
        <xdr:cNvPr id="5" name="Kaavio 4">
          <a:extLst>
            <a:ext uri="{FF2B5EF4-FFF2-40B4-BE49-F238E27FC236}">
              <a16:creationId xmlns:a16="http://schemas.microsoft.com/office/drawing/2014/main" id="{ACA051F4-8E73-4AAC-8FA3-4EF8C164C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52</xdr:row>
      <xdr:rowOff>95250</xdr:rowOff>
    </xdr:from>
    <xdr:to>
      <xdr:col>6</xdr:col>
      <xdr:colOff>457200</xdr:colOff>
      <xdr:row>69</xdr:row>
      <xdr:rowOff>85725</xdr:rowOff>
    </xdr:to>
    <xdr:graphicFrame macro="">
      <xdr:nvGraphicFramePr>
        <xdr:cNvPr id="6" name="Kaavio 5">
          <a:extLst>
            <a:ext uri="{FF2B5EF4-FFF2-40B4-BE49-F238E27FC236}">
              <a16:creationId xmlns:a16="http://schemas.microsoft.com/office/drawing/2014/main" id="{520CE664-D88B-4C85-A9A6-9E099C5147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159340</xdr:colOff>
      <xdr:row>16</xdr:row>
      <xdr:rowOff>150630</xdr:rowOff>
    </xdr:from>
    <xdr:to>
      <xdr:col>0</xdr:col>
      <xdr:colOff>564049</xdr:colOff>
      <xdr:row>19</xdr:row>
      <xdr:rowOff>68203</xdr:rowOff>
    </xdr:to>
    <xdr:pic>
      <xdr:nvPicPr>
        <xdr:cNvPr id="3" name="Kuva 2">
          <a:extLst>
            <a:ext uri="{FF2B5EF4-FFF2-40B4-BE49-F238E27FC236}">
              <a16:creationId xmlns:a16="http://schemas.microsoft.com/office/drawing/2014/main" id="{C1B2FD35-8B29-46EE-823B-C2093A8971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 y="2688090"/>
          <a:ext cx="403620" cy="392734"/>
        </a:xfrm>
        <a:prstGeom prst="rect">
          <a:avLst/>
        </a:prstGeom>
      </xdr:spPr>
    </xdr:pic>
    <xdr:clientData/>
  </xdr:twoCellAnchor>
  <xdr:twoCellAnchor editAs="oneCell">
    <xdr:from>
      <xdr:col>0</xdr:col>
      <xdr:colOff>158966</xdr:colOff>
      <xdr:row>19</xdr:row>
      <xdr:rowOff>75636</xdr:rowOff>
    </xdr:from>
    <xdr:to>
      <xdr:col>0</xdr:col>
      <xdr:colOff>567851</xdr:colOff>
      <xdr:row>21</xdr:row>
      <xdr:rowOff>144793</xdr:rowOff>
    </xdr:to>
    <xdr:pic>
      <xdr:nvPicPr>
        <xdr:cNvPr id="18" name="Kuva 17">
          <a:hlinkClick xmlns:r="http://schemas.openxmlformats.org/officeDocument/2006/relationships" r:id="rId2"/>
          <a:extLst>
            <a:ext uri="{FF2B5EF4-FFF2-40B4-BE49-F238E27FC236}">
              <a16:creationId xmlns:a16="http://schemas.microsoft.com/office/drawing/2014/main" id="{ECC116EE-6156-49FA-8540-CA7C688B1D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66" y="3093156"/>
          <a:ext cx="406703" cy="384298"/>
        </a:xfrm>
        <a:prstGeom prst="rect">
          <a:avLst/>
        </a:prstGeom>
      </xdr:spPr>
    </xdr:pic>
    <xdr:clientData/>
  </xdr:twoCellAnchor>
  <xdr:twoCellAnchor editAs="oneCell">
    <xdr:from>
      <xdr:col>0</xdr:col>
      <xdr:colOff>155121</xdr:colOff>
      <xdr:row>21</xdr:row>
      <xdr:rowOff>156768</xdr:rowOff>
    </xdr:from>
    <xdr:to>
      <xdr:col>0</xdr:col>
      <xdr:colOff>563640</xdr:colOff>
      <xdr:row>24</xdr:row>
      <xdr:rowOff>69442</xdr:rowOff>
    </xdr:to>
    <xdr:pic>
      <xdr:nvPicPr>
        <xdr:cNvPr id="25" name="Kuva 24">
          <a:hlinkClick xmlns:r="http://schemas.openxmlformats.org/officeDocument/2006/relationships" r:id="rId4"/>
          <a:extLst>
            <a:ext uri="{FF2B5EF4-FFF2-40B4-BE49-F238E27FC236}">
              <a16:creationId xmlns:a16="http://schemas.microsoft.com/office/drawing/2014/main" id="{FB6628F9-F1CA-4024-B96A-F67B202BE7A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121" y="6693639"/>
          <a:ext cx="396000" cy="396000"/>
        </a:xfrm>
        <a:prstGeom prst="rect">
          <a:avLst/>
        </a:prstGeom>
      </xdr:spPr>
    </xdr:pic>
    <xdr:clientData/>
  </xdr:twoCellAnchor>
  <xdr:twoCellAnchor editAs="oneCell">
    <xdr:from>
      <xdr:col>0</xdr:col>
      <xdr:colOff>145917</xdr:colOff>
      <xdr:row>34</xdr:row>
      <xdr:rowOff>117870</xdr:rowOff>
    </xdr:from>
    <xdr:to>
      <xdr:col>0</xdr:col>
      <xdr:colOff>563688</xdr:colOff>
      <xdr:row>37</xdr:row>
      <xdr:rowOff>40341</xdr:rowOff>
    </xdr:to>
    <xdr:pic>
      <xdr:nvPicPr>
        <xdr:cNvPr id="29" name="Kuva 28">
          <a:hlinkClick xmlns:r="http://schemas.openxmlformats.org/officeDocument/2006/relationships" r:id="rId6"/>
          <a:extLst>
            <a:ext uri="{FF2B5EF4-FFF2-40B4-BE49-F238E27FC236}">
              <a16:creationId xmlns:a16="http://schemas.microsoft.com/office/drawing/2014/main" id="{AB7618EB-1F58-4E31-B320-73740D0BFB5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5917" y="8717584"/>
          <a:ext cx="396000" cy="396000"/>
        </a:xfrm>
        <a:prstGeom prst="rect">
          <a:avLst/>
        </a:prstGeom>
      </xdr:spPr>
    </xdr:pic>
    <xdr:clientData/>
  </xdr:twoCellAnchor>
  <xdr:twoCellAnchor editAs="oneCell">
    <xdr:from>
      <xdr:col>0</xdr:col>
      <xdr:colOff>147598</xdr:colOff>
      <xdr:row>32</xdr:row>
      <xdr:rowOff>26549</xdr:rowOff>
    </xdr:from>
    <xdr:to>
      <xdr:col>0</xdr:col>
      <xdr:colOff>561832</xdr:colOff>
      <xdr:row>34</xdr:row>
      <xdr:rowOff>105775</xdr:rowOff>
    </xdr:to>
    <xdr:pic>
      <xdr:nvPicPr>
        <xdr:cNvPr id="31" name="Kuva 30">
          <a:hlinkClick xmlns:r="http://schemas.openxmlformats.org/officeDocument/2006/relationships" r:id="rId8"/>
          <a:extLst>
            <a:ext uri="{FF2B5EF4-FFF2-40B4-BE49-F238E27FC236}">
              <a16:creationId xmlns:a16="http://schemas.microsoft.com/office/drawing/2014/main" id="{2B553F6A-EAAF-4E02-A086-CF072E1A6A2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7598" y="8310578"/>
          <a:ext cx="396000" cy="396000"/>
        </a:xfrm>
        <a:prstGeom prst="rect">
          <a:avLst/>
        </a:prstGeom>
      </xdr:spPr>
    </xdr:pic>
    <xdr:clientData/>
  </xdr:twoCellAnchor>
  <xdr:twoCellAnchor editAs="oneCell">
    <xdr:from>
      <xdr:col>0</xdr:col>
      <xdr:colOff>152663</xdr:colOff>
      <xdr:row>27</xdr:row>
      <xdr:rowOff>11991</xdr:rowOff>
    </xdr:from>
    <xdr:to>
      <xdr:col>0</xdr:col>
      <xdr:colOff>561182</xdr:colOff>
      <xdr:row>29</xdr:row>
      <xdr:rowOff>104824</xdr:rowOff>
    </xdr:to>
    <xdr:pic>
      <xdr:nvPicPr>
        <xdr:cNvPr id="35" name="Kuva 34">
          <a:hlinkClick xmlns:r="http://schemas.openxmlformats.org/officeDocument/2006/relationships" r:id="rId10"/>
          <a:extLst>
            <a:ext uri="{FF2B5EF4-FFF2-40B4-BE49-F238E27FC236}">
              <a16:creationId xmlns:a16="http://schemas.microsoft.com/office/drawing/2014/main" id="{F279BB95-2936-49AB-AB06-F1F1507D6FE5}"/>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663" y="7506805"/>
          <a:ext cx="396000" cy="396000"/>
        </a:xfrm>
        <a:prstGeom prst="rect">
          <a:avLst/>
        </a:prstGeom>
      </xdr:spPr>
    </xdr:pic>
    <xdr:clientData/>
  </xdr:twoCellAnchor>
  <xdr:twoCellAnchor editAs="oneCell">
    <xdr:from>
      <xdr:col>0</xdr:col>
      <xdr:colOff>154101</xdr:colOff>
      <xdr:row>24</xdr:row>
      <xdr:rowOff>85649</xdr:rowOff>
    </xdr:from>
    <xdr:to>
      <xdr:col>0</xdr:col>
      <xdr:colOff>562620</xdr:colOff>
      <xdr:row>27</xdr:row>
      <xdr:rowOff>29892</xdr:rowOff>
    </xdr:to>
    <xdr:pic>
      <xdr:nvPicPr>
        <xdr:cNvPr id="37" name="Kuva 36">
          <a:hlinkClick xmlns:r="http://schemas.openxmlformats.org/officeDocument/2006/relationships" r:id="rId12"/>
          <a:extLst>
            <a:ext uri="{FF2B5EF4-FFF2-40B4-BE49-F238E27FC236}">
              <a16:creationId xmlns:a16="http://schemas.microsoft.com/office/drawing/2014/main" id="{98972D7E-CDCF-4B3C-B25C-EE3291CB7A7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4101" y="7106935"/>
          <a:ext cx="396000" cy="396000"/>
        </a:xfrm>
        <a:prstGeom prst="rect">
          <a:avLst/>
        </a:prstGeom>
      </xdr:spPr>
    </xdr:pic>
    <xdr:clientData/>
  </xdr:twoCellAnchor>
  <xdr:twoCellAnchor editAs="oneCell">
    <xdr:from>
      <xdr:col>0</xdr:col>
      <xdr:colOff>144916</xdr:colOff>
      <xdr:row>29</xdr:row>
      <xdr:rowOff>100691</xdr:rowOff>
    </xdr:from>
    <xdr:to>
      <xdr:col>0</xdr:col>
      <xdr:colOff>562960</xdr:colOff>
      <xdr:row>32</xdr:row>
      <xdr:rowOff>28061</xdr:rowOff>
    </xdr:to>
    <xdr:pic>
      <xdr:nvPicPr>
        <xdr:cNvPr id="44" name="Kuva 43">
          <a:hlinkClick xmlns:r="http://schemas.openxmlformats.org/officeDocument/2006/relationships" r:id="rId14"/>
          <a:extLst>
            <a:ext uri="{FF2B5EF4-FFF2-40B4-BE49-F238E27FC236}">
              <a16:creationId xmlns:a16="http://schemas.microsoft.com/office/drawing/2014/main" id="{EAF51B9C-D258-464A-87E9-8C09D19E8FD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916" y="7911191"/>
          <a:ext cx="396000" cy="396000"/>
        </a:xfrm>
        <a:prstGeom prst="rect">
          <a:avLst/>
        </a:prstGeom>
      </xdr:spPr>
    </xdr:pic>
    <xdr:clientData/>
  </xdr:twoCellAnchor>
  <xdr:twoCellAnchor editAs="oneCell">
    <xdr:from>
      <xdr:col>0</xdr:col>
      <xdr:colOff>156482</xdr:colOff>
      <xdr:row>37</xdr:row>
      <xdr:rowOff>63954</xdr:rowOff>
    </xdr:from>
    <xdr:to>
      <xdr:col>0</xdr:col>
      <xdr:colOff>562823</xdr:colOff>
      <xdr:row>39</xdr:row>
      <xdr:rowOff>143452</xdr:rowOff>
    </xdr:to>
    <xdr:pic>
      <xdr:nvPicPr>
        <xdr:cNvPr id="13" name="Kuva 12" descr="Tulostin">
          <a:hlinkClick xmlns:r="http://schemas.openxmlformats.org/officeDocument/2006/relationships" r:id="rId16"/>
          <a:extLst>
            <a:ext uri="{FF2B5EF4-FFF2-40B4-BE49-F238E27FC236}">
              <a16:creationId xmlns:a16="http://schemas.microsoft.com/office/drawing/2014/main" id="{6EF3D129-3259-4C27-AFD8-5850172BCA8E}"/>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56482" y="9137197"/>
          <a:ext cx="396000" cy="396000"/>
        </a:xfrm>
        <a:prstGeom prst="rect">
          <a:avLst/>
        </a:prstGeom>
      </xdr:spPr>
    </xdr:pic>
    <xdr:clientData/>
  </xdr:twoCellAnchor>
  <xdr:twoCellAnchor editAs="oneCell">
    <xdr:from>
      <xdr:col>6</xdr:col>
      <xdr:colOff>674000</xdr:colOff>
      <xdr:row>2</xdr:row>
      <xdr:rowOff>130630</xdr:rowOff>
    </xdr:from>
    <xdr:to>
      <xdr:col>8</xdr:col>
      <xdr:colOff>727440</xdr:colOff>
      <xdr:row>4</xdr:row>
      <xdr:rowOff>1089</xdr:rowOff>
    </xdr:to>
    <xdr:pic>
      <xdr:nvPicPr>
        <xdr:cNvPr id="4" name="Kuva 3">
          <a:extLst>
            <a:ext uri="{FF2B5EF4-FFF2-40B4-BE49-F238E27FC236}">
              <a16:creationId xmlns:a16="http://schemas.microsoft.com/office/drawing/2014/main" id="{3568A623-F2A8-6D79-119F-6F2EE60285B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83557" y="468087"/>
          <a:ext cx="1650102" cy="22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103667</xdr:colOff>
      <xdr:row>29</xdr:row>
      <xdr:rowOff>146206</xdr:rowOff>
    </xdr:from>
    <xdr:to>
      <xdr:col>0</xdr:col>
      <xdr:colOff>519895</xdr:colOff>
      <xdr:row>32</xdr:row>
      <xdr:rowOff>7958</xdr:rowOff>
    </xdr:to>
    <xdr:pic>
      <xdr:nvPicPr>
        <xdr:cNvPr id="29" name="Kuva 28">
          <a:hlinkClick xmlns:r="http://schemas.openxmlformats.org/officeDocument/2006/relationships" r:id="rId1"/>
          <a:extLst>
            <a:ext uri="{FF2B5EF4-FFF2-40B4-BE49-F238E27FC236}">
              <a16:creationId xmlns:a16="http://schemas.microsoft.com/office/drawing/2014/main" id="{90A8EB35-5774-4B95-84F8-ACC9FC36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67" y="4741066"/>
          <a:ext cx="416228" cy="395152"/>
        </a:xfrm>
        <a:prstGeom prst="rect">
          <a:avLst/>
        </a:prstGeom>
      </xdr:spPr>
    </xdr:pic>
    <xdr:clientData/>
  </xdr:twoCellAnchor>
  <xdr:twoCellAnchor>
    <xdr:from>
      <xdr:col>0</xdr:col>
      <xdr:colOff>111511</xdr:colOff>
      <xdr:row>17</xdr:row>
      <xdr:rowOff>28180</xdr:rowOff>
    </xdr:from>
    <xdr:to>
      <xdr:col>0</xdr:col>
      <xdr:colOff>522024</xdr:colOff>
      <xdr:row>19</xdr:row>
      <xdr:rowOff>105580</xdr:rowOff>
    </xdr:to>
    <xdr:pic>
      <xdr:nvPicPr>
        <xdr:cNvPr id="27" name="Kuva 26">
          <a:hlinkClick xmlns:r="http://schemas.openxmlformats.org/officeDocument/2006/relationships" r:id="rId3"/>
          <a:extLst>
            <a:ext uri="{FF2B5EF4-FFF2-40B4-BE49-F238E27FC236}">
              <a16:creationId xmlns:a16="http://schemas.microsoft.com/office/drawing/2014/main" id="{7CBBC4CA-44DD-46BD-B802-73FF2EE6D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511" y="2626600"/>
          <a:ext cx="410513" cy="397440"/>
        </a:xfrm>
        <a:prstGeom prst="rect">
          <a:avLst/>
        </a:prstGeom>
      </xdr:spPr>
    </xdr:pic>
    <xdr:clientData/>
  </xdr:twoCellAnchor>
  <xdr:twoCellAnchor>
    <xdr:from>
      <xdr:col>0</xdr:col>
      <xdr:colOff>114873</xdr:colOff>
      <xdr:row>27</xdr:row>
      <xdr:rowOff>47621</xdr:rowOff>
    </xdr:from>
    <xdr:to>
      <xdr:col>0</xdr:col>
      <xdr:colOff>517765</xdr:colOff>
      <xdr:row>29</xdr:row>
      <xdr:rowOff>122161</xdr:rowOff>
    </xdr:to>
    <xdr:pic>
      <xdr:nvPicPr>
        <xdr:cNvPr id="30" name="Kuva 29">
          <a:hlinkClick xmlns:r="http://schemas.openxmlformats.org/officeDocument/2006/relationships" r:id="rId5"/>
          <a:extLst>
            <a:ext uri="{FF2B5EF4-FFF2-40B4-BE49-F238E27FC236}">
              <a16:creationId xmlns:a16="http://schemas.microsoft.com/office/drawing/2014/main" id="{7B343B2D-AD84-435B-8C1D-1A6F9DA8F8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873" y="4322441"/>
          <a:ext cx="402892" cy="394580"/>
        </a:xfrm>
        <a:prstGeom prst="rect">
          <a:avLst/>
        </a:prstGeom>
      </xdr:spPr>
    </xdr:pic>
    <xdr:clientData/>
  </xdr:twoCellAnchor>
  <xdr:twoCellAnchor>
    <xdr:from>
      <xdr:col>0</xdr:col>
      <xdr:colOff>119938</xdr:colOff>
      <xdr:row>22</xdr:row>
      <xdr:rowOff>27109</xdr:rowOff>
    </xdr:from>
    <xdr:to>
      <xdr:col>0</xdr:col>
      <xdr:colOff>522831</xdr:colOff>
      <xdr:row>24</xdr:row>
      <xdr:rowOff>108513</xdr:rowOff>
    </xdr:to>
    <xdr:pic>
      <xdr:nvPicPr>
        <xdr:cNvPr id="31" name="Kuva 30">
          <a:hlinkClick xmlns:r="http://schemas.openxmlformats.org/officeDocument/2006/relationships" r:id="rId7"/>
          <a:extLst>
            <a:ext uri="{FF2B5EF4-FFF2-40B4-BE49-F238E27FC236}">
              <a16:creationId xmlns:a16="http://schemas.microsoft.com/office/drawing/2014/main" id="{058235FA-B111-401D-B759-8F1B0304DA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938" y="3463729"/>
          <a:ext cx="402893" cy="401444"/>
        </a:xfrm>
        <a:prstGeom prst="rect">
          <a:avLst/>
        </a:prstGeom>
      </xdr:spPr>
    </xdr:pic>
    <xdr:clientData/>
  </xdr:twoCellAnchor>
  <xdr:twoCellAnchor>
    <xdr:from>
      <xdr:col>0</xdr:col>
      <xdr:colOff>110490</xdr:colOff>
      <xdr:row>19</xdr:row>
      <xdr:rowOff>130898</xdr:rowOff>
    </xdr:from>
    <xdr:to>
      <xdr:col>0</xdr:col>
      <xdr:colOff>521003</xdr:colOff>
      <xdr:row>22</xdr:row>
      <xdr:rowOff>11891</xdr:rowOff>
    </xdr:to>
    <xdr:pic>
      <xdr:nvPicPr>
        <xdr:cNvPr id="32" name="Kuva 31">
          <a:hlinkClick xmlns:r="http://schemas.openxmlformats.org/officeDocument/2006/relationships" r:id="rId9"/>
          <a:extLst>
            <a:ext uri="{FF2B5EF4-FFF2-40B4-BE49-F238E27FC236}">
              <a16:creationId xmlns:a16="http://schemas.microsoft.com/office/drawing/2014/main" id="{35822D4F-7271-43F1-ADAB-DBCB970EEF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490" y="3049358"/>
          <a:ext cx="410513" cy="399153"/>
        </a:xfrm>
        <a:prstGeom prst="rect">
          <a:avLst/>
        </a:prstGeom>
      </xdr:spPr>
    </xdr:pic>
    <xdr:clientData/>
  </xdr:twoCellAnchor>
  <xdr:twoCellAnchor>
    <xdr:from>
      <xdr:col>0</xdr:col>
      <xdr:colOff>117633</xdr:colOff>
      <xdr:row>24</xdr:row>
      <xdr:rowOff>126186</xdr:rowOff>
    </xdr:from>
    <xdr:to>
      <xdr:col>0</xdr:col>
      <xdr:colOff>520526</xdr:colOff>
      <xdr:row>27</xdr:row>
      <xdr:rowOff>52711</xdr:rowOff>
    </xdr:to>
    <xdr:pic>
      <xdr:nvPicPr>
        <xdr:cNvPr id="33" name="Kuva 32">
          <a:hlinkClick xmlns:r="http://schemas.openxmlformats.org/officeDocument/2006/relationships" r:id="rId11"/>
          <a:extLst>
            <a:ext uri="{FF2B5EF4-FFF2-40B4-BE49-F238E27FC236}">
              <a16:creationId xmlns:a16="http://schemas.microsoft.com/office/drawing/2014/main" id="{A1636687-9E69-488A-97E2-7FF39C9E79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 y="3882846"/>
          <a:ext cx="402893" cy="444685"/>
        </a:xfrm>
        <a:prstGeom prst="rect">
          <a:avLst/>
        </a:prstGeom>
      </xdr:spPr>
    </xdr:pic>
    <xdr:clientData/>
  </xdr:twoCellAnchor>
  <xdr:twoCellAnchor>
    <xdr:from>
      <xdr:col>0</xdr:col>
      <xdr:colOff>114573</xdr:colOff>
      <xdr:row>12</xdr:row>
      <xdr:rowOff>9797</xdr:rowOff>
    </xdr:from>
    <xdr:to>
      <xdr:col>0</xdr:col>
      <xdr:colOff>517466</xdr:colOff>
      <xdr:row>14</xdr:row>
      <xdr:rowOff>104922</xdr:rowOff>
    </xdr:to>
    <xdr:pic>
      <xdr:nvPicPr>
        <xdr:cNvPr id="3" name="Kuva 2">
          <a:hlinkClick xmlns:r="http://schemas.openxmlformats.org/officeDocument/2006/relationships" r:id="rId13"/>
          <a:extLst>
            <a:ext uri="{FF2B5EF4-FFF2-40B4-BE49-F238E27FC236}">
              <a16:creationId xmlns:a16="http://schemas.microsoft.com/office/drawing/2014/main" id="{E06A21B8-51A0-41A5-A9C9-630709EC69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4573" y="1770017"/>
          <a:ext cx="402893" cy="415165"/>
        </a:xfrm>
        <a:prstGeom prst="rect">
          <a:avLst/>
        </a:prstGeom>
      </xdr:spPr>
    </xdr:pic>
    <xdr:clientData/>
  </xdr:twoCellAnchor>
  <xdr:twoCellAnchor>
    <xdr:from>
      <xdr:col>0</xdr:col>
      <xdr:colOff>107770</xdr:colOff>
      <xdr:row>14</xdr:row>
      <xdr:rowOff>124331</xdr:rowOff>
    </xdr:from>
    <xdr:to>
      <xdr:col>0</xdr:col>
      <xdr:colOff>518283</xdr:colOff>
      <xdr:row>17</xdr:row>
      <xdr:rowOff>18194</xdr:rowOff>
    </xdr:to>
    <xdr:pic>
      <xdr:nvPicPr>
        <xdr:cNvPr id="10" name="Kuva 9">
          <a:extLst>
            <a:ext uri="{FF2B5EF4-FFF2-40B4-BE49-F238E27FC236}">
              <a16:creationId xmlns:a16="http://schemas.microsoft.com/office/drawing/2014/main" id="{6AB3F950-72D0-440D-9E3E-4B022CC670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70" y="2204591"/>
          <a:ext cx="410513" cy="412023"/>
        </a:xfrm>
        <a:prstGeom prst="rect">
          <a:avLst/>
        </a:prstGeom>
      </xdr:spPr>
    </xdr:pic>
    <xdr:clientData/>
  </xdr:twoCellAnchor>
  <xdr:twoCellAnchor>
    <xdr:from>
      <xdr:col>0</xdr:col>
      <xdr:colOff>137160</xdr:colOff>
      <xdr:row>32</xdr:row>
      <xdr:rowOff>65929</xdr:rowOff>
    </xdr:from>
    <xdr:to>
      <xdr:col>0</xdr:col>
      <xdr:colOff>499110</xdr:colOff>
      <xdr:row>34</xdr:row>
      <xdr:rowOff>85184</xdr:rowOff>
    </xdr:to>
    <xdr:pic>
      <xdr:nvPicPr>
        <xdr:cNvPr id="14" name="Kuva 13" descr="Tulostin">
          <a:hlinkClick xmlns:r="http://schemas.openxmlformats.org/officeDocument/2006/relationships" r:id="rId16"/>
          <a:extLst>
            <a:ext uri="{FF2B5EF4-FFF2-40B4-BE49-F238E27FC236}">
              <a16:creationId xmlns:a16="http://schemas.microsoft.com/office/drawing/2014/main" id="{BA2FDFA5-AB25-4A59-80FC-1EF275523C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37160" y="5194189"/>
          <a:ext cx="361950" cy="377395"/>
        </a:xfrm>
        <a:prstGeom prst="rect">
          <a:avLst/>
        </a:prstGeom>
      </xdr:spPr>
    </xdr:pic>
    <xdr:clientData/>
  </xdr:twoCellAnchor>
  <xdr:twoCellAnchor editAs="oneCell">
    <xdr:from>
      <xdr:col>14</xdr:col>
      <xdr:colOff>250372</xdr:colOff>
      <xdr:row>1</xdr:row>
      <xdr:rowOff>81215</xdr:rowOff>
    </xdr:from>
    <xdr:to>
      <xdr:col>16</xdr:col>
      <xdr:colOff>426175</xdr:colOff>
      <xdr:row>4</xdr:row>
      <xdr:rowOff>4081</xdr:rowOff>
    </xdr:to>
    <xdr:pic>
      <xdr:nvPicPr>
        <xdr:cNvPr id="8" name="Kuva 7">
          <a:extLst>
            <a:ext uri="{FF2B5EF4-FFF2-40B4-BE49-F238E27FC236}">
              <a16:creationId xmlns:a16="http://schemas.microsoft.com/office/drawing/2014/main" id="{DD995AD8-FEB2-8D14-0EC0-C805DE5A013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129158" y="260829"/>
          <a:ext cx="1692728" cy="233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112668</xdr:colOff>
      <xdr:row>104</xdr:row>
      <xdr:rowOff>86658</xdr:rowOff>
    </xdr:from>
    <xdr:to>
      <xdr:col>0</xdr:col>
      <xdr:colOff>521236</xdr:colOff>
      <xdr:row>107</xdr:row>
      <xdr:rowOff>25722</xdr:rowOff>
    </xdr:to>
    <xdr:pic>
      <xdr:nvPicPr>
        <xdr:cNvPr id="14" name="Kuva 13">
          <a:hlinkClick xmlns:r="http://schemas.openxmlformats.org/officeDocument/2006/relationships" r:id="rId1"/>
          <a:extLst>
            <a:ext uri="{FF2B5EF4-FFF2-40B4-BE49-F238E27FC236}">
              <a16:creationId xmlns:a16="http://schemas.microsoft.com/office/drawing/2014/main" id="{7D0AE97B-9168-4B23-A055-296F4930B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68" y="16553478"/>
          <a:ext cx="408568" cy="403884"/>
        </a:xfrm>
        <a:prstGeom prst="rect">
          <a:avLst/>
        </a:prstGeom>
      </xdr:spPr>
    </xdr:pic>
    <xdr:clientData/>
  </xdr:twoCellAnchor>
  <xdr:twoCellAnchor>
    <xdr:from>
      <xdr:col>0</xdr:col>
      <xdr:colOff>109402</xdr:colOff>
      <xdr:row>121</xdr:row>
      <xdr:rowOff>23157</xdr:rowOff>
    </xdr:from>
    <xdr:to>
      <xdr:col>0</xdr:col>
      <xdr:colOff>517970</xdr:colOff>
      <xdr:row>123</xdr:row>
      <xdr:rowOff>122241</xdr:rowOff>
    </xdr:to>
    <xdr:pic>
      <xdr:nvPicPr>
        <xdr:cNvPr id="15" name="Kuva 14">
          <a:hlinkClick xmlns:r="http://schemas.openxmlformats.org/officeDocument/2006/relationships" r:id="rId3"/>
          <a:extLst>
            <a:ext uri="{FF2B5EF4-FFF2-40B4-BE49-F238E27FC236}">
              <a16:creationId xmlns:a16="http://schemas.microsoft.com/office/drawing/2014/main" id="{9A92CE5F-24A2-4B27-B085-D61C3B6E1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2" y="19111257"/>
          <a:ext cx="408568" cy="403884"/>
        </a:xfrm>
        <a:prstGeom prst="rect">
          <a:avLst/>
        </a:prstGeom>
      </xdr:spPr>
    </xdr:pic>
    <xdr:clientData/>
  </xdr:twoCellAnchor>
  <xdr:twoCellAnchor>
    <xdr:from>
      <xdr:col>0</xdr:col>
      <xdr:colOff>111091</xdr:colOff>
      <xdr:row>118</xdr:row>
      <xdr:rowOff>68706</xdr:rowOff>
    </xdr:from>
    <xdr:to>
      <xdr:col>0</xdr:col>
      <xdr:colOff>519658</xdr:colOff>
      <xdr:row>121</xdr:row>
      <xdr:rowOff>4994</xdr:rowOff>
    </xdr:to>
    <xdr:pic>
      <xdr:nvPicPr>
        <xdr:cNvPr id="16" name="Kuva 15">
          <a:hlinkClick xmlns:r="http://schemas.openxmlformats.org/officeDocument/2006/relationships" r:id="rId5"/>
          <a:extLst>
            <a:ext uri="{FF2B5EF4-FFF2-40B4-BE49-F238E27FC236}">
              <a16:creationId xmlns:a16="http://schemas.microsoft.com/office/drawing/2014/main" id="{A9BCA3F1-7E21-4A51-B9FC-972931AAB3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091" y="18691986"/>
          <a:ext cx="408567" cy="401108"/>
        </a:xfrm>
        <a:prstGeom prst="rect">
          <a:avLst/>
        </a:prstGeom>
      </xdr:spPr>
    </xdr:pic>
    <xdr:clientData/>
  </xdr:twoCellAnchor>
  <xdr:twoCellAnchor>
    <xdr:from>
      <xdr:col>0</xdr:col>
      <xdr:colOff>110711</xdr:colOff>
      <xdr:row>112</xdr:row>
      <xdr:rowOff>130702</xdr:rowOff>
    </xdr:from>
    <xdr:to>
      <xdr:col>0</xdr:col>
      <xdr:colOff>519279</xdr:colOff>
      <xdr:row>115</xdr:row>
      <xdr:rowOff>69766</xdr:rowOff>
    </xdr:to>
    <xdr:pic>
      <xdr:nvPicPr>
        <xdr:cNvPr id="17" name="Kuva 16">
          <a:hlinkClick xmlns:r="http://schemas.openxmlformats.org/officeDocument/2006/relationships" r:id="rId7"/>
          <a:extLst>
            <a:ext uri="{FF2B5EF4-FFF2-40B4-BE49-F238E27FC236}">
              <a16:creationId xmlns:a16="http://schemas.microsoft.com/office/drawing/2014/main" id="{23368B43-2831-4004-9743-7F6DDFE5A6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711" y="17831962"/>
          <a:ext cx="408568" cy="403884"/>
        </a:xfrm>
        <a:prstGeom prst="rect">
          <a:avLst/>
        </a:prstGeom>
      </xdr:spPr>
    </xdr:pic>
    <xdr:clientData/>
  </xdr:twoCellAnchor>
  <xdr:twoCellAnchor>
    <xdr:from>
      <xdr:col>0</xdr:col>
      <xdr:colOff>106687</xdr:colOff>
      <xdr:row>110</xdr:row>
      <xdr:rowOff>20025</xdr:rowOff>
    </xdr:from>
    <xdr:to>
      <xdr:col>0</xdr:col>
      <xdr:colOff>515255</xdr:colOff>
      <xdr:row>112</xdr:row>
      <xdr:rowOff>111489</xdr:rowOff>
    </xdr:to>
    <xdr:pic>
      <xdr:nvPicPr>
        <xdr:cNvPr id="18" name="Kuva 17">
          <a:hlinkClick xmlns:r="http://schemas.openxmlformats.org/officeDocument/2006/relationships" r:id="rId9"/>
          <a:extLst>
            <a:ext uri="{FF2B5EF4-FFF2-40B4-BE49-F238E27FC236}">
              <a16:creationId xmlns:a16="http://schemas.microsoft.com/office/drawing/2014/main" id="{3EFF121D-A6F5-48F6-B327-E3F49D4C2F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87" y="17408865"/>
          <a:ext cx="408568" cy="403884"/>
        </a:xfrm>
        <a:prstGeom prst="rect">
          <a:avLst/>
        </a:prstGeom>
      </xdr:spPr>
    </xdr:pic>
    <xdr:clientData/>
  </xdr:twoCellAnchor>
  <xdr:twoCellAnchor>
    <xdr:from>
      <xdr:col>0</xdr:col>
      <xdr:colOff>113863</xdr:colOff>
      <xdr:row>115</xdr:row>
      <xdr:rowOff>100524</xdr:rowOff>
    </xdr:from>
    <xdr:to>
      <xdr:col>0</xdr:col>
      <xdr:colOff>522431</xdr:colOff>
      <xdr:row>118</xdr:row>
      <xdr:rowOff>44780</xdr:rowOff>
    </xdr:to>
    <xdr:pic>
      <xdr:nvPicPr>
        <xdr:cNvPr id="19" name="Kuva 18">
          <a:hlinkClick xmlns:r="http://schemas.openxmlformats.org/officeDocument/2006/relationships" r:id="rId11"/>
          <a:extLst>
            <a:ext uri="{FF2B5EF4-FFF2-40B4-BE49-F238E27FC236}">
              <a16:creationId xmlns:a16="http://schemas.microsoft.com/office/drawing/2014/main" id="{86F3829F-E7FF-4306-94CB-DF3A273809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3863" y="18266604"/>
          <a:ext cx="408568" cy="401456"/>
        </a:xfrm>
        <a:prstGeom prst="rect">
          <a:avLst/>
        </a:prstGeom>
      </xdr:spPr>
    </xdr:pic>
    <xdr:clientData/>
  </xdr:twoCellAnchor>
  <xdr:twoCellAnchor>
    <xdr:from>
      <xdr:col>0</xdr:col>
      <xdr:colOff>108339</xdr:colOff>
      <xdr:row>101</xdr:row>
      <xdr:rowOff>118757</xdr:rowOff>
    </xdr:from>
    <xdr:to>
      <xdr:col>0</xdr:col>
      <xdr:colOff>516907</xdr:colOff>
      <xdr:row>104</xdr:row>
      <xdr:rowOff>63097</xdr:rowOff>
    </xdr:to>
    <xdr:pic>
      <xdr:nvPicPr>
        <xdr:cNvPr id="20" name="Kuva 19">
          <a:hlinkClick xmlns:r="http://schemas.openxmlformats.org/officeDocument/2006/relationships" r:id="rId13"/>
          <a:extLst>
            <a:ext uri="{FF2B5EF4-FFF2-40B4-BE49-F238E27FC236}">
              <a16:creationId xmlns:a16="http://schemas.microsoft.com/office/drawing/2014/main" id="{2DF3E094-0663-460E-A815-37562F737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339" y="16128377"/>
          <a:ext cx="408568" cy="401540"/>
        </a:xfrm>
        <a:prstGeom prst="rect">
          <a:avLst/>
        </a:prstGeom>
      </xdr:spPr>
    </xdr:pic>
    <xdr:clientData/>
  </xdr:twoCellAnchor>
  <xdr:twoCellAnchor>
    <xdr:from>
      <xdr:col>0</xdr:col>
      <xdr:colOff>105047</xdr:colOff>
      <xdr:row>107</xdr:row>
      <xdr:rowOff>55263</xdr:rowOff>
    </xdr:from>
    <xdr:to>
      <xdr:col>0</xdr:col>
      <xdr:colOff>514934</xdr:colOff>
      <xdr:row>109</xdr:row>
      <xdr:rowOff>152002</xdr:rowOff>
    </xdr:to>
    <xdr:pic>
      <xdr:nvPicPr>
        <xdr:cNvPr id="21" name="Kuva 20">
          <a:extLst>
            <a:ext uri="{FF2B5EF4-FFF2-40B4-BE49-F238E27FC236}">
              <a16:creationId xmlns:a16="http://schemas.microsoft.com/office/drawing/2014/main" id="{E28E54EA-1848-4C60-9C7C-89A69BFE90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047" y="16986903"/>
          <a:ext cx="409887" cy="401539"/>
        </a:xfrm>
        <a:prstGeom prst="rect">
          <a:avLst/>
        </a:prstGeom>
      </xdr:spPr>
    </xdr:pic>
    <xdr:clientData/>
  </xdr:twoCellAnchor>
  <xdr:twoCellAnchor>
    <xdr:from>
      <xdr:col>0</xdr:col>
      <xdr:colOff>127905</xdr:colOff>
      <xdr:row>123</xdr:row>
      <xdr:rowOff>123937</xdr:rowOff>
    </xdr:from>
    <xdr:to>
      <xdr:col>0</xdr:col>
      <xdr:colOff>491515</xdr:colOff>
      <xdr:row>126</xdr:row>
      <xdr:rowOff>5432</xdr:rowOff>
    </xdr:to>
    <xdr:pic>
      <xdr:nvPicPr>
        <xdr:cNvPr id="22" name="Kuva 21" descr="Tulostin">
          <a:hlinkClick xmlns:r="http://schemas.openxmlformats.org/officeDocument/2006/relationships" r:id="rId16"/>
          <a:extLst>
            <a:ext uri="{FF2B5EF4-FFF2-40B4-BE49-F238E27FC236}">
              <a16:creationId xmlns:a16="http://schemas.microsoft.com/office/drawing/2014/main" id="{83AAF61D-72D8-4A98-B7D7-221C747375C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7905" y="19516837"/>
          <a:ext cx="363610" cy="361555"/>
        </a:xfrm>
        <a:prstGeom prst="rect">
          <a:avLst/>
        </a:prstGeom>
      </xdr:spPr>
    </xdr:pic>
    <xdr:clientData/>
  </xdr:twoCellAnchor>
  <xdr:twoCellAnchor>
    <xdr:from>
      <xdr:col>0</xdr:col>
      <xdr:colOff>111035</xdr:colOff>
      <xdr:row>38</xdr:row>
      <xdr:rowOff>87212</xdr:rowOff>
    </xdr:from>
    <xdr:to>
      <xdr:col>0</xdr:col>
      <xdr:colOff>519603</xdr:colOff>
      <xdr:row>41</xdr:row>
      <xdr:rowOff>8704</xdr:rowOff>
    </xdr:to>
    <xdr:pic>
      <xdr:nvPicPr>
        <xdr:cNvPr id="23" name="Kuva 22">
          <a:hlinkClick xmlns:r="http://schemas.openxmlformats.org/officeDocument/2006/relationships" r:id="rId1"/>
          <a:extLst>
            <a:ext uri="{FF2B5EF4-FFF2-40B4-BE49-F238E27FC236}">
              <a16:creationId xmlns:a16="http://schemas.microsoft.com/office/drawing/2014/main" id="{58FE96B0-8422-4142-8029-5E7DFD7088D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035" y="6335612"/>
          <a:ext cx="408568" cy="386312"/>
        </a:xfrm>
        <a:prstGeom prst="rect">
          <a:avLst/>
        </a:prstGeom>
      </xdr:spPr>
    </xdr:pic>
    <xdr:clientData/>
  </xdr:twoCellAnchor>
  <xdr:twoCellAnchor>
    <xdr:from>
      <xdr:col>0</xdr:col>
      <xdr:colOff>107769</xdr:colOff>
      <xdr:row>54</xdr:row>
      <xdr:rowOff>54898</xdr:rowOff>
    </xdr:from>
    <xdr:to>
      <xdr:col>0</xdr:col>
      <xdr:colOff>516337</xdr:colOff>
      <xdr:row>56</xdr:row>
      <xdr:rowOff>136410</xdr:rowOff>
    </xdr:to>
    <xdr:pic>
      <xdr:nvPicPr>
        <xdr:cNvPr id="24" name="Kuva 23">
          <a:hlinkClick xmlns:r="http://schemas.openxmlformats.org/officeDocument/2006/relationships" r:id="rId3"/>
          <a:extLst>
            <a:ext uri="{FF2B5EF4-FFF2-40B4-BE49-F238E27FC236}">
              <a16:creationId xmlns:a16="http://schemas.microsoft.com/office/drawing/2014/main" id="{441D8373-082F-4491-8A3A-C89A09C997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769" y="8787418"/>
          <a:ext cx="408568" cy="386312"/>
        </a:xfrm>
        <a:prstGeom prst="rect">
          <a:avLst/>
        </a:prstGeom>
      </xdr:spPr>
    </xdr:pic>
    <xdr:clientData/>
  </xdr:twoCellAnchor>
  <xdr:twoCellAnchor>
    <xdr:from>
      <xdr:col>0</xdr:col>
      <xdr:colOff>109458</xdr:colOff>
      <xdr:row>51</xdr:row>
      <xdr:rowOff>118687</xdr:rowOff>
    </xdr:from>
    <xdr:to>
      <xdr:col>0</xdr:col>
      <xdr:colOff>518025</xdr:colOff>
      <xdr:row>54</xdr:row>
      <xdr:rowOff>37524</xdr:rowOff>
    </xdr:to>
    <xdr:pic>
      <xdr:nvPicPr>
        <xdr:cNvPr id="25" name="Kuva 24">
          <a:hlinkClick xmlns:r="http://schemas.openxmlformats.org/officeDocument/2006/relationships" r:id="rId21"/>
          <a:extLst>
            <a:ext uri="{FF2B5EF4-FFF2-40B4-BE49-F238E27FC236}">
              <a16:creationId xmlns:a16="http://schemas.microsoft.com/office/drawing/2014/main" id="{662EC77D-8701-4F7C-AA27-43837520C7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458" y="8386387"/>
          <a:ext cx="408567" cy="383657"/>
        </a:xfrm>
        <a:prstGeom prst="rect">
          <a:avLst/>
        </a:prstGeom>
      </xdr:spPr>
    </xdr:pic>
    <xdr:clientData/>
  </xdr:twoCellAnchor>
  <xdr:twoCellAnchor>
    <xdr:from>
      <xdr:col>0</xdr:col>
      <xdr:colOff>109078</xdr:colOff>
      <xdr:row>46</xdr:row>
      <xdr:rowOff>58082</xdr:rowOff>
    </xdr:from>
    <xdr:to>
      <xdr:col>0</xdr:col>
      <xdr:colOff>517646</xdr:colOff>
      <xdr:row>48</xdr:row>
      <xdr:rowOff>139594</xdr:rowOff>
    </xdr:to>
    <xdr:pic>
      <xdr:nvPicPr>
        <xdr:cNvPr id="26" name="Kuva 25">
          <a:hlinkClick xmlns:r="http://schemas.openxmlformats.org/officeDocument/2006/relationships" r:id="rId22"/>
          <a:extLst>
            <a:ext uri="{FF2B5EF4-FFF2-40B4-BE49-F238E27FC236}">
              <a16:creationId xmlns:a16="http://schemas.microsoft.com/office/drawing/2014/main" id="{7C3C5AE4-6A66-4D09-918D-04EDF7BFB0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078" y="7563782"/>
          <a:ext cx="408568" cy="386312"/>
        </a:xfrm>
        <a:prstGeom prst="rect">
          <a:avLst/>
        </a:prstGeom>
      </xdr:spPr>
    </xdr:pic>
    <xdr:clientData/>
  </xdr:twoCellAnchor>
  <xdr:twoCellAnchor>
    <xdr:from>
      <xdr:col>0</xdr:col>
      <xdr:colOff>105054</xdr:colOff>
      <xdr:row>43</xdr:row>
      <xdr:rowOff>135763</xdr:rowOff>
    </xdr:from>
    <xdr:to>
      <xdr:col>0</xdr:col>
      <xdr:colOff>513622</xdr:colOff>
      <xdr:row>46</xdr:row>
      <xdr:rowOff>34395</xdr:rowOff>
    </xdr:to>
    <xdr:pic>
      <xdr:nvPicPr>
        <xdr:cNvPr id="27" name="Kuva 26">
          <a:hlinkClick xmlns:r="http://schemas.openxmlformats.org/officeDocument/2006/relationships" r:id="rId9"/>
          <a:extLst>
            <a:ext uri="{FF2B5EF4-FFF2-40B4-BE49-F238E27FC236}">
              <a16:creationId xmlns:a16="http://schemas.microsoft.com/office/drawing/2014/main" id="{7A19D984-E169-40B9-9E64-38D678438C1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5054" y="7153783"/>
          <a:ext cx="408568" cy="386312"/>
        </a:xfrm>
        <a:prstGeom prst="rect">
          <a:avLst/>
        </a:prstGeom>
      </xdr:spPr>
    </xdr:pic>
    <xdr:clientData/>
  </xdr:twoCellAnchor>
  <xdr:twoCellAnchor>
    <xdr:from>
      <xdr:col>0</xdr:col>
      <xdr:colOff>112230</xdr:colOff>
      <xdr:row>49</xdr:row>
      <xdr:rowOff>16614</xdr:rowOff>
    </xdr:from>
    <xdr:to>
      <xdr:col>0</xdr:col>
      <xdr:colOff>520798</xdr:colOff>
      <xdr:row>51</xdr:row>
      <xdr:rowOff>95803</xdr:rowOff>
    </xdr:to>
    <xdr:pic>
      <xdr:nvPicPr>
        <xdr:cNvPr id="28" name="Kuva 27">
          <a:hlinkClick xmlns:r="http://schemas.openxmlformats.org/officeDocument/2006/relationships" r:id="rId11"/>
          <a:extLst>
            <a:ext uri="{FF2B5EF4-FFF2-40B4-BE49-F238E27FC236}">
              <a16:creationId xmlns:a16="http://schemas.microsoft.com/office/drawing/2014/main" id="{DF31C274-A9DE-40FD-B9D3-3D9D7726D1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2230" y="7979514"/>
          <a:ext cx="408568" cy="383989"/>
        </a:xfrm>
        <a:prstGeom prst="rect">
          <a:avLst/>
        </a:prstGeom>
      </xdr:spPr>
    </xdr:pic>
    <xdr:clientData/>
  </xdr:twoCellAnchor>
  <xdr:twoCellAnchor>
    <xdr:from>
      <xdr:col>0</xdr:col>
      <xdr:colOff>106706</xdr:colOff>
      <xdr:row>35</xdr:row>
      <xdr:rowOff>137807</xdr:rowOff>
    </xdr:from>
    <xdr:to>
      <xdr:col>0</xdr:col>
      <xdr:colOff>515274</xdr:colOff>
      <xdr:row>38</xdr:row>
      <xdr:rowOff>64676</xdr:rowOff>
    </xdr:to>
    <xdr:pic>
      <xdr:nvPicPr>
        <xdr:cNvPr id="29" name="Kuva 28">
          <a:hlinkClick xmlns:r="http://schemas.openxmlformats.org/officeDocument/2006/relationships" r:id="rId13"/>
          <a:extLst>
            <a:ext uri="{FF2B5EF4-FFF2-40B4-BE49-F238E27FC236}">
              <a16:creationId xmlns:a16="http://schemas.microsoft.com/office/drawing/2014/main" id="{4F5784B5-B75D-417F-AFEB-8FA3D99A52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6706" y="5929007"/>
          <a:ext cx="408568" cy="384069"/>
        </a:xfrm>
        <a:prstGeom prst="rect">
          <a:avLst/>
        </a:prstGeom>
      </xdr:spPr>
    </xdr:pic>
    <xdr:clientData/>
  </xdr:twoCellAnchor>
  <xdr:twoCellAnchor>
    <xdr:from>
      <xdr:col>0</xdr:col>
      <xdr:colOff>103414</xdr:colOff>
      <xdr:row>41</xdr:row>
      <xdr:rowOff>36961</xdr:rowOff>
    </xdr:from>
    <xdr:to>
      <xdr:col>0</xdr:col>
      <xdr:colOff>513301</xdr:colOff>
      <xdr:row>43</xdr:row>
      <xdr:rowOff>116229</xdr:rowOff>
    </xdr:to>
    <xdr:pic>
      <xdr:nvPicPr>
        <xdr:cNvPr id="30" name="Kuva 29">
          <a:extLst>
            <a:ext uri="{FF2B5EF4-FFF2-40B4-BE49-F238E27FC236}">
              <a16:creationId xmlns:a16="http://schemas.microsoft.com/office/drawing/2014/main" id="{7A30C121-9AEE-4C6B-AFD9-1583EA78957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414" y="6750181"/>
          <a:ext cx="409887" cy="384068"/>
        </a:xfrm>
        <a:prstGeom prst="rect">
          <a:avLst/>
        </a:prstGeom>
      </xdr:spPr>
    </xdr:pic>
    <xdr:clientData/>
  </xdr:twoCellAnchor>
  <xdr:oneCellAnchor>
    <xdr:from>
      <xdr:col>0</xdr:col>
      <xdr:colOff>120453</xdr:colOff>
      <xdr:row>57</xdr:row>
      <xdr:rowOff>28397</xdr:rowOff>
    </xdr:from>
    <xdr:ext cx="361950" cy="354497"/>
    <xdr:pic>
      <xdr:nvPicPr>
        <xdr:cNvPr id="31" name="Kuva 30" descr="Tulostin">
          <a:hlinkClick xmlns:r="http://schemas.openxmlformats.org/officeDocument/2006/relationships" r:id="rId16"/>
          <a:extLst>
            <a:ext uri="{FF2B5EF4-FFF2-40B4-BE49-F238E27FC236}">
              <a16:creationId xmlns:a16="http://schemas.microsoft.com/office/drawing/2014/main" id="{753FC442-8B05-4648-9506-EB654A341F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0453" y="9205054"/>
          <a:ext cx="361950" cy="354497"/>
        </a:xfrm>
        <a:prstGeom prst="rect">
          <a:avLst/>
        </a:prstGeom>
      </xdr:spPr>
    </xdr:pic>
    <xdr:clientData/>
  </xdr:oneCellAnchor>
  <xdr:twoCellAnchor editAs="oneCell">
    <xdr:from>
      <xdr:col>7</xdr:col>
      <xdr:colOff>326571</xdr:colOff>
      <xdr:row>3</xdr:row>
      <xdr:rowOff>174529</xdr:rowOff>
    </xdr:from>
    <xdr:to>
      <xdr:col>10</xdr:col>
      <xdr:colOff>377462</xdr:colOff>
      <xdr:row>5</xdr:row>
      <xdr:rowOff>35288</xdr:rowOff>
    </xdr:to>
    <xdr:pic>
      <xdr:nvPicPr>
        <xdr:cNvPr id="5" name="Kuva 4">
          <a:extLst>
            <a:ext uri="{FF2B5EF4-FFF2-40B4-BE49-F238E27FC236}">
              <a16:creationId xmlns:a16="http://schemas.microsoft.com/office/drawing/2014/main" id="{15EF1123-99F9-8D88-3A79-DC6B7B3C636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41571" y="707929"/>
          <a:ext cx="1845129" cy="25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103582</xdr:colOff>
      <xdr:row>50</xdr:row>
      <xdr:rowOff>81707</xdr:rowOff>
    </xdr:from>
    <xdr:to>
      <xdr:col>0</xdr:col>
      <xdr:colOff>499259</xdr:colOff>
      <xdr:row>53</xdr:row>
      <xdr:rowOff>29290</xdr:rowOff>
    </xdr:to>
    <xdr:pic>
      <xdr:nvPicPr>
        <xdr:cNvPr id="25" name="Kuva 24">
          <a:hlinkClick xmlns:r="http://schemas.openxmlformats.org/officeDocument/2006/relationships" r:id="rId1"/>
          <a:extLst>
            <a:ext uri="{FF2B5EF4-FFF2-40B4-BE49-F238E27FC236}">
              <a16:creationId xmlns:a16="http://schemas.microsoft.com/office/drawing/2014/main" id="{9E77A648-4E73-4C4C-9784-8536FE9C5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82" y="7846487"/>
          <a:ext cx="395677" cy="412403"/>
        </a:xfrm>
        <a:prstGeom prst="rect">
          <a:avLst/>
        </a:prstGeom>
      </xdr:spPr>
    </xdr:pic>
    <xdr:clientData/>
  </xdr:twoCellAnchor>
  <xdr:twoCellAnchor>
    <xdr:from>
      <xdr:col>0</xdr:col>
      <xdr:colOff>98719</xdr:colOff>
      <xdr:row>53</xdr:row>
      <xdr:rowOff>25743</xdr:rowOff>
    </xdr:from>
    <xdr:to>
      <xdr:col>0</xdr:col>
      <xdr:colOff>499762</xdr:colOff>
      <xdr:row>55</xdr:row>
      <xdr:rowOff>108512</xdr:rowOff>
    </xdr:to>
    <xdr:pic>
      <xdr:nvPicPr>
        <xdr:cNvPr id="26" name="Kuva 25">
          <a:hlinkClick xmlns:r="http://schemas.openxmlformats.org/officeDocument/2006/relationships" r:id="rId3"/>
          <a:extLst>
            <a:ext uri="{FF2B5EF4-FFF2-40B4-BE49-F238E27FC236}">
              <a16:creationId xmlns:a16="http://schemas.microsoft.com/office/drawing/2014/main" id="{0ABF0A5E-149B-42B3-9C85-A7E95B3D6D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9" y="8255343"/>
          <a:ext cx="401043" cy="387569"/>
        </a:xfrm>
        <a:prstGeom prst="rect">
          <a:avLst/>
        </a:prstGeom>
      </xdr:spPr>
    </xdr:pic>
    <xdr:clientData/>
  </xdr:twoCellAnchor>
  <xdr:twoCellAnchor>
    <xdr:from>
      <xdr:col>0</xdr:col>
      <xdr:colOff>100377</xdr:colOff>
      <xdr:row>66</xdr:row>
      <xdr:rowOff>83531</xdr:rowOff>
    </xdr:from>
    <xdr:to>
      <xdr:col>0</xdr:col>
      <xdr:colOff>501420</xdr:colOff>
      <xdr:row>69</xdr:row>
      <xdr:rowOff>19357</xdr:rowOff>
    </xdr:to>
    <xdr:pic>
      <xdr:nvPicPr>
        <xdr:cNvPr id="28" name="Kuva 27">
          <a:hlinkClick xmlns:r="http://schemas.openxmlformats.org/officeDocument/2006/relationships" r:id="rId5"/>
          <a:extLst>
            <a:ext uri="{FF2B5EF4-FFF2-40B4-BE49-F238E27FC236}">
              <a16:creationId xmlns:a16="http://schemas.microsoft.com/office/drawing/2014/main" id="{50A61678-F2BA-48CF-A2C2-F44D9C056B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377" y="10309571"/>
          <a:ext cx="401043" cy="393026"/>
        </a:xfrm>
        <a:prstGeom prst="rect">
          <a:avLst/>
        </a:prstGeom>
      </xdr:spPr>
    </xdr:pic>
    <xdr:clientData/>
  </xdr:twoCellAnchor>
  <xdr:twoCellAnchor>
    <xdr:from>
      <xdr:col>0</xdr:col>
      <xdr:colOff>102034</xdr:colOff>
      <xdr:row>63</xdr:row>
      <xdr:rowOff>137466</xdr:rowOff>
    </xdr:from>
    <xdr:to>
      <xdr:col>0</xdr:col>
      <xdr:colOff>503076</xdr:colOff>
      <xdr:row>66</xdr:row>
      <xdr:rowOff>67036</xdr:rowOff>
    </xdr:to>
    <xdr:pic>
      <xdr:nvPicPr>
        <xdr:cNvPr id="29" name="Kuva 28">
          <a:hlinkClick xmlns:r="http://schemas.openxmlformats.org/officeDocument/2006/relationships" r:id="rId7"/>
          <a:extLst>
            <a:ext uri="{FF2B5EF4-FFF2-40B4-BE49-F238E27FC236}">
              <a16:creationId xmlns:a16="http://schemas.microsoft.com/office/drawing/2014/main" id="{CBA39D07-0EF6-449C-8474-F068BB4A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034" y="9898686"/>
          <a:ext cx="401042" cy="394390"/>
        </a:xfrm>
        <a:prstGeom prst="rect">
          <a:avLst/>
        </a:prstGeom>
      </xdr:spPr>
    </xdr:pic>
    <xdr:clientData/>
  </xdr:twoCellAnchor>
  <xdr:twoCellAnchor>
    <xdr:from>
      <xdr:col>0</xdr:col>
      <xdr:colOff>101661</xdr:colOff>
      <xdr:row>58</xdr:row>
      <xdr:rowOff>83302</xdr:rowOff>
    </xdr:from>
    <xdr:to>
      <xdr:col>0</xdr:col>
      <xdr:colOff>502704</xdr:colOff>
      <xdr:row>60</xdr:row>
      <xdr:rowOff>148624</xdr:rowOff>
    </xdr:to>
    <xdr:pic>
      <xdr:nvPicPr>
        <xdr:cNvPr id="30" name="Kuva 29">
          <a:hlinkClick xmlns:r="http://schemas.openxmlformats.org/officeDocument/2006/relationships" r:id="rId9"/>
          <a:extLst>
            <a:ext uri="{FF2B5EF4-FFF2-40B4-BE49-F238E27FC236}">
              <a16:creationId xmlns:a16="http://schemas.microsoft.com/office/drawing/2014/main" id="{CB83A66E-F03C-47EB-B3D5-63CD32F443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661" y="9074902"/>
          <a:ext cx="401043" cy="377742"/>
        </a:xfrm>
        <a:prstGeom prst="rect">
          <a:avLst/>
        </a:prstGeom>
      </xdr:spPr>
    </xdr:pic>
    <xdr:clientData/>
  </xdr:twoCellAnchor>
  <xdr:twoCellAnchor>
    <xdr:from>
      <xdr:col>0</xdr:col>
      <xdr:colOff>104756</xdr:colOff>
      <xdr:row>61</xdr:row>
      <xdr:rowOff>40385</xdr:rowOff>
    </xdr:from>
    <xdr:to>
      <xdr:col>0</xdr:col>
      <xdr:colOff>503651</xdr:colOff>
      <xdr:row>63</xdr:row>
      <xdr:rowOff>130317</xdr:rowOff>
    </xdr:to>
    <xdr:pic>
      <xdr:nvPicPr>
        <xdr:cNvPr id="32" name="Kuva 31">
          <a:hlinkClick xmlns:r="http://schemas.openxmlformats.org/officeDocument/2006/relationships" r:id="rId11"/>
          <a:extLst>
            <a:ext uri="{FF2B5EF4-FFF2-40B4-BE49-F238E27FC236}">
              <a16:creationId xmlns:a16="http://schemas.microsoft.com/office/drawing/2014/main" id="{1F905912-3C5B-4479-A05B-6608641307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756" y="9496805"/>
          <a:ext cx="398895" cy="394732"/>
        </a:xfrm>
        <a:prstGeom prst="rect">
          <a:avLst/>
        </a:prstGeom>
      </xdr:spPr>
    </xdr:pic>
    <xdr:clientData/>
  </xdr:twoCellAnchor>
  <xdr:twoCellAnchor>
    <xdr:from>
      <xdr:col>0</xdr:col>
      <xdr:colOff>101243</xdr:colOff>
      <xdr:row>55</xdr:row>
      <xdr:rowOff>127464</xdr:rowOff>
    </xdr:from>
    <xdr:to>
      <xdr:col>0</xdr:col>
      <xdr:colOff>502285</xdr:colOff>
      <xdr:row>58</xdr:row>
      <xdr:rowOff>72091</xdr:rowOff>
    </xdr:to>
    <xdr:pic>
      <xdr:nvPicPr>
        <xdr:cNvPr id="3" name="Kuva 2">
          <a:extLst>
            <a:ext uri="{FF2B5EF4-FFF2-40B4-BE49-F238E27FC236}">
              <a16:creationId xmlns:a16="http://schemas.microsoft.com/office/drawing/2014/main" id="{21059413-BA25-4F0C-96AE-D94418F66D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243" y="8661864"/>
          <a:ext cx="401042" cy="401827"/>
        </a:xfrm>
        <a:prstGeom prst="rect">
          <a:avLst/>
        </a:prstGeom>
      </xdr:spPr>
    </xdr:pic>
    <xdr:clientData/>
  </xdr:twoCellAnchor>
  <xdr:twoCellAnchor>
    <xdr:from>
      <xdr:col>0</xdr:col>
      <xdr:colOff>112984</xdr:colOff>
      <xdr:row>47</xdr:row>
      <xdr:rowOff>123280</xdr:rowOff>
    </xdr:from>
    <xdr:to>
      <xdr:col>0</xdr:col>
      <xdr:colOff>499267</xdr:colOff>
      <xdr:row>50</xdr:row>
      <xdr:rowOff>74150</xdr:rowOff>
    </xdr:to>
    <xdr:pic>
      <xdr:nvPicPr>
        <xdr:cNvPr id="5" name="Kuva 4">
          <a:hlinkClick xmlns:r="http://schemas.openxmlformats.org/officeDocument/2006/relationships" r:id="rId14"/>
          <a:extLst>
            <a:ext uri="{FF2B5EF4-FFF2-40B4-BE49-F238E27FC236}">
              <a16:creationId xmlns:a16="http://schemas.microsoft.com/office/drawing/2014/main" id="{E8173DB5-1E04-412C-93B0-23F24F6BEA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84" y="7430860"/>
          <a:ext cx="386283" cy="408070"/>
        </a:xfrm>
        <a:prstGeom prst="rect">
          <a:avLst/>
        </a:prstGeom>
      </xdr:spPr>
    </xdr:pic>
    <xdr:clientData/>
  </xdr:twoCellAnchor>
  <xdr:twoCellAnchor>
    <xdr:from>
      <xdr:col>0</xdr:col>
      <xdr:colOff>115272</xdr:colOff>
      <xdr:row>69</xdr:row>
      <xdr:rowOff>37042</xdr:rowOff>
    </xdr:from>
    <xdr:to>
      <xdr:col>0</xdr:col>
      <xdr:colOff>466549</xdr:colOff>
      <xdr:row>71</xdr:row>
      <xdr:rowOff>111413</xdr:rowOff>
    </xdr:to>
    <xdr:pic>
      <xdr:nvPicPr>
        <xdr:cNvPr id="14" name="Kuva 13" descr="Tulostin">
          <a:hlinkClick xmlns:r="http://schemas.openxmlformats.org/officeDocument/2006/relationships" r:id="rId16"/>
          <a:extLst>
            <a:ext uri="{FF2B5EF4-FFF2-40B4-BE49-F238E27FC236}">
              <a16:creationId xmlns:a16="http://schemas.microsoft.com/office/drawing/2014/main" id="{322DDCDD-EFF6-4EC7-848D-B922B1B28E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15272" y="10720282"/>
          <a:ext cx="351277" cy="379171"/>
        </a:xfrm>
        <a:prstGeom prst="rect">
          <a:avLst/>
        </a:prstGeom>
      </xdr:spPr>
    </xdr:pic>
    <xdr:clientData/>
  </xdr:twoCellAnchor>
  <xdr:twoCellAnchor editAs="oneCell">
    <xdr:from>
      <xdr:col>6</xdr:col>
      <xdr:colOff>174171</xdr:colOff>
      <xdr:row>3</xdr:row>
      <xdr:rowOff>181631</xdr:rowOff>
    </xdr:from>
    <xdr:to>
      <xdr:col>8</xdr:col>
      <xdr:colOff>3538</xdr:colOff>
      <xdr:row>5</xdr:row>
      <xdr:rowOff>29934</xdr:rowOff>
    </xdr:to>
    <xdr:pic>
      <xdr:nvPicPr>
        <xdr:cNvPr id="6" name="Kuva 5">
          <a:extLst>
            <a:ext uri="{FF2B5EF4-FFF2-40B4-BE49-F238E27FC236}">
              <a16:creationId xmlns:a16="http://schemas.microsoft.com/office/drawing/2014/main" id="{B4A08855-4911-EB30-E01A-5048DAA75F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633357" y="704145"/>
          <a:ext cx="1714500" cy="236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108551</xdr:colOff>
      <xdr:row>26</xdr:row>
      <xdr:rowOff>25207</xdr:rowOff>
    </xdr:from>
    <xdr:to>
      <xdr:col>0</xdr:col>
      <xdr:colOff>519064</xdr:colOff>
      <xdr:row>28</xdr:row>
      <xdr:rowOff>78529</xdr:rowOff>
    </xdr:to>
    <xdr:pic>
      <xdr:nvPicPr>
        <xdr:cNvPr id="5" name="Kuva 4">
          <a:hlinkClick xmlns:r="http://schemas.openxmlformats.org/officeDocument/2006/relationships" r:id="rId1"/>
          <a:extLst>
            <a:ext uri="{FF2B5EF4-FFF2-40B4-BE49-F238E27FC236}">
              <a16:creationId xmlns:a16="http://schemas.microsoft.com/office/drawing/2014/main" id="{2CA6685B-21D1-40E4-A896-C175F3DE6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51" y="4292407"/>
          <a:ext cx="410513" cy="403842"/>
        </a:xfrm>
        <a:prstGeom prst="rect">
          <a:avLst/>
        </a:prstGeom>
      </xdr:spPr>
    </xdr:pic>
    <xdr:clientData/>
  </xdr:twoCellAnchor>
  <xdr:twoCellAnchor>
    <xdr:from>
      <xdr:col>0</xdr:col>
      <xdr:colOff>103619</xdr:colOff>
      <xdr:row>28</xdr:row>
      <xdr:rowOff>92671</xdr:rowOff>
    </xdr:from>
    <xdr:to>
      <xdr:col>0</xdr:col>
      <xdr:colOff>517942</xdr:colOff>
      <xdr:row>30</xdr:row>
      <xdr:rowOff>131289</xdr:rowOff>
    </xdr:to>
    <xdr:pic>
      <xdr:nvPicPr>
        <xdr:cNvPr id="6" name="Kuva 5">
          <a:hlinkClick xmlns:r="http://schemas.openxmlformats.org/officeDocument/2006/relationships" r:id="rId3"/>
          <a:extLst>
            <a:ext uri="{FF2B5EF4-FFF2-40B4-BE49-F238E27FC236}">
              <a16:creationId xmlns:a16="http://schemas.microsoft.com/office/drawing/2014/main" id="{F62F3D0A-B839-4A75-B5FA-23D71C347A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619" y="4710391"/>
          <a:ext cx="414323" cy="389138"/>
        </a:xfrm>
        <a:prstGeom prst="rect">
          <a:avLst/>
        </a:prstGeom>
      </xdr:spPr>
    </xdr:pic>
    <xdr:clientData/>
  </xdr:twoCellAnchor>
  <xdr:twoCellAnchor>
    <xdr:from>
      <xdr:col>0</xdr:col>
      <xdr:colOff>105300</xdr:colOff>
      <xdr:row>40</xdr:row>
      <xdr:rowOff>96531</xdr:rowOff>
    </xdr:from>
    <xdr:to>
      <xdr:col>0</xdr:col>
      <xdr:colOff>519623</xdr:colOff>
      <xdr:row>42</xdr:row>
      <xdr:rowOff>135148</xdr:rowOff>
    </xdr:to>
    <xdr:pic>
      <xdr:nvPicPr>
        <xdr:cNvPr id="7" name="Kuva 6">
          <a:hlinkClick xmlns:r="http://schemas.openxmlformats.org/officeDocument/2006/relationships" r:id="rId5"/>
          <a:extLst>
            <a:ext uri="{FF2B5EF4-FFF2-40B4-BE49-F238E27FC236}">
              <a16:creationId xmlns:a16="http://schemas.microsoft.com/office/drawing/2014/main" id="{1E4F20C0-562C-462D-88F9-715C57FE0C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00" y="6802131"/>
          <a:ext cx="414323" cy="389137"/>
        </a:xfrm>
        <a:prstGeom prst="rect">
          <a:avLst/>
        </a:prstGeom>
      </xdr:spPr>
    </xdr:pic>
    <xdr:clientData/>
  </xdr:twoCellAnchor>
  <xdr:twoCellAnchor>
    <xdr:from>
      <xdr:col>0</xdr:col>
      <xdr:colOff>106981</xdr:colOff>
      <xdr:row>38</xdr:row>
      <xdr:rowOff>26964</xdr:rowOff>
    </xdr:from>
    <xdr:to>
      <xdr:col>0</xdr:col>
      <xdr:colOff>523208</xdr:colOff>
      <xdr:row>40</xdr:row>
      <xdr:rowOff>77459</xdr:rowOff>
    </xdr:to>
    <xdr:pic>
      <xdr:nvPicPr>
        <xdr:cNvPr id="8" name="Kuva 7">
          <a:hlinkClick xmlns:r="http://schemas.openxmlformats.org/officeDocument/2006/relationships" r:id="rId7"/>
          <a:extLst>
            <a:ext uri="{FF2B5EF4-FFF2-40B4-BE49-F238E27FC236}">
              <a16:creationId xmlns:a16="http://schemas.microsoft.com/office/drawing/2014/main" id="{37444495-9CCB-4DA6-ACA2-3CB51481AA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81" y="6382044"/>
          <a:ext cx="416227" cy="401015"/>
        </a:xfrm>
        <a:prstGeom prst="rect">
          <a:avLst/>
        </a:prstGeom>
      </xdr:spPr>
    </xdr:pic>
    <xdr:clientData/>
  </xdr:twoCellAnchor>
  <xdr:twoCellAnchor>
    <xdr:from>
      <xdr:col>0</xdr:col>
      <xdr:colOff>102598</xdr:colOff>
      <xdr:row>30</xdr:row>
      <xdr:rowOff>163117</xdr:rowOff>
    </xdr:from>
    <xdr:to>
      <xdr:col>0</xdr:col>
      <xdr:colOff>522636</xdr:colOff>
      <xdr:row>33</xdr:row>
      <xdr:rowOff>45705</xdr:rowOff>
    </xdr:to>
    <xdr:pic>
      <xdr:nvPicPr>
        <xdr:cNvPr id="9" name="Kuva 8">
          <a:hlinkClick xmlns:r="http://schemas.openxmlformats.org/officeDocument/2006/relationships" r:id="rId9"/>
          <a:extLst>
            <a:ext uri="{FF2B5EF4-FFF2-40B4-BE49-F238E27FC236}">
              <a16:creationId xmlns:a16="http://schemas.microsoft.com/office/drawing/2014/main" id="{B571CA8E-CE0B-4FB6-A7EC-CC694973CD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2598" y="5131357"/>
          <a:ext cx="420038" cy="408368"/>
        </a:xfrm>
        <a:prstGeom prst="rect">
          <a:avLst/>
        </a:prstGeom>
      </xdr:spPr>
    </xdr:pic>
    <xdr:clientData/>
  </xdr:twoCellAnchor>
  <xdr:twoCellAnchor>
    <xdr:from>
      <xdr:col>0</xdr:col>
      <xdr:colOff>103993</xdr:colOff>
      <xdr:row>23</xdr:row>
      <xdr:rowOff>126334</xdr:rowOff>
    </xdr:from>
    <xdr:to>
      <xdr:col>0</xdr:col>
      <xdr:colOff>517978</xdr:colOff>
      <xdr:row>26</xdr:row>
      <xdr:rowOff>37392</xdr:rowOff>
    </xdr:to>
    <xdr:pic>
      <xdr:nvPicPr>
        <xdr:cNvPr id="10" name="Kuva 9">
          <a:hlinkClick xmlns:r="http://schemas.openxmlformats.org/officeDocument/2006/relationships" r:id="rId11"/>
          <a:extLst>
            <a:ext uri="{FF2B5EF4-FFF2-40B4-BE49-F238E27FC236}">
              <a16:creationId xmlns:a16="http://schemas.microsoft.com/office/drawing/2014/main" id="{9ECE09EC-7B1F-4A89-B6CD-44689F1600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993" y="3867754"/>
          <a:ext cx="413985" cy="436838"/>
        </a:xfrm>
        <a:prstGeom prst="rect">
          <a:avLst/>
        </a:prstGeom>
      </xdr:spPr>
    </xdr:pic>
    <xdr:clientData/>
  </xdr:twoCellAnchor>
  <xdr:twoCellAnchor>
    <xdr:from>
      <xdr:col>0</xdr:col>
      <xdr:colOff>112123</xdr:colOff>
      <xdr:row>43</xdr:row>
      <xdr:rowOff>1105</xdr:rowOff>
    </xdr:from>
    <xdr:to>
      <xdr:col>0</xdr:col>
      <xdr:colOff>481693</xdr:colOff>
      <xdr:row>45</xdr:row>
      <xdr:rowOff>40822</xdr:rowOff>
    </xdr:to>
    <xdr:pic>
      <xdr:nvPicPr>
        <xdr:cNvPr id="11" name="Kuva 10" descr="Tulostin">
          <a:hlinkClick xmlns:r="http://schemas.openxmlformats.org/officeDocument/2006/relationships" r:id="rId13"/>
          <a:extLst>
            <a:ext uri="{FF2B5EF4-FFF2-40B4-BE49-F238E27FC236}">
              <a16:creationId xmlns:a16="http://schemas.microsoft.com/office/drawing/2014/main" id="{65321664-391D-4EED-AFF3-3F800E035C3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2123" y="7232485"/>
          <a:ext cx="369570" cy="390237"/>
        </a:xfrm>
        <a:prstGeom prst="rect">
          <a:avLst/>
        </a:prstGeom>
      </xdr:spPr>
    </xdr:pic>
    <xdr:clientData/>
  </xdr:twoCellAnchor>
  <xdr:twoCellAnchor>
    <xdr:from>
      <xdr:col>0</xdr:col>
      <xdr:colOff>102598</xdr:colOff>
      <xdr:row>33</xdr:row>
      <xdr:rowOff>44617</xdr:rowOff>
    </xdr:from>
    <xdr:to>
      <xdr:col>0</xdr:col>
      <xdr:colOff>522635</xdr:colOff>
      <xdr:row>35</xdr:row>
      <xdr:rowOff>140043</xdr:rowOff>
    </xdr:to>
    <xdr:pic>
      <xdr:nvPicPr>
        <xdr:cNvPr id="12" name="Kuva 11">
          <a:extLst>
            <a:ext uri="{FF2B5EF4-FFF2-40B4-BE49-F238E27FC236}">
              <a16:creationId xmlns:a16="http://schemas.microsoft.com/office/drawing/2014/main" id="{C05E6884-1D8D-4A31-B89E-CD82B97E8F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598" y="5538637"/>
          <a:ext cx="420037" cy="430706"/>
        </a:xfrm>
        <a:prstGeom prst="rect">
          <a:avLst/>
        </a:prstGeom>
      </xdr:spPr>
    </xdr:pic>
    <xdr:clientData/>
  </xdr:twoCellAnchor>
  <xdr:twoCellAnchor>
    <xdr:from>
      <xdr:col>0</xdr:col>
      <xdr:colOff>102598</xdr:colOff>
      <xdr:row>35</xdr:row>
      <xdr:rowOff>136333</xdr:rowOff>
    </xdr:from>
    <xdr:to>
      <xdr:col>0</xdr:col>
      <xdr:colOff>522636</xdr:colOff>
      <xdr:row>38</xdr:row>
      <xdr:rowOff>45</xdr:rowOff>
    </xdr:to>
    <xdr:pic>
      <xdr:nvPicPr>
        <xdr:cNvPr id="13" name="Kuva 12">
          <a:hlinkClick xmlns:r="http://schemas.openxmlformats.org/officeDocument/2006/relationships" r:id="rId17"/>
          <a:extLst>
            <a:ext uri="{FF2B5EF4-FFF2-40B4-BE49-F238E27FC236}">
              <a16:creationId xmlns:a16="http://schemas.microsoft.com/office/drawing/2014/main" id="{9CFA8068-70B1-4D93-BD7B-55696F1E8B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598" y="5965633"/>
          <a:ext cx="420038" cy="389492"/>
        </a:xfrm>
        <a:prstGeom prst="rect">
          <a:avLst/>
        </a:prstGeom>
      </xdr:spPr>
    </xdr:pic>
    <xdr:clientData/>
  </xdr:twoCellAnchor>
  <xdr:twoCellAnchor editAs="oneCell">
    <xdr:from>
      <xdr:col>7</xdr:col>
      <xdr:colOff>555172</xdr:colOff>
      <xdr:row>4</xdr:row>
      <xdr:rowOff>125184</xdr:rowOff>
    </xdr:from>
    <xdr:to>
      <xdr:col>10</xdr:col>
      <xdr:colOff>4853</xdr:colOff>
      <xdr:row>6</xdr:row>
      <xdr:rowOff>20409</xdr:rowOff>
    </xdr:to>
    <xdr:pic>
      <xdr:nvPicPr>
        <xdr:cNvPr id="16" name="Kuva 15">
          <a:extLst>
            <a:ext uri="{FF2B5EF4-FFF2-40B4-BE49-F238E27FC236}">
              <a16:creationId xmlns:a16="http://schemas.microsoft.com/office/drawing/2014/main" id="{6B0FC5F1-AA1D-BD66-370A-63E2753C70B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61958" y="571498"/>
          <a:ext cx="1610588" cy="221797"/>
        </a:xfrm>
        <a:prstGeom prst="rect">
          <a:avLst/>
        </a:prstGeom>
      </xdr:spPr>
    </xdr:pic>
    <xdr:clientData/>
  </xdr:twoCellAnchor>
  <xdr:twoCellAnchor editAs="oneCell">
    <xdr:from>
      <xdr:col>17</xdr:col>
      <xdr:colOff>615044</xdr:colOff>
      <xdr:row>4</xdr:row>
      <xdr:rowOff>76200</xdr:rowOff>
    </xdr:from>
    <xdr:to>
      <xdr:col>19</xdr:col>
      <xdr:colOff>712518</xdr:colOff>
      <xdr:row>6</xdr:row>
      <xdr:rowOff>47625</xdr:rowOff>
    </xdr:to>
    <xdr:pic>
      <xdr:nvPicPr>
        <xdr:cNvPr id="17" name="Kuva 16">
          <a:extLst>
            <a:ext uri="{FF2B5EF4-FFF2-40B4-BE49-F238E27FC236}">
              <a16:creationId xmlns:a16="http://schemas.microsoft.com/office/drawing/2014/main" id="{5CEA57CA-169D-4C93-AE11-261476DD3B7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113624" y="541020"/>
          <a:ext cx="1560514" cy="291465"/>
        </a:xfrm>
        <a:prstGeom prst="rect">
          <a:avLst/>
        </a:prstGeom>
      </xdr:spPr>
    </xdr:pic>
    <xdr:clientData/>
  </xdr:twoCellAnchor>
  <xdr:twoCellAnchor>
    <xdr:from>
      <xdr:col>3</xdr:col>
      <xdr:colOff>220589</xdr:colOff>
      <xdr:row>1</xdr:row>
      <xdr:rowOff>15145</xdr:rowOff>
    </xdr:from>
    <xdr:to>
      <xdr:col>15</xdr:col>
      <xdr:colOff>255814</xdr:colOff>
      <xdr:row>7</xdr:row>
      <xdr:rowOff>103414</xdr:rowOff>
    </xdr:to>
    <xdr:sp macro="" textlink="">
      <xdr:nvSpPr>
        <xdr:cNvPr id="4" name="AutoShape 189">
          <a:extLst>
            <a:ext uri="{FF2B5EF4-FFF2-40B4-BE49-F238E27FC236}">
              <a16:creationId xmlns:a16="http://schemas.microsoft.com/office/drawing/2014/main" id="{ED409D19-FAC0-4D0E-A22A-639EDB28DC3F}"/>
            </a:ext>
          </a:extLst>
        </xdr:cNvPr>
        <xdr:cNvSpPr>
          <a:spLocks noChangeArrowheads="1"/>
        </xdr:cNvSpPr>
      </xdr:nvSpPr>
      <xdr:spPr bwMode="auto">
        <a:xfrm>
          <a:off x="3029103" y="172988"/>
          <a:ext cx="7557254" cy="839383"/>
        </a:xfrm>
        <a:prstGeom prst="foldedCorner">
          <a:avLst>
            <a:gd name="adj" fmla="val 12500"/>
          </a:avLst>
        </a:prstGeom>
        <a:solidFill>
          <a:srgbClr val="FFC000"/>
        </a:solidFill>
        <a:ln w="15875">
          <a:noFill/>
          <a:round/>
          <a:headEnd/>
          <a:tailEnd/>
        </a:ln>
      </xdr:spPr>
      <xdr:txBody>
        <a:bodyPr vertOverflow="clip" wrap="square" lIns="72000" tIns="0" rIns="36000" bIns="0" anchor="ctr" upright="1"/>
        <a:lstStyle/>
        <a:p>
          <a:pPr algn="l" rtl="0">
            <a:lnSpc>
              <a:spcPts val="1300"/>
            </a:lnSpc>
            <a:defRPr sz="1000"/>
          </a:pPr>
          <a:r>
            <a:rPr lang="fi-FI" sz="1000" b="1" i="0" strike="noStrike">
              <a:solidFill>
                <a:srgbClr val="000000"/>
              </a:solidFill>
              <a:latin typeface="Arial"/>
              <a:cs typeface="Arial"/>
            </a:rPr>
            <a:t>GUIDE</a:t>
          </a:r>
          <a:br>
            <a:rPr lang="fi-FI" sz="1000" b="1" i="0" strike="noStrike">
              <a:solidFill>
                <a:srgbClr val="000000"/>
              </a:solidFill>
              <a:latin typeface="Arial"/>
              <a:cs typeface="Arial"/>
            </a:rPr>
          </a:br>
          <a:r>
            <a:rPr lang="fi-FI" sz="1000" b="1" i="0" strike="noStrike">
              <a:solidFill>
                <a:srgbClr val="000000"/>
              </a:solidFill>
              <a:latin typeface="Arial"/>
              <a:cs typeface="Arial"/>
            </a:rPr>
            <a:t>The important figure, the amount of inventory as a % of sales, is in cell G48. Read the instructions for the cell.</a:t>
          </a:r>
          <a:br>
            <a:rPr lang="fi-FI" sz="1000" b="1" i="0" strike="noStrike">
              <a:solidFill>
                <a:srgbClr val="000000"/>
              </a:solidFill>
              <a:latin typeface="Arial"/>
              <a:cs typeface="Arial"/>
            </a:rPr>
          </a:br>
          <a:r>
            <a:rPr lang="fi-FI" sz="1000" b="1" i="0" strike="noStrike">
              <a:solidFill>
                <a:srgbClr val="000000"/>
              </a:solidFill>
              <a:latin typeface="Arial"/>
              <a:cs typeface="Arial"/>
            </a:rPr>
            <a:t>Check especially the items 28 - 34 at the bottom! Add the missing information.</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99733</xdr:colOff>
      <xdr:row>73</xdr:row>
      <xdr:rowOff>127516</xdr:rowOff>
    </xdr:from>
    <xdr:to>
      <xdr:col>0</xdr:col>
      <xdr:colOff>504642</xdr:colOff>
      <xdr:row>76</xdr:row>
      <xdr:rowOff>21440</xdr:rowOff>
    </xdr:to>
    <xdr:pic>
      <xdr:nvPicPr>
        <xdr:cNvPr id="25" name="Kuva 24">
          <a:hlinkClick xmlns:r="http://schemas.openxmlformats.org/officeDocument/2006/relationships" r:id="rId1"/>
          <a:extLst>
            <a:ext uri="{FF2B5EF4-FFF2-40B4-BE49-F238E27FC236}">
              <a16:creationId xmlns:a16="http://schemas.microsoft.com/office/drawing/2014/main" id="{0531EF82-7F07-4D55-AB8C-E3EA91CDF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3" y="11689134"/>
          <a:ext cx="404909" cy="371906"/>
        </a:xfrm>
        <a:prstGeom prst="rect">
          <a:avLst/>
        </a:prstGeom>
      </xdr:spPr>
    </xdr:pic>
    <xdr:clientData/>
  </xdr:twoCellAnchor>
  <xdr:twoCellAnchor>
    <xdr:from>
      <xdr:col>0</xdr:col>
      <xdr:colOff>94822</xdr:colOff>
      <xdr:row>76</xdr:row>
      <xdr:rowOff>48632</xdr:rowOff>
    </xdr:from>
    <xdr:to>
      <xdr:col>0</xdr:col>
      <xdr:colOff>499731</xdr:colOff>
      <xdr:row>78</xdr:row>
      <xdr:rowOff>121383</xdr:rowOff>
    </xdr:to>
    <xdr:pic>
      <xdr:nvPicPr>
        <xdr:cNvPr id="26" name="Kuva 25">
          <a:hlinkClick xmlns:r="http://schemas.openxmlformats.org/officeDocument/2006/relationships" r:id="rId3"/>
          <a:extLst>
            <a:ext uri="{FF2B5EF4-FFF2-40B4-BE49-F238E27FC236}">
              <a16:creationId xmlns:a16="http://schemas.microsoft.com/office/drawing/2014/main" id="{25D4F827-5BEB-496F-AEB0-C8E6146F0F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22" y="12088232"/>
          <a:ext cx="404909" cy="391406"/>
        </a:xfrm>
        <a:prstGeom prst="rect">
          <a:avLst/>
        </a:prstGeom>
      </xdr:spPr>
    </xdr:pic>
    <xdr:clientData/>
  </xdr:twoCellAnchor>
  <xdr:twoCellAnchor>
    <xdr:from>
      <xdr:col>0</xdr:col>
      <xdr:colOff>96496</xdr:colOff>
      <xdr:row>89</xdr:row>
      <xdr:rowOff>3471</xdr:rowOff>
    </xdr:from>
    <xdr:to>
      <xdr:col>0</xdr:col>
      <xdr:colOff>501405</xdr:colOff>
      <xdr:row>91</xdr:row>
      <xdr:rowOff>62490</xdr:rowOff>
    </xdr:to>
    <xdr:pic>
      <xdr:nvPicPr>
        <xdr:cNvPr id="28" name="Kuva 27">
          <a:hlinkClick xmlns:r="http://schemas.openxmlformats.org/officeDocument/2006/relationships" r:id="rId5"/>
          <a:extLst>
            <a:ext uri="{FF2B5EF4-FFF2-40B4-BE49-F238E27FC236}">
              <a16:creationId xmlns:a16="http://schemas.microsoft.com/office/drawing/2014/main" id="{AB887FFC-C5F6-488E-9720-E55D28FC8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96" y="14114326"/>
          <a:ext cx="404909" cy="377673"/>
        </a:xfrm>
        <a:prstGeom prst="rect">
          <a:avLst/>
        </a:prstGeom>
      </xdr:spPr>
    </xdr:pic>
    <xdr:clientData/>
  </xdr:twoCellAnchor>
  <xdr:twoCellAnchor>
    <xdr:from>
      <xdr:col>0</xdr:col>
      <xdr:colOff>98170</xdr:colOff>
      <xdr:row>86</xdr:row>
      <xdr:rowOff>76194</xdr:rowOff>
    </xdr:from>
    <xdr:to>
      <xdr:col>0</xdr:col>
      <xdr:colOff>503078</xdr:colOff>
      <xdr:row>88</xdr:row>
      <xdr:rowOff>140431</xdr:rowOff>
    </xdr:to>
    <xdr:pic>
      <xdr:nvPicPr>
        <xdr:cNvPr id="29" name="Kuva 28">
          <a:hlinkClick xmlns:r="http://schemas.openxmlformats.org/officeDocument/2006/relationships" r:id="rId7"/>
          <a:extLst>
            <a:ext uri="{FF2B5EF4-FFF2-40B4-BE49-F238E27FC236}">
              <a16:creationId xmlns:a16="http://schemas.microsoft.com/office/drawing/2014/main" id="{CA5DC7C6-E879-4D52-A328-EC02F3C1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170" y="13709067"/>
          <a:ext cx="404908" cy="382891"/>
        </a:xfrm>
        <a:prstGeom prst="rect">
          <a:avLst/>
        </a:prstGeom>
      </xdr:spPr>
    </xdr:pic>
    <xdr:clientData/>
  </xdr:twoCellAnchor>
  <xdr:twoCellAnchor>
    <xdr:from>
      <xdr:col>0</xdr:col>
      <xdr:colOff>93806</xdr:colOff>
      <xdr:row>78</xdr:row>
      <xdr:rowOff>138838</xdr:rowOff>
    </xdr:from>
    <xdr:to>
      <xdr:col>0</xdr:col>
      <xdr:colOff>498715</xdr:colOff>
      <xdr:row>81</xdr:row>
      <xdr:rowOff>57755</xdr:rowOff>
    </xdr:to>
    <xdr:pic>
      <xdr:nvPicPr>
        <xdr:cNvPr id="31" name="Kuva 30">
          <a:hlinkClick xmlns:r="http://schemas.openxmlformats.org/officeDocument/2006/relationships" r:id="rId9"/>
          <a:extLst>
            <a:ext uri="{FF2B5EF4-FFF2-40B4-BE49-F238E27FC236}">
              <a16:creationId xmlns:a16="http://schemas.microsoft.com/office/drawing/2014/main" id="{43B9C608-19BA-4D06-8A87-28ED34D5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3806" y="12497093"/>
          <a:ext cx="404909" cy="396898"/>
        </a:xfrm>
        <a:prstGeom prst="rect">
          <a:avLst/>
        </a:prstGeom>
      </xdr:spPr>
    </xdr:pic>
    <xdr:clientData/>
  </xdr:twoCellAnchor>
  <xdr:twoCellAnchor>
    <xdr:from>
      <xdr:col>0</xdr:col>
      <xdr:colOff>92196</xdr:colOff>
      <xdr:row>71</xdr:row>
      <xdr:rowOff>42102</xdr:rowOff>
    </xdr:from>
    <xdr:to>
      <xdr:col>0</xdr:col>
      <xdr:colOff>504690</xdr:colOff>
      <xdr:row>73</xdr:row>
      <xdr:rowOff>114853</xdr:rowOff>
    </xdr:to>
    <xdr:pic>
      <xdr:nvPicPr>
        <xdr:cNvPr id="35" name="Kuva 34">
          <a:hlinkClick xmlns:r="http://schemas.openxmlformats.org/officeDocument/2006/relationships" r:id="rId11"/>
          <a:extLst>
            <a:ext uri="{FF2B5EF4-FFF2-40B4-BE49-F238E27FC236}">
              <a16:creationId xmlns:a16="http://schemas.microsoft.com/office/drawing/2014/main" id="{73D2BAB1-2689-4BF7-A5F7-34C06C7DC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2196" y="11285066"/>
          <a:ext cx="412494" cy="391405"/>
        </a:xfrm>
        <a:prstGeom prst="rect">
          <a:avLst/>
        </a:prstGeom>
      </xdr:spPr>
    </xdr:pic>
    <xdr:clientData/>
  </xdr:twoCellAnchor>
  <xdr:twoCellAnchor>
    <xdr:from>
      <xdr:col>0</xdr:col>
      <xdr:colOff>122255</xdr:colOff>
      <xdr:row>91</xdr:row>
      <xdr:rowOff>79452</xdr:rowOff>
    </xdr:from>
    <xdr:to>
      <xdr:col>0</xdr:col>
      <xdr:colOff>482608</xdr:colOff>
      <xdr:row>93</xdr:row>
      <xdr:rowOff>117839</xdr:rowOff>
    </xdr:to>
    <xdr:pic>
      <xdr:nvPicPr>
        <xdr:cNvPr id="14" name="Kuva 13" descr="Tulostin">
          <a:hlinkClick xmlns:r="http://schemas.openxmlformats.org/officeDocument/2006/relationships" r:id="rId13"/>
          <a:extLst>
            <a:ext uri="{FF2B5EF4-FFF2-40B4-BE49-F238E27FC236}">
              <a16:creationId xmlns:a16="http://schemas.microsoft.com/office/drawing/2014/main" id="{316F8E30-2E4D-4345-BC1A-953AF1250D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2255" y="14508961"/>
          <a:ext cx="360353" cy="357042"/>
        </a:xfrm>
        <a:prstGeom prst="rect">
          <a:avLst/>
        </a:prstGeom>
      </xdr:spPr>
    </xdr:pic>
    <xdr:clientData/>
  </xdr:twoCellAnchor>
  <xdr:twoCellAnchor>
    <xdr:from>
      <xdr:col>0</xdr:col>
      <xdr:colOff>79217</xdr:colOff>
      <xdr:row>81</xdr:row>
      <xdr:rowOff>67937</xdr:rowOff>
    </xdr:from>
    <xdr:to>
      <xdr:col>0</xdr:col>
      <xdr:colOff>484126</xdr:colOff>
      <xdr:row>83</xdr:row>
      <xdr:rowOff>140688</xdr:rowOff>
    </xdr:to>
    <xdr:pic>
      <xdr:nvPicPr>
        <xdr:cNvPr id="27" name="Kuva 26">
          <a:hlinkClick xmlns:r="http://schemas.openxmlformats.org/officeDocument/2006/relationships" r:id="rId16"/>
          <a:extLst>
            <a:ext uri="{FF2B5EF4-FFF2-40B4-BE49-F238E27FC236}">
              <a16:creationId xmlns:a16="http://schemas.microsoft.com/office/drawing/2014/main" id="{F5162546-04AF-41FF-B66B-74902393CAB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217" y="12904173"/>
          <a:ext cx="404909" cy="391406"/>
        </a:xfrm>
        <a:prstGeom prst="rect">
          <a:avLst/>
        </a:prstGeom>
      </xdr:spPr>
    </xdr:pic>
    <xdr:clientData/>
  </xdr:twoCellAnchor>
  <xdr:twoCellAnchor>
    <xdr:from>
      <xdr:col>0</xdr:col>
      <xdr:colOff>74840</xdr:colOff>
      <xdr:row>83</xdr:row>
      <xdr:rowOff>146993</xdr:rowOff>
    </xdr:from>
    <xdr:to>
      <xdr:col>0</xdr:col>
      <xdr:colOff>502171</xdr:colOff>
      <xdr:row>86</xdr:row>
      <xdr:rowOff>59505</xdr:rowOff>
    </xdr:to>
    <xdr:pic>
      <xdr:nvPicPr>
        <xdr:cNvPr id="30" name="Kuva 29">
          <a:extLst>
            <a:ext uri="{FF2B5EF4-FFF2-40B4-BE49-F238E27FC236}">
              <a16:creationId xmlns:a16="http://schemas.microsoft.com/office/drawing/2014/main" id="{18D6DA13-A034-43A0-9ED3-0E5FC2D6D8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40" y="13301884"/>
          <a:ext cx="427331" cy="390494"/>
        </a:xfrm>
        <a:prstGeom prst="rect">
          <a:avLst/>
        </a:prstGeom>
      </xdr:spPr>
    </xdr:pic>
    <xdr:clientData/>
  </xdr:twoCellAnchor>
  <xdr:twoCellAnchor>
    <xdr:from>
      <xdr:col>0</xdr:col>
      <xdr:colOff>115711</xdr:colOff>
      <xdr:row>15</xdr:row>
      <xdr:rowOff>40697</xdr:rowOff>
    </xdr:from>
    <xdr:to>
      <xdr:col>0</xdr:col>
      <xdr:colOff>522414</xdr:colOff>
      <xdr:row>17</xdr:row>
      <xdr:rowOff>121511</xdr:rowOff>
    </xdr:to>
    <xdr:pic>
      <xdr:nvPicPr>
        <xdr:cNvPr id="15" name="Kuva 14">
          <a:hlinkClick xmlns:r="http://schemas.openxmlformats.org/officeDocument/2006/relationships" r:id="rId1"/>
          <a:extLst>
            <a:ext uri="{FF2B5EF4-FFF2-40B4-BE49-F238E27FC236}">
              <a16:creationId xmlns:a16="http://schemas.microsoft.com/office/drawing/2014/main" id="{8873844A-7AA4-4F38-AC87-4D8628668E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711" y="2486024"/>
          <a:ext cx="406703" cy="399469"/>
        </a:xfrm>
        <a:prstGeom prst="rect">
          <a:avLst/>
        </a:prstGeom>
      </xdr:spPr>
    </xdr:pic>
    <xdr:clientData/>
  </xdr:twoCellAnchor>
  <xdr:twoCellAnchor>
    <xdr:from>
      <xdr:col>0</xdr:col>
      <xdr:colOff>110778</xdr:colOff>
      <xdr:row>17</xdr:row>
      <xdr:rowOff>137674</xdr:rowOff>
    </xdr:from>
    <xdr:to>
      <xdr:col>0</xdr:col>
      <xdr:colOff>517481</xdr:colOff>
      <xdr:row>20</xdr:row>
      <xdr:rowOff>59161</xdr:rowOff>
    </xdr:to>
    <xdr:pic>
      <xdr:nvPicPr>
        <xdr:cNvPr id="16" name="Kuva 15">
          <a:hlinkClick xmlns:r="http://schemas.openxmlformats.org/officeDocument/2006/relationships" r:id="rId3"/>
          <a:extLst>
            <a:ext uri="{FF2B5EF4-FFF2-40B4-BE49-F238E27FC236}">
              <a16:creationId xmlns:a16="http://schemas.microsoft.com/office/drawing/2014/main" id="{61813534-6B04-4E2E-A52B-8D2615415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778" y="2901656"/>
          <a:ext cx="406703" cy="399469"/>
        </a:xfrm>
        <a:prstGeom prst="rect">
          <a:avLst/>
        </a:prstGeom>
      </xdr:spPr>
    </xdr:pic>
    <xdr:clientData/>
  </xdr:twoCellAnchor>
  <xdr:twoCellAnchor>
    <xdr:from>
      <xdr:col>0</xdr:col>
      <xdr:colOff>108475</xdr:colOff>
      <xdr:row>30</xdr:row>
      <xdr:rowOff>148766</xdr:rowOff>
    </xdr:from>
    <xdr:to>
      <xdr:col>0</xdr:col>
      <xdr:colOff>511368</xdr:colOff>
      <xdr:row>33</xdr:row>
      <xdr:rowOff>70253</xdr:rowOff>
    </xdr:to>
    <xdr:pic>
      <xdr:nvPicPr>
        <xdr:cNvPr id="17" name="Kuva 16">
          <a:hlinkClick xmlns:r="http://schemas.openxmlformats.org/officeDocument/2006/relationships" r:id="rId21"/>
          <a:extLst>
            <a:ext uri="{FF2B5EF4-FFF2-40B4-BE49-F238E27FC236}">
              <a16:creationId xmlns:a16="http://schemas.microsoft.com/office/drawing/2014/main" id="{C311D855-8D35-4193-9391-01EC503C36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475" y="5194130"/>
          <a:ext cx="402893" cy="423714"/>
        </a:xfrm>
        <a:prstGeom prst="rect">
          <a:avLst/>
        </a:prstGeom>
      </xdr:spPr>
    </xdr:pic>
    <xdr:clientData/>
  </xdr:twoCellAnchor>
  <xdr:twoCellAnchor>
    <xdr:from>
      <xdr:col>0</xdr:col>
      <xdr:colOff>111064</xdr:colOff>
      <xdr:row>28</xdr:row>
      <xdr:rowOff>32410</xdr:rowOff>
    </xdr:from>
    <xdr:to>
      <xdr:col>0</xdr:col>
      <xdr:colOff>517766</xdr:colOff>
      <xdr:row>30</xdr:row>
      <xdr:rowOff>110479</xdr:rowOff>
    </xdr:to>
    <xdr:pic>
      <xdr:nvPicPr>
        <xdr:cNvPr id="18" name="Kuva 17">
          <a:hlinkClick xmlns:r="http://schemas.openxmlformats.org/officeDocument/2006/relationships" r:id="rId23"/>
          <a:extLst>
            <a:ext uri="{FF2B5EF4-FFF2-40B4-BE49-F238E27FC236}">
              <a16:creationId xmlns:a16="http://schemas.microsoft.com/office/drawing/2014/main" id="{DBD9E03E-38D3-4F16-9539-B3E97B7719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064" y="4548992"/>
          <a:ext cx="406702" cy="396723"/>
        </a:xfrm>
        <a:prstGeom prst="rect">
          <a:avLst/>
        </a:prstGeom>
      </xdr:spPr>
    </xdr:pic>
    <xdr:clientData/>
  </xdr:twoCellAnchor>
  <xdr:twoCellAnchor>
    <xdr:from>
      <xdr:col>0</xdr:col>
      <xdr:colOff>117802</xdr:colOff>
      <xdr:row>20</xdr:row>
      <xdr:rowOff>66223</xdr:rowOff>
    </xdr:from>
    <xdr:to>
      <xdr:col>0</xdr:col>
      <xdr:colOff>524505</xdr:colOff>
      <xdr:row>22</xdr:row>
      <xdr:rowOff>147038</xdr:rowOff>
    </xdr:to>
    <xdr:pic>
      <xdr:nvPicPr>
        <xdr:cNvPr id="19" name="Kuva 18">
          <a:hlinkClick xmlns:r="http://schemas.openxmlformats.org/officeDocument/2006/relationships" r:id="rId9"/>
          <a:extLst>
            <a:ext uri="{FF2B5EF4-FFF2-40B4-BE49-F238E27FC236}">
              <a16:creationId xmlns:a16="http://schemas.microsoft.com/office/drawing/2014/main" id="{7662F7C7-6C8F-4E52-8957-9FEE34C39C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7802" y="3308187"/>
          <a:ext cx="406703" cy="399469"/>
        </a:xfrm>
        <a:prstGeom prst="rect">
          <a:avLst/>
        </a:prstGeom>
      </xdr:spPr>
    </xdr:pic>
    <xdr:clientData/>
  </xdr:twoCellAnchor>
  <xdr:twoCellAnchor>
    <xdr:from>
      <xdr:col>0</xdr:col>
      <xdr:colOff>116423</xdr:colOff>
      <xdr:row>12</xdr:row>
      <xdr:rowOff>111923</xdr:rowOff>
    </xdr:from>
    <xdr:to>
      <xdr:col>0</xdr:col>
      <xdr:colOff>523125</xdr:colOff>
      <xdr:row>15</xdr:row>
      <xdr:rowOff>33410</xdr:rowOff>
    </xdr:to>
    <xdr:pic>
      <xdr:nvPicPr>
        <xdr:cNvPr id="23" name="Kuva 22">
          <a:hlinkClick xmlns:r="http://schemas.openxmlformats.org/officeDocument/2006/relationships" r:id="rId11"/>
          <a:extLst>
            <a:ext uri="{FF2B5EF4-FFF2-40B4-BE49-F238E27FC236}">
              <a16:creationId xmlns:a16="http://schemas.microsoft.com/office/drawing/2014/main" id="{76573279-655A-42C0-83AE-F69E3B232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6423" y="2079268"/>
          <a:ext cx="406702" cy="399469"/>
        </a:xfrm>
        <a:prstGeom prst="rect">
          <a:avLst/>
        </a:prstGeom>
      </xdr:spPr>
    </xdr:pic>
    <xdr:clientData/>
  </xdr:twoCellAnchor>
  <xdr:twoCellAnchor>
    <xdr:from>
      <xdr:col>0</xdr:col>
      <xdr:colOff>124370</xdr:colOff>
      <xdr:row>33</xdr:row>
      <xdr:rowOff>79236</xdr:rowOff>
    </xdr:from>
    <xdr:to>
      <xdr:col>0</xdr:col>
      <xdr:colOff>520369</xdr:colOff>
      <xdr:row>35</xdr:row>
      <xdr:rowOff>160050</xdr:rowOff>
    </xdr:to>
    <xdr:pic>
      <xdr:nvPicPr>
        <xdr:cNvPr id="24" name="Kuva 23" descr="Tulostin">
          <a:hlinkClick xmlns:r="http://schemas.openxmlformats.org/officeDocument/2006/relationships" r:id="rId13"/>
          <a:extLst>
            <a:ext uri="{FF2B5EF4-FFF2-40B4-BE49-F238E27FC236}">
              <a16:creationId xmlns:a16="http://schemas.microsoft.com/office/drawing/2014/main" id="{8B19247E-452A-496D-BE33-FE27756FFC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4370" y="5392454"/>
          <a:ext cx="395999" cy="399469"/>
        </a:xfrm>
        <a:prstGeom prst="rect">
          <a:avLst/>
        </a:prstGeom>
      </xdr:spPr>
    </xdr:pic>
    <xdr:clientData/>
  </xdr:twoCellAnchor>
  <xdr:twoCellAnchor>
    <xdr:from>
      <xdr:col>0</xdr:col>
      <xdr:colOff>105320</xdr:colOff>
      <xdr:row>25</xdr:row>
      <xdr:rowOff>96525</xdr:rowOff>
    </xdr:from>
    <xdr:to>
      <xdr:col>0</xdr:col>
      <xdr:colOff>501320</xdr:colOff>
      <xdr:row>28</xdr:row>
      <xdr:rowOff>18012</xdr:rowOff>
    </xdr:to>
    <xdr:pic>
      <xdr:nvPicPr>
        <xdr:cNvPr id="32" name="Kuva 31">
          <a:extLst>
            <a:ext uri="{FF2B5EF4-FFF2-40B4-BE49-F238E27FC236}">
              <a16:creationId xmlns:a16="http://schemas.microsoft.com/office/drawing/2014/main" id="{97585373-0E88-4547-8A31-10AECF6C88A4}"/>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5320" y="4135125"/>
          <a:ext cx="396000" cy="399469"/>
        </a:xfrm>
        <a:prstGeom prst="rect">
          <a:avLst/>
        </a:prstGeom>
      </xdr:spPr>
    </xdr:pic>
    <xdr:clientData/>
  </xdr:twoCellAnchor>
  <xdr:twoCellAnchor>
    <xdr:from>
      <xdr:col>0</xdr:col>
      <xdr:colOff>113603</xdr:colOff>
      <xdr:row>23</xdr:row>
      <xdr:rowOff>4820</xdr:rowOff>
    </xdr:from>
    <xdr:to>
      <xdr:col>0</xdr:col>
      <xdr:colOff>509603</xdr:colOff>
      <xdr:row>25</xdr:row>
      <xdr:rowOff>85634</xdr:rowOff>
    </xdr:to>
    <xdr:pic>
      <xdr:nvPicPr>
        <xdr:cNvPr id="34" name="Kuva 33">
          <a:hlinkClick xmlns:r="http://schemas.openxmlformats.org/officeDocument/2006/relationships" r:id="rId26"/>
          <a:extLst>
            <a:ext uri="{FF2B5EF4-FFF2-40B4-BE49-F238E27FC236}">
              <a16:creationId xmlns:a16="http://schemas.microsoft.com/office/drawing/2014/main" id="{FE3F3177-F07A-4846-94CE-EA55ADB9A5F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03" y="3724765"/>
          <a:ext cx="396000" cy="399469"/>
        </a:xfrm>
        <a:prstGeom prst="rect">
          <a:avLst/>
        </a:prstGeom>
      </xdr:spPr>
    </xdr:pic>
    <xdr:clientData/>
  </xdr:twoCellAnchor>
  <xdr:twoCellAnchor editAs="oneCell">
    <xdr:from>
      <xdr:col>7</xdr:col>
      <xdr:colOff>616526</xdr:colOff>
      <xdr:row>1</xdr:row>
      <xdr:rowOff>83127</xdr:rowOff>
    </xdr:from>
    <xdr:to>
      <xdr:col>10</xdr:col>
      <xdr:colOff>5045</xdr:colOff>
      <xdr:row>2</xdr:row>
      <xdr:rowOff>110384</xdr:rowOff>
    </xdr:to>
    <xdr:pic>
      <xdr:nvPicPr>
        <xdr:cNvPr id="2" name="Kuva 1">
          <a:extLst>
            <a:ext uri="{FF2B5EF4-FFF2-40B4-BE49-F238E27FC236}">
              <a16:creationId xmlns:a16="http://schemas.microsoft.com/office/drawing/2014/main" id="{9699A61F-F55E-4CEC-B4F0-D81601F593C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7290" y="249382"/>
          <a:ext cx="1560514" cy="221797"/>
        </a:xfrm>
        <a:prstGeom prst="rect">
          <a:avLst/>
        </a:prstGeom>
      </xdr:spPr>
    </xdr:pic>
    <xdr:clientData/>
  </xdr:twoCellAnchor>
  <xdr:twoCellAnchor editAs="oneCell">
    <xdr:from>
      <xdr:col>16</xdr:col>
      <xdr:colOff>761999</xdr:colOff>
      <xdr:row>1</xdr:row>
      <xdr:rowOff>62345</xdr:rowOff>
    </xdr:from>
    <xdr:to>
      <xdr:col>18</xdr:col>
      <xdr:colOff>720466</xdr:colOff>
      <xdr:row>2</xdr:row>
      <xdr:rowOff>79442</xdr:rowOff>
    </xdr:to>
    <xdr:pic>
      <xdr:nvPicPr>
        <xdr:cNvPr id="3" name="Kuva 2">
          <a:extLst>
            <a:ext uri="{FF2B5EF4-FFF2-40B4-BE49-F238E27FC236}">
              <a16:creationId xmlns:a16="http://schemas.microsoft.com/office/drawing/2014/main" id="{6F4CB078-8B7E-40B8-A7DD-3B564F3283D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679381" y="228600"/>
          <a:ext cx="1565594" cy="2179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19</xdr:col>
      <xdr:colOff>34289</xdr:colOff>
      <xdr:row>0</xdr:row>
      <xdr:rowOff>0</xdr:rowOff>
    </xdr:to>
    <xdr:pic>
      <xdr:nvPicPr>
        <xdr:cNvPr id="4973325" name="Kuva 12" descr="tulkki_vari2rivi.jpg">
          <a:extLst>
            <a:ext uri="{FF2B5EF4-FFF2-40B4-BE49-F238E27FC236}">
              <a16:creationId xmlns:a16="http://schemas.microsoft.com/office/drawing/2014/main" id="{00000000-0008-0000-0200-00000DE3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88413</xdr:colOff>
      <xdr:row>10</xdr:row>
      <xdr:rowOff>164144</xdr:rowOff>
    </xdr:from>
    <xdr:to>
      <xdr:col>0</xdr:col>
      <xdr:colOff>498926</xdr:colOff>
      <xdr:row>13</xdr:row>
      <xdr:rowOff>9685</xdr:rowOff>
    </xdr:to>
    <xdr:pic>
      <xdr:nvPicPr>
        <xdr:cNvPr id="45" name="Kuva 44">
          <a:hlinkClick xmlns:r="http://schemas.openxmlformats.org/officeDocument/2006/relationships" r:id="rId2"/>
          <a:extLst>
            <a:ext uri="{FF2B5EF4-FFF2-40B4-BE49-F238E27FC236}">
              <a16:creationId xmlns:a16="http://schemas.microsoft.com/office/drawing/2014/main" id="{A8835EF6-AB96-4F25-9FCA-17599691E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3" y="1947224"/>
          <a:ext cx="410513" cy="417041"/>
        </a:xfrm>
        <a:prstGeom prst="rect">
          <a:avLst/>
        </a:prstGeom>
      </xdr:spPr>
    </xdr:pic>
    <xdr:clientData/>
  </xdr:twoCellAnchor>
  <xdr:twoCellAnchor>
    <xdr:from>
      <xdr:col>0</xdr:col>
      <xdr:colOff>83481</xdr:colOff>
      <xdr:row>13</xdr:row>
      <xdr:rowOff>17595</xdr:rowOff>
    </xdr:from>
    <xdr:to>
      <xdr:col>0</xdr:col>
      <xdr:colOff>497804</xdr:colOff>
      <xdr:row>15</xdr:row>
      <xdr:rowOff>49816</xdr:rowOff>
    </xdr:to>
    <xdr:pic>
      <xdr:nvPicPr>
        <xdr:cNvPr id="46" name="Kuva 45">
          <a:hlinkClick xmlns:r="http://schemas.openxmlformats.org/officeDocument/2006/relationships" r:id="rId4"/>
          <a:extLst>
            <a:ext uri="{FF2B5EF4-FFF2-40B4-BE49-F238E27FC236}">
              <a16:creationId xmlns:a16="http://schemas.microsoft.com/office/drawing/2014/main" id="{DE3EF514-EA23-47BE-B09B-A377457D0A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481" y="2372175"/>
          <a:ext cx="414323" cy="413221"/>
        </a:xfrm>
        <a:prstGeom prst="rect">
          <a:avLst/>
        </a:prstGeom>
      </xdr:spPr>
    </xdr:pic>
    <xdr:clientData/>
  </xdr:twoCellAnchor>
  <xdr:twoCellAnchor>
    <xdr:from>
      <xdr:col>0</xdr:col>
      <xdr:colOff>85162</xdr:colOff>
      <xdr:row>24</xdr:row>
      <xdr:rowOff>48609</xdr:rowOff>
    </xdr:from>
    <xdr:to>
      <xdr:col>0</xdr:col>
      <xdr:colOff>499485</xdr:colOff>
      <xdr:row>25</xdr:row>
      <xdr:rowOff>281940</xdr:rowOff>
    </xdr:to>
    <xdr:pic>
      <xdr:nvPicPr>
        <xdr:cNvPr id="48" name="Kuva 47">
          <a:hlinkClick xmlns:r="http://schemas.openxmlformats.org/officeDocument/2006/relationships" r:id="rId6"/>
          <a:extLst>
            <a:ext uri="{FF2B5EF4-FFF2-40B4-BE49-F238E27FC236}">
              <a16:creationId xmlns:a16="http://schemas.microsoft.com/office/drawing/2014/main" id="{1DDBBB0D-8475-4BBA-9060-4B5F0BF762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62" y="4529169"/>
          <a:ext cx="414323" cy="423831"/>
        </a:xfrm>
        <a:prstGeom prst="rect">
          <a:avLst/>
        </a:prstGeom>
      </xdr:spPr>
    </xdr:pic>
    <xdr:clientData/>
  </xdr:twoCellAnchor>
  <xdr:twoCellAnchor>
    <xdr:from>
      <xdr:col>0</xdr:col>
      <xdr:colOff>86465</xdr:colOff>
      <xdr:row>17</xdr:row>
      <xdr:rowOff>105978</xdr:rowOff>
    </xdr:from>
    <xdr:to>
      <xdr:col>0</xdr:col>
      <xdr:colOff>502693</xdr:colOff>
      <xdr:row>19</xdr:row>
      <xdr:rowOff>134381</xdr:rowOff>
    </xdr:to>
    <xdr:pic>
      <xdr:nvPicPr>
        <xdr:cNvPr id="50" name="Kuva 49">
          <a:hlinkClick xmlns:r="http://schemas.openxmlformats.org/officeDocument/2006/relationships" r:id="rId8"/>
          <a:extLst>
            <a:ext uri="{FF2B5EF4-FFF2-40B4-BE49-F238E27FC236}">
              <a16:creationId xmlns:a16="http://schemas.microsoft.com/office/drawing/2014/main" id="{ACAA0298-D6D2-40EF-9B42-591849A116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465" y="3222558"/>
          <a:ext cx="416228" cy="409403"/>
        </a:xfrm>
        <a:prstGeom prst="rect">
          <a:avLst/>
        </a:prstGeom>
      </xdr:spPr>
    </xdr:pic>
    <xdr:clientData/>
  </xdr:twoCellAnchor>
  <xdr:twoCellAnchor>
    <xdr:from>
      <xdr:col>0</xdr:col>
      <xdr:colOff>82460</xdr:colOff>
      <xdr:row>15</xdr:row>
      <xdr:rowOff>67150</xdr:rowOff>
    </xdr:from>
    <xdr:to>
      <xdr:col>0</xdr:col>
      <xdr:colOff>502498</xdr:colOff>
      <xdr:row>17</xdr:row>
      <xdr:rowOff>93918</xdr:rowOff>
    </xdr:to>
    <xdr:pic>
      <xdr:nvPicPr>
        <xdr:cNvPr id="51" name="Kuva 50">
          <a:hlinkClick xmlns:r="http://schemas.openxmlformats.org/officeDocument/2006/relationships" r:id="rId10"/>
          <a:extLst>
            <a:ext uri="{FF2B5EF4-FFF2-40B4-BE49-F238E27FC236}">
              <a16:creationId xmlns:a16="http://schemas.microsoft.com/office/drawing/2014/main" id="{3DA1BD2A-6960-42A1-B887-09CD2908C9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60" y="2802730"/>
          <a:ext cx="420038" cy="407768"/>
        </a:xfrm>
        <a:prstGeom prst="rect">
          <a:avLst/>
        </a:prstGeom>
      </xdr:spPr>
    </xdr:pic>
    <xdr:clientData/>
  </xdr:twoCellAnchor>
  <xdr:twoCellAnchor>
    <xdr:from>
      <xdr:col>0</xdr:col>
      <xdr:colOff>89603</xdr:colOff>
      <xdr:row>19</xdr:row>
      <xdr:rowOff>157513</xdr:rowOff>
    </xdr:from>
    <xdr:to>
      <xdr:col>0</xdr:col>
      <xdr:colOff>500116</xdr:colOff>
      <xdr:row>22</xdr:row>
      <xdr:rowOff>667</xdr:rowOff>
    </xdr:to>
    <xdr:pic>
      <xdr:nvPicPr>
        <xdr:cNvPr id="52" name="Kuva 51">
          <a:hlinkClick xmlns:r="http://schemas.openxmlformats.org/officeDocument/2006/relationships" r:id="rId12"/>
          <a:extLst>
            <a:ext uri="{FF2B5EF4-FFF2-40B4-BE49-F238E27FC236}">
              <a16:creationId xmlns:a16="http://schemas.microsoft.com/office/drawing/2014/main" id="{26A99A47-20D3-43FB-A980-FA28FD8B8B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603" y="3655093"/>
          <a:ext cx="410513" cy="414654"/>
        </a:xfrm>
        <a:prstGeom prst="rect">
          <a:avLst/>
        </a:prstGeom>
      </xdr:spPr>
    </xdr:pic>
    <xdr:clientData/>
  </xdr:twoCellAnchor>
  <xdr:twoCellAnchor>
    <xdr:from>
      <xdr:col>0</xdr:col>
      <xdr:colOff>82154</xdr:colOff>
      <xdr:row>22</xdr:row>
      <xdr:rowOff>4306</xdr:rowOff>
    </xdr:from>
    <xdr:to>
      <xdr:col>0</xdr:col>
      <xdr:colOff>503759</xdr:colOff>
      <xdr:row>24</xdr:row>
      <xdr:rowOff>40260</xdr:rowOff>
    </xdr:to>
    <xdr:pic>
      <xdr:nvPicPr>
        <xdr:cNvPr id="5" name="Kuva 4">
          <a:extLst>
            <a:ext uri="{FF2B5EF4-FFF2-40B4-BE49-F238E27FC236}">
              <a16:creationId xmlns:a16="http://schemas.microsoft.com/office/drawing/2014/main" id="{04BF3ECA-E484-445B-888F-FA6203ACA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154" y="4073386"/>
          <a:ext cx="421605" cy="416954"/>
        </a:xfrm>
        <a:prstGeom prst="rect">
          <a:avLst/>
        </a:prstGeom>
      </xdr:spPr>
    </xdr:pic>
    <xdr:clientData/>
  </xdr:twoCellAnchor>
  <xdr:twoCellAnchor>
    <xdr:from>
      <xdr:col>0</xdr:col>
      <xdr:colOff>79389</xdr:colOff>
      <xdr:row>8</xdr:row>
      <xdr:rowOff>94408</xdr:rowOff>
    </xdr:from>
    <xdr:to>
      <xdr:col>0</xdr:col>
      <xdr:colOff>500994</xdr:colOff>
      <xdr:row>10</xdr:row>
      <xdr:rowOff>144991</xdr:rowOff>
    </xdr:to>
    <xdr:pic>
      <xdr:nvPicPr>
        <xdr:cNvPr id="12" name="Kuva 11">
          <a:hlinkClick xmlns:r="http://schemas.openxmlformats.org/officeDocument/2006/relationships" r:id="rId15"/>
          <a:extLst>
            <a:ext uri="{FF2B5EF4-FFF2-40B4-BE49-F238E27FC236}">
              <a16:creationId xmlns:a16="http://schemas.microsoft.com/office/drawing/2014/main" id="{315D20C6-5B9E-436D-9F1B-B1FC23E2FEA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9389" y="1542208"/>
          <a:ext cx="421605" cy="385863"/>
        </a:xfrm>
        <a:prstGeom prst="rect">
          <a:avLst/>
        </a:prstGeom>
      </xdr:spPr>
    </xdr:pic>
    <xdr:clientData/>
  </xdr:twoCellAnchor>
  <xdr:twoCellAnchor>
    <xdr:from>
      <xdr:col>0</xdr:col>
      <xdr:colOff>127301</xdr:colOff>
      <xdr:row>25</xdr:row>
      <xdr:rowOff>327136</xdr:rowOff>
    </xdr:from>
    <xdr:to>
      <xdr:col>0</xdr:col>
      <xdr:colOff>481631</xdr:colOff>
      <xdr:row>27</xdr:row>
      <xdr:rowOff>134147</xdr:rowOff>
    </xdr:to>
    <xdr:pic>
      <xdr:nvPicPr>
        <xdr:cNvPr id="64" name="Kuva 63" descr="Tulostin">
          <a:hlinkClick xmlns:r="http://schemas.openxmlformats.org/officeDocument/2006/relationships" r:id="rId17"/>
          <a:extLst>
            <a:ext uri="{FF2B5EF4-FFF2-40B4-BE49-F238E27FC236}">
              <a16:creationId xmlns:a16="http://schemas.microsoft.com/office/drawing/2014/main" id="{1900F715-DF88-4ADA-9E46-ED8A599B4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7301" y="4987059"/>
          <a:ext cx="354330" cy="378511"/>
        </a:xfrm>
        <a:prstGeom prst="rect">
          <a:avLst/>
        </a:prstGeom>
      </xdr:spPr>
    </xdr:pic>
    <xdr:clientData/>
  </xdr:twoCellAnchor>
  <xdr:twoCellAnchor editAs="oneCell">
    <xdr:from>
      <xdr:col>10</xdr:col>
      <xdr:colOff>350520</xdr:colOff>
      <xdr:row>3</xdr:row>
      <xdr:rowOff>164508</xdr:rowOff>
    </xdr:from>
    <xdr:to>
      <xdr:col>13</xdr:col>
      <xdr:colOff>373380</xdr:colOff>
      <xdr:row>5</xdr:row>
      <xdr:rowOff>34290</xdr:rowOff>
    </xdr:to>
    <xdr:pic>
      <xdr:nvPicPr>
        <xdr:cNvPr id="6" name="Kuva 5">
          <a:extLst>
            <a:ext uri="{FF2B5EF4-FFF2-40B4-BE49-F238E27FC236}">
              <a16:creationId xmlns:a16="http://schemas.microsoft.com/office/drawing/2014/main" id="{09F99589-79FB-2DFF-9105-7A7332C35D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795260" y="697908"/>
          <a:ext cx="2194560" cy="302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50</xdr:col>
      <xdr:colOff>899575</xdr:colOff>
      <xdr:row>10</xdr:row>
      <xdr:rowOff>127592</xdr:rowOff>
    </xdr:from>
    <xdr:to>
      <xdr:col>67</xdr:col>
      <xdr:colOff>586921</xdr:colOff>
      <xdr:row>41</xdr:row>
      <xdr:rowOff>71018</xdr:rowOff>
    </xdr:to>
    <xdr:graphicFrame macro="">
      <xdr:nvGraphicFramePr>
        <xdr:cNvPr id="5010635" name="Kaavio 3">
          <a:extLst>
            <a:ext uri="{FF2B5EF4-FFF2-40B4-BE49-F238E27FC236}">
              <a16:creationId xmlns:a16="http://schemas.microsoft.com/office/drawing/2014/main" id="{00000000-0008-0000-0600-0000CB7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46489</xdr:colOff>
      <xdr:row>55</xdr:row>
      <xdr:rowOff>153357</xdr:rowOff>
    </xdr:from>
    <xdr:to>
      <xdr:col>0</xdr:col>
      <xdr:colOff>473264</xdr:colOff>
      <xdr:row>79</xdr:row>
      <xdr:rowOff>21263</xdr:rowOff>
    </xdr:to>
    <xdr:grpSp>
      <xdr:nvGrpSpPr>
        <xdr:cNvPr id="2" name="Ryhmä 1">
          <a:extLst>
            <a:ext uri="{FF2B5EF4-FFF2-40B4-BE49-F238E27FC236}">
              <a16:creationId xmlns:a16="http://schemas.microsoft.com/office/drawing/2014/main" id="{E6CC92E3-E71E-C6B7-AE8C-A75276432A2B}"/>
            </a:ext>
          </a:extLst>
        </xdr:cNvPr>
        <xdr:cNvGrpSpPr/>
      </xdr:nvGrpSpPr>
      <xdr:grpSpPr>
        <a:xfrm>
          <a:off x="46489" y="8543640"/>
          <a:ext cx="426775" cy="3893253"/>
          <a:chOff x="87902" y="1867857"/>
          <a:chExt cx="426775" cy="3909819"/>
        </a:xfrm>
      </xdr:grpSpPr>
      <xdr:pic>
        <xdr:nvPicPr>
          <xdr:cNvPr id="25" name="Kuva 24" descr="Tulostin">
            <a:hlinkClick xmlns:r="http://schemas.openxmlformats.org/officeDocument/2006/relationships" r:id="rId2"/>
            <a:extLst>
              <a:ext uri="{FF2B5EF4-FFF2-40B4-BE49-F238E27FC236}">
                <a16:creationId xmlns:a16="http://schemas.microsoft.com/office/drawing/2014/main" id="{F6CE7C99-D3D0-46F0-A559-4206A49A7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18" y="5379008"/>
            <a:ext cx="366863" cy="398668"/>
          </a:xfrm>
          <a:prstGeom prst="rect">
            <a:avLst/>
          </a:prstGeom>
        </xdr:spPr>
      </xdr:pic>
      <xdr:pic>
        <xdr:nvPicPr>
          <xdr:cNvPr id="29" name="Kuva 28">
            <a:hlinkClick xmlns:r="http://schemas.openxmlformats.org/officeDocument/2006/relationships" r:id="rId5"/>
            <a:extLst>
              <a:ext uri="{FF2B5EF4-FFF2-40B4-BE49-F238E27FC236}">
                <a16:creationId xmlns:a16="http://schemas.microsoft.com/office/drawing/2014/main" id="{388AAE6D-F2FD-4C94-BCBD-679E96B008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589" y="2297090"/>
            <a:ext cx="409465" cy="365949"/>
          </a:xfrm>
          <a:prstGeom prst="rect">
            <a:avLst/>
          </a:prstGeom>
        </xdr:spPr>
      </xdr:pic>
      <xdr:pic>
        <xdr:nvPicPr>
          <xdr:cNvPr id="30" name="Kuva 29">
            <a:hlinkClick xmlns:r="http://schemas.openxmlformats.org/officeDocument/2006/relationships" r:id="rId7"/>
            <a:extLst>
              <a:ext uri="{FF2B5EF4-FFF2-40B4-BE49-F238E27FC236}">
                <a16:creationId xmlns:a16="http://schemas.microsoft.com/office/drawing/2014/main" id="{CD910E40-59B1-4C28-80E1-BBD02B516F5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590" y="2729898"/>
            <a:ext cx="414981" cy="370796"/>
          </a:xfrm>
          <a:prstGeom prst="rect">
            <a:avLst/>
          </a:prstGeom>
        </xdr:spPr>
      </xdr:pic>
      <xdr:pic>
        <xdr:nvPicPr>
          <xdr:cNvPr id="32" name="Kuva 31">
            <a:hlinkClick xmlns:r="http://schemas.openxmlformats.org/officeDocument/2006/relationships" r:id="rId9"/>
            <a:extLst>
              <a:ext uri="{FF2B5EF4-FFF2-40B4-BE49-F238E27FC236}">
                <a16:creationId xmlns:a16="http://schemas.microsoft.com/office/drawing/2014/main" id="{42C363E8-85DA-4274-8757-653237B13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998" y="4550059"/>
            <a:ext cx="409464" cy="399804"/>
          </a:xfrm>
          <a:prstGeom prst="rect">
            <a:avLst/>
          </a:prstGeom>
        </xdr:spPr>
      </xdr:pic>
      <xdr:pic>
        <xdr:nvPicPr>
          <xdr:cNvPr id="33" name="Kuva 32">
            <a:hlinkClick xmlns:r="http://schemas.openxmlformats.org/officeDocument/2006/relationships" r:id="rId11"/>
            <a:extLst>
              <a:ext uri="{FF2B5EF4-FFF2-40B4-BE49-F238E27FC236}">
                <a16:creationId xmlns:a16="http://schemas.microsoft.com/office/drawing/2014/main" id="{B6A15AD3-44D1-4EDA-811E-44B2B86F43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1615" y="3615832"/>
            <a:ext cx="409465" cy="399806"/>
          </a:xfrm>
          <a:prstGeom prst="rect">
            <a:avLst/>
          </a:prstGeom>
        </xdr:spPr>
      </xdr:pic>
      <xdr:pic>
        <xdr:nvPicPr>
          <xdr:cNvPr id="34" name="Kuva 33">
            <a:hlinkClick xmlns:r="http://schemas.openxmlformats.org/officeDocument/2006/relationships" r:id="rId13"/>
            <a:extLst>
              <a:ext uri="{FF2B5EF4-FFF2-40B4-BE49-F238E27FC236}">
                <a16:creationId xmlns:a16="http://schemas.microsoft.com/office/drawing/2014/main" id="{47397F84-7D34-4790-B869-B65E15670B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7555" y="3168534"/>
            <a:ext cx="414981" cy="379827"/>
          </a:xfrm>
          <a:prstGeom prst="rect">
            <a:avLst/>
          </a:prstGeom>
        </xdr:spPr>
      </xdr:pic>
      <xdr:pic>
        <xdr:nvPicPr>
          <xdr:cNvPr id="35" name="Kuva 34">
            <a:hlinkClick xmlns:r="http://schemas.openxmlformats.org/officeDocument/2006/relationships" r:id="rId15"/>
            <a:extLst>
              <a:ext uri="{FF2B5EF4-FFF2-40B4-BE49-F238E27FC236}">
                <a16:creationId xmlns:a16="http://schemas.microsoft.com/office/drawing/2014/main" id="{1B1E6B67-3930-4A16-B845-CCEECC3966C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072" y="4071946"/>
            <a:ext cx="407258" cy="413134"/>
          </a:xfrm>
          <a:prstGeom prst="rect">
            <a:avLst/>
          </a:prstGeom>
        </xdr:spPr>
      </xdr:pic>
      <xdr:pic>
        <xdr:nvPicPr>
          <xdr:cNvPr id="4" name="Kuva 3">
            <a:hlinkClick xmlns:r="http://schemas.openxmlformats.org/officeDocument/2006/relationships" r:id="rId17"/>
            <a:extLst>
              <a:ext uri="{FF2B5EF4-FFF2-40B4-BE49-F238E27FC236}">
                <a16:creationId xmlns:a16="http://schemas.microsoft.com/office/drawing/2014/main" id="{B9DABBCA-AA15-47CE-B705-DEAB503689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6177" y="1867857"/>
            <a:ext cx="418500" cy="380022"/>
          </a:xfrm>
          <a:prstGeom prst="rect">
            <a:avLst/>
          </a:prstGeom>
        </xdr:spPr>
      </xdr:pic>
      <xdr:pic>
        <xdr:nvPicPr>
          <xdr:cNvPr id="7" name="Kuva 6">
            <a:extLst>
              <a:ext uri="{FF2B5EF4-FFF2-40B4-BE49-F238E27FC236}">
                <a16:creationId xmlns:a16="http://schemas.microsoft.com/office/drawing/2014/main" id="{58575C09-714E-48FE-B065-2E5F0D9086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902" y="4971776"/>
            <a:ext cx="426224" cy="391154"/>
          </a:xfrm>
          <a:prstGeom prst="rect">
            <a:avLst/>
          </a:prstGeom>
        </xdr:spPr>
      </xdr:pic>
    </xdr:grpSp>
    <xdr:clientData/>
  </xdr:twoCellAnchor>
  <xdr:twoCellAnchor>
    <xdr:from>
      <xdr:col>51</xdr:col>
      <xdr:colOff>8283</xdr:colOff>
      <xdr:row>72</xdr:row>
      <xdr:rowOff>43815</xdr:rowOff>
    </xdr:from>
    <xdr:to>
      <xdr:col>67</xdr:col>
      <xdr:colOff>621196</xdr:colOff>
      <xdr:row>100</xdr:row>
      <xdr:rowOff>163830</xdr:rowOff>
    </xdr:to>
    <xdr:graphicFrame macro="">
      <xdr:nvGraphicFramePr>
        <xdr:cNvPr id="3" name="Kaavio 3">
          <a:extLst>
            <a:ext uri="{FF2B5EF4-FFF2-40B4-BE49-F238E27FC236}">
              <a16:creationId xmlns:a16="http://schemas.microsoft.com/office/drawing/2014/main" id="{AE4B1607-2DCF-42EA-ADB7-92C1DC6DE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16</xdr:col>
      <xdr:colOff>166255</xdr:colOff>
      <xdr:row>6</xdr:row>
      <xdr:rowOff>150874</xdr:rowOff>
    </xdr:from>
    <xdr:to>
      <xdr:col>19</xdr:col>
      <xdr:colOff>2720</xdr:colOff>
      <xdr:row>8</xdr:row>
      <xdr:rowOff>72564</xdr:rowOff>
    </xdr:to>
    <xdr:pic>
      <xdr:nvPicPr>
        <xdr:cNvPr id="10" name="Kuva 9">
          <a:extLst>
            <a:ext uri="{FF2B5EF4-FFF2-40B4-BE49-F238E27FC236}">
              <a16:creationId xmlns:a16="http://schemas.microsoft.com/office/drawing/2014/main" id="{81D53A1A-9893-5D27-A83F-0B51B3116A5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291455" y="1335438"/>
          <a:ext cx="1891145" cy="260433"/>
        </a:xfrm>
        <a:prstGeom prst="rect">
          <a:avLst/>
        </a:prstGeom>
      </xdr:spPr>
    </xdr:pic>
    <xdr:clientData/>
  </xdr:twoCellAnchor>
  <xdr:twoCellAnchor editAs="oneCell">
    <xdr:from>
      <xdr:col>16</xdr:col>
      <xdr:colOff>69273</xdr:colOff>
      <xdr:row>64</xdr:row>
      <xdr:rowOff>0</xdr:rowOff>
    </xdr:from>
    <xdr:to>
      <xdr:col>18</xdr:col>
      <xdr:colOff>605963</xdr:colOff>
      <xdr:row>65</xdr:row>
      <xdr:rowOff>79632</xdr:rowOff>
    </xdr:to>
    <xdr:pic>
      <xdr:nvPicPr>
        <xdr:cNvPr id="11" name="Kuva 10">
          <a:extLst>
            <a:ext uri="{FF2B5EF4-FFF2-40B4-BE49-F238E27FC236}">
              <a16:creationId xmlns:a16="http://schemas.microsoft.com/office/drawing/2014/main" id="{7EB5A436-B05F-4C41-9880-5DB27FA04AC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194473" y="9850582"/>
          <a:ext cx="1891145" cy="260433"/>
        </a:xfrm>
        <a:prstGeom prst="rect">
          <a:avLst/>
        </a:prstGeom>
      </xdr:spPr>
    </xdr:pic>
    <xdr:clientData/>
  </xdr:twoCellAnchor>
  <xdr:twoCellAnchor editAs="oneCell">
    <xdr:from>
      <xdr:col>64</xdr:col>
      <xdr:colOff>505691</xdr:colOff>
      <xdr:row>7</xdr:row>
      <xdr:rowOff>152399</xdr:rowOff>
    </xdr:from>
    <xdr:to>
      <xdr:col>67</xdr:col>
      <xdr:colOff>532187</xdr:colOff>
      <xdr:row>9</xdr:row>
      <xdr:rowOff>110631</xdr:rowOff>
    </xdr:to>
    <xdr:pic>
      <xdr:nvPicPr>
        <xdr:cNvPr id="5" name="Kuva 4">
          <a:extLst>
            <a:ext uri="{FF2B5EF4-FFF2-40B4-BE49-F238E27FC236}">
              <a16:creationId xmlns:a16="http://schemas.microsoft.com/office/drawing/2014/main" id="{8433CE3C-E24E-4953-998E-0496C06575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76527" y="1309254"/>
          <a:ext cx="1855297" cy="274981"/>
        </a:xfrm>
        <a:prstGeom prst="rect">
          <a:avLst/>
        </a:prstGeom>
      </xdr:spPr>
    </xdr:pic>
    <xdr:clientData/>
  </xdr:twoCellAnchor>
  <xdr:twoCellAnchor editAs="oneCell">
    <xdr:from>
      <xdr:col>64</xdr:col>
      <xdr:colOff>518333</xdr:colOff>
      <xdr:row>69</xdr:row>
      <xdr:rowOff>138545</xdr:rowOff>
    </xdr:from>
    <xdr:to>
      <xdr:col>67</xdr:col>
      <xdr:colOff>535304</xdr:colOff>
      <xdr:row>71</xdr:row>
      <xdr:rowOff>73628</xdr:rowOff>
    </xdr:to>
    <xdr:pic>
      <xdr:nvPicPr>
        <xdr:cNvPr id="6" name="Kuva 5">
          <a:extLst>
            <a:ext uri="{FF2B5EF4-FFF2-40B4-BE49-F238E27FC236}">
              <a16:creationId xmlns:a16="http://schemas.microsoft.com/office/drawing/2014/main" id="{EB7E66D1-C3E2-4630-A9CD-72D364E8727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89169" y="10674927"/>
          <a:ext cx="1845772" cy="28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Yritystulkki\YT%20Uusimmat%20Yleiset\Arkisto\YT6%20Aloittavan%20yrityksen%20tulossuunnitelma%202021%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JE"/>
      <sheetName val="1. T1 INVESTOINTISUUN."/>
      <sheetName val="AT Kassa"/>
      <sheetName val="2. T7 LAINAT"/>
      <sheetName val="3. E1 KUSTANNUKSET"/>
      <sheetName val="4. E2 LIIKEVAIHTO"/>
      <sheetName val="AT1 Avustus, alv"/>
      <sheetName val="AT2 Lainat, sotum, alv"/>
      <sheetName val="5. T4 RAHOITUSSUUN."/>
      <sheetName val="6. T3 TASE"/>
      <sheetName val="7. T2 TULOSSUUN."/>
      <sheetName val="8. T5 KASSABUDJETTI"/>
      <sheetName val="Tulostussivu"/>
      <sheetName val="Kaavi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47"/>
  <sheetViews>
    <sheetView showGridLines="0" showZeros="0" tabSelected="1" topLeftCell="B1" zoomScaleNormal="100" workbookViewId="0">
      <selection activeCell="J10" sqref="J10"/>
    </sheetView>
  </sheetViews>
  <sheetFormatPr defaultRowHeight="12.75" x14ac:dyDescent="0.2"/>
  <cols>
    <col min="1" max="1" width="20.7109375" customWidth="1"/>
    <col min="2" max="2" width="8" style="40" customWidth="1"/>
    <col min="3" max="3" width="2.5703125" style="40" customWidth="1"/>
    <col min="4" max="4" width="40.85546875" customWidth="1"/>
    <col min="5" max="5" width="23.85546875" customWidth="1"/>
    <col min="6" max="6" width="16.28515625" customWidth="1"/>
    <col min="7" max="7" width="36.28515625" customWidth="1"/>
  </cols>
  <sheetData>
    <row r="1" spans="2:13" ht="7.5" customHeight="1" x14ac:dyDescent="0.2"/>
    <row r="2" spans="2:13" ht="5.25" customHeight="1" x14ac:dyDescent="0.2">
      <c r="H2" s="82"/>
    </row>
    <row r="3" spans="2:13" ht="5.25" customHeight="1" x14ac:dyDescent="0.2"/>
    <row r="4" spans="2:13" hidden="1" x14ac:dyDescent="0.2"/>
    <row r="5" spans="2:13" ht="27.75" customHeight="1" x14ac:dyDescent="0.2">
      <c r="B5" s="2165" t="s">
        <v>781</v>
      </c>
      <c r="C5" s="2166"/>
      <c r="D5" s="2166"/>
      <c r="E5" s="2166"/>
    </row>
    <row r="6" spans="2:13" ht="27.75" customHeight="1" x14ac:dyDescent="0.2">
      <c r="B6" s="339"/>
      <c r="C6" s="1070"/>
      <c r="D6" s="1070"/>
      <c r="E6" s="1070"/>
      <c r="F6" s="2168"/>
      <c r="G6" s="2169"/>
    </row>
    <row r="7" spans="2:13" ht="12.75" customHeight="1" x14ac:dyDescent="0.2">
      <c r="B7" s="42"/>
      <c r="C7" s="42"/>
      <c r="D7" s="1"/>
      <c r="F7" s="2169"/>
      <c r="G7" s="2169"/>
    </row>
    <row r="8" spans="2:13" ht="30" customHeight="1" x14ac:dyDescent="0.2">
      <c r="E8" s="493"/>
      <c r="G8" s="2163" t="s">
        <v>933</v>
      </c>
      <c r="H8" s="519"/>
    </row>
    <row r="9" spans="2:13" ht="12.75" customHeight="1" x14ac:dyDescent="0.2">
      <c r="G9" s="2164"/>
    </row>
    <row r="10" spans="2:13" ht="30" customHeight="1" x14ac:dyDescent="0.2">
      <c r="B10" s="42" t="s">
        <v>0</v>
      </c>
      <c r="E10" s="493"/>
      <c r="G10" s="519"/>
    </row>
    <row r="11" spans="2:13" ht="12.75" customHeight="1" x14ac:dyDescent="0.2">
      <c r="F11" s="2167"/>
      <c r="G11" s="2167"/>
      <c r="M11" s="519"/>
    </row>
    <row r="12" spans="2:13" ht="30" customHeight="1" x14ac:dyDescent="0.2">
      <c r="E12" s="494"/>
      <c r="M12" s="230"/>
    </row>
    <row r="13" spans="2:13" ht="12.75" customHeight="1" x14ac:dyDescent="0.2"/>
    <row r="14" spans="2:13" ht="30" customHeight="1" x14ac:dyDescent="0.2">
      <c r="E14" s="493"/>
      <c r="K14" s="230"/>
    </row>
    <row r="15" spans="2:13" ht="12.75" customHeight="1" x14ac:dyDescent="0.2"/>
    <row r="16" spans="2:13" ht="30" customHeight="1" x14ac:dyDescent="0.2">
      <c r="E16" s="494"/>
    </row>
    <row r="17" spans="2:16" ht="12.75" customHeight="1" x14ac:dyDescent="0.2"/>
    <row r="18" spans="2:16" ht="30" customHeight="1" x14ac:dyDescent="0.2">
      <c r="E18" s="493"/>
    </row>
    <row r="19" spans="2:16" ht="12.75" customHeight="1" x14ac:dyDescent="0.2"/>
    <row r="20" spans="2:16" ht="30" customHeight="1" x14ac:dyDescent="0.2">
      <c r="E20" s="493"/>
      <c r="N20" s="519" t="s">
        <v>867</v>
      </c>
    </row>
    <row r="21" spans="2:16" ht="12.75" customHeight="1" x14ac:dyDescent="0.2">
      <c r="E21" s="1"/>
    </row>
    <row r="22" spans="2:16" ht="30" customHeight="1" x14ac:dyDescent="0.2">
      <c r="E22" s="493"/>
    </row>
    <row r="23" spans="2:16" ht="12.75" customHeight="1" x14ac:dyDescent="0.2">
      <c r="B23" s="42"/>
      <c r="C23" s="42"/>
      <c r="G23" s="153"/>
    </row>
    <row r="24" spans="2:16" ht="10.5" customHeight="1" x14ac:dyDescent="0.2">
      <c r="E24" s="493"/>
      <c r="F24" s="52"/>
      <c r="G24" s="495"/>
      <c r="H24" s="52"/>
      <c r="I24" s="52"/>
    </row>
    <row r="25" spans="2:16" x14ac:dyDescent="0.2">
      <c r="G25" s="153"/>
      <c r="M25" s="519" t="s">
        <v>49</v>
      </c>
    </row>
    <row r="26" spans="2:16" x14ac:dyDescent="0.2">
      <c r="G26" s="153"/>
    </row>
    <row r="27" spans="2:16" x14ac:dyDescent="0.2">
      <c r="G27" s="153"/>
      <c r="P27" t="s">
        <v>0</v>
      </c>
    </row>
    <row r="28" spans="2:16" x14ac:dyDescent="0.2">
      <c r="E28" s="85"/>
      <c r="G28" s="74"/>
    </row>
    <row r="29" spans="2:16" x14ac:dyDescent="0.2">
      <c r="G29" s="52"/>
    </row>
    <row r="30" spans="2:16" x14ac:dyDescent="0.2">
      <c r="B30" s="2149"/>
      <c r="C30" s="2149"/>
      <c r="D30" s="2149"/>
      <c r="E30" s="2149"/>
    </row>
    <row r="31" spans="2:16" x14ac:dyDescent="0.2">
      <c r="B31" s="2149"/>
      <c r="C31" s="2149"/>
      <c r="D31" s="2149"/>
      <c r="E31" s="2149"/>
    </row>
    <row r="32" spans="2:16" ht="5.85" customHeight="1" x14ac:dyDescent="0.2">
      <c r="B32" s="2149"/>
      <c r="C32" s="2149"/>
      <c r="D32" s="2149"/>
      <c r="E32" s="2149"/>
    </row>
    <row r="33" spans="4:7" ht="24" customHeight="1" x14ac:dyDescent="0.2">
      <c r="D33" s="52"/>
      <c r="G33" s="153" t="str">
        <f>'1. T1 INVESTMENT PLAN'!B67</f>
        <v>BP6 Financial Projection</v>
      </c>
    </row>
    <row r="34" spans="4:7" x14ac:dyDescent="0.2">
      <c r="D34" s="52"/>
      <c r="G34" s="1150" t="s">
        <v>932</v>
      </c>
    </row>
    <row r="38" spans="4:7" x14ac:dyDescent="0.2">
      <c r="D38" s="18"/>
      <c r="E38" s="18"/>
    </row>
    <row r="47" spans="4:7" x14ac:dyDescent="0.2">
      <c r="D47" s="461" t="s">
        <v>0</v>
      </c>
    </row>
  </sheetData>
  <sheetProtection algorithmName="SHA-512" hashValue="3bUdj0XGwDR7v2+iCcyPc558osZRz2SeLrKsx8QE1X4W+0hZIalz6eDLsXOxs6rAiA+5sLIRWsAlLsdUYGh4kQ==" saltValue="r4tcYVrC3Afa/J72ASgv/A==" spinCount="100000" sheet="1" objects="1" scenarios="1" selectLockedCells="1" selectUnlockedCells="1"/>
  <mergeCells count="7">
    <mergeCell ref="G8:G9"/>
    <mergeCell ref="B5:E5"/>
    <mergeCell ref="B30:E30"/>
    <mergeCell ref="B31:E31"/>
    <mergeCell ref="B32:E32"/>
    <mergeCell ref="F11:G11"/>
    <mergeCell ref="F6:G7"/>
  </mergeCells>
  <pageMargins left="0.70866141732283472" right="0.70866141732283472" top="0.55118110236220474" bottom="0.55118110236220474" header="0.31496062992125984" footer="0.31496062992125984"/>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152A1"/>
  </sheetPr>
  <dimension ref="A1:U106"/>
  <sheetViews>
    <sheetView showGridLines="0" showZeros="0" zoomScaleNormal="100" workbookViewId="0">
      <selection activeCell="E17" sqref="E17"/>
    </sheetView>
  </sheetViews>
  <sheetFormatPr defaultRowHeight="12.75" x14ac:dyDescent="0.2"/>
  <cols>
    <col min="1" max="1" width="8.5703125" style="40" customWidth="1"/>
    <col min="2" max="2" width="3.28515625" customWidth="1"/>
    <col min="3" max="3" width="21.140625" customWidth="1"/>
    <col min="4" max="4" width="12.28515625" customWidth="1"/>
    <col min="5" max="5" width="7.28515625" customWidth="1"/>
    <col min="6" max="10" width="10.7109375" customWidth="1"/>
    <col min="11" max="11" width="2.7109375" customWidth="1"/>
    <col min="12" max="15" width="9.7109375" customWidth="1"/>
    <col min="16" max="19" width="11.7109375" customWidth="1"/>
  </cols>
  <sheetData>
    <row r="1" spans="1:19" x14ac:dyDescent="0.2">
      <c r="A1" s="551" t="s">
        <v>0</v>
      </c>
    </row>
    <row r="2" spans="1:19" ht="15.75" x14ac:dyDescent="0.25">
      <c r="B2" s="2170" t="s">
        <v>717</v>
      </c>
      <c r="C2" s="2170"/>
      <c r="D2" s="24"/>
      <c r="F2" s="49"/>
      <c r="J2" s="61"/>
      <c r="L2" s="2170" t="s">
        <v>717</v>
      </c>
      <c r="M2" s="2170"/>
      <c r="N2" s="2170"/>
    </row>
    <row r="3" spans="1:19" ht="13.15" customHeight="1" x14ac:dyDescent="0.2">
      <c r="B3" s="2170"/>
      <c r="C3" s="2170"/>
      <c r="F3" s="562"/>
      <c r="L3" s="2170"/>
      <c r="M3" s="2170"/>
      <c r="N3" s="2170"/>
    </row>
    <row r="4" spans="1:19" x14ac:dyDescent="0.2">
      <c r="A4" s="1469" t="s">
        <v>782</v>
      </c>
      <c r="B4" s="40"/>
      <c r="G4" s="82">
        <v>0</v>
      </c>
    </row>
    <row r="5" spans="1:19" x14ac:dyDescent="0.2">
      <c r="B5" s="160" t="str">
        <f>'1. T1 INVESTMENT PLAN'!B6</f>
        <v>Company name</v>
      </c>
      <c r="C5" s="563"/>
      <c r="D5" s="563"/>
      <c r="E5" s="563"/>
      <c r="F5" s="563" t="str">
        <f>'1. T1 INVESTMENT PLAN'!F3</f>
        <v>Date</v>
      </c>
      <c r="G5" s="563"/>
      <c r="H5" s="53"/>
      <c r="I5" s="563"/>
      <c r="J5" s="563"/>
      <c r="K5" s="45"/>
      <c r="L5" s="413"/>
      <c r="M5" s="414"/>
      <c r="N5" s="415"/>
      <c r="O5" s="414"/>
      <c r="P5" s="414"/>
      <c r="Q5" s="414"/>
      <c r="R5" s="414"/>
      <c r="S5" s="416"/>
    </row>
    <row r="6" spans="1:19" x14ac:dyDescent="0.2">
      <c r="B6" s="161">
        <f>'7. T2 RESULT BUDGET '!B5</f>
        <v>0</v>
      </c>
      <c r="C6" s="226"/>
      <c r="D6" s="226"/>
      <c r="E6" s="53"/>
      <c r="F6" s="571">
        <f>'1. T1 INVESTMENT PLAN'!F4</f>
        <v>0</v>
      </c>
      <c r="G6" s="2361"/>
      <c r="H6" s="2361"/>
      <c r="I6" s="2361"/>
      <c r="J6" s="2361"/>
      <c r="L6" s="1639" t="s">
        <v>492</v>
      </c>
      <c r="M6" s="141"/>
      <c r="N6" s="343"/>
      <c r="O6" s="141"/>
      <c r="P6" s="141"/>
      <c r="Q6" s="141"/>
      <c r="R6" s="141"/>
      <c r="S6" s="417"/>
    </row>
    <row r="7" spans="1:19" x14ac:dyDescent="0.2">
      <c r="B7" s="160"/>
      <c r="C7" s="563"/>
      <c r="D7" s="563"/>
      <c r="E7" s="563"/>
      <c r="F7" s="563"/>
      <c r="G7" s="563"/>
      <c r="H7" s="53"/>
      <c r="I7" s="563"/>
      <c r="J7" s="563"/>
      <c r="K7" s="45"/>
      <c r="L7" s="418"/>
      <c r="M7" s="141"/>
      <c r="N7" s="343"/>
      <c r="O7" s="141"/>
      <c r="P7" s="141"/>
      <c r="Q7" s="141"/>
      <c r="R7" s="141"/>
      <c r="S7" s="417"/>
    </row>
    <row r="8" spans="1:19" x14ac:dyDescent="0.2">
      <c r="B8" s="2336"/>
      <c r="C8" s="2336"/>
      <c r="D8" s="564"/>
      <c r="E8" s="564"/>
      <c r="F8" s="564"/>
      <c r="G8" s="565"/>
      <c r="H8" s="53"/>
      <c r="I8" s="53"/>
      <c r="J8" s="53"/>
      <c r="L8" s="418"/>
      <c r="M8" s="141"/>
      <c r="N8" s="344"/>
      <c r="O8" s="141"/>
      <c r="P8" s="141"/>
      <c r="Q8" s="141"/>
      <c r="R8" s="141"/>
      <c r="S8" s="417"/>
    </row>
    <row r="9" spans="1:19" ht="13.5" thickBot="1" x14ac:dyDescent="0.25">
      <c r="B9" s="40"/>
      <c r="L9" s="418"/>
      <c r="M9" s="141"/>
      <c r="N9" s="141"/>
      <c r="O9" s="141"/>
      <c r="P9" s="141"/>
      <c r="Q9" s="141"/>
      <c r="R9" s="141"/>
      <c r="S9" s="417"/>
    </row>
    <row r="10" spans="1:19" ht="12.75" customHeight="1" x14ac:dyDescent="0.2">
      <c r="B10" s="1172"/>
      <c r="C10" s="1173"/>
      <c r="D10" s="1173"/>
      <c r="E10" s="1174"/>
      <c r="F10" s="1183"/>
      <c r="G10" s="1183" t="str">
        <f>'1. T1 INVESTMENT PLAN'!E15</f>
        <v>Forecast 1</v>
      </c>
      <c r="H10" s="1183" t="str">
        <f>'4. E2 TURNOVER'!F7</f>
        <v>Forecast 2</v>
      </c>
      <c r="I10" s="1190" t="str">
        <f>'4. E2 TURNOVER'!G7</f>
        <v>Forecast 3</v>
      </c>
      <c r="J10" s="1184" t="str">
        <f>'1. T1 INVESTMENT PLAN'!H15</f>
        <v>Forecast 4</v>
      </c>
      <c r="L10" s="2355" t="str">
        <f>B11</f>
        <v>ASSETS</v>
      </c>
      <c r="M10" s="2356"/>
      <c r="N10" s="2356"/>
      <c r="O10" s="2356"/>
      <c r="P10" s="2356"/>
      <c r="Q10" s="2356"/>
      <c r="R10" s="2356"/>
      <c r="S10" s="2357"/>
    </row>
    <row r="11" spans="1:19" ht="12.75" customHeight="1" x14ac:dyDescent="0.2">
      <c r="A11" s="53"/>
      <c r="B11" s="2341" t="s">
        <v>699</v>
      </c>
      <c r="C11" s="2342"/>
      <c r="D11" s="2342"/>
      <c r="E11" s="2343"/>
      <c r="F11" s="1186"/>
      <c r="G11" s="1169">
        <f>'4. E2 TURNOVER'!E8</f>
        <v>2027</v>
      </c>
      <c r="H11" s="1169">
        <f>'4. E2 TURNOVER'!F8</f>
        <v>2028</v>
      </c>
      <c r="I11" s="1191">
        <f>'4. E2 TURNOVER'!G8</f>
        <v>2029</v>
      </c>
      <c r="J11" s="1171">
        <f>'1. T1 INVESTMENT PLAN'!H16</f>
        <v>2030</v>
      </c>
      <c r="L11" s="333"/>
      <c r="M11" s="278"/>
      <c r="N11" s="278"/>
      <c r="O11" s="278"/>
      <c r="P11" s="278"/>
      <c r="Q11" s="278"/>
      <c r="R11" s="278"/>
      <c r="S11" s="383"/>
    </row>
    <row r="12" spans="1:19" ht="12.75" customHeight="1" thickBot="1" x14ac:dyDescent="0.25">
      <c r="A12"/>
      <c r="B12" s="1192"/>
      <c r="C12" s="1193"/>
      <c r="D12" s="1193"/>
      <c r="E12" s="1194"/>
      <c r="F12" s="1195"/>
      <c r="G12" s="1822" t="s">
        <v>336</v>
      </c>
      <c r="H12" s="1822" t="s">
        <v>336</v>
      </c>
      <c r="I12" s="1823" t="s">
        <v>336</v>
      </c>
      <c r="J12" s="1824" t="s">
        <v>336</v>
      </c>
      <c r="L12" s="333"/>
      <c r="M12" s="278" t="s">
        <v>0</v>
      </c>
      <c r="N12" s="278"/>
      <c r="O12" s="278"/>
      <c r="P12" s="278"/>
      <c r="Q12" s="278"/>
      <c r="R12" s="278"/>
      <c r="S12" s="383"/>
    </row>
    <row r="13" spans="1:19" x14ac:dyDescent="0.2">
      <c r="A13" s="6"/>
      <c r="B13" s="480" t="s">
        <v>113</v>
      </c>
      <c r="C13" s="566" t="s">
        <v>380</v>
      </c>
      <c r="D13" s="566"/>
      <c r="E13" s="567"/>
      <c r="F13" s="603"/>
      <c r="G13" s="978">
        <f>G14+G18+G34</f>
        <v>0</v>
      </c>
      <c r="H13" s="978">
        <f>H14+H18+H34</f>
        <v>0</v>
      </c>
      <c r="I13" s="978">
        <f>I14+I18+I34</f>
        <v>0</v>
      </c>
      <c r="J13" s="979">
        <f>J14+J18+J34</f>
        <v>0</v>
      </c>
      <c r="L13" s="333"/>
      <c r="M13" s="278"/>
      <c r="N13" s="278"/>
      <c r="O13" s="278"/>
      <c r="P13" s="278"/>
      <c r="Q13" s="278"/>
      <c r="R13" s="278"/>
      <c r="S13" s="383"/>
    </row>
    <row r="14" spans="1:19" x14ac:dyDescent="0.2">
      <c r="A14" s="225"/>
      <c r="B14" s="473" t="s">
        <v>100</v>
      </c>
      <c r="C14" s="190" t="s">
        <v>689</v>
      </c>
      <c r="D14" s="190"/>
      <c r="E14" s="191"/>
      <c r="F14" s="604"/>
      <c r="G14" s="980">
        <f>G15-G16-G17</f>
        <v>0</v>
      </c>
      <c r="H14" s="980">
        <f>G14+H15-H16-H17</f>
        <v>0</v>
      </c>
      <c r="I14" s="981">
        <f>H14+I15-I16-I17</f>
        <v>0</v>
      </c>
      <c r="J14" s="982">
        <f>I14+J15-J16-J17</f>
        <v>0</v>
      </c>
      <c r="L14" s="333"/>
      <c r="M14" s="278"/>
      <c r="N14" s="278"/>
      <c r="O14" s="278"/>
      <c r="P14" s="278"/>
      <c r="Q14" s="278"/>
      <c r="R14" s="278"/>
      <c r="S14" s="383"/>
    </row>
    <row r="15" spans="1:19" x14ac:dyDescent="0.2">
      <c r="B15" s="474" t="s">
        <v>0</v>
      </c>
      <c r="C15" s="202" t="s">
        <v>690</v>
      </c>
      <c r="D15" s="202"/>
      <c r="E15" s="203" t="s">
        <v>27</v>
      </c>
      <c r="F15" s="590"/>
      <c r="G15" s="974">
        <f>'AT1 Avustus, alv'!E47</f>
        <v>0</v>
      </c>
      <c r="H15" s="584">
        <f>'AT1 Avustus, alv'!F47</f>
        <v>0</v>
      </c>
      <c r="I15" s="689">
        <f>'AT1 Avustus, alv'!G47</f>
        <v>0</v>
      </c>
      <c r="J15" s="579">
        <f>'AT1 Avustus, alv'!H47</f>
        <v>0</v>
      </c>
      <c r="L15" s="1825" t="s">
        <v>716</v>
      </c>
      <c r="M15" s="1826"/>
      <c r="N15" s="1826"/>
      <c r="O15" s="1826"/>
      <c r="P15" s="278"/>
      <c r="Q15" s="278"/>
      <c r="R15" s="278"/>
      <c r="S15" s="383"/>
    </row>
    <row r="16" spans="1:19" x14ac:dyDescent="0.2">
      <c r="A16" s="225"/>
      <c r="B16" s="474" t="s">
        <v>0</v>
      </c>
      <c r="C16" s="202" t="s">
        <v>691</v>
      </c>
      <c r="D16" s="202"/>
      <c r="E16" s="204" t="s">
        <v>28</v>
      </c>
      <c r="F16" s="590"/>
      <c r="G16" s="816">
        <v>0</v>
      </c>
      <c r="H16" s="573"/>
      <c r="I16" s="983"/>
      <c r="J16" s="975"/>
      <c r="L16" s="356">
        <f>G$11</f>
        <v>2027</v>
      </c>
      <c r="M16" s="356">
        <f>H$11</f>
        <v>2028</v>
      </c>
      <c r="N16" s="356">
        <f>I$11</f>
        <v>2029</v>
      </c>
      <c r="O16" s="356">
        <f>J$11</f>
        <v>2030</v>
      </c>
      <c r="P16" s="278"/>
      <c r="Q16" s="278"/>
      <c r="R16" s="278"/>
      <c r="S16" s="383"/>
    </row>
    <row r="17" spans="1:21" x14ac:dyDescent="0.2">
      <c r="A17" s="225"/>
      <c r="B17" s="474"/>
      <c r="C17" s="177" t="s">
        <v>692</v>
      </c>
      <c r="D17" s="189" t="s">
        <v>693</v>
      </c>
      <c r="E17" s="1460">
        <v>0.2</v>
      </c>
      <c r="F17" s="590"/>
      <c r="G17" s="351">
        <f>(F14+G15*L17/12-G16)*$E17</f>
        <v>0</v>
      </c>
      <c r="H17" s="351">
        <f>(G14+H15*M17/12-H16)*$E$17</f>
        <v>0</v>
      </c>
      <c r="I17" s="351">
        <f>(H14+I15*N17/12-I16)*$E$17</f>
        <v>0</v>
      </c>
      <c r="J17" s="803">
        <f>(I14+J15*O17/12-J16)*$E$17</f>
        <v>0</v>
      </c>
      <c r="L17" s="357">
        <v>12</v>
      </c>
      <c r="M17" s="357">
        <v>12</v>
      </c>
      <c r="N17" s="357">
        <v>12</v>
      </c>
      <c r="O17" s="357">
        <v>12</v>
      </c>
      <c r="P17" s="278"/>
      <c r="Q17" s="278"/>
      <c r="R17" s="278"/>
      <c r="S17" s="383"/>
    </row>
    <row r="18" spans="1:21" x14ac:dyDescent="0.2">
      <c r="A18" s="225"/>
      <c r="B18" s="473" t="s">
        <v>101</v>
      </c>
      <c r="C18" s="408" t="s">
        <v>694</v>
      </c>
      <c r="D18" s="408"/>
      <c r="E18" s="504"/>
      <c r="F18" s="605"/>
      <c r="G18" s="902">
        <f>G19+G22+G26+G30</f>
        <v>0</v>
      </c>
      <c r="H18" s="902">
        <f>H19+H22+H26+H30</f>
        <v>0</v>
      </c>
      <c r="I18" s="984">
        <f>I19+I22+I26+I30</f>
        <v>0</v>
      </c>
      <c r="J18" s="985">
        <f>J19+J22+J26+J30</f>
        <v>0</v>
      </c>
      <c r="L18" s="333"/>
      <c r="M18" s="278"/>
      <c r="N18" s="278"/>
      <c r="O18" s="278"/>
      <c r="P18" s="278"/>
      <c r="Q18" s="278"/>
      <c r="R18" s="278"/>
      <c r="S18" s="383"/>
    </row>
    <row r="19" spans="1:21" x14ac:dyDescent="0.2">
      <c r="B19" s="474" t="s">
        <v>0</v>
      </c>
      <c r="C19" s="502" t="s">
        <v>695</v>
      </c>
      <c r="D19" s="502"/>
      <c r="E19" s="503"/>
      <c r="F19" s="606"/>
      <c r="G19" s="797">
        <f>G20-G21</f>
        <v>0</v>
      </c>
      <c r="H19" s="797">
        <f>G19+H20-H21</f>
        <v>0</v>
      </c>
      <c r="I19" s="798">
        <f>H19+I20-I21</f>
        <v>0</v>
      </c>
      <c r="J19" s="799">
        <f>I19+J20-J21</f>
        <v>0</v>
      </c>
      <c r="L19" s="333"/>
      <c r="M19" s="278"/>
      <c r="N19" s="278"/>
      <c r="O19" s="278"/>
      <c r="P19" s="278"/>
      <c r="Q19" s="278"/>
      <c r="R19" s="278"/>
      <c r="S19" s="383"/>
    </row>
    <row r="20" spans="1:21" x14ac:dyDescent="0.2">
      <c r="A20" s="225"/>
      <c r="B20" s="474" t="s">
        <v>0</v>
      </c>
      <c r="C20" s="202" t="str">
        <f>C15</f>
        <v>Additions during the financial year</v>
      </c>
      <c r="D20" s="202"/>
      <c r="E20" s="205" t="s">
        <v>27</v>
      </c>
      <c r="F20" s="590"/>
      <c r="G20" s="584">
        <f>'AT1 Avustus, alv'!E7</f>
        <v>0</v>
      </c>
      <c r="H20" s="584">
        <f>'AT1 Avustus, alv'!F7</f>
        <v>0</v>
      </c>
      <c r="I20" s="689">
        <f>'AT1 Avustus, alv'!G7</f>
        <v>0</v>
      </c>
      <c r="J20" s="579">
        <f>'AT1 Avustus, alv'!H7</f>
        <v>0</v>
      </c>
      <c r="L20" s="1380"/>
      <c r="M20" s="278"/>
      <c r="N20" s="278"/>
      <c r="O20" s="278"/>
      <c r="P20" s="278"/>
      <c r="Q20" s="278"/>
      <c r="R20" s="278"/>
      <c r="S20" s="383"/>
    </row>
    <row r="21" spans="1:21" x14ac:dyDescent="0.2">
      <c r="A21" s="6"/>
      <c r="B21" s="474" t="s">
        <v>0</v>
      </c>
      <c r="C21" s="507" t="str">
        <f>C16</f>
        <v>Reductions during the financial year</v>
      </c>
      <c r="D21" s="507"/>
      <c r="E21" s="508" t="s">
        <v>28</v>
      </c>
      <c r="F21" s="590"/>
      <c r="G21" s="816">
        <v>0</v>
      </c>
      <c r="H21" s="573">
        <v>0</v>
      </c>
      <c r="I21" s="983"/>
      <c r="J21" s="975"/>
      <c r="L21" s="333"/>
      <c r="M21" s="278"/>
      <c r="N21" s="278"/>
      <c r="O21" s="278"/>
      <c r="P21" s="278"/>
      <c r="Q21" s="278"/>
      <c r="R21" s="278"/>
      <c r="S21" s="383"/>
    </row>
    <row r="22" spans="1:21" x14ac:dyDescent="0.2">
      <c r="A22" s="6"/>
      <c r="B22" s="474"/>
      <c r="C22" s="505" t="s">
        <v>696</v>
      </c>
      <c r="D22" s="505"/>
      <c r="E22" s="506"/>
      <c r="F22" s="606"/>
      <c r="G22" s="797">
        <f>G23-G24-G25</f>
        <v>0</v>
      </c>
      <c r="H22" s="797">
        <f>G22+H23-H24-H25</f>
        <v>0</v>
      </c>
      <c r="I22" s="798">
        <f>H22+I23-I24-I25</f>
        <v>0</v>
      </c>
      <c r="J22" s="799">
        <f>I22+J23-J24-J25</f>
        <v>0</v>
      </c>
      <c r="L22" s="333"/>
      <c r="M22" s="278"/>
      <c r="N22" s="278"/>
      <c r="O22" s="278"/>
      <c r="P22" s="278"/>
      <c r="Q22" s="278"/>
      <c r="R22" s="278"/>
      <c r="S22" s="383"/>
    </row>
    <row r="23" spans="1:21" x14ac:dyDescent="0.2">
      <c r="A23" s="225"/>
      <c r="B23" s="474" t="s">
        <v>0</v>
      </c>
      <c r="C23" s="202" t="str">
        <f>C15</f>
        <v>Additions during the financial year</v>
      </c>
      <c r="D23" s="202"/>
      <c r="E23" s="205" t="s">
        <v>27</v>
      </c>
      <c r="F23" s="590"/>
      <c r="G23" s="584">
        <f>'AT1 Avustus, alv'!E14+'AT1 Avustus, alv'!E18</f>
        <v>0</v>
      </c>
      <c r="H23" s="584">
        <f>'AT1 Avustus, alv'!F14+'AT1 Avustus, alv'!F18</f>
        <v>0</v>
      </c>
      <c r="I23" s="689">
        <f>'AT1 Avustus, alv'!G14+'AT1 Avustus, alv'!G18</f>
        <v>0</v>
      </c>
      <c r="J23" s="579">
        <f>'AT1 Avustus, alv'!H14+'AT1 Avustus, alv'!H18</f>
        <v>0</v>
      </c>
      <c r="L23" s="1825" t="str">
        <f>L15</f>
        <v xml:space="preserve"> Number of months the investment has been in use since the beginning of the financial year.</v>
      </c>
      <c r="M23" s="1826"/>
      <c r="N23" s="1826"/>
      <c r="O23" s="1826"/>
      <c r="P23" s="278"/>
      <c r="Q23" s="278"/>
      <c r="R23" s="278"/>
      <c r="S23" s="383"/>
      <c r="U23">
        <v>0</v>
      </c>
    </row>
    <row r="24" spans="1:21" x14ac:dyDescent="0.2">
      <c r="B24" s="474" t="s">
        <v>0</v>
      </c>
      <c r="C24" s="202" t="str">
        <f>C16</f>
        <v>Reductions during the financial year</v>
      </c>
      <c r="D24" s="202"/>
      <c r="E24" s="204" t="s">
        <v>28</v>
      </c>
      <c r="F24" s="590"/>
      <c r="G24" s="816">
        <v>0</v>
      </c>
      <c r="H24" s="573">
        <v>0</v>
      </c>
      <c r="I24" s="983">
        <v>0</v>
      </c>
      <c r="J24" s="975">
        <v>0</v>
      </c>
      <c r="L24" s="356">
        <f>G$11</f>
        <v>2027</v>
      </c>
      <c r="M24" s="356">
        <f>H$11</f>
        <v>2028</v>
      </c>
      <c r="N24" s="356">
        <f>I$11</f>
        <v>2029</v>
      </c>
      <c r="O24" s="356">
        <f>J$11</f>
        <v>2030</v>
      </c>
      <c r="P24" s="278"/>
      <c r="Q24" s="278"/>
      <c r="R24" s="278"/>
      <c r="S24" s="383"/>
    </row>
    <row r="25" spans="1:21" x14ac:dyDescent="0.2">
      <c r="A25" s="225"/>
      <c r="B25" s="474"/>
      <c r="C25" s="507" t="s">
        <v>692</v>
      </c>
      <c r="D25" s="509" t="s">
        <v>693</v>
      </c>
      <c r="E25" s="510">
        <v>7.0000000000000007E-2</v>
      </c>
      <c r="F25" s="590"/>
      <c r="G25" s="351">
        <f>(F22+G23*L25/12-G24)*$E25</f>
        <v>0</v>
      </c>
      <c r="H25" s="351">
        <f>(G22+H23*M25/12-H24)*$E$25</f>
        <v>0</v>
      </c>
      <c r="I25" s="351">
        <f>(H22+I23*N25/12-I24)*$E$25</f>
        <v>0</v>
      </c>
      <c r="J25" s="803">
        <f>(I22+J23*O25/12-J24)*$E$25</f>
        <v>0</v>
      </c>
      <c r="L25" s="357">
        <v>12</v>
      </c>
      <c r="M25" s="357">
        <v>12</v>
      </c>
      <c r="N25" s="357">
        <v>12</v>
      </c>
      <c r="O25" s="357">
        <v>12</v>
      </c>
      <c r="P25" s="278"/>
      <c r="Q25" s="278"/>
      <c r="R25" s="278"/>
      <c r="S25" s="383"/>
    </row>
    <row r="26" spans="1:21" x14ac:dyDescent="0.2">
      <c r="B26" s="474"/>
      <c r="C26" s="505" t="s">
        <v>697</v>
      </c>
      <c r="D26" s="505"/>
      <c r="E26" s="506"/>
      <c r="F26" s="604"/>
      <c r="G26" s="797">
        <f>G27-G28-G29</f>
        <v>0</v>
      </c>
      <c r="H26" s="797">
        <f>G26+H27-H28-H29</f>
        <v>0</v>
      </c>
      <c r="I26" s="798">
        <f>H26+I27-I28-I29</f>
        <v>0</v>
      </c>
      <c r="J26" s="799">
        <f>I26+J27-J28-J29</f>
        <v>0</v>
      </c>
      <c r="L26" s="307"/>
      <c r="M26" s="179"/>
      <c r="N26" s="179"/>
      <c r="O26" s="179"/>
      <c r="P26" s="278"/>
      <c r="Q26" s="278"/>
      <c r="R26" s="278"/>
      <c r="S26" s="383"/>
    </row>
    <row r="27" spans="1:21" x14ac:dyDescent="0.2">
      <c r="A27" s="225"/>
      <c r="B27" s="474" t="s">
        <v>0</v>
      </c>
      <c r="C27" s="202" t="str">
        <f>C15</f>
        <v>Additions during the financial year</v>
      </c>
      <c r="D27" s="202"/>
      <c r="E27" s="205" t="s">
        <v>27</v>
      </c>
      <c r="F27" s="590"/>
      <c r="G27" s="584">
        <f>'AT1 Avustus, alv'!E27+'AT1 Avustus, alv'!E33</f>
        <v>0</v>
      </c>
      <c r="H27" s="584">
        <f>'AT1 Avustus, alv'!F27+'AT1 Avustus, alv'!F33</f>
        <v>0</v>
      </c>
      <c r="I27" s="689">
        <f>'AT1 Avustus, alv'!G27+'AT1 Avustus, alv'!G33</f>
        <v>0</v>
      </c>
      <c r="J27" s="579">
        <f>'AT1 Avustus, alv'!H27+'AT1 Avustus, alv'!H33</f>
        <v>0</v>
      </c>
      <c r="L27" s="1825" t="str">
        <f>L23</f>
        <v xml:space="preserve"> Number of months the investment has been in use since the beginning of the financial year.</v>
      </c>
      <c r="M27" s="1826"/>
      <c r="N27" s="1826"/>
      <c r="O27" s="1826"/>
      <c r="P27" s="278"/>
      <c r="Q27" s="278"/>
      <c r="R27" s="278"/>
      <c r="S27" s="383"/>
    </row>
    <row r="28" spans="1:21" x14ac:dyDescent="0.2">
      <c r="A28" s="6"/>
      <c r="B28" s="474" t="s">
        <v>0</v>
      </c>
      <c r="C28" s="202" t="str">
        <f>C16</f>
        <v>Reductions during the financial year</v>
      </c>
      <c r="D28" s="202"/>
      <c r="E28" s="204" t="s">
        <v>28</v>
      </c>
      <c r="F28" s="590"/>
      <c r="G28" s="816">
        <v>0</v>
      </c>
      <c r="H28" s="573">
        <v>0</v>
      </c>
      <c r="I28" s="983"/>
      <c r="J28" s="975"/>
      <c r="L28" s="356">
        <f>G$11</f>
        <v>2027</v>
      </c>
      <c r="M28" s="356">
        <f>H$11</f>
        <v>2028</v>
      </c>
      <c r="N28" s="356">
        <f>I$11</f>
        <v>2029</v>
      </c>
      <c r="O28" s="356">
        <f>J$11</f>
        <v>2030</v>
      </c>
      <c r="P28" s="278"/>
      <c r="Q28" s="278"/>
      <c r="R28" s="278"/>
      <c r="S28" s="383"/>
    </row>
    <row r="29" spans="1:21" x14ac:dyDescent="0.2">
      <c r="A29" s="225"/>
      <c r="B29" s="474"/>
      <c r="C29" s="507" t="str">
        <f>C17</f>
        <v>Depreciation</v>
      </c>
      <c r="D29" s="509" t="s">
        <v>693</v>
      </c>
      <c r="E29" s="510">
        <v>0.2</v>
      </c>
      <c r="F29" s="607"/>
      <c r="G29" s="351">
        <f>(F26+G27*L29/12-G28)*$E29</f>
        <v>0</v>
      </c>
      <c r="H29" s="351">
        <f>(G26+H27*M29/12-H28)*$E$29</f>
        <v>0</v>
      </c>
      <c r="I29" s="351">
        <f>(H26+I27*N29/12-I28)*$E$29</f>
        <v>0</v>
      </c>
      <c r="J29" s="803">
        <f>(I26+J27*O29/12-J28)*$E$29</f>
        <v>0</v>
      </c>
      <c r="L29" s="357">
        <v>12</v>
      </c>
      <c r="M29" s="357">
        <v>12</v>
      </c>
      <c r="N29" s="357">
        <v>12</v>
      </c>
      <c r="O29" s="357">
        <v>12</v>
      </c>
      <c r="P29" s="278"/>
      <c r="Q29" s="278"/>
      <c r="R29" s="278"/>
      <c r="S29" s="383"/>
    </row>
    <row r="30" spans="1:21" x14ac:dyDescent="0.2">
      <c r="B30" s="474"/>
      <c r="C30" s="2344" t="s">
        <v>698</v>
      </c>
      <c r="D30" s="2344"/>
      <c r="E30" s="2345"/>
      <c r="F30" s="606"/>
      <c r="G30" s="797">
        <f>G31-G32-G33</f>
        <v>0</v>
      </c>
      <c r="H30" s="797">
        <f>G30+H31-H32-H33</f>
        <v>0</v>
      </c>
      <c r="I30" s="798">
        <f>H30+I31-I32-I33</f>
        <v>0</v>
      </c>
      <c r="J30" s="799">
        <f>I30+J31-J32-J33</f>
        <v>0</v>
      </c>
      <c r="L30" s="307"/>
      <c r="M30" s="179"/>
      <c r="N30" s="179"/>
      <c r="O30" s="179"/>
      <c r="P30" s="278"/>
      <c r="Q30" s="278"/>
      <c r="R30" s="278"/>
      <c r="S30" s="383"/>
    </row>
    <row r="31" spans="1:21" x14ac:dyDescent="0.2">
      <c r="A31" s="225"/>
      <c r="B31" s="474" t="s">
        <v>0</v>
      </c>
      <c r="C31" s="202" t="str">
        <f>C15</f>
        <v>Additions during the financial year</v>
      </c>
      <c r="D31" s="202"/>
      <c r="E31" s="205" t="s">
        <v>27</v>
      </c>
      <c r="F31" s="590"/>
      <c r="G31" s="584">
        <f>'AT1 Avustus, alv'!E40</f>
        <v>0</v>
      </c>
      <c r="H31" s="584">
        <f>'AT1 Avustus, alv'!F40</f>
        <v>0</v>
      </c>
      <c r="I31" s="689">
        <f>'AT1 Avustus, alv'!G40</f>
        <v>0</v>
      </c>
      <c r="J31" s="579">
        <f>'AT1 Avustus, alv'!H40</f>
        <v>0</v>
      </c>
      <c r="L31" s="1825" t="str">
        <f>L15</f>
        <v xml:space="preserve"> Number of months the investment has been in use since the beginning of the financial year.</v>
      </c>
      <c r="M31" s="1826"/>
      <c r="N31" s="1826"/>
      <c r="O31" s="1826"/>
      <c r="P31" s="278"/>
      <c r="Q31" s="278"/>
      <c r="R31" s="278"/>
      <c r="S31" s="383"/>
    </row>
    <row r="32" spans="1:21" x14ac:dyDescent="0.2">
      <c r="A32" s="6"/>
      <c r="B32" s="474" t="s">
        <v>0</v>
      </c>
      <c r="C32" s="202" t="str">
        <f>C16</f>
        <v>Reductions during the financial year</v>
      </c>
      <c r="D32" s="202"/>
      <c r="E32" s="204" t="s">
        <v>28</v>
      </c>
      <c r="F32" s="590"/>
      <c r="G32" s="816">
        <v>0</v>
      </c>
      <c r="H32" s="573"/>
      <c r="I32" s="983"/>
      <c r="J32" s="975">
        <v>0</v>
      </c>
      <c r="L32" s="356">
        <f>G$11</f>
        <v>2027</v>
      </c>
      <c r="M32" s="356">
        <f>H$11</f>
        <v>2028</v>
      </c>
      <c r="N32" s="356">
        <f>I$11</f>
        <v>2029</v>
      </c>
      <c r="O32" s="356">
        <f>J$11</f>
        <v>2030</v>
      </c>
      <c r="P32" s="278"/>
      <c r="Q32" s="278"/>
      <c r="R32" s="278"/>
      <c r="S32" s="383"/>
    </row>
    <row r="33" spans="1:19" x14ac:dyDescent="0.2">
      <c r="B33" s="474"/>
      <c r="C33" s="177" t="str">
        <f>C17</f>
        <v>Depreciation</v>
      </c>
      <c r="D33" s="189" t="s">
        <v>693</v>
      </c>
      <c r="E33" s="510">
        <v>0.2</v>
      </c>
      <c r="F33" s="590"/>
      <c r="G33" s="351">
        <f>(F30+G31*L33/12-G32)*$E33</f>
        <v>0</v>
      </c>
      <c r="H33" s="351">
        <f>(G30+H31*M33/12-H32)*$E$33</f>
        <v>0</v>
      </c>
      <c r="I33" s="351">
        <f>(H30+I31*N33/12-I32)*$E$33</f>
        <v>0</v>
      </c>
      <c r="J33" s="803">
        <f>(I30+J31*O33/12-J32)*$E$33</f>
        <v>0</v>
      </c>
      <c r="L33" s="357">
        <v>12</v>
      </c>
      <c r="M33" s="357">
        <v>12</v>
      </c>
      <c r="N33" s="357">
        <v>12</v>
      </c>
      <c r="O33" s="357">
        <v>12</v>
      </c>
      <c r="P33" s="278"/>
      <c r="Q33" s="278"/>
      <c r="R33" s="278"/>
      <c r="S33" s="383"/>
    </row>
    <row r="34" spans="1:19" x14ac:dyDescent="0.2">
      <c r="A34" s="225"/>
      <c r="B34" s="473" t="s">
        <v>102</v>
      </c>
      <c r="C34" s="408" t="s">
        <v>386</v>
      </c>
      <c r="D34" s="409"/>
      <c r="E34" s="1548"/>
      <c r="F34" s="589"/>
      <c r="G34" s="902">
        <f>F34+G35-G36</f>
        <v>0</v>
      </c>
      <c r="H34" s="902">
        <f>G34+H35-H36</f>
        <v>0</v>
      </c>
      <c r="I34" s="902">
        <f>H34+I35-I36</f>
        <v>0</v>
      </c>
      <c r="J34" s="1554">
        <f>I34+J35-J36</f>
        <v>0</v>
      </c>
      <c r="L34" s="1381"/>
      <c r="M34" s="412"/>
      <c r="N34" s="412"/>
      <c r="O34" s="412"/>
      <c r="P34" s="278"/>
      <c r="Q34" s="278"/>
      <c r="R34" s="278"/>
      <c r="S34" s="383"/>
    </row>
    <row r="35" spans="1:19" x14ac:dyDescent="0.2">
      <c r="A35" s="225"/>
      <c r="B35" s="473"/>
      <c r="C35" s="410" t="str">
        <f>C15</f>
        <v>Additions during the financial year</v>
      </c>
      <c r="D35" s="410"/>
      <c r="E35" s="411" t="s">
        <v>27</v>
      </c>
      <c r="F35" s="589"/>
      <c r="G35" s="584">
        <f>'1. T1 INVESTMENT PLAN'!E38</f>
        <v>0</v>
      </c>
      <c r="H35" s="351">
        <f>'1. T1 INVESTMENT PLAN'!F38</f>
        <v>0</v>
      </c>
      <c r="I35" s="351">
        <f>'1. T1 INVESTMENT PLAN'!G38</f>
        <v>0</v>
      </c>
      <c r="J35" s="803">
        <f>'1. T1 INVESTMENT PLAN'!H38</f>
        <v>0</v>
      </c>
      <c r="L35" s="1381"/>
      <c r="M35" s="412"/>
      <c r="N35" s="412"/>
      <c r="O35" s="412"/>
      <c r="P35" s="278"/>
      <c r="Q35" s="278"/>
      <c r="R35" s="278"/>
      <c r="S35" s="383"/>
    </row>
    <row r="36" spans="1:19" ht="13.5" thickBot="1" x14ac:dyDescent="0.25">
      <c r="A36"/>
      <c r="B36" s="475"/>
      <c r="C36" s="500" t="str">
        <f>C16</f>
        <v>Reductions during the financial year</v>
      </c>
      <c r="D36" s="500"/>
      <c r="E36" s="501" t="s">
        <v>28</v>
      </c>
      <c r="F36" s="608"/>
      <c r="G36" s="986">
        <v>0</v>
      </c>
      <c r="H36" s="987">
        <v>0</v>
      </c>
      <c r="I36" s="987">
        <v>0</v>
      </c>
      <c r="J36" s="988">
        <v>0</v>
      </c>
      <c r="L36" s="333"/>
      <c r="M36" s="278"/>
      <c r="N36" s="278"/>
      <c r="O36" s="278"/>
      <c r="P36" s="278"/>
      <c r="Q36" s="278"/>
      <c r="R36" s="278"/>
      <c r="S36" s="383"/>
    </row>
    <row r="37" spans="1:19" ht="6" customHeight="1" thickBot="1" x14ac:dyDescent="0.25">
      <c r="A37"/>
      <c r="B37" s="496"/>
      <c r="C37" s="490"/>
      <c r="D37" s="497"/>
      <c r="E37" s="498"/>
      <c r="F37" s="499"/>
      <c r="G37" s="989"/>
      <c r="H37" s="989"/>
      <c r="I37" s="989"/>
      <c r="J37" s="989"/>
      <c r="K37" s="129"/>
      <c r="L37" s="371"/>
      <c r="M37" s="164"/>
      <c r="N37" s="164"/>
      <c r="O37" s="164"/>
      <c r="P37" s="164"/>
      <c r="Q37" s="164"/>
      <c r="R37" s="164"/>
      <c r="S37" s="419"/>
    </row>
    <row r="38" spans="1:19" x14ac:dyDescent="0.2">
      <c r="A38"/>
      <c r="B38" s="1023" t="s">
        <v>111</v>
      </c>
      <c r="C38" s="471" t="s">
        <v>387</v>
      </c>
      <c r="D38" s="471"/>
      <c r="E38" s="472"/>
      <c r="F38" s="591"/>
      <c r="G38" s="972">
        <f>G39+G41+G48+G49</f>
        <v>0</v>
      </c>
      <c r="H38" s="972">
        <f>H39+H41+H48+H49</f>
        <v>0</v>
      </c>
      <c r="I38" s="972">
        <f>I39+I41+I48+I49</f>
        <v>0</v>
      </c>
      <c r="J38" s="990">
        <f>J39+J41+J48+J49</f>
        <v>0</v>
      </c>
      <c r="L38" s="333"/>
      <c r="M38" s="278"/>
      <c r="N38" s="278"/>
      <c r="O38" s="278"/>
      <c r="P38" s="278"/>
      <c r="Q38" s="278"/>
      <c r="R38" s="278"/>
      <c r="S38" s="383"/>
    </row>
    <row r="39" spans="1:19" x14ac:dyDescent="0.2">
      <c r="A39"/>
      <c r="B39" s="473" t="s">
        <v>104</v>
      </c>
      <c r="C39" s="207" t="s">
        <v>700</v>
      </c>
      <c r="D39" s="207"/>
      <c r="E39" s="203" t="s">
        <v>27</v>
      </c>
      <c r="F39" s="1552"/>
      <c r="G39" s="797">
        <f>'5. T4 FINANCING PLAN'!G47</f>
        <v>0</v>
      </c>
      <c r="H39" s="797">
        <f>'5. T4 FINANCING PLAN'!H47</f>
        <v>0</v>
      </c>
      <c r="I39" s="797">
        <f>'5. T4 FINANCING PLAN'!I47</f>
        <v>0</v>
      </c>
      <c r="J39" s="799">
        <f>'5. T4 FINANCING PLAN'!J47</f>
        <v>0</v>
      </c>
      <c r="L39" s="333"/>
      <c r="M39" s="278"/>
      <c r="N39" s="278"/>
      <c r="O39" s="278"/>
      <c r="P39" s="278"/>
      <c r="Q39" s="278"/>
      <c r="R39" s="278"/>
      <c r="S39" s="383"/>
    </row>
    <row r="40" spans="1:19" x14ac:dyDescent="0.2">
      <c r="A40" s="6"/>
      <c r="B40" s="473"/>
      <c r="C40" s="2348" t="s">
        <v>651</v>
      </c>
      <c r="D40" s="2349"/>
      <c r="E40" s="2350"/>
      <c r="F40" s="1552"/>
      <c r="G40" s="1148">
        <f>'5. T4 FINANCING PLAN'!G48</f>
        <v>0</v>
      </c>
      <c r="H40" s="1148">
        <f>'5. T4 FINANCING PLAN'!H48</f>
        <v>0</v>
      </c>
      <c r="I40" s="1148">
        <f>'5. T4 FINANCING PLAN'!I48</f>
        <v>0</v>
      </c>
      <c r="J40" s="1149">
        <f>'5. T4 FINANCING PLAN'!J48</f>
        <v>0</v>
      </c>
      <c r="L40" s="333"/>
      <c r="M40" s="278"/>
      <c r="N40" s="278"/>
      <c r="O40" s="278"/>
      <c r="P40" s="278"/>
      <c r="Q40" s="278"/>
      <c r="R40" s="278"/>
      <c r="S40" s="383"/>
    </row>
    <row r="41" spans="1:19" x14ac:dyDescent="0.2">
      <c r="A41" s="225"/>
      <c r="B41" s="473" t="s">
        <v>101</v>
      </c>
      <c r="C41" s="207" t="s">
        <v>388</v>
      </c>
      <c r="D41" s="207"/>
      <c r="E41" s="203" t="s">
        <v>27</v>
      </c>
      <c r="F41" s="606"/>
      <c r="G41" s="797">
        <f>G42+G46+G47+G44</f>
        <v>0</v>
      </c>
      <c r="H41" s="797">
        <f>H42+H46+H47+H44</f>
        <v>0</v>
      </c>
      <c r="I41" s="797">
        <f>I42+I46+I47+I44</f>
        <v>0</v>
      </c>
      <c r="J41" s="799">
        <f>J42+J46+J47+J44</f>
        <v>0</v>
      </c>
      <c r="L41" s="333"/>
      <c r="M41" s="278"/>
      <c r="N41" s="278"/>
      <c r="O41" s="278"/>
      <c r="P41" s="278"/>
      <c r="Q41" s="278"/>
      <c r="R41" s="278"/>
      <c r="S41" s="383"/>
    </row>
    <row r="42" spans="1:19" x14ac:dyDescent="0.2">
      <c r="B42" s="474" t="s">
        <v>0</v>
      </c>
      <c r="C42" s="202" t="s">
        <v>461</v>
      </c>
      <c r="D42" s="202"/>
      <c r="E42" s="205" t="s">
        <v>27</v>
      </c>
      <c r="F42" s="589"/>
      <c r="G42" s="584">
        <f>'5. T4 FINANCING PLAN'!G49</f>
        <v>0</v>
      </c>
      <c r="H42" s="584">
        <f>'5. T4 FINANCING PLAN'!H49</f>
        <v>0</v>
      </c>
      <c r="I42" s="584">
        <f>'5. T4 FINANCING PLAN'!I49</f>
        <v>0</v>
      </c>
      <c r="J42" s="579">
        <f>'5. T4 FINANCING PLAN'!J49</f>
        <v>0</v>
      </c>
      <c r="L42" s="333"/>
      <c r="M42" s="278"/>
      <c r="N42" s="278"/>
      <c r="O42" s="278"/>
      <c r="P42" s="278"/>
      <c r="Q42" s="278"/>
      <c r="R42" s="278"/>
      <c r="S42" s="383"/>
    </row>
    <row r="43" spans="1:19" x14ac:dyDescent="0.2">
      <c r="A43"/>
      <c r="B43" s="474"/>
      <c r="C43" s="2346" t="s">
        <v>856</v>
      </c>
      <c r="D43" s="2346"/>
      <c r="E43" s="2347"/>
      <c r="F43" s="589"/>
      <c r="G43" s="800">
        <f>'5. T4 FINANCING PLAN'!G50</f>
        <v>14</v>
      </c>
      <c r="H43" s="800">
        <f>'5. T4 FINANCING PLAN'!H50</f>
        <v>14</v>
      </c>
      <c r="I43" s="800">
        <f>'5. T4 FINANCING PLAN'!I50</f>
        <v>14</v>
      </c>
      <c r="J43" s="1094">
        <f>'5. T4 FINANCING PLAN'!J50</f>
        <v>14</v>
      </c>
      <c r="L43" s="333"/>
      <c r="M43" s="278"/>
      <c r="N43" s="278"/>
      <c r="O43" s="278"/>
      <c r="P43" s="278"/>
      <c r="Q43" s="278"/>
      <c r="R43" s="278"/>
      <c r="S43" s="383"/>
    </row>
    <row r="44" spans="1:19" x14ac:dyDescent="0.2">
      <c r="A44"/>
      <c r="B44" s="474"/>
      <c r="C44" s="2301" t="s">
        <v>703</v>
      </c>
      <c r="D44" s="2301"/>
      <c r="E44" s="205" t="s">
        <v>27</v>
      </c>
      <c r="F44" s="589"/>
      <c r="G44" s="584">
        <f>'5. T4 FINANCING PLAN'!G53</f>
        <v>0</v>
      </c>
      <c r="H44" s="584">
        <f>'5. T4 FINANCING PLAN'!H53</f>
        <v>0</v>
      </c>
      <c r="I44" s="584">
        <f>'5. T4 FINANCING PLAN'!I53</f>
        <v>0</v>
      </c>
      <c r="J44" s="579">
        <f>'5. T4 FINANCING PLAN'!J53</f>
        <v>0</v>
      </c>
      <c r="L44" s="333"/>
      <c r="M44" s="278"/>
      <c r="N44" s="278"/>
      <c r="O44" s="278"/>
      <c r="P44" s="278"/>
      <c r="Q44" s="278"/>
      <c r="R44" s="278"/>
      <c r="S44" s="383"/>
    </row>
    <row r="45" spans="1:19" x14ac:dyDescent="0.2">
      <c r="A45"/>
      <c r="B45" s="474"/>
      <c r="C45" s="2351" t="s">
        <v>704</v>
      </c>
      <c r="D45" s="2352"/>
      <c r="E45" s="2353"/>
      <c r="F45" s="589"/>
      <c r="G45" s="801">
        <f>'5. T4 FINANCING PLAN'!G54</f>
        <v>0</v>
      </c>
      <c r="H45" s="801">
        <f>'5. T4 FINANCING PLAN'!H54</f>
        <v>0</v>
      </c>
      <c r="I45" s="801">
        <f>'5. T4 FINANCING PLAN'!I54</f>
        <v>0</v>
      </c>
      <c r="J45" s="802">
        <f>'5. T4 FINANCING PLAN'!J54</f>
        <v>0</v>
      </c>
      <c r="L45" s="333"/>
      <c r="M45" s="278"/>
      <c r="N45" s="278"/>
      <c r="O45" s="278"/>
      <c r="P45" s="278"/>
      <c r="Q45" s="278"/>
      <c r="R45" s="278"/>
      <c r="S45" s="383"/>
    </row>
    <row r="46" spans="1:19" x14ac:dyDescent="0.2">
      <c r="B46" s="474"/>
      <c r="C46" s="2301" t="s">
        <v>389</v>
      </c>
      <c r="D46" s="2301"/>
      <c r="E46" s="205" t="s">
        <v>27</v>
      </c>
      <c r="F46" s="589"/>
      <c r="G46" s="584">
        <f>'5. T4 FINANCING PLAN'!G51</f>
        <v>0</v>
      </c>
      <c r="H46" s="584">
        <f>'5. T4 FINANCING PLAN'!H51</f>
        <v>0</v>
      </c>
      <c r="I46" s="584">
        <f>'5. T4 FINANCING PLAN'!I51</f>
        <v>0</v>
      </c>
      <c r="J46" s="579">
        <f>'5. T4 FINANCING PLAN'!J51</f>
        <v>0</v>
      </c>
      <c r="L46" s="333"/>
      <c r="M46" s="278"/>
      <c r="N46" s="278"/>
      <c r="O46" s="278"/>
      <c r="P46" s="278"/>
      <c r="Q46" s="278"/>
      <c r="R46" s="278"/>
      <c r="S46" s="383"/>
    </row>
    <row r="47" spans="1:19" x14ac:dyDescent="0.2">
      <c r="A47"/>
      <c r="B47" s="474"/>
      <c r="C47" s="2301" t="s">
        <v>824</v>
      </c>
      <c r="D47" s="2301"/>
      <c r="E47" s="205" t="s">
        <v>27</v>
      </c>
      <c r="F47" s="589"/>
      <c r="G47" s="584">
        <f>'5. T4 FINANCING PLAN'!G52</f>
        <v>0</v>
      </c>
      <c r="H47" s="584">
        <f>'5. T4 FINANCING PLAN'!H52</f>
        <v>0</v>
      </c>
      <c r="I47" s="584">
        <f>'5. T4 FINANCING PLAN'!I52</f>
        <v>0</v>
      </c>
      <c r="J47" s="579">
        <f>'5. T4 FINANCING PLAN'!J52</f>
        <v>0</v>
      </c>
      <c r="L47" s="333"/>
      <c r="M47" s="278"/>
      <c r="N47" s="278"/>
      <c r="O47" s="278"/>
      <c r="P47" s="278"/>
      <c r="Q47" s="388"/>
      <c r="R47" s="278"/>
      <c r="S47" s="420"/>
    </row>
    <row r="48" spans="1:19" x14ac:dyDescent="0.2">
      <c r="B48" s="473" t="s">
        <v>102</v>
      </c>
      <c r="C48" s="2365" t="s">
        <v>706</v>
      </c>
      <c r="D48" s="2365"/>
      <c r="E48" s="203" t="s">
        <v>27</v>
      </c>
      <c r="F48" s="1552"/>
      <c r="G48" s="804">
        <v>0</v>
      </c>
      <c r="H48" s="804">
        <f>G48</f>
        <v>0</v>
      </c>
      <c r="I48" s="804">
        <f>H48</f>
        <v>0</v>
      </c>
      <c r="J48" s="805">
        <f>I48</f>
        <v>0</v>
      </c>
      <c r="L48" s="333"/>
      <c r="M48" s="278"/>
      <c r="N48" s="278"/>
      <c r="O48" s="278"/>
      <c r="P48" s="278"/>
      <c r="Q48" s="278"/>
      <c r="R48" s="278"/>
      <c r="S48" s="383"/>
    </row>
    <row r="49" spans="1:19" ht="13.5" thickBot="1" x14ac:dyDescent="0.25">
      <c r="B49" s="475" t="s">
        <v>108</v>
      </c>
      <c r="C49" s="476" t="s">
        <v>707</v>
      </c>
      <c r="D49" s="476"/>
      <c r="E49" s="477" t="s">
        <v>27</v>
      </c>
      <c r="F49" s="1553"/>
      <c r="G49" s="806">
        <f>G98-G13-G39-G41-G48</f>
        <v>0</v>
      </c>
      <c r="H49" s="806">
        <f>H98-H13-H39-H41-H48</f>
        <v>0</v>
      </c>
      <c r="I49" s="806">
        <f>I98-I13-I39-I41-I48</f>
        <v>0</v>
      </c>
      <c r="J49" s="806">
        <f>J98-J13-J39-J41-J48</f>
        <v>0</v>
      </c>
      <c r="L49" s="1380"/>
      <c r="M49" s="278"/>
      <c r="N49" s="278"/>
      <c r="O49" s="278"/>
      <c r="P49" s="278"/>
      <c r="Q49" s="278"/>
      <c r="R49" s="278"/>
      <c r="S49" s="383"/>
    </row>
    <row r="50" spans="1:19" ht="6" customHeight="1" thickBot="1" x14ac:dyDescent="0.25">
      <c r="B50" s="467"/>
      <c r="C50" s="468"/>
      <c r="D50" s="468"/>
      <c r="E50" s="469"/>
      <c r="F50" s="470"/>
      <c r="G50" s="807"/>
      <c r="H50" s="807"/>
      <c r="I50" s="807"/>
      <c r="J50" s="807"/>
      <c r="L50" s="421"/>
      <c r="M50" s="164"/>
      <c r="N50" s="164"/>
      <c r="O50" s="164"/>
      <c r="P50" s="164"/>
      <c r="Q50" s="164"/>
      <c r="R50" s="164"/>
      <c r="S50" s="419"/>
    </row>
    <row r="51" spans="1:19" ht="13.5" thickBot="1" x14ac:dyDescent="0.25">
      <c r="B51" s="2338" t="s">
        <v>708</v>
      </c>
      <c r="C51" s="2339"/>
      <c r="D51" s="2339"/>
      <c r="E51" s="2340"/>
      <c r="F51" s="241" t="s">
        <v>0</v>
      </c>
      <c r="G51" s="808">
        <f>G38+G13</f>
        <v>0</v>
      </c>
      <c r="H51" s="808">
        <f>H38+H13</f>
        <v>0</v>
      </c>
      <c r="I51" s="809">
        <f>I38+I13</f>
        <v>0</v>
      </c>
      <c r="J51" s="810">
        <f>J38+J13</f>
        <v>0</v>
      </c>
      <c r="L51" s="333"/>
      <c r="M51" s="278"/>
      <c r="N51" s="278"/>
      <c r="O51" s="278"/>
      <c r="P51" s="278"/>
      <c r="Q51" s="278"/>
      <c r="R51" s="278"/>
      <c r="S51" s="383"/>
    </row>
    <row r="52" spans="1:19" ht="12.75" customHeight="1" thickBot="1" x14ac:dyDescent="0.25">
      <c r="B52" s="40"/>
      <c r="C52" s="1" t="s">
        <v>0</v>
      </c>
      <c r="D52" s="1"/>
      <c r="G52" s="40"/>
      <c r="H52" s="40"/>
      <c r="I52" s="40"/>
      <c r="J52" s="40"/>
      <c r="L52" s="422"/>
      <c r="M52" s="315"/>
      <c r="N52" s="315"/>
      <c r="O52" s="315"/>
      <c r="P52" s="315"/>
      <c r="Q52" s="315"/>
      <c r="R52" s="315"/>
      <c r="S52" s="423"/>
    </row>
    <row r="53" spans="1:19" ht="12.75" customHeight="1" thickBot="1" x14ac:dyDescent="0.25">
      <c r="B53" s="1172"/>
      <c r="C53" s="1173"/>
      <c r="D53" s="1173"/>
      <c r="E53" s="1174"/>
      <c r="F53" s="1183"/>
      <c r="G53" s="1183" t="str">
        <f t="shared" ref="G53:J54" si="0">G10</f>
        <v>Forecast 1</v>
      </c>
      <c r="H53" s="1183" t="str">
        <f t="shared" si="0"/>
        <v>Forecast 2</v>
      </c>
      <c r="I53" s="1190" t="str">
        <f t="shared" si="0"/>
        <v>Forecast 3</v>
      </c>
      <c r="J53" s="1184" t="str">
        <f t="shared" si="0"/>
        <v>Forecast 4</v>
      </c>
      <c r="L53" s="2358" t="str">
        <f>B54</f>
        <v>LIABILITIES</v>
      </c>
      <c r="M53" s="2359"/>
      <c r="N53" s="2359"/>
      <c r="O53" s="2359"/>
      <c r="P53" s="2359"/>
      <c r="Q53" s="2359"/>
      <c r="R53" s="2359"/>
      <c r="S53" s="2360"/>
    </row>
    <row r="54" spans="1:19" ht="12.75" customHeight="1" x14ac:dyDescent="0.2">
      <c r="B54" s="2341" t="s">
        <v>715</v>
      </c>
      <c r="C54" s="2342"/>
      <c r="D54" s="2342"/>
      <c r="E54" s="2343"/>
      <c r="F54" s="1186"/>
      <c r="G54" s="1186">
        <f t="shared" si="0"/>
        <v>2027</v>
      </c>
      <c r="H54" s="1186">
        <f t="shared" si="0"/>
        <v>2028</v>
      </c>
      <c r="I54" s="1170">
        <f t="shared" si="0"/>
        <v>2029</v>
      </c>
      <c r="J54" s="1171">
        <f t="shared" si="0"/>
        <v>2030</v>
      </c>
      <c r="L54" s="424"/>
      <c r="M54" s="381"/>
      <c r="N54" s="381"/>
      <c r="O54" s="381"/>
      <c r="P54" s="381"/>
      <c r="Q54" s="381"/>
      <c r="R54" s="381"/>
      <c r="S54" s="425"/>
    </row>
    <row r="55" spans="1:19" ht="12.75" customHeight="1" thickBot="1" x14ac:dyDescent="0.25">
      <c r="B55" s="1196"/>
      <c r="C55" s="1175"/>
      <c r="D55" s="1175"/>
      <c r="E55" s="1176"/>
      <c r="F55" s="1197"/>
      <c r="G55" s="2141" t="s">
        <v>926</v>
      </c>
      <c r="H55" s="2141" t="s">
        <v>926</v>
      </c>
      <c r="I55" s="2141" t="s">
        <v>926</v>
      </c>
      <c r="J55" s="2141" t="s">
        <v>926</v>
      </c>
      <c r="L55" s="333"/>
      <c r="M55" s="278"/>
      <c r="N55" s="278"/>
      <c r="O55" s="278"/>
      <c r="P55" s="278"/>
      <c r="Q55" s="278"/>
      <c r="R55" s="278"/>
      <c r="S55" s="383"/>
    </row>
    <row r="56" spans="1:19" x14ac:dyDescent="0.2">
      <c r="A56"/>
      <c r="B56" s="1023" t="s">
        <v>116</v>
      </c>
      <c r="C56" s="350" t="s">
        <v>394</v>
      </c>
      <c r="D56" s="471"/>
      <c r="E56" s="478"/>
      <c r="F56" s="591"/>
      <c r="G56" s="972">
        <f>G57+G58-G59+G60+G61</f>
        <v>0</v>
      </c>
      <c r="H56" s="972">
        <f>H57+H58-H59+H60+H61</f>
        <v>0</v>
      </c>
      <c r="I56" s="972">
        <f>I57+I58-I59+I60+I61</f>
        <v>0</v>
      </c>
      <c r="J56" s="990">
        <f>J57+J58-J59+J60+J61</f>
        <v>0</v>
      </c>
      <c r="L56" s="333"/>
      <c r="M56" s="278"/>
      <c r="N56" s="278"/>
      <c r="O56" s="278"/>
      <c r="P56" s="278"/>
      <c r="Q56" s="278"/>
      <c r="R56" s="278"/>
      <c r="S56" s="383"/>
    </row>
    <row r="57" spans="1:19" s="1" customFormat="1" x14ac:dyDescent="0.2">
      <c r="A57" s="40"/>
      <c r="B57" s="479"/>
      <c r="C57" s="410" t="s">
        <v>827</v>
      </c>
      <c r="D57" s="410"/>
      <c r="E57" s="303"/>
      <c r="F57" s="609"/>
      <c r="G57" s="584">
        <f>'1. T1 INVESTMENT PLAN'!E48</f>
        <v>0</v>
      </c>
      <c r="H57" s="584">
        <f>G57+'1. T1 INVESTMENT PLAN'!F48</f>
        <v>0</v>
      </c>
      <c r="I57" s="584">
        <f>H57+'1. T1 INVESTMENT PLAN'!G48</f>
        <v>0</v>
      </c>
      <c r="J57" s="579">
        <f>I57+'1. T1 INVESTMENT PLAN'!H48</f>
        <v>0</v>
      </c>
      <c r="K57" s="4"/>
      <c r="L57" s="1379" t="s">
        <v>0</v>
      </c>
      <c r="M57" s="152"/>
      <c r="N57" s="152"/>
      <c r="O57" s="152"/>
      <c r="P57" s="152"/>
      <c r="Q57" s="152"/>
      <c r="R57" s="152"/>
      <c r="S57" s="420"/>
    </row>
    <row r="58" spans="1:19" s="1" customFormat="1" x14ac:dyDescent="0.2">
      <c r="A58" s="40"/>
      <c r="B58" s="479"/>
      <c r="C58" s="202" t="s">
        <v>875</v>
      </c>
      <c r="D58" s="202"/>
      <c r="E58" s="492"/>
      <c r="F58" s="609"/>
      <c r="G58" s="580">
        <f>F58-F59+F60</f>
        <v>0</v>
      </c>
      <c r="H58" s="580">
        <f>G58-G59+G60</f>
        <v>0</v>
      </c>
      <c r="I58" s="812">
        <f>H58-H59+H60</f>
        <v>0</v>
      </c>
      <c r="J58" s="579">
        <f>I58-I59+I60</f>
        <v>0</v>
      </c>
      <c r="K58" s="4"/>
      <c r="L58" s="333"/>
      <c r="M58" s="278"/>
      <c r="N58" s="278"/>
      <c r="O58" s="278"/>
      <c r="P58" s="278"/>
      <c r="Q58" s="278"/>
      <c r="R58" s="278"/>
      <c r="S58" s="383"/>
    </row>
    <row r="59" spans="1:19" s="1" customFormat="1" x14ac:dyDescent="0.2">
      <c r="A59" s="40"/>
      <c r="B59" s="479"/>
      <c r="C59" s="2301" t="s">
        <v>826</v>
      </c>
      <c r="D59" s="2301"/>
      <c r="E59" s="2362"/>
      <c r="F59" s="590"/>
      <c r="G59" s="991">
        <f>'5. T4 FINANCING PLAN'!G39</f>
        <v>0</v>
      </c>
      <c r="H59" s="991">
        <f>'5. T4 FINANCING PLAN'!H39</f>
        <v>0</v>
      </c>
      <c r="I59" s="991">
        <f>'5. T4 FINANCING PLAN'!I39</f>
        <v>0</v>
      </c>
      <c r="J59" s="1095">
        <f>'5. T4 FINANCING PLAN'!J39</f>
        <v>0</v>
      </c>
      <c r="K59" s="4"/>
      <c r="L59" s="333"/>
      <c r="M59" s="278"/>
      <c r="N59" s="278"/>
      <c r="O59" s="278"/>
      <c r="P59" s="278"/>
      <c r="Q59" s="278"/>
      <c r="R59" s="278"/>
      <c r="S59" s="383"/>
    </row>
    <row r="60" spans="1:19" s="1" customFormat="1" x14ac:dyDescent="0.2">
      <c r="A60" s="40"/>
      <c r="B60" s="479"/>
      <c r="C60" s="202" t="s">
        <v>825</v>
      </c>
      <c r="D60" s="202"/>
      <c r="E60" s="492"/>
      <c r="F60" s="609"/>
      <c r="G60" s="580">
        <f>'7. T2 RESULT BUDGET '!G31</f>
        <v>0</v>
      </c>
      <c r="H60" s="580">
        <f>'7. T2 RESULT BUDGET '!I31</f>
        <v>0</v>
      </c>
      <c r="I60" s="812">
        <f>'7. T2 RESULT BUDGET '!K31</f>
        <v>0</v>
      </c>
      <c r="J60" s="581">
        <f>'7. T2 RESULT BUDGET '!M31</f>
        <v>0</v>
      </c>
      <c r="K60" s="4"/>
      <c r="L60" s="333"/>
      <c r="M60" s="278"/>
      <c r="N60" s="278"/>
      <c r="O60" s="278"/>
      <c r="P60" s="278"/>
      <c r="Q60" s="278"/>
      <c r="R60" s="278"/>
      <c r="S60" s="383"/>
    </row>
    <row r="61" spans="1:19" s="1" customFormat="1" x14ac:dyDescent="0.2">
      <c r="A61" s="40"/>
      <c r="B61" s="479"/>
      <c r="C61" s="202" t="s">
        <v>714</v>
      </c>
      <c r="D61" s="202"/>
      <c r="E61" s="492"/>
      <c r="F61" s="609"/>
      <c r="G61" s="992">
        <f>'1. T1 INVESTMENT PLAN'!E49</f>
        <v>0</v>
      </c>
      <c r="H61" s="577">
        <f>G61+'1. T1 INVESTMENT PLAN'!F49</f>
        <v>0</v>
      </c>
      <c r="I61" s="577">
        <f>H61+'1. T1 INVESTMENT PLAN'!G49</f>
        <v>0</v>
      </c>
      <c r="J61" s="975">
        <f>I61+'1. T1 INVESTMENT PLAN'!H49</f>
        <v>0</v>
      </c>
      <c r="K61" s="4"/>
      <c r="L61" s="333"/>
      <c r="M61" s="278"/>
      <c r="N61" s="278"/>
      <c r="O61" s="278"/>
      <c r="P61" s="278"/>
      <c r="Q61" s="278"/>
      <c r="R61" s="278"/>
      <c r="S61" s="383"/>
    </row>
    <row r="62" spans="1:19" x14ac:dyDescent="0.2">
      <c r="A62" s="225"/>
      <c r="B62" s="480" t="s">
        <v>118</v>
      </c>
      <c r="C62" s="184" t="s">
        <v>711</v>
      </c>
      <c r="D62" s="184"/>
      <c r="E62" s="186"/>
      <c r="F62" s="610"/>
      <c r="G62" s="993">
        <f>G63+G64</f>
        <v>0</v>
      </c>
      <c r="H62" s="993">
        <f>H63+H64</f>
        <v>0</v>
      </c>
      <c r="I62" s="994">
        <f>I63+I64</f>
        <v>0</v>
      </c>
      <c r="J62" s="995">
        <f>J63+J64</f>
        <v>0</v>
      </c>
      <c r="L62" s="333"/>
      <c r="M62" s="278"/>
      <c r="N62" s="278"/>
      <c r="O62" s="278"/>
      <c r="P62" s="278"/>
      <c r="Q62" s="278"/>
      <c r="R62" s="278"/>
      <c r="S62" s="383"/>
    </row>
    <row r="63" spans="1:19" x14ac:dyDescent="0.2">
      <c r="B63" s="481" t="s">
        <v>0</v>
      </c>
      <c r="C63" s="522" t="s">
        <v>829</v>
      </c>
      <c r="D63" s="522"/>
      <c r="E63" s="1026" t="s">
        <v>153</v>
      </c>
      <c r="F63" s="1024"/>
      <c r="G63" s="816"/>
      <c r="H63" s="816"/>
      <c r="I63" s="1034"/>
      <c r="J63" s="1035"/>
      <c r="L63" s="333"/>
      <c r="M63" s="278"/>
      <c r="N63" s="278"/>
      <c r="O63" s="278"/>
      <c r="P63" s="278"/>
      <c r="Q63" s="278"/>
      <c r="R63" s="278"/>
      <c r="S63" s="383"/>
    </row>
    <row r="64" spans="1:19" x14ac:dyDescent="0.2">
      <c r="A64" s="225"/>
      <c r="B64" s="481" t="s">
        <v>0</v>
      </c>
      <c r="C64" s="202" t="s">
        <v>828</v>
      </c>
      <c r="D64" s="202"/>
      <c r="E64" s="304"/>
      <c r="F64" s="590"/>
      <c r="G64" s="584">
        <f>G65*('3. E1 OPERATING COSTS'!D13*'3. E1 OPERATING COSTS'!D15+'3. E1 OPERATING COSTS'!D17+'3. E1 OPERATING COSTS'!D24)</f>
        <v>0</v>
      </c>
      <c r="H64" s="584">
        <f>H65*('3. E1 OPERATING COSTS'!F13*'3. E1 OPERATING COSTS'!F15+'3. E1 OPERATING COSTS'!F17+'3. E1 OPERATING COSTS'!F24)</f>
        <v>0</v>
      </c>
      <c r="I64" s="584">
        <f>I65*('3. E1 OPERATING COSTS'!H13*'3. E1 OPERATING COSTS'!H15+'3. E1 OPERATING COSTS'!H17+'3. E1 OPERATING COSTS'!H24)</f>
        <v>0</v>
      </c>
      <c r="J64" s="579">
        <f>J65*('3. E1 OPERATING COSTS'!J13*'3. E1 OPERATING COSTS'!J15+'3. E1 OPERATING COSTS'!J17+'3. E1 OPERATING COSTS'!J24)</f>
        <v>0</v>
      </c>
      <c r="L64" s="333"/>
      <c r="M64" s="278"/>
      <c r="N64" s="278"/>
      <c r="O64" s="278"/>
      <c r="P64" s="278"/>
      <c r="Q64" s="278"/>
      <c r="R64" s="278"/>
      <c r="S64" s="383"/>
    </row>
    <row r="65" spans="1:19" x14ac:dyDescent="0.2">
      <c r="A65" s="6"/>
      <c r="B65" s="481"/>
      <c r="C65" s="2354" t="s">
        <v>712</v>
      </c>
      <c r="D65" s="2346"/>
      <c r="E65" s="2347"/>
      <c r="F65" s="611"/>
      <c r="G65" s="996">
        <v>0</v>
      </c>
      <c r="H65" s="996">
        <f>G65</f>
        <v>0</v>
      </c>
      <c r="I65" s="997">
        <f>H65</f>
        <v>0</v>
      </c>
      <c r="J65" s="998">
        <f>I65</f>
        <v>0</v>
      </c>
      <c r="L65" s="333"/>
      <c r="M65" s="278"/>
      <c r="N65" s="278"/>
      <c r="O65" s="278"/>
      <c r="P65" s="278"/>
      <c r="Q65" s="278"/>
      <c r="R65" s="278"/>
      <c r="S65" s="383"/>
    </row>
    <row r="66" spans="1:19" x14ac:dyDescent="0.2">
      <c r="A66" s="225"/>
      <c r="B66" s="480" t="s">
        <v>127</v>
      </c>
      <c r="C66" s="2145" t="s">
        <v>397</v>
      </c>
      <c r="D66" s="2145"/>
      <c r="E66" s="2337"/>
      <c r="F66" s="612"/>
      <c r="G66" s="999"/>
      <c r="H66" s="999"/>
      <c r="I66" s="1000"/>
      <c r="J66" s="1001"/>
      <c r="L66" s="333"/>
      <c r="M66" s="278"/>
      <c r="N66" s="278"/>
      <c r="O66" s="278"/>
      <c r="P66" s="278"/>
      <c r="Q66" s="278"/>
      <c r="R66" s="278"/>
      <c r="S66" s="383"/>
    </row>
    <row r="67" spans="1:19" x14ac:dyDescent="0.2">
      <c r="B67" s="480" t="s">
        <v>185</v>
      </c>
      <c r="C67" s="2145" t="s">
        <v>830</v>
      </c>
      <c r="D67" s="2145"/>
      <c r="E67" s="2337"/>
      <c r="F67" s="613"/>
      <c r="G67" s="993">
        <f>G68+G69+G70+G73</f>
        <v>0</v>
      </c>
      <c r="H67" s="993">
        <f>H68+H69+H70+H73</f>
        <v>0</v>
      </c>
      <c r="I67" s="994">
        <f>I68+I69+I70+I73</f>
        <v>0</v>
      </c>
      <c r="J67" s="995">
        <f>J68+J69+J70+J73</f>
        <v>0</v>
      </c>
      <c r="L67" s="333"/>
      <c r="M67" s="278"/>
      <c r="N67" s="278"/>
      <c r="O67" s="278"/>
      <c r="P67" s="278"/>
      <c r="Q67" s="278"/>
      <c r="R67" s="278"/>
      <c r="S67" s="383"/>
    </row>
    <row r="68" spans="1:19" x14ac:dyDescent="0.2">
      <c r="A68" s="225"/>
      <c r="B68" s="474" t="s">
        <v>0</v>
      </c>
      <c r="C68" s="2364" t="s">
        <v>831</v>
      </c>
      <c r="D68" s="2364"/>
      <c r="E68" s="2366"/>
      <c r="F68" s="589"/>
      <c r="G68" s="584">
        <f>'AT2 Lainat, alv'!U8+'AT2 Lainat, alv'!U9+'AT2 Lainat, alv'!U10+'AT2 Lainat, alv'!U11-'5. T4 FINANCING PLAN'!G35</f>
        <v>0</v>
      </c>
      <c r="H68" s="584">
        <f>'AT2 Lainat, alv'!AA8+'AT2 Lainat, alv'!AA9+'AT2 Lainat, alv'!AA10+'AT2 Lainat, alv'!AA11+'AT2 Lainat, alv'!AA12+'AT2 Lainat, alv'!AA13+'AT2 Lainat, alv'!AA14+'AT2 Lainat, alv'!AA15-'5. T4 FINANCING PLAN'!G35-'5. T4 FINANCING PLAN'!H35</f>
        <v>0</v>
      </c>
      <c r="I68" s="584">
        <f>'AT2 Lainat, alv'!AG8+'AT2 Lainat, alv'!AG9+'AT2 Lainat, alv'!AG10+'AT2 Lainat, alv'!AG11+'AT2 Lainat, alv'!AG12+'AT2 Lainat, alv'!AG13+'AT2 Lainat, alv'!AG14+'AT2 Lainat, alv'!AG15+'AT2 Lainat, alv'!AG16+'AT2 Lainat, alv'!AG17+'AT2 Lainat, alv'!AG18+'AT2 Lainat, alv'!AG19-'5. T4 FINANCING PLAN'!G35-'5. T4 FINANCING PLAN'!H35-'5. T4 FINANCING PLAN'!I35</f>
        <v>0</v>
      </c>
      <c r="J68" s="579">
        <f>'AT2 Lainat, alv'!AM24-'5. T4 FINANCING PLAN'!G35-'5. T4 FINANCING PLAN'!H35-'5. T4 FINANCING PLAN'!I35-'5. T4 FINANCING PLAN'!J35</f>
        <v>0</v>
      </c>
      <c r="L68" s="333"/>
      <c r="M68" s="278"/>
      <c r="N68" s="278"/>
      <c r="O68" s="278" t="s">
        <v>0</v>
      </c>
      <c r="P68" s="278"/>
      <c r="Q68" s="278"/>
      <c r="R68" s="278"/>
      <c r="S68" s="383"/>
    </row>
    <row r="69" spans="1:19" x14ac:dyDescent="0.2">
      <c r="B69" s="474" t="s">
        <v>0</v>
      </c>
      <c r="C69" s="2301" t="s">
        <v>399</v>
      </c>
      <c r="D69" s="2301"/>
      <c r="E69" s="2362"/>
      <c r="F69" s="590"/>
      <c r="G69" s="573">
        <f>'1. T1 INVESTMENT PLAN'!E51</f>
        <v>0</v>
      </c>
      <c r="H69" s="573">
        <f>G69+'1. T1 INVESTMENT PLAN'!F51</f>
        <v>0</v>
      </c>
      <c r="I69" s="573">
        <f>H69+'1. T1 INVESTMENT PLAN'!G51</f>
        <v>0</v>
      </c>
      <c r="J69" s="975">
        <f>I69+'1. T1 INVESTMENT PLAN'!H51</f>
        <v>0</v>
      </c>
      <c r="L69" s="333"/>
      <c r="M69" s="278" t="s">
        <v>0</v>
      </c>
      <c r="N69" s="278"/>
      <c r="O69" s="278"/>
      <c r="P69" s="278"/>
      <c r="Q69" s="278"/>
      <c r="R69" s="278"/>
      <c r="S69" s="383"/>
    </row>
    <row r="70" spans="1:19" x14ac:dyDescent="0.2">
      <c r="A70" s="225"/>
      <c r="B70" s="474" t="s">
        <v>0</v>
      </c>
      <c r="C70" s="202" t="s">
        <v>833</v>
      </c>
      <c r="D70" s="202"/>
      <c r="E70" s="205"/>
      <c r="F70" s="590"/>
      <c r="G70" s="584">
        <f>G71+G72</f>
        <v>0</v>
      </c>
      <c r="H70" s="584">
        <f>H71+H72</f>
        <v>0</v>
      </c>
      <c r="I70" s="689">
        <f>I71+I72</f>
        <v>0</v>
      </c>
      <c r="J70" s="579">
        <f>J71+J72</f>
        <v>0</v>
      </c>
      <c r="L70" s="333"/>
      <c r="M70" s="278"/>
      <c r="N70" s="278"/>
      <c r="O70" s="278"/>
      <c r="P70" s="278"/>
      <c r="Q70" s="278"/>
      <c r="R70" s="278"/>
      <c r="S70" s="383"/>
    </row>
    <row r="71" spans="1:19" x14ac:dyDescent="0.2">
      <c r="A71" s="225"/>
      <c r="B71" s="474"/>
      <c r="C71" s="202" t="s">
        <v>834</v>
      </c>
      <c r="D71" s="202"/>
      <c r="E71" s="205"/>
      <c r="F71" s="590"/>
      <c r="G71" s="371"/>
      <c r="H71" s="573">
        <f>G71</f>
        <v>0</v>
      </c>
      <c r="I71" s="983">
        <f>H71</f>
        <v>0</v>
      </c>
      <c r="J71" s="975">
        <f>I71</f>
        <v>0</v>
      </c>
      <c r="L71" s="333"/>
      <c r="M71" s="152"/>
      <c r="N71" s="152"/>
      <c r="O71" s="152"/>
      <c r="P71" s="152"/>
      <c r="Q71" s="152"/>
      <c r="R71" s="152"/>
      <c r="S71" s="420"/>
    </row>
    <row r="72" spans="1:19" x14ac:dyDescent="0.2">
      <c r="A72" s="6"/>
      <c r="B72" s="474"/>
      <c r="C72" s="202" t="s">
        <v>835</v>
      </c>
      <c r="D72" s="202"/>
      <c r="E72" s="205"/>
      <c r="F72" s="614"/>
      <c r="G72" s="584">
        <f>'AT2 Lainat, alv'!U29</f>
        <v>0</v>
      </c>
      <c r="H72" s="584">
        <f>'AT2 Lainat, alv'!AA29+'AT2 Lainat, alv'!AA32</f>
        <v>0</v>
      </c>
      <c r="I72" s="584">
        <f>'AT2 Lainat, alv'!AG29+'AT2 Lainat, alv'!AG32+'AT2 Lainat, alv'!AG35</f>
        <v>0</v>
      </c>
      <c r="J72" s="579">
        <f>IF('2. T7 LOANS'!O38=0,'AT2 Lainat, alv'!AM29+'AT2 Lainat, alv'!AM32+'AT2 Lainat, alv'!AM35,+'AT2 Lainat, alv'!AM41)</f>
        <v>0</v>
      </c>
      <c r="L72" s="333"/>
      <c r="M72" s="278"/>
      <c r="N72" s="278"/>
      <c r="O72" s="278"/>
      <c r="P72" s="278"/>
      <c r="Q72" s="278"/>
      <c r="R72" s="278"/>
      <c r="S72" s="383"/>
    </row>
    <row r="73" spans="1:19" x14ac:dyDescent="0.2">
      <c r="A73" s="225"/>
      <c r="B73" s="474"/>
      <c r="C73" s="2301" t="s">
        <v>836</v>
      </c>
      <c r="D73" s="2301"/>
      <c r="E73" s="2362"/>
      <c r="F73" s="590"/>
      <c r="G73" s="584">
        <f>'2. T7 LOANS'!C44-'2. T7 LOANS'!G44</f>
        <v>0</v>
      </c>
      <c r="H73" s="689">
        <f>G73-'2. T7 LOANS'!J44</f>
        <v>0</v>
      </c>
      <c r="I73" s="689">
        <f>H73-'2. T7 LOANS'!M44</f>
        <v>0</v>
      </c>
      <c r="J73" s="579">
        <f>I73-'2. T7 LOANS'!P44</f>
        <v>0</v>
      </c>
      <c r="L73" s="426"/>
      <c r="M73" s="152"/>
      <c r="N73" s="152"/>
      <c r="O73" s="152"/>
      <c r="P73" s="152"/>
      <c r="Q73" s="152"/>
      <c r="R73" s="152"/>
      <c r="S73" s="420"/>
    </row>
    <row r="74" spans="1:19" x14ac:dyDescent="0.2">
      <c r="B74" s="480" t="s">
        <v>186</v>
      </c>
      <c r="C74" s="2145" t="s">
        <v>713</v>
      </c>
      <c r="D74" s="2145"/>
      <c r="E74" s="2337"/>
      <c r="F74" s="613"/>
      <c r="G74" s="993">
        <f>G75+G78+G79+G83+G89+G94</f>
        <v>0</v>
      </c>
      <c r="H74" s="993">
        <f>H75+H78+H79+H83+H89+H94</f>
        <v>0</v>
      </c>
      <c r="I74" s="993">
        <f>I75+I78+I79+I83+I89+I94</f>
        <v>0</v>
      </c>
      <c r="J74" s="995">
        <f>J75+J78+J79+J83+J89+J94</f>
        <v>0</v>
      </c>
      <c r="L74" s="333"/>
      <c r="M74" s="278"/>
      <c r="N74" s="278"/>
      <c r="O74" s="278"/>
      <c r="P74" s="278"/>
      <c r="Q74" s="278"/>
      <c r="R74" s="278"/>
      <c r="S74" s="383"/>
    </row>
    <row r="75" spans="1:19" x14ac:dyDescent="0.2">
      <c r="A75" s="225"/>
      <c r="B75" s="474" t="s">
        <v>0</v>
      </c>
      <c r="C75" s="2364" t="s">
        <v>831</v>
      </c>
      <c r="D75" s="2364"/>
      <c r="E75" s="2366"/>
      <c r="F75" s="589"/>
      <c r="G75" s="813">
        <f>G76+G77</f>
        <v>0</v>
      </c>
      <c r="H75" s="813">
        <f>H76+H77</f>
        <v>0</v>
      </c>
      <c r="I75" s="813">
        <f>I76+I77</f>
        <v>0</v>
      </c>
      <c r="J75" s="1002">
        <f>J76+J77</f>
        <v>0</v>
      </c>
      <c r="L75" s="333"/>
      <c r="M75" s="278"/>
      <c r="N75" s="278"/>
      <c r="O75" s="278"/>
      <c r="P75" s="278"/>
      <c r="Q75" s="278"/>
      <c r="R75" s="278"/>
      <c r="S75" s="383"/>
    </row>
    <row r="76" spans="1:19" x14ac:dyDescent="0.2">
      <c r="A76" s="225"/>
      <c r="B76" s="474"/>
      <c r="C76" s="522" t="s">
        <v>837</v>
      </c>
      <c r="D76" s="522"/>
      <c r="E76" s="523"/>
      <c r="F76" s="589"/>
      <c r="G76" s="974">
        <f>'2. T7 LOANS'!J13+'2. T7 LOANS'!J14+'2. T7 LOANS'!J15+'2. T7 LOANS'!J16</f>
        <v>0</v>
      </c>
      <c r="H76" s="974">
        <f>'2. T7 LOANS'!M13+'2. T7 LOANS'!M14+'2. T7 LOANS'!M15+'2. T7 LOANS'!M16+'2. T7 LOANS'!M18+'2. T7 LOANS'!M19+'2. T7 LOANS'!M20+'2. T7 LOANS'!M21</f>
        <v>0</v>
      </c>
      <c r="I76" s="974">
        <f>'2. T7 LOANS'!P13+'2. T7 LOANS'!P14+'2. T7 LOANS'!P15+'2. T7 LOANS'!P16+'2. T7 LOANS'!P18+'2. T7 LOANS'!P19+'2. T7 LOANS'!P20+'2. T7 LOANS'!P21+'2. T7 LOANS'!P23+'2. T7 LOANS'!P24+'2. T7 LOANS'!P25+'2. T7 LOANS'!P26</f>
        <v>0</v>
      </c>
      <c r="J76" s="1003">
        <f>'AT2 Lainat, alv'!AK24</f>
        <v>0</v>
      </c>
      <c r="L76" s="333"/>
      <c r="M76" s="278"/>
      <c r="N76" s="278"/>
      <c r="O76" s="278"/>
      <c r="P76" s="278"/>
      <c r="Q76" s="278"/>
      <c r="R76" s="278"/>
      <c r="S76" s="383"/>
    </row>
    <row r="77" spans="1:19" x14ac:dyDescent="0.2">
      <c r="A77" s="225"/>
      <c r="B77" s="474"/>
      <c r="C77" s="522" t="s">
        <v>832</v>
      </c>
      <c r="D77" s="522"/>
      <c r="E77" s="523"/>
      <c r="F77" s="589"/>
      <c r="G77" s="573">
        <f>'2. T7 LOANS'!C40</f>
        <v>0</v>
      </c>
      <c r="H77" s="573">
        <f t="shared" ref="H77:J78" si="1">G77</f>
        <v>0</v>
      </c>
      <c r="I77" s="573">
        <f t="shared" si="1"/>
        <v>0</v>
      </c>
      <c r="J77" s="975">
        <f t="shared" si="1"/>
        <v>0</v>
      </c>
      <c r="L77" s="333"/>
      <c r="M77" s="278"/>
      <c r="N77" s="278"/>
      <c r="O77" s="278"/>
      <c r="P77" s="278"/>
      <c r="Q77" s="278"/>
      <c r="R77" s="278"/>
      <c r="S77" s="383"/>
    </row>
    <row r="78" spans="1:19" x14ac:dyDescent="0.2">
      <c r="B78" s="474" t="s">
        <v>0</v>
      </c>
      <c r="C78" s="2301" t="s">
        <v>399</v>
      </c>
      <c r="D78" s="2301"/>
      <c r="E78" s="2362"/>
      <c r="F78" s="590"/>
      <c r="G78" s="573">
        <v>0</v>
      </c>
      <c r="H78" s="573">
        <f t="shared" si="1"/>
        <v>0</v>
      </c>
      <c r="I78" s="573">
        <f t="shared" si="1"/>
        <v>0</v>
      </c>
      <c r="J78" s="975">
        <f t="shared" si="1"/>
        <v>0</v>
      </c>
      <c r="L78" s="333"/>
      <c r="M78" s="278"/>
      <c r="N78" s="278"/>
      <c r="O78" s="278"/>
      <c r="P78" s="278"/>
      <c r="Q78" s="278"/>
      <c r="R78" s="278"/>
      <c r="S78" s="383"/>
    </row>
    <row r="79" spans="1:19" x14ac:dyDescent="0.2">
      <c r="A79" s="225"/>
      <c r="B79" s="474" t="s">
        <v>0</v>
      </c>
      <c r="C79" s="202" t="s">
        <v>833</v>
      </c>
      <c r="D79" s="202"/>
      <c r="E79" s="205"/>
      <c r="F79" s="590"/>
      <c r="G79" s="584">
        <f>G80+G82</f>
        <v>0</v>
      </c>
      <c r="H79" s="584">
        <f>H80+H82</f>
        <v>0</v>
      </c>
      <c r="I79" s="689">
        <f>I80+I82</f>
        <v>0</v>
      </c>
      <c r="J79" s="579">
        <f>J80+J82</f>
        <v>0</v>
      </c>
      <c r="L79" s="333"/>
      <c r="M79" s="278"/>
      <c r="N79" s="278"/>
      <c r="O79" s="278"/>
      <c r="P79" s="278"/>
      <c r="Q79" s="278"/>
      <c r="R79" s="278"/>
      <c r="S79" s="383"/>
    </row>
    <row r="80" spans="1:19" x14ac:dyDescent="0.2">
      <c r="A80" s="6"/>
      <c r="B80" s="474"/>
      <c r="C80" s="202" t="s">
        <v>834</v>
      </c>
      <c r="D80" s="202"/>
      <c r="E80" s="205"/>
      <c r="F80" s="590"/>
      <c r="G80" s="584">
        <f>'5. T4 FINANCING PLAN'!G55</f>
        <v>0</v>
      </c>
      <c r="H80" s="584">
        <f>'5. T4 FINANCING PLAN'!H55</f>
        <v>0</v>
      </c>
      <c r="I80" s="584">
        <f>'5. T4 FINANCING PLAN'!I55</f>
        <v>0</v>
      </c>
      <c r="J80" s="579">
        <f>'5. T4 FINANCING PLAN'!J55</f>
        <v>0</v>
      </c>
      <c r="L80" s="333"/>
      <c r="M80" s="278"/>
      <c r="N80" s="278"/>
      <c r="O80" s="278"/>
      <c r="P80" s="278"/>
      <c r="Q80" s="278"/>
      <c r="R80" s="278"/>
      <c r="S80" s="383"/>
    </row>
    <row r="81" spans="1:19" x14ac:dyDescent="0.2">
      <c r="A81" s="6"/>
      <c r="B81" s="474"/>
      <c r="C81" s="2351" t="s">
        <v>838</v>
      </c>
      <c r="D81" s="2352"/>
      <c r="E81" s="2353"/>
      <c r="F81" s="590"/>
      <c r="G81" s="800">
        <f>'5. T4 FINANCING PLAN'!G56</f>
        <v>14</v>
      </c>
      <c r="H81" s="800">
        <f>'5. T4 FINANCING PLAN'!H56</f>
        <v>14</v>
      </c>
      <c r="I81" s="800">
        <f>'5. T4 FINANCING PLAN'!I56</f>
        <v>14</v>
      </c>
      <c r="J81" s="1094">
        <f>'5. T4 FINANCING PLAN'!J56</f>
        <v>14</v>
      </c>
      <c r="L81" s="333"/>
      <c r="M81" s="278"/>
      <c r="N81" s="278"/>
      <c r="O81" s="278"/>
      <c r="P81" s="278"/>
      <c r="Q81" s="278"/>
      <c r="R81" s="278"/>
      <c r="S81" s="383"/>
    </row>
    <row r="82" spans="1:19" x14ac:dyDescent="0.2">
      <c r="A82" s="225"/>
      <c r="B82" s="474"/>
      <c r="C82" s="202" t="s">
        <v>835</v>
      </c>
      <c r="D82" s="202"/>
      <c r="E82" s="205"/>
      <c r="F82" s="614"/>
      <c r="G82" s="584">
        <f>'AT2 Lainat, alv'!S29</f>
        <v>0</v>
      </c>
      <c r="H82" s="584">
        <f>'AT2 Lainat, alv'!Y29+'AT2 Lainat, alv'!Y32</f>
        <v>0</v>
      </c>
      <c r="I82" s="584">
        <f>'AT2 Lainat, alv'!AE29+'AT2 Lainat, alv'!AE32+'AT2 Lainat, alv'!AE35</f>
        <v>0</v>
      </c>
      <c r="J82" s="579">
        <f>'AT2 Lainat, alv'!AK29+'AT2 Lainat, alv'!AK32+'AT2 Lainat, alv'!AK35+'AT2 Lainat, alv'!AK38</f>
        <v>0</v>
      </c>
      <c r="L82" s="333"/>
      <c r="M82" s="278"/>
      <c r="N82" s="278"/>
      <c r="O82" s="278"/>
      <c r="P82" s="278"/>
      <c r="Q82" s="278"/>
      <c r="R82" s="278"/>
      <c r="S82" s="383"/>
    </row>
    <row r="83" spans="1:19" x14ac:dyDescent="0.2">
      <c r="B83" s="474"/>
      <c r="C83" s="2301" t="s">
        <v>840</v>
      </c>
      <c r="D83" s="2301"/>
      <c r="E83" s="2362"/>
      <c r="F83" s="590"/>
      <c r="G83" s="584">
        <f>G84+G86+G87+G88</f>
        <v>0</v>
      </c>
      <c r="H83" s="584">
        <f>H84+H86+H87+H88</f>
        <v>0</v>
      </c>
      <c r="I83" s="689">
        <f>I84+I86+I87+I88</f>
        <v>0</v>
      </c>
      <c r="J83" s="579">
        <f>J84+J86+J87+J88</f>
        <v>0</v>
      </c>
      <c r="L83" s="333"/>
      <c r="M83" s="278"/>
      <c r="N83" s="278"/>
      <c r="O83" s="278"/>
      <c r="P83" s="278"/>
      <c r="Q83" s="278"/>
      <c r="R83" s="278"/>
      <c r="S83" s="383"/>
    </row>
    <row r="84" spans="1:19" x14ac:dyDescent="0.2">
      <c r="A84" s="225"/>
      <c r="B84" s="474"/>
      <c r="C84" s="428" t="s">
        <v>839</v>
      </c>
      <c r="D84" s="206"/>
      <c r="E84" s="305"/>
      <c r="F84" s="609"/>
      <c r="G84" s="580">
        <f>G85*('3. E1 OPERATING COSTS'!D13+'3. E1 OPERATING COSTS'!D14+'3. E1 OPERATING COSTS'!D22/12+'3. E1 OPERATING COSTS'!D17/12+'3. E1 OPERATING COSTS'!D24/12+'3. E1 OPERATING COSTS'!D28/12)</f>
        <v>0</v>
      </c>
      <c r="H84" s="580">
        <f>H85*('3. E1 OPERATING COSTS'!F13+'3. E1 OPERATING COSTS'!F14+'3. E1 OPERATING COSTS'!F22/12+'3. E1 OPERATING COSTS'!F17/12+'3. E1 OPERATING COSTS'!F24/12+'3. E1 OPERATING COSTS'!F28/12)</f>
        <v>0</v>
      </c>
      <c r="I84" s="580">
        <f>I85*('3. E1 OPERATING COSTS'!H13+'3. E1 OPERATING COSTS'!H14+'3. E1 OPERATING COSTS'!H22/12+'3. E1 OPERATING COSTS'!H17/12+'3. E1 OPERATING COSTS'!H24/12+'3. E1 OPERATING COSTS'!H28/12)</f>
        <v>0</v>
      </c>
      <c r="J84" s="579">
        <f>J85*('3. E1 OPERATING COSTS'!J13+'3. E1 OPERATING COSTS'!J14+'3. E1 OPERATING COSTS'!J22/12+'3. E1 OPERATING COSTS'!J17/12+'3. E1 OPERATING COSTS'!J24/12+'3. E1 OPERATING COSTS'!J28/12)</f>
        <v>0</v>
      </c>
      <c r="L84" s="333"/>
      <c r="M84" s="278"/>
      <c r="N84" s="278"/>
      <c r="O84" s="278"/>
      <c r="P84" s="278"/>
      <c r="Q84" s="278"/>
      <c r="R84" s="278"/>
      <c r="S84" s="383"/>
    </row>
    <row r="85" spans="1:19" x14ac:dyDescent="0.2">
      <c r="B85" s="474"/>
      <c r="C85" s="2354" t="s">
        <v>841</v>
      </c>
      <c r="D85" s="2346"/>
      <c r="E85" s="2347"/>
      <c r="F85" s="617"/>
      <c r="G85" s="1004">
        <v>0.25</v>
      </c>
      <c r="H85" s="1004">
        <f>G85</f>
        <v>0.25</v>
      </c>
      <c r="I85" s="1004">
        <f>H85</f>
        <v>0.25</v>
      </c>
      <c r="J85" s="1005">
        <f>I85</f>
        <v>0.25</v>
      </c>
      <c r="L85" s="333"/>
      <c r="M85" s="278"/>
      <c r="N85" s="278"/>
      <c r="O85" s="278"/>
      <c r="P85" s="278"/>
      <c r="Q85" s="278"/>
      <c r="R85" s="278"/>
      <c r="S85" s="383"/>
    </row>
    <row r="86" spans="1:19" x14ac:dyDescent="0.2">
      <c r="A86" s="225"/>
      <c r="B86" s="474"/>
      <c r="C86" s="428" t="s">
        <v>842</v>
      </c>
      <c r="D86" s="428"/>
      <c r="E86" s="428"/>
      <c r="F86" s="609"/>
      <c r="G86" s="580">
        <f>'8. T5 CASH BUDGET'!AD25*('3. E1 OPERATING COSTS'!D13+'3. E1 OPERATING COSTS'!D14+'3. E1 OPERATING COSTS'!D17/12+'3. E1 OPERATING COSTS'!D22/12+'3. E1 OPERATING COSTS'!D24/12+'3. E1 OPERATING COSTS'!D28/12)</f>
        <v>0</v>
      </c>
      <c r="H86" s="580">
        <f>'8. T5 CASH BUDGET'!AD25*('3. E1 OPERATING COSTS'!F13+'3. E1 OPERATING COSTS'!F14+'3. E1 OPERATING COSTS'!F17/12+'3. E1 OPERATING COSTS'!F22/12+'3. E1 OPERATING COSTS'!F24/12+'3. E1 OPERATING COSTS'!F28/12)</f>
        <v>0</v>
      </c>
      <c r="I86" s="580">
        <f>'8. T5 CASH BUDGET'!AD25*('3. E1 OPERATING COSTS'!H13+'3. E1 OPERATING COSTS'!H14+'3. E1 OPERATING COSTS'!H17/12+'3. E1 OPERATING COSTS'!H22/12+'3. E1 OPERATING COSTS'!H24/12+'3. E1 OPERATING COSTS'!H28/12)</f>
        <v>0</v>
      </c>
      <c r="J86" s="581">
        <f>'8. T5 CASH BUDGET'!AD25*('3. E1 OPERATING COSTS'!J13+'3. E1 OPERATING COSTS'!J14+'3. E1 OPERATING COSTS'!J17/12+'3. E1 OPERATING COSTS'!J22/12+'3. E1 OPERATING COSTS'!J24/12+'3. E1 OPERATING COSTS'!J28/12)</f>
        <v>0</v>
      </c>
      <c r="L86" s="333"/>
      <c r="M86" s="278"/>
      <c r="N86" s="278"/>
      <c r="O86" s="278"/>
      <c r="P86" s="278"/>
      <c r="Q86" s="278"/>
      <c r="R86" s="278"/>
      <c r="S86" s="383"/>
    </row>
    <row r="87" spans="1:19" x14ac:dyDescent="0.2">
      <c r="A87" s="6"/>
      <c r="B87" s="474"/>
      <c r="C87" s="2301" t="s">
        <v>843</v>
      </c>
      <c r="D87" s="2301"/>
      <c r="E87" s="2301"/>
      <c r="F87" s="609"/>
      <c r="G87" s="577">
        <f>('4. E2 TURNOVER'!E13-'4. E2 TURNOVER'!E14)/6-IF('4. E2 TURNOVER'!E13=0,0,'AT2 Lainat, alv'!E65+G94)/6</f>
        <v>0</v>
      </c>
      <c r="H87" s="577">
        <f>('4. E2 TURNOVER'!F13-'4. E2 TURNOVER'!F14)/6-IF('4. E2 TURNOVER'!F13=0,0,'AT2 Lainat, alv'!G65+H94)/6</f>
        <v>0</v>
      </c>
      <c r="I87" s="577">
        <f>('4. E2 TURNOVER'!G13-'4. E2 TURNOVER'!G14)/6-IF('4. E2 TURNOVER'!G13=0,0,('AT2 Lainat, alv'!I65+I94)/6)</f>
        <v>0</v>
      </c>
      <c r="J87" s="975">
        <f>('4. E2 TURNOVER'!H13-'4. E2 TURNOVER'!H14)/6-IF('4. E2 TURNOVER'!H13=0,0,('AT2 Lainat, alv'!K65+J94)/6)</f>
        <v>0</v>
      </c>
      <c r="L87" s="333"/>
      <c r="M87" s="278"/>
      <c r="N87" s="278"/>
      <c r="O87" s="278"/>
      <c r="P87" s="278"/>
      <c r="Q87" s="278"/>
      <c r="R87" s="278"/>
      <c r="S87" s="383"/>
    </row>
    <row r="88" spans="1:19" x14ac:dyDescent="0.2">
      <c r="A88" s="225"/>
      <c r="B88" s="474"/>
      <c r="C88" s="2301" t="s">
        <v>844</v>
      </c>
      <c r="D88" s="2301"/>
      <c r="E88" s="2301"/>
      <c r="F88" s="609"/>
      <c r="G88" s="577">
        <v>0</v>
      </c>
      <c r="H88" s="577"/>
      <c r="I88" s="577"/>
      <c r="J88" s="1006"/>
      <c r="L88" s="333"/>
      <c r="M88" s="278"/>
      <c r="N88" s="278"/>
      <c r="O88" s="278"/>
      <c r="P88" s="278"/>
      <c r="Q88" s="278"/>
      <c r="R88" s="278"/>
      <c r="S88" s="383"/>
    </row>
    <row r="89" spans="1:19" s="1" customFormat="1" x14ac:dyDescent="0.2">
      <c r="A89" s="40"/>
      <c r="B89" s="474" t="s">
        <v>0</v>
      </c>
      <c r="C89" s="202" t="s">
        <v>804</v>
      </c>
      <c r="D89" s="206"/>
      <c r="E89" s="1549"/>
      <c r="F89" s="609"/>
      <c r="G89" s="1007">
        <f>G91+G90+G92</f>
        <v>0</v>
      </c>
      <c r="H89" s="1007">
        <f>H91+H90+H92</f>
        <v>0</v>
      </c>
      <c r="I89" s="1007">
        <f>I91+I90+I92</f>
        <v>0</v>
      </c>
      <c r="J89" s="1008">
        <f>J91+J90+J92</f>
        <v>0</v>
      </c>
      <c r="L89" s="333"/>
      <c r="M89" s="278"/>
      <c r="N89" s="278"/>
      <c r="O89" s="278"/>
      <c r="P89" s="278"/>
      <c r="Q89" s="278"/>
      <c r="R89" s="278"/>
      <c r="S89" s="383"/>
    </row>
    <row r="90" spans="1:19" s="1" customFormat="1" x14ac:dyDescent="0.2">
      <c r="A90" s="225"/>
      <c r="B90" s="474"/>
      <c r="C90" s="2301" t="s">
        <v>845</v>
      </c>
      <c r="D90" s="2301"/>
      <c r="E90" s="2301"/>
      <c r="F90" s="590"/>
      <c r="G90" s="577">
        <v>0</v>
      </c>
      <c r="H90" s="577"/>
      <c r="I90" s="577"/>
      <c r="J90" s="1006"/>
      <c r="L90" s="333"/>
      <c r="M90" s="278"/>
      <c r="N90" s="278"/>
      <c r="O90" s="278"/>
      <c r="P90" s="278"/>
      <c r="Q90" s="278"/>
      <c r="R90" s="278"/>
      <c r="S90" s="383"/>
    </row>
    <row r="91" spans="1:19" s="1" customFormat="1" x14ac:dyDescent="0.2">
      <c r="A91" s="6"/>
      <c r="B91" s="474"/>
      <c r="C91" s="2364" t="s">
        <v>846</v>
      </c>
      <c r="D91" s="2364"/>
      <c r="E91" s="2364"/>
      <c r="F91" s="615"/>
      <c r="G91" s="974">
        <f>(('3. E1 OPERATING COSTS'!D12+'3. E1 OPERATING COSTS'!D17+'3. E1 OPERATING COSTS'!D24)/12/25)*30+0.5*(('3. E1 OPERATING COSTS'!D12+'3. E1 OPERATING COSTS'!D17+'3. E1 OPERATING COSTS'!D24)/12/25)*30</f>
        <v>0</v>
      </c>
      <c r="H91" s="974">
        <f>(('3. E1 OPERATING COSTS'!F12+'3. E1 OPERATING COSTS'!F17+'3. E1 OPERATING COSTS'!F24)/12.5/25)*30+0.5*(('3. E1 OPERATING COSTS'!F12+'3. E1 OPERATING COSTS'!F17+'3. E1 OPERATING COSTS'!F24)/12.5/25)*30</f>
        <v>0</v>
      </c>
      <c r="I91" s="584">
        <f>(('3. E1 OPERATING COSTS'!H12+'3. E1 OPERATING COSTS'!H17+'3. E1 OPERATING COSTS'!H24)/12.5/25)*30+0.5*(('3. E1 OPERATING COSTS'!H12+'3. E1 OPERATING COSTS'!H17+'3. E1 OPERATING COSTS'!H24)/12.5/25)*30</f>
        <v>0</v>
      </c>
      <c r="J91" s="579">
        <f>(('3. E1 OPERATING COSTS'!J12+'3. E1 OPERATING COSTS'!J17+'3. E1 OPERATING COSTS'!J24)/12.5/25)*30+0.5*(('3. E1 OPERATING COSTS'!J12+'3. E1 OPERATING COSTS'!J17+'3. E1 OPERATING COSTS'!J24)/12.5/25)*30</f>
        <v>0</v>
      </c>
      <c r="L91" s="333"/>
      <c r="M91" s="278"/>
      <c r="N91" s="278"/>
      <c r="O91" s="278"/>
      <c r="P91" s="278"/>
      <c r="Q91" s="278"/>
      <c r="R91" s="278"/>
      <c r="S91" s="383"/>
    </row>
    <row r="92" spans="1:19" s="1" customFormat="1" x14ac:dyDescent="0.2">
      <c r="A92" s="40"/>
      <c r="B92" s="474"/>
      <c r="C92" s="202" t="s">
        <v>847</v>
      </c>
      <c r="D92" s="206"/>
      <c r="E92" s="1550"/>
      <c r="F92" s="590"/>
      <c r="G92" s="580">
        <f>G91*G93</f>
        <v>0</v>
      </c>
      <c r="H92" s="580">
        <f>H91*H93</f>
        <v>0</v>
      </c>
      <c r="I92" s="580">
        <f>I91*I93</f>
        <v>0</v>
      </c>
      <c r="J92" s="581">
        <f>J91*J93</f>
        <v>0</v>
      </c>
      <c r="L92" s="333"/>
      <c r="M92" s="278"/>
      <c r="N92" s="278"/>
      <c r="O92" s="278"/>
      <c r="P92" s="278"/>
      <c r="Q92" s="278"/>
      <c r="R92" s="278"/>
      <c r="S92" s="383"/>
    </row>
    <row r="93" spans="1:19" s="1" customFormat="1" x14ac:dyDescent="0.2">
      <c r="A93" s="225"/>
      <c r="B93" s="482"/>
      <c r="C93" s="2354" t="s">
        <v>848</v>
      </c>
      <c r="D93" s="2346"/>
      <c r="E93" s="2347"/>
      <c r="F93" s="616"/>
      <c r="G93" s="1016">
        <v>0.19789999999999999</v>
      </c>
      <c r="H93" s="1016">
        <v>0.2</v>
      </c>
      <c r="I93" s="1016">
        <f>H93</f>
        <v>0.2</v>
      </c>
      <c r="J93" s="1017">
        <f>I93</f>
        <v>0.2</v>
      </c>
      <c r="L93" s="333"/>
      <c r="M93" s="278"/>
      <c r="N93" s="278"/>
      <c r="O93" s="278"/>
      <c r="P93" s="278"/>
      <c r="Q93" s="278"/>
      <c r="R93" s="278"/>
      <c r="S93" s="383"/>
    </row>
    <row r="94" spans="1:19" x14ac:dyDescent="0.2">
      <c r="A94" s="225"/>
      <c r="B94" s="474"/>
      <c r="C94" s="164" t="s">
        <v>458</v>
      </c>
      <c r="D94" s="446"/>
      <c r="E94" s="1551"/>
      <c r="F94" s="590"/>
      <c r="G94" s="584">
        <f>'5. T4 FINANCING PLAN'!G57</f>
        <v>0</v>
      </c>
      <c r="H94" s="584">
        <f>'5. T4 FINANCING PLAN'!H57</f>
        <v>0</v>
      </c>
      <c r="I94" s="584">
        <f>'5. T4 FINANCING PLAN'!I57</f>
        <v>0</v>
      </c>
      <c r="J94" s="579">
        <f>'5. T4 FINANCING PLAN'!J57</f>
        <v>0</v>
      </c>
      <c r="L94" s="427"/>
      <c r="M94" s="385"/>
      <c r="N94" s="385"/>
      <c r="O94" s="385"/>
      <c r="P94" s="385"/>
      <c r="Q94" s="385"/>
      <c r="R94" s="385"/>
      <c r="S94" s="386"/>
    </row>
    <row r="95" spans="1:19" x14ac:dyDescent="0.2">
      <c r="A95" s="225"/>
      <c r="B95" s="474"/>
      <c r="C95" s="2348" t="s">
        <v>849</v>
      </c>
      <c r="D95" s="2349"/>
      <c r="E95" s="2350"/>
      <c r="F95" s="590"/>
      <c r="G95" s="1009">
        <f>'5. T4 FINANCING PLAN'!G58</f>
        <v>0</v>
      </c>
      <c r="H95" s="1009">
        <f>'5. T4 FINANCING PLAN'!H58</f>
        <v>0</v>
      </c>
      <c r="I95" s="1009">
        <f>'5. T4 FINANCING PLAN'!I58</f>
        <v>0</v>
      </c>
      <c r="J95" s="1096">
        <f>'5. T4 FINANCING PLAN'!J58</f>
        <v>0</v>
      </c>
      <c r="L95" s="278"/>
      <c r="M95" s="278"/>
      <c r="N95" s="278"/>
      <c r="O95" s="278"/>
      <c r="P95" s="278"/>
      <c r="Q95" s="278"/>
      <c r="R95" s="278"/>
      <c r="S95" s="278"/>
    </row>
    <row r="96" spans="1:19" ht="6" customHeight="1" thickBot="1" x14ac:dyDescent="0.25">
      <c r="A96" s="225"/>
      <c r="B96" s="552"/>
      <c r="C96" s="553"/>
      <c r="D96" s="553"/>
      <c r="E96" s="553"/>
      <c r="F96" s="554"/>
      <c r="G96" s="1010"/>
      <c r="H96" s="1010"/>
      <c r="I96" s="1010"/>
      <c r="J96" s="1011"/>
      <c r="L96" s="278"/>
      <c r="M96" s="278"/>
      <c r="N96" s="278"/>
      <c r="O96" s="278"/>
      <c r="P96" s="278"/>
      <c r="Q96" s="278"/>
      <c r="R96" s="278"/>
      <c r="S96" s="278"/>
    </row>
    <row r="97" spans="1:19" ht="6" customHeight="1" thickBot="1" x14ac:dyDescent="0.25">
      <c r="A97" s="6"/>
      <c r="B97" s="231"/>
      <c r="C97" s="232"/>
      <c r="D97" s="233"/>
      <c r="E97" s="234"/>
      <c r="F97" s="235"/>
      <c r="G97" s="1012"/>
      <c r="H97" s="1012"/>
      <c r="I97" s="1012"/>
      <c r="J97" s="1012"/>
      <c r="K97" s="129"/>
      <c r="L97" s="129"/>
      <c r="M97" s="129"/>
      <c r="N97" s="129"/>
      <c r="O97" s="129"/>
      <c r="P97" s="129"/>
      <c r="Q97" s="129"/>
      <c r="R97" s="129"/>
      <c r="S97" s="129"/>
    </row>
    <row r="98" spans="1:19" ht="13.5" thickBot="1" x14ac:dyDescent="0.25">
      <c r="B98" s="555"/>
      <c r="C98" s="2363" t="s">
        <v>403</v>
      </c>
      <c r="D98" s="2363"/>
      <c r="E98" s="2363"/>
      <c r="F98" s="590" t="s">
        <v>0</v>
      </c>
      <c r="G98" s="1013">
        <f>G56+G62+G66+G67+G74</f>
        <v>0</v>
      </c>
      <c r="H98" s="1013">
        <f>H56+H62+H66+H67+H74</f>
        <v>0</v>
      </c>
      <c r="I98" s="1014">
        <f>I56+I62+I66+I67+I74</f>
        <v>0</v>
      </c>
      <c r="J98" s="1015">
        <f>J56+J62+J66+J67+J74</f>
        <v>0</v>
      </c>
      <c r="K98" s="129"/>
      <c r="L98" s="201" t="str">
        <f>IF(H51&lt;&gt;H98,"TARKISTA TASEEN LOPPUSUMMAT",IF(G51&lt;&gt;G98,"TARKISTA TASEEN LOPPUSUMMAT",IF(I51&lt;&gt;I98,"TARKISTA TASEEN LOPPUSUMMAT",IF(J51&lt;&gt;J98,"TARKISTA TASEEN LOPPUSUMMAT"," "))))</f>
        <v xml:space="preserve"> </v>
      </c>
      <c r="M98" s="129"/>
      <c r="N98" s="129"/>
      <c r="O98" s="129"/>
      <c r="P98" s="129"/>
      <c r="Q98" s="129"/>
      <c r="R98" s="129"/>
      <c r="S98" s="129"/>
    </row>
    <row r="99" spans="1:19" ht="7.5" customHeight="1" x14ac:dyDescent="0.2">
      <c r="B99" s="231"/>
      <c r="C99" s="232"/>
      <c r="D99" s="233"/>
      <c r="E99" s="234"/>
      <c r="F99" s="235"/>
      <c r="G99" s="235"/>
      <c r="H99" s="235"/>
      <c r="I99" s="235"/>
      <c r="J99" s="235"/>
      <c r="K99" s="129"/>
      <c r="L99" s="201" t="s">
        <v>0</v>
      </c>
      <c r="M99" s="129"/>
      <c r="N99" s="129"/>
      <c r="O99" s="129"/>
      <c r="P99" s="129"/>
      <c r="Q99" s="129"/>
      <c r="R99" s="129"/>
      <c r="S99" s="129"/>
    </row>
    <row r="100" spans="1:19" x14ac:dyDescent="0.2">
      <c r="B100" s="236"/>
      <c r="C100" s="129"/>
      <c r="D100" s="129"/>
      <c r="E100" s="129"/>
      <c r="F100" s="129"/>
      <c r="G100" s="129"/>
      <c r="H100" s="129"/>
      <c r="J100" s="237">
        <f>'1. T1 INVESTMENT PLAN'!I66</f>
        <v>0</v>
      </c>
      <c r="K100" s="129"/>
      <c r="M100" s="129"/>
      <c r="N100" s="129"/>
      <c r="O100" s="129"/>
      <c r="P100" s="129"/>
      <c r="Q100" s="129"/>
      <c r="R100" s="129"/>
      <c r="S100" s="129"/>
    </row>
    <row r="101" spans="1:19" x14ac:dyDescent="0.2">
      <c r="B101" s="74" t="str">
        <f>'1. T1 INVESTMENT PLAN'!B67</f>
        <v>BP6 Financial Projection</v>
      </c>
      <c r="J101" s="406" t="str">
        <f>'1. T1 INVESTMENT PLAN'!I67</f>
        <v>Enontekiö, Kittilä, Kolari, Muonio, Pello</v>
      </c>
    </row>
    <row r="102" spans="1:19" x14ac:dyDescent="0.2">
      <c r="B102" s="2149"/>
      <c r="C102" s="2149"/>
    </row>
    <row r="104" spans="1:19" x14ac:dyDescent="0.2">
      <c r="B104" s="52" t="str">
        <f>'1. T1 INVESTMENT PLAN'!B70</f>
        <v>The user acknowledges that the program may contain errors and the results provided by the program are referential and directional.</v>
      </c>
    </row>
    <row r="105" spans="1:19" x14ac:dyDescent="0.2">
      <c r="B105" s="52" t="str">
        <f>'1. T1 INVESTMENT PLAN'!B71</f>
        <v>The user uses the program and interprets results at his own risk.</v>
      </c>
    </row>
    <row r="106" spans="1:19" x14ac:dyDescent="0.2">
      <c r="B106" s="52"/>
    </row>
  </sheetData>
  <sheetProtection algorithmName="SHA-512" hashValue="CVNJvIczZ32hzHIONbPjOlEnam6jbLpwHEdhyPkv/O6/TLubrDV0f7VQE78hLNqM28uw6nbh+gZedyHPvy1emA==" saltValue="/pg5LNitPEVDmiEP/ajTHA==" spinCount="100000" sheet="1" objects="1" scenarios="1"/>
  <mergeCells count="38">
    <mergeCell ref="C78:E78"/>
    <mergeCell ref="C66:E66"/>
    <mergeCell ref="C59:E59"/>
    <mergeCell ref="C81:E81"/>
    <mergeCell ref="C75:E75"/>
    <mergeCell ref="C68:E68"/>
    <mergeCell ref="C69:E69"/>
    <mergeCell ref="C73:E73"/>
    <mergeCell ref="C44:D44"/>
    <mergeCell ref="C46:D46"/>
    <mergeCell ref="C47:D47"/>
    <mergeCell ref="C67:E67"/>
    <mergeCell ref="C48:D48"/>
    <mergeCell ref="C95:E95"/>
    <mergeCell ref="B102:C102"/>
    <mergeCell ref="C87:E87"/>
    <mergeCell ref="C85:E85"/>
    <mergeCell ref="C83:E83"/>
    <mergeCell ref="C98:E98"/>
    <mergeCell ref="C91:E91"/>
    <mergeCell ref="C90:E90"/>
    <mergeCell ref="C93:E93"/>
    <mergeCell ref="L2:N3"/>
    <mergeCell ref="B8:C8"/>
    <mergeCell ref="B2:C3"/>
    <mergeCell ref="C88:E88"/>
    <mergeCell ref="C74:E74"/>
    <mergeCell ref="B51:E51"/>
    <mergeCell ref="B11:E11"/>
    <mergeCell ref="B54:E54"/>
    <mergeCell ref="C30:E30"/>
    <mergeCell ref="C43:E43"/>
    <mergeCell ref="C40:E40"/>
    <mergeCell ref="C45:E45"/>
    <mergeCell ref="C65:E65"/>
    <mergeCell ref="L10:S10"/>
    <mergeCell ref="L53:S53"/>
    <mergeCell ref="G6:J6"/>
  </mergeCells>
  <printOptions horizontalCentered="1"/>
  <pageMargins left="0.25" right="0.25" top="0.75" bottom="0.75" header="0.3" footer="0.3"/>
  <pageSetup paperSize="9" orientation="portrait" verticalDpi="4" r:id="rId1"/>
  <rowBreaks count="1" manualBreakCount="1">
    <brk id="52" min="1" max="18" man="1"/>
  </rowBreaks>
  <colBreaks count="1" manualBreakCount="1">
    <brk id="10" min="1" max="8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52A1"/>
  </sheetPr>
  <dimension ref="A2:AD129"/>
  <sheetViews>
    <sheetView showGridLines="0" showZeros="0" zoomScaleNormal="100" workbookViewId="0">
      <selection activeCell="G12" sqref="G12"/>
    </sheetView>
  </sheetViews>
  <sheetFormatPr defaultRowHeight="12.75" x14ac:dyDescent="0.2"/>
  <cols>
    <col min="2" max="2" width="4" style="40" customWidth="1"/>
    <col min="3" max="3" width="35.140625" customWidth="1"/>
    <col min="4" max="4" width="5.28515625" customWidth="1"/>
    <col min="5" max="5" width="13.140625" customWidth="1"/>
    <col min="6" max="6" width="5.7109375" style="40" customWidth="1"/>
    <col min="7" max="7" width="13.140625" style="4" customWidth="1"/>
    <col min="8" max="8" width="5.7109375" style="40" customWidth="1"/>
    <col min="9" max="9" width="13.140625" customWidth="1"/>
    <col min="10" max="10" width="5.7109375" style="40" customWidth="1"/>
    <col min="11" max="11" width="13.140625" customWidth="1"/>
    <col min="12" max="12" width="5.7109375" style="40" customWidth="1"/>
    <col min="13" max="13" width="13.140625" customWidth="1"/>
    <col min="14" max="14" width="5.7109375" style="40" customWidth="1"/>
    <col min="15" max="15" width="3.28515625" customWidth="1"/>
  </cols>
  <sheetData>
    <row r="2" spans="1:30" ht="15.75" x14ac:dyDescent="0.25">
      <c r="C2" s="24" t="s">
        <v>881</v>
      </c>
      <c r="E2" s="49"/>
      <c r="P2" s="24" t="str">
        <f>C2</f>
        <v>T2 RESULT BUDGET</v>
      </c>
    </row>
    <row r="3" spans="1:30" x14ac:dyDescent="0.2">
      <c r="E3" s="562"/>
      <c r="P3" s="2173"/>
      <c r="Q3" s="2173"/>
    </row>
    <row r="4" spans="1:30" ht="20.25" customHeight="1" thickBot="1" x14ac:dyDescent="0.25">
      <c r="B4" s="49" t="str">
        <f>'1. T1 INVESTMENT PLAN'!B6</f>
        <v>Company name</v>
      </c>
      <c r="C4" s="45"/>
      <c r="D4" s="45"/>
      <c r="E4" s="45"/>
      <c r="F4" s="49"/>
      <c r="G4" s="49" t="str">
        <f>'1. T1 INVESTMENT PLAN'!F3</f>
        <v>Date</v>
      </c>
      <c r="I4" s="49"/>
      <c r="K4" s="45"/>
      <c r="L4" s="45"/>
      <c r="M4" s="45"/>
      <c r="N4" s="59"/>
      <c r="R4" s="185"/>
    </row>
    <row r="5" spans="1:30" ht="15" customHeight="1" x14ac:dyDescent="0.2">
      <c r="B5" s="2285">
        <f>'1. T1 INVESTMENT PLAN'!B7:E7</f>
        <v>0</v>
      </c>
      <c r="C5" s="2285"/>
      <c r="D5" s="2285"/>
      <c r="E5" s="44"/>
      <c r="F5" s="568"/>
      <c r="G5" s="571">
        <f>'1. T1 INVESTMENT PLAN'!F4</f>
        <v>0</v>
      </c>
      <c r="H5" s="44"/>
      <c r="I5" s="2336"/>
      <c r="J5" s="2336"/>
      <c r="K5" s="2336"/>
      <c r="L5" s="2369"/>
      <c r="M5" s="2369"/>
      <c r="N5" s="2369"/>
      <c r="P5" s="1638" t="s">
        <v>492</v>
      </c>
      <c r="Q5" s="272"/>
      <c r="R5" s="342"/>
      <c r="S5" s="272"/>
      <c r="T5" s="272"/>
      <c r="U5" s="272"/>
      <c r="V5" s="272"/>
      <c r="W5" s="272"/>
      <c r="X5" s="273"/>
      <c r="Y5" s="273"/>
      <c r="Z5" s="273"/>
      <c r="AA5" s="273"/>
      <c r="AB5" s="273"/>
      <c r="AC5" s="273"/>
      <c r="AD5" s="274"/>
    </row>
    <row r="6" spans="1:30" ht="12.75" customHeight="1" thickBot="1" x14ac:dyDescent="0.25">
      <c r="A6" s="53"/>
      <c r="P6" s="337"/>
      <c r="Q6" s="278"/>
      <c r="R6" s="387"/>
      <c r="S6" s="278"/>
      <c r="T6" s="278"/>
      <c r="U6" s="278"/>
      <c r="V6" s="278"/>
      <c r="W6" s="278"/>
      <c r="X6" s="278"/>
      <c r="Y6" s="278"/>
      <c r="Z6" s="278"/>
      <c r="AA6" s="278"/>
      <c r="AB6" s="278"/>
      <c r="AC6" s="278"/>
      <c r="AD6" s="314"/>
    </row>
    <row r="7" spans="1:30" x14ac:dyDescent="0.2">
      <c r="A7" s="2367" t="s">
        <v>782</v>
      </c>
      <c r="B7" s="2401" t="s">
        <v>0</v>
      </c>
      <c r="C7" s="2402"/>
      <c r="D7" s="2403"/>
      <c r="E7" s="2372"/>
      <c r="F7" s="2373"/>
      <c r="G7" s="2372" t="str">
        <f>'1. T1 INVESTMENT PLAN'!E15</f>
        <v>Forecast 1</v>
      </c>
      <c r="H7" s="2373"/>
      <c r="I7" s="2372" t="str">
        <f>'1. T1 INVESTMENT PLAN'!F15</f>
        <v>Forecast 2</v>
      </c>
      <c r="J7" s="2373"/>
      <c r="K7" s="2372" t="str">
        <f>'1. T1 INVESTMENT PLAN'!G15</f>
        <v>Forecast 3</v>
      </c>
      <c r="L7" s="2373"/>
      <c r="M7" s="2372" t="str">
        <f>'1. T1 INVESTMENT PLAN'!H15</f>
        <v>Forecast 4</v>
      </c>
      <c r="N7" s="2373"/>
      <c r="O7" s="4"/>
      <c r="P7" s="337"/>
      <c r="Q7" s="278"/>
      <c r="R7" s="387"/>
      <c r="S7" s="278"/>
      <c r="T7" s="278"/>
      <c r="U7" s="278"/>
      <c r="V7" s="278"/>
      <c r="W7" s="278"/>
      <c r="X7" s="278"/>
      <c r="Y7" s="278"/>
      <c r="Z7" s="278"/>
      <c r="AA7" s="278"/>
      <c r="AB7" s="278"/>
      <c r="AC7" s="278"/>
      <c r="AD7" s="314"/>
    </row>
    <row r="8" spans="1:30" x14ac:dyDescent="0.2">
      <c r="A8" s="2368"/>
      <c r="B8" s="2404"/>
      <c r="C8" s="2405"/>
      <c r="D8" s="2406"/>
      <c r="E8" s="2379"/>
      <c r="F8" s="2380"/>
      <c r="G8" s="2374">
        <f>'1. T1 INVESTMENT PLAN'!E16</f>
        <v>2027</v>
      </c>
      <c r="H8" s="2375"/>
      <c r="I8" s="2374">
        <f>'1. T1 INVESTMENT PLAN'!F16</f>
        <v>2028</v>
      </c>
      <c r="J8" s="2375"/>
      <c r="K8" s="2374">
        <f>'1. T1 INVESTMENT PLAN'!G16</f>
        <v>2029</v>
      </c>
      <c r="L8" s="2375"/>
      <c r="M8" s="2374">
        <f>'1. T1 INVESTMENT PLAN'!H16</f>
        <v>2030</v>
      </c>
      <c r="N8" s="2375"/>
      <c r="O8" s="4"/>
      <c r="P8" s="337"/>
      <c r="Q8" s="278"/>
      <c r="R8" s="387"/>
      <c r="S8" s="278"/>
      <c r="T8" s="278"/>
      <c r="U8" s="278"/>
      <c r="V8" s="278"/>
      <c r="W8" s="278"/>
      <c r="X8" s="278"/>
      <c r="Y8" s="278"/>
      <c r="Z8" s="278"/>
      <c r="AA8" s="278"/>
      <c r="AB8" s="278"/>
      <c r="AC8" s="278"/>
      <c r="AD8" s="314"/>
    </row>
    <row r="9" spans="1:30" x14ac:dyDescent="0.2">
      <c r="A9" s="2"/>
      <c r="B9" s="1198"/>
      <c r="C9" s="1199"/>
      <c r="D9" s="1200"/>
      <c r="E9" s="1201"/>
      <c r="F9" s="1202"/>
      <c r="G9" s="1203" t="s">
        <v>336</v>
      </c>
      <c r="H9" s="1204" t="s">
        <v>13</v>
      </c>
      <c r="I9" s="1203" t="s">
        <v>336</v>
      </c>
      <c r="J9" s="1204" t="s">
        <v>13</v>
      </c>
      <c r="K9" s="1203" t="s">
        <v>336</v>
      </c>
      <c r="L9" s="1204" t="s">
        <v>13</v>
      </c>
      <c r="M9" s="1203" t="s">
        <v>336</v>
      </c>
      <c r="N9" s="1204" t="s">
        <v>13</v>
      </c>
      <c r="O9" s="4"/>
      <c r="P9" s="337"/>
      <c r="Q9" s="278"/>
      <c r="R9" s="278"/>
      <c r="S9" s="278"/>
      <c r="T9" s="179"/>
      <c r="U9" s="179"/>
      <c r="V9" s="179"/>
      <c r="W9" s="306"/>
      <c r="X9" s="306"/>
      <c r="Y9" s="306"/>
      <c r="Z9" s="306"/>
      <c r="AA9" s="306"/>
      <c r="AB9" s="306"/>
      <c r="AC9" s="306"/>
      <c r="AD9" s="334"/>
    </row>
    <row r="10" spans="1:30" ht="13.5" thickBot="1" x14ac:dyDescent="0.25">
      <c r="A10" s="53"/>
      <c r="B10" s="1205"/>
      <c r="C10" s="1206"/>
      <c r="D10" s="1212" t="s">
        <v>614</v>
      </c>
      <c r="E10" s="1207" t="s">
        <v>0</v>
      </c>
      <c r="F10" s="1208"/>
      <c r="G10" s="1209">
        <f>'3. E1 OPERATING COSTS'!D10</f>
        <v>12</v>
      </c>
      <c r="H10" s="1210"/>
      <c r="I10" s="1209" t="s">
        <v>252</v>
      </c>
      <c r="J10" s="1210"/>
      <c r="K10" s="1209" t="s">
        <v>252</v>
      </c>
      <c r="L10" s="1210"/>
      <c r="M10" s="1209" t="s">
        <v>252</v>
      </c>
      <c r="N10" s="1211"/>
      <c r="O10" s="4"/>
      <c r="P10" s="2409" t="s">
        <v>728</v>
      </c>
      <c r="Q10" s="2410"/>
      <c r="R10" s="2410"/>
      <c r="S10" s="2410"/>
      <c r="T10" s="179"/>
      <c r="U10" s="179"/>
      <c r="V10" s="179"/>
      <c r="W10" s="306"/>
      <c r="X10" s="306"/>
      <c r="Y10" s="306"/>
      <c r="Z10" s="306"/>
      <c r="AA10" s="306"/>
      <c r="AB10" s="306"/>
      <c r="AC10" s="306"/>
      <c r="AD10" s="334"/>
    </row>
    <row r="11" spans="1:30" s="53" customFormat="1" ht="17.100000000000001" customHeight="1" x14ac:dyDescent="0.2">
      <c r="A11"/>
      <c r="B11" s="292" t="s">
        <v>2</v>
      </c>
      <c r="C11" s="490" t="s">
        <v>371</v>
      </c>
      <c r="D11" s="294" t="s">
        <v>27</v>
      </c>
      <c r="E11" s="1028"/>
      <c r="F11" s="621"/>
      <c r="G11" s="1657">
        <f>'4. E2 TURNOVER'!E10</f>
        <v>0</v>
      </c>
      <c r="H11" s="628">
        <v>0</v>
      </c>
      <c r="I11" s="1657">
        <f>'4. E2 TURNOVER'!F10</f>
        <v>0</v>
      </c>
      <c r="J11" s="628">
        <v>0</v>
      </c>
      <c r="K11" s="1657">
        <f>'4. E2 TURNOVER'!G10</f>
        <v>0</v>
      </c>
      <c r="L11" s="628">
        <v>0</v>
      </c>
      <c r="M11" s="1657">
        <f>'4. E2 TURNOVER'!H10</f>
        <v>0</v>
      </c>
      <c r="N11" s="628">
        <v>0</v>
      </c>
      <c r="O11" s="164"/>
      <c r="P11" s="630"/>
      <c r="Q11" s="250">
        <f>I8</f>
        <v>2028</v>
      </c>
      <c r="R11" s="250">
        <f>K$8</f>
        <v>2029</v>
      </c>
      <c r="S11" s="250">
        <f>M$8</f>
        <v>2030</v>
      </c>
      <c r="T11" s="337"/>
      <c r="U11" s="278"/>
      <c r="V11" s="278"/>
      <c r="W11" s="278"/>
      <c r="X11" s="278"/>
      <c r="Y11" s="278"/>
      <c r="Z11" s="278"/>
      <c r="AA11" s="278"/>
      <c r="AB11" s="278"/>
      <c r="AC11" s="278"/>
      <c r="AD11" s="314"/>
    </row>
    <row r="12" spans="1:30" s="53" customFormat="1" ht="15" customHeight="1" x14ac:dyDescent="0.2">
      <c r="B12" s="279" t="s">
        <v>3</v>
      </c>
      <c r="C12" s="280" t="s">
        <v>718</v>
      </c>
      <c r="D12" s="281" t="s">
        <v>27</v>
      </c>
      <c r="E12" s="1029"/>
      <c r="F12" s="622"/>
      <c r="G12" s="819">
        <v>0</v>
      </c>
      <c r="H12" s="629"/>
      <c r="I12" s="819">
        <f>G12+G12*P12</f>
        <v>0</v>
      </c>
      <c r="J12" s="629"/>
      <c r="K12" s="819">
        <f>I12+I12*R12</f>
        <v>0</v>
      </c>
      <c r="L12" s="629"/>
      <c r="M12" s="819">
        <f>K12+K12*S12</f>
        <v>0</v>
      </c>
      <c r="N12" s="629"/>
      <c r="O12" s="164"/>
      <c r="P12" s="631"/>
      <c r="Q12" s="336">
        <v>0</v>
      </c>
      <c r="R12" s="336">
        <f>Q12</f>
        <v>0</v>
      </c>
      <c r="S12" s="336">
        <f>R12</f>
        <v>0</v>
      </c>
      <c r="T12" s="337"/>
      <c r="U12" s="278"/>
      <c r="V12" s="278"/>
      <c r="W12" s="278"/>
      <c r="X12" s="278"/>
      <c r="Y12" s="278"/>
      <c r="Z12" s="278"/>
      <c r="AA12" s="278"/>
      <c r="AB12" s="278"/>
      <c r="AC12" s="278"/>
      <c r="AD12" s="314"/>
    </row>
    <row r="13" spans="1:30" s="53" customFormat="1" ht="15" customHeight="1" x14ac:dyDescent="0.2">
      <c r="B13" s="279" t="s">
        <v>4</v>
      </c>
      <c r="C13" s="280" t="s">
        <v>372</v>
      </c>
      <c r="D13" s="281"/>
      <c r="E13" s="1029"/>
      <c r="F13" s="622"/>
      <c r="G13" s="819"/>
      <c r="H13" s="629"/>
      <c r="I13" s="819"/>
      <c r="J13" s="629"/>
      <c r="K13" s="819"/>
      <c r="L13" s="629"/>
      <c r="M13" s="819"/>
      <c r="N13" s="629"/>
      <c r="O13" s="164"/>
      <c r="P13" s="465"/>
      <c r="Q13" s="466"/>
      <c r="R13" s="466"/>
      <c r="S13" s="466"/>
      <c r="T13" s="278"/>
      <c r="U13" s="278"/>
      <c r="V13" s="278"/>
      <c r="W13" s="278"/>
      <c r="X13" s="278"/>
      <c r="Y13" s="278"/>
      <c r="Z13" s="278"/>
      <c r="AA13" s="278"/>
      <c r="AB13" s="278"/>
      <c r="AC13" s="278"/>
      <c r="AD13" s="314"/>
    </row>
    <row r="14" spans="1:30" s="50" customFormat="1" ht="15" customHeight="1" x14ac:dyDescent="0.2">
      <c r="A14" s="53"/>
      <c r="B14" s="279" t="s">
        <v>5</v>
      </c>
      <c r="C14" s="282" t="s">
        <v>719</v>
      </c>
      <c r="D14" s="283"/>
      <c r="E14" s="623"/>
      <c r="F14" s="624"/>
      <c r="G14" s="820">
        <f>G11+G12+G13</f>
        <v>0</v>
      </c>
      <c r="H14" s="284">
        <v>100</v>
      </c>
      <c r="I14" s="820">
        <f>I11+I12+I13</f>
        <v>0</v>
      </c>
      <c r="J14" s="284">
        <v>100</v>
      </c>
      <c r="K14" s="820">
        <f>K11+K12+K13</f>
        <v>0</v>
      </c>
      <c r="L14" s="284">
        <v>100</v>
      </c>
      <c r="M14" s="820">
        <f>M11+M12+M13</f>
        <v>0</v>
      </c>
      <c r="N14" s="284">
        <v>100</v>
      </c>
      <c r="O14" s="164"/>
      <c r="P14" s="337"/>
      <c r="Q14" s="278"/>
      <c r="R14" s="278"/>
      <c r="S14" s="278"/>
      <c r="T14" s="278"/>
      <c r="U14" s="278"/>
      <c r="V14" s="278"/>
      <c r="W14" s="278"/>
      <c r="X14" s="278"/>
      <c r="Y14" s="278"/>
      <c r="Z14" s="278"/>
      <c r="AA14" s="278"/>
      <c r="AB14" s="278"/>
      <c r="AC14" s="278"/>
      <c r="AD14" s="314"/>
    </row>
    <row r="15" spans="1:30" s="53" customFormat="1" ht="15" customHeight="1" x14ac:dyDescent="0.2">
      <c r="A15"/>
      <c r="B15" s="279" t="s">
        <v>6</v>
      </c>
      <c r="C15" s="280" t="s">
        <v>720</v>
      </c>
      <c r="D15" s="281" t="s">
        <v>28</v>
      </c>
      <c r="E15" s="1029"/>
      <c r="F15" s="622"/>
      <c r="G15" s="821">
        <f>-'4. E2 TURNOVER'!E11</f>
        <v>0</v>
      </c>
      <c r="H15" s="285">
        <f>-IF(G$14&gt;0,G15/G$14*100,0)</f>
        <v>0</v>
      </c>
      <c r="I15" s="821">
        <f>-'4. E2 TURNOVER'!F11</f>
        <v>0</v>
      </c>
      <c r="J15" s="285">
        <f>-IF(I$14&gt;0,I15/I$14*100,0)</f>
        <v>0</v>
      </c>
      <c r="K15" s="821">
        <f>-'4. E2 TURNOVER'!G11</f>
        <v>0</v>
      </c>
      <c r="L15" s="285">
        <f>-IF(K$14&gt;0,K15/K$14*100,0)</f>
        <v>0</v>
      </c>
      <c r="M15" s="821">
        <f>-'4. E2 TURNOVER'!H11</f>
        <v>0</v>
      </c>
      <c r="N15" s="285">
        <f>-IF(M$14&gt;0,M15/M$14*100,0)</f>
        <v>0</v>
      </c>
      <c r="O15" s="164"/>
      <c r="P15" s="337"/>
      <c r="Q15" s="278"/>
      <c r="R15" s="278"/>
      <c r="S15" s="278"/>
      <c r="T15" s="278"/>
      <c r="U15" s="278"/>
      <c r="V15" s="278"/>
      <c r="W15" s="278"/>
      <c r="X15" s="278"/>
      <c r="Y15" s="278"/>
      <c r="Z15" s="278"/>
      <c r="AA15" s="278"/>
      <c r="AB15" s="278"/>
      <c r="AC15" s="278"/>
      <c r="AD15" s="314"/>
    </row>
    <row r="16" spans="1:30" s="53" customFormat="1" ht="15" customHeight="1" x14ac:dyDescent="0.2">
      <c r="B16" s="279" t="s">
        <v>7</v>
      </c>
      <c r="C16" s="280" t="s">
        <v>784</v>
      </c>
      <c r="D16" s="281" t="s">
        <v>28</v>
      </c>
      <c r="E16" s="1029"/>
      <c r="F16" s="622"/>
      <c r="G16" s="819">
        <v>0</v>
      </c>
      <c r="H16" s="285">
        <f>-IF(G$14&gt;0,G16/G$14*100,0)</f>
        <v>0</v>
      </c>
      <c r="I16" s="821">
        <f>-J16*I14/100</f>
        <v>0</v>
      </c>
      <c r="J16" s="286">
        <f>H16</f>
        <v>0</v>
      </c>
      <c r="K16" s="821">
        <f>-L16*K14/100</f>
        <v>0</v>
      </c>
      <c r="L16" s="286">
        <f>J16</f>
        <v>0</v>
      </c>
      <c r="M16" s="821">
        <f>-N16*M14/100</f>
        <v>0</v>
      </c>
      <c r="N16" s="286">
        <f>L16</f>
        <v>0</v>
      </c>
      <c r="O16" s="164"/>
      <c r="P16" s="1563"/>
      <c r="Q16" s="278"/>
      <c r="R16" s="278"/>
      <c r="S16" s="278"/>
      <c r="T16" s="278"/>
      <c r="U16" s="278"/>
      <c r="V16" s="278"/>
      <c r="W16" s="278"/>
      <c r="X16" s="278"/>
      <c r="Y16" s="278"/>
      <c r="Z16" s="278"/>
      <c r="AA16" s="278"/>
      <c r="AB16" s="278"/>
      <c r="AC16" s="278"/>
      <c r="AD16" s="314"/>
    </row>
    <row r="17" spans="1:30" s="53" customFormat="1" ht="15" customHeight="1" x14ac:dyDescent="0.2">
      <c r="A17"/>
      <c r="B17" s="279" t="s">
        <v>8</v>
      </c>
      <c r="C17" s="280" t="s">
        <v>785</v>
      </c>
      <c r="D17" s="281" t="s">
        <v>28</v>
      </c>
      <c r="E17" s="1029"/>
      <c r="F17" s="622"/>
      <c r="G17" s="821">
        <f>-'3. E1 OPERATING COSTS'!D44-'6. T3 BALANCE SHEET '!G92-'6. T3 BALANCE SHEET '!G91</f>
        <v>0</v>
      </c>
      <c r="H17" s="285">
        <f>-IF(G$14&gt;0,G17/G$14*100,0)</f>
        <v>0</v>
      </c>
      <c r="I17" s="821">
        <f>-'3. E1 OPERATING COSTS'!F44-('6. T3 BALANCE SHEET '!H92-'6. T3 BALANCE SHEET '!G92)-('6. T3 BALANCE SHEET '!H91-'6. T3 BALANCE SHEET '!G91)</f>
        <v>0</v>
      </c>
      <c r="J17" s="285">
        <f>-IF(I$14&gt;0,I17/I$14*100,0)</f>
        <v>0</v>
      </c>
      <c r="K17" s="821">
        <f>-'3. E1 OPERATING COSTS'!H44-('6. T3 BALANCE SHEET '!I92-'6. T3 BALANCE SHEET '!H92)-('6. T3 BALANCE SHEET '!I91-'6. T3 BALANCE SHEET '!H91)</f>
        <v>0</v>
      </c>
      <c r="L17" s="285">
        <f>-IF(K$14&gt;0,K17/K$14*100,0)</f>
        <v>0</v>
      </c>
      <c r="M17" s="821">
        <f>-'3. E1 OPERATING COSTS'!J44-('6. T3 BALANCE SHEET '!J92-'6. T3 BALANCE SHEET '!I92)-('6. T3 BALANCE SHEET '!J91-'6. T3 BALANCE SHEET '!I91)</f>
        <v>0</v>
      </c>
      <c r="N17" s="285">
        <f>-IF(M$14&gt;0,M17/M$14*100,0)</f>
        <v>0</v>
      </c>
      <c r="O17" s="164"/>
      <c r="P17" s="337"/>
      <c r="Q17"/>
      <c r="R17" s="278"/>
      <c r="S17" s="278"/>
      <c r="T17" s="278"/>
      <c r="U17" s="278"/>
      <c r="V17" s="278"/>
      <c r="W17" s="278"/>
      <c r="X17" s="278"/>
      <c r="Y17" s="278"/>
      <c r="Z17" s="278"/>
      <c r="AA17" s="278"/>
      <c r="AB17" s="278"/>
      <c r="AC17" s="278"/>
      <c r="AD17" s="314"/>
    </row>
    <row r="18" spans="1:30" s="53" customFormat="1" ht="15" customHeight="1" x14ac:dyDescent="0.2">
      <c r="B18" s="279" t="s">
        <v>9</v>
      </c>
      <c r="C18" s="287" t="s">
        <v>721</v>
      </c>
      <c r="D18" s="281" t="s">
        <v>28</v>
      </c>
      <c r="E18" s="1029"/>
      <c r="F18" s="622"/>
      <c r="G18" s="821">
        <f>-'3. E1 OPERATING COSTS'!D45</f>
        <v>0</v>
      </c>
      <c r="H18" s="285">
        <f>-IF(G$14&gt;0,G18/G$14*100,0)</f>
        <v>0</v>
      </c>
      <c r="I18" s="821">
        <f>-'3. E1 OPERATING COSTS'!F45</f>
        <v>0</v>
      </c>
      <c r="J18" s="285">
        <f>-IF(I$14&gt;0,I18/I$14*100,0)</f>
        <v>0</v>
      </c>
      <c r="K18" s="821">
        <f>-'3. E1 OPERATING COSTS'!H45</f>
        <v>0</v>
      </c>
      <c r="L18" s="285">
        <f>-IF(K$14&gt;0,K18/K$14*100,0)</f>
        <v>0</v>
      </c>
      <c r="M18" s="821">
        <f>-'3. E1 OPERATING COSTS'!J45</f>
        <v>0</v>
      </c>
      <c r="N18" s="285">
        <f>-IF(M$14&gt;0,M18/M$14*100,0)</f>
        <v>0</v>
      </c>
      <c r="O18" s="164"/>
      <c r="P18" s="337"/>
      <c r="Q18" s="278"/>
      <c r="R18" s="278"/>
      <c r="S18" s="278"/>
      <c r="T18" s="278"/>
      <c r="U18" s="278"/>
      <c r="V18" s="278"/>
      <c r="W18" s="278"/>
      <c r="X18" s="278"/>
      <c r="Y18" s="278"/>
      <c r="Z18" s="278"/>
      <c r="AA18" s="278"/>
      <c r="AB18" s="278"/>
      <c r="AC18" s="278"/>
      <c r="AD18" s="314"/>
    </row>
    <row r="19" spans="1:30" s="53" customFormat="1" ht="15" customHeight="1" x14ac:dyDescent="0.2">
      <c r="A19" s="2"/>
      <c r="B19" s="279" t="s">
        <v>10</v>
      </c>
      <c r="C19" s="287" t="s">
        <v>786</v>
      </c>
      <c r="D19" s="288" t="s">
        <v>149</v>
      </c>
      <c r="E19" s="1029"/>
      <c r="F19" s="622"/>
      <c r="G19" s="1816">
        <v>0</v>
      </c>
      <c r="H19" s="285">
        <f>IF(G$14&gt;0,G19/G$14*100,0)</f>
        <v>0</v>
      </c>
      <c r="I19" s="821">
        <f>'6. T3 BALANCE SHEET '!H39-'6. T3 BALANCE SHEET '!G39</f>
        <v>0</v>
      </c>
      <c r="J19" s="285">
        <f>IF(I$14&gt;0,I19/I$14*100,0)</f>
        <v>0</v>
      </c>
      <c r="K19" s="821">
        <f>'6. T3 BALANCE SHEET '!I39-'6. T3 BALANCE SHEET '!H39</f>
        <v>0</v>
      </c>
      <c r="L19" s="285">
        <f>IF(K$14&gt;0,K19/K$14*100,0)</f>
        <v>0</v>
      </c>
      <c r="M19" s="821">
        <f>'6. T3 BALANCE SHEET '!J39-'6. T3 BALANCE SHEET '!I39</f>
        <v>0</v>
      </c>
      <c r="N19" s="285">
        <f>IF(M$14&gt;0,M19/M$14*100,0)</f>
        <v>0</v>
      </c>
      <c r="O19" s="164"/>
      <c r="P19" s="337"/>
      <c r="Q19" s="278"/>
      <c r="R19" s="278"/>
      <c r="S19" s="278"/>
      <c r="T19" s="278"/>
      <c r="U19" s="278"/>
      <c r="V19" s="278"/>
      <c r="W19" s="278"/>
      <c r="X19" s="278"/>
      <c r="Y19" s="278"/>
      <c r="Z19" s="278"/>
      <c r="AA19" s="278"/>
      <c r="AB19" s="278"/>
      <c r="AC19" s="278"/>
      <c r="AD19" s="314"/>
    </row>
    <row r="20" spans="1:30" s="53" customFormat="1" ht="15" customHeight="1" x14ac:dyDescent="0.2">
      <c r="A20"/>
      <c r="B20" s="279" t="s">
        <v>11</v>
      </c>
      <c r="C20" s="289" t="s">
        <v>787</v>
      </c>
      <c r="D20" s="290"/>
      <c r="E20" s="623"/>
      <c r="F20" s="622"/>
      <c r="G20" s="820">
        <f>SUM(G14:G19)</f>
        <v>0</v>
      </c>
      <c r="H20" s="285">
        <f>IF(G$14&gt;0,G20/G$14*100,0)</f>
        <v>0</v>
      </c>
      <c r="I20" s="820">
        <f>SUM(I14:I19)</f>
        <v>0</v>
      </c>
      <c r="J20" s="285">
        <f>IF(I$14&gt;0,I20/I$14*100,0)</f>
        <v>0</v>
      </c>
      <c r="K20" s="820">
        <f>SUM(K14:K19)</f>
        <v>0</v>
      </c>
      <c r="L20" s="285">
        <f>IF(K$14&gt;0,K20/K$14*100,0)</f>
        <v>0</v>
      </c>
      <c r="M20" s="820">
        <f>SUM(M14:M19)</f>
        <v>0</v>
      </c>
      <c r="N20" s="285">
        <f>IF(M$14&gt;0,M20/M$14*100,0)</f>
        <v>0</v>
      </c>
      <c r="O20" s="164"/>
      <c r="P20" s="337"/>
      <c r="Q20" s="278"/>
      <c r="R20" s="278"/>
      <c r="S20" s="278"/>
      <c r="T20" s="278"/>
      <c r="U20" s="278"/>
      <c r="V20" s="278"/>
      <c r="W20" s="278"/>
      <c r="X20" s="278"/>
      <c r="Y20" s="278"/>
      <c r="Z20" s="278"/>
      <c r="AA20" s="278"/>
      <c r="AB20" s="278"/>
      <c r="AC20" s="278"/>
      <c r="AD20" s="314"/>
    </row>
    <row r="21" spans="1:30" s="53" customFormat="1" ht="15" customHeight="1" x14ac:dyDescent="0.2">
      <c r="A21"/>
      <c r="B21" s="279" t="s">
        <v>74</v>
      </c>
      <c r="C21" s="287" t="s">
        <v>788</v>
      </c>
      <c r="D21" s="281" t="s">
        <v>28</v>
      </c>
      <c r="E21" s="1029"/>
      <c r="F21" s="622"/>
      <c r="G21" s="821">
        <f>-('6. T3 BALANCE SHEET '!G17+'6. T3 BALANCE SHEET '!G25+'6. T3 BALANCE SHEET '!G29+'6. T3 BALANCE SHEET '!G33)</f>
        <v>0</v>
      </c>
      <c r="H21" s="285">
        <f>-IF(G$14&gt;0,G21/G$14*100,0)</f>
        <v>0</v>
      </c>
      <c r="I21" s="821">
        <f>-('6. T3 BALANCE SHEET '!H17+'6. T3 BALANCE SHEET '!H25+'6. T3 BALANCE SHEET '!H29+'6. T3 BALANCE SHEET '!H33)</f>
        <v>0</v>
      </c>
      <c r="J21" s="285">
        <f>-IF(I$14&gt;0,I21/I$14*100,0)</f>
        <v>0</v>
      </c>
      <c r="K21" s="821">
        <f>-('6. T3 BALANCE SHEET '!I17+'6. T3 BALANCE SHEET '!I25+'6. T3 BALANCE SHEET '!I29+'6. T3 BALANCE SHEET '!I33)</f>
        <v>0</v>
      </c>
      <c r="L21" s="285">
        <f>-IF(K$14&gt;0,K21/K$14*100,0)</f>
        <v>0</v>
      </c>
      <c r="M21" s="821">
        <f>-('6. T3 BALANCE SHEET '!J17+'6. T3 BALANCE SHEET '!J25+'6. T3 BALANCE SHEET '!J29+'6. T3 BALANCE SHEET '!J33)</f>
        <v>0</v>
      </c>
      <c r="N21" s="285">
        <f>-IF(M$14&gt;0,M21/M$14*100,0)</f>
        <v>0</v>
      </c>
      <c r="O21" s="164"/>
      <c r="P21" s="337"/>
      <c r="Q21" s="278"/>
      <c r="R21" s="278"/>
      <c r="S21" s="278"/>
      <c r="T21" s="278"/>
      <c r="U21" s="278"/>
      <c r="V21" s="278"/>
      <c r="W21" s="278"/>
      <c r="X21" s="278"/>
      <c r="Y21" s="278"/>
      <c r="Z21" s="278"/>
      <c r="AA21" s="278"/>
      <c r="AB21" s="278"/>
      <c r="AC21" s="278"/>
      <c r="AD21" s="314"/>
    </row>
    <row r="22" spans="1:30" s="53" customFormat="1" ht="15" customHeight="1" x14ac:dyDescent="0.2">
      <c r="A22"/>
      <c r="B22" s="279" t="s">
        <v>75</v>
      </c>
      <c r="C22" s="1838" t="s">
        <v>789</v>
      </c>
      <c r="D22" s="291"/>
      <c r="E22" s="623"/>
      <c r="F22" s="622"/>
      <c r="G22" s="820">
        <f>SUM(G20:G21)</f>
        <v>0</v>
      </c>
      <c r="H22" s="285">
        <f>IF(G$14&gt;0,G22/G$14*100,0)</f>
        <v>0</v>
      </c>
      <c r="I22" s="820">
        <f>SUM(I20:I21)</f>
        <v>0</v>
      </c>
      <c r="J22" s="285">
        <f>IF(I$14&gt;0,I22/I$14*100,0)</f>
        <v>0</v>
      </c>
      <c r="K22" s="820">
        <f>SUM(K20:K21)</f>
        <v>0</v>
      </c>
      <c r="L22" s="285">
        <f>IF(K$14&gt;0,K22/K$14*100,0)</f>
        <v>0</v>
      </c>
      <c r="M22" s="820">
        <f>SUM(M20:M21)</f>
        <v>0</v>
      </c>
      <c r="N22" s="285">
        <f>IF(M$14&gt;0,M22/M$14*100,0)</f>
        <v>0</v>
      </c>
      <c r="O22" s="164"/>
      <c r="P22" s="337"/>
      <c r="Q22" s="278"/>
      <c r="R22" s="278"/>
      <c r="S22" s="278"/>
      <c r="T22" s="278"/>
      <c r="U22" s="278"/>
      <c r="V22" s="278"/>
      <c r="W22" s="278"/>
      <c r="X22" s="278"/>
      <c r="Y22" s="278"/>
      <c r="Z22" s="278"/>
      <c r="AA22" s="278"/>
      <c r="AB22" s="278"/>
      <c r="AC22" s="278"/>
      <c r="AD22" s="314"/>
    </row>
    <row r="23" spans="1:30" s="53" customFormat="1" ht="15" customHeight="1" x14ac:dyDescent="0.2">
      <c r="A23"/>
      <c r="B23" s="279" t="s">
        <v>236</v>
      </c>
      <c r="C23" s="287" t="s">
        <v>722</v>
      </c>
      <c r="D23" s="281" t="s">
        <v>27</v>
      </c>
      <c r="E23" s="1029"/>
      <c r="F23" s="1030"/>
      <c r="G23" s="819">
        <v>0</v>
      </c>
      <c r="H23" s="340">
        <f>IF(G$14&gt;0,G23/G$14*100,0)</f>
        <v>0</v>
      </c>
      <c r="I23" s="819">
        <v>0</v>
      </c>
      <c r="J23" s="340">
        <f>IF(I$14&gt;0,I23/I$14*100,0)</f>
        <v>0</v>
      </c>
      <c r="K23" s="819"/>
      <c r="L23" s="340">
        <f>IF(K$14&gt;0,K23/K$14*100,0)</f>
        <v>0</v>
      </c>
      <c r="M23" s="819"/>
      <c r="N23" s="340">
        <f>IF(M$14&gt;0,M23/M$14*100,0)</f>
        <v>0</v>
      </c>
      <c r="O23" s="164"/>
      <c r="P23" s="337"/>
      <c r="Q23" s="278"/>
      <c r="R23" s="278"/>
      <c r="S23" s="278"/>
      <c r="T23" s="278"/>
      <c r="U23" s="278"/>
      <c r="V23" s="278"/>
      <c r="W23" s="278"/>
      <c r="X23" s="278"/>
      <c r="Y23" s="278"/>
      <c r="Z23" s="278"/>
      <c r="AA23" s="278"/>
      <c r="AB23" s="278"/>
      <c r="AC23" s="278"/>
      <c r="AD23" s="314"/>
    </row>
    <row r="24" spans="1:30" s="53" customFormat="1" ht="15" customHeight="1" x14ac:dyDescent="0.2">
      <c r="A24"/>
      <c r="B24" s="292" t="s">
        <v>76</v>
      </c>
      <c r="C24" s="293" t="s">
        <v>790</v>
      </c>
      <c r="D24" s="294" t="s">
        <v>27</v>
      </c>
      <c r="E24" s="1029"/>
      <c r="F24" s="1030"/>
      <c r="G24" s="819">
        <v>0</v>
      </c>
      <c r="H24" s="340">
        <f>IF(G$14&gt;0,G24/G$14*100,0)</f>
        <v>0</v>
      </c>
      <c r="I24" s="819">
        <v>0</v>
      </c>
      <c r="J24" s="340">
        <f>IF(I$14&gt;0,I24/I$14*100,0)</f>
        <v>0</v>
      </c>
      <c r="K24" s="819">
        <v>0</v>
      </c>
      <c r="L24" s="340">
        <f>IF(K$14&gt;0,K24/K$14*100,0)</f>
        <v>0</v>
      </c>
      <c r="M24" s="819">
        <v>0</v>
      </c>
      <c r="N24" s="340">
        <f>IF(M$14&gt;0,M24/M$14*100,0)</f>
        <v>0</v>
      </c>
      <c r="O24" s="164"/>
      <c r="P24" s="337"/>
      <c r="Q24" s="278"/>
      <c r="R24" s="278"/>
      <c r="S24" s="278"/>
      <c r="T24" s="278"/>
      <c r="U24" s="278"/>
      <c r="V24" s="278"/>
      <c r="W24" s="278"/>
      <c r="X24" s="278"/>
      <c r="Y24" s="278"/>
      <c r="Z24" s="278"/>
      <c r="AA24" s="278"/>
      <c r="AB24" s="278"/>
      <c r="AC24" s="278"/>
      <c r="AD24" s="314"/>
    </row>
    <row r="25" spans="1:30" s="53" customFormat="1" ht="15" customHeight="1" x14ac:dyDescent="0.2">
      <c r="A25"/>
      <c r="B25" s="279" t="s">
        <v>77</v>
      </c>
      <c r="C25" s="280" t="s">
        <v>374</v>
      </c>
      <c r="D25" s="281" t="s">
        <v>28</v>
      </c>
      <c r="E25" s="1029"/>
      <c r="F25" s="622"/>
      <c r="G25" s="821">
        <f>-'2. T7 LOANS'!H48</f>
        <v>0</v>
      </c>
      <c r="H25" s="285">
        <f>-IF(G$14&gt;0,G25/G$14*100,0)</f>
        <v>0</v>
      </c>
      <c r="I25" s="821">
        <f>-'2. T7 LOANS'!K48</f>
        <v>0</v>
      </c>
      <c r="J25" s="285">
        <f>-IF(I$14&gt;0,I25/I$14*100,0)</f>
        <v>0</v>
      </c>
      <c r="K25" s="821">
        <f>-'2. T7 LOANS'!N48</f>
        <v>0</v>
      </c>
      <c r="L25" s="285">
        <f>-IF(K$14&gt;0,K25/K$14*100,0)</f>
        <v>0</v>
      </c>
      <c r="M25" s="821">
        <f>-'2. T7 LOANS'!Q48</f>
        <v>0</v>
      </c>
      <c r="N25" s="285">
        <f>-IF(M$14&gt;0,M25/M$14*100,0)</f>
        <v>0</v>
      </c>
      <c r="O25" s="164"/>
      <c r="P25" s="337"/>
      <c r="Q25" s="278"/>
      <c r="R25" s="278"/>
      <c r="S25" s="278"/>
      <c r="T25" s="278"/>
      <c r="U25" s="278"/>
      <c r="V25" s="278"/>
      <c r="W25" s="278"/>
      <c r="X25" s="278"/>
      <c r="Y25" s="278"/>
      <c r="Z25" s="278"/>
      <c r="AA25" s="278"/>
      <c r="AB25" s="278"/>
      <c r="AC25" s="278"/>
      <c r="AD25" s="314"/>
    </row>
    <row r="26" spans="1:30" s="53" customFormat="1" ht="30" customHeight="1" x14ac:dyDescent="0.2">
      <c r="A26"/>
      <c r="B26" s="279" t="s">
        <v>78</v>
      </c>
      <c r="C26" s="2387" t="s">
        <v>887</v>
      </c>
      <c r="D26" s="2388"/>
      <c r="E26" s="625"/>
      <c r="F26" s="622"/>
      <c r="G26" s="823">
        <f>SUM(G22:G25)</f>
        <v>0</v>
      </c>
      <c r="H26" s="444">
        <f>IF(G$14&gt;0,G26/G$14*100,0)</f>
        <v>0</v>
      </c>
      <c r="I26" s="823">
        <f>SUM(I22:I25)</f>
        <v>0</v>
      </c>
      <c r="J26" s="444">
        <f>IF(I$14&gt;0,I26/I$14*100,0)</f>
        <v>0</v>
      </c>
      <c r="K26" s="823">
        <f>SUM(K22:K25)</f>
        <v>0</v>
      </c>
      <c r="L26" s="444">
        <f>IF(K$14&gt;0,K26/K$14*100,0)</f>
        <v>0</v>
      </c>
      <c r="M26" s="823">
        <f>SUM(M22:M25)</f>
        <v>0</v>
      </c>
      <c r="N26" s="285">
        <f>IF(M$14&gt;0,M26/M$14*100,0)</f>
        <v>0</v>
      </c>
      <c r="O26" s="164"/>
      <c r="P26" s="337"/>
      <c r="Q26" s="278"/>
      <c r="R26" s="278"/>
      <c r="S26" s="278"/>
      <c r="T26" s="278"/>
      <c r="U26" s="278"/>
      <c r="V26" s="278"/>
      <c r="W26" s="278"/>
      <c r="X26" s="278"/>
      <c r="Y26" s="278"/>
      <c r="Z26" s="278"/>
      <c r="AA26" s="278"/>
      <c r="AB26" s="278"/>
      <c r="AC26" s="278"/>
      <c r="AD26" s="314"/>
    </row>
    <row r="27" spans="1:30" s="53" customFormat="1" ht="15" customHeight="1" x14ac:dyDescent="0.2">
      <c r="A27"/>
      <c r="B27" s="279" t="s">
        <v>79</v>
      </c>
      <c r="C27" s="280" t="s">
        <v>820</v>
      </c>
      <c r="D27" s="281" t="s">
        <v>28</v>
      </c>
      <c r="E27" s="1031"/>
      <c r="F27" s="1030"/>
      <c r="G27" s="824">
        <f>-IF(G28*(G26+G29+G30+0.5*'3. E1 OPERATING COSTS'!D93)&lt;0,0,G28*(G26+G29+G30+0.5*'3. E1 OPERATING COSTS'!D93))</f>
        <v>0</v>
      </c>
      <c r="H27" s="285">
        <f>-IF(G$14&gt;0,G27/G$14*100,0)</f>
        <v>0</v>
      </c>
      <c r="I27" s="824">
        <f>-IF(I28*(I26+I29+I30+0.5*'3. E1 OPERATING COSTS'!F93)&lt;0,0,I28*(I26+I29+I30+0.5*'3. E1 OPERATING COSTS'!F93))</f>
        <v>0</v>
      </c>
      <c r="J27" s="285">
        <f>-IF(I$14&gt;0,I27/I$14*100,0)</f>
        <v>0</v>
      </c>
      <c r="K27" s="824">
        <f>-IF(K28*(K26+K29+K30+0.5*'3. E1 OPERATING COSTS'!H93)&lt;0,0,K28*(K26+K29+K30+0.5*'3. E1 OPERATING COSTS'!H93))</f>
        <v>0</v>
      </c>
      <c r="L27" s="285">
        <f>-IF(K$14&gt;0,K27/K$14*100,0)</f>
        <v>0</v>
      </c>
      <c r="M27" s="824">
        <f>-IF(M28*(M26+M29+M30+0.5*'3. E1 OPERATING COSTS'!J93)&lt;0,0,M28*(M26+M29+M30+0.5*'3. E1 OPERATING COSTS'!J93))</f>
        <v>0</v>
      </c>
      <c r="N27" s="285">
        <f>-IF(M$14&gt;0,M27/M$14*100,0)</f>
        <v>0</v>
      </c>
      <c r="O27" s="164"/>
      <c r="P27" s="337"/>
      <c r="Q27" s="278"/>
      <c r="R27" s="278"/>
      <c r="S27" s="278"/>
      <c r="T27" s="278"/>
      <c r="U27" s="278" t="s">
        <v>0</v>
      </c>
      <c r="V27" s="278"/>
      <c r="W27" s="278"/>
      <c r="X27" s="278"/>
      <c r="Y27" s="278"/>
      <c r="Z27" s="278"/>
      <c r="AA27" s="278"/>
      <c r="AB27" s="278"/>
      <c r="AC27" s="278"/>
      <c r="AD27" s="314"/>
    </row>
    <row r="28" spans="1:30" s="53" customFormat="1" ht="15" customHeight="1" x14ac:dyDescent="0.2">
      <c r="A28"/>
      <c r="B28" s="279"/>
      <c r="C28" s="1545" t="s">
        <v>723</v>
      </c>
      <c r="D28" s="632"/>
      <c r="E28" s="1032"/>
      <c r="F28" s="1033"/>
      <c r="G28" s="825">
        <v>0.2</v>
      </c>
      <c r="H28" s="826"/>
      <c r="I28" s="825">
        <f>G28</f>
        <v>0.2</v>
      </c>
      <c r="J28" s="826"/>
      <c r="K28" s="825">
        <f>I28</f>
        <v>0.2</v>
      </c>
      <c r="L28" s="826"/>
      <c r="M28" s="825">
        <f>K28</f>
        <v>0.2</v>
      </c>
      <c r="N28" s="285"/>
      <c r="O28" s="164"/>
      <c r="P28" s="337"/>
      <c r="Q28" s="278" t="s">
        <v>0</v>
      </c>
      <c r="R28" s="278"/>
      <c r="S28" s="278"/>
      <c r="T28" s="278"/>
      <c r="U28" s="278"/>
      <c r="V28" s="278"/>
      <c r="W28" s="278"/>
      <c r="X28" s="278"/>
      <c r="Y28" s="278"/>
      <c r="Z28" s="278"/>
      <c r="AA28" s="278"/>
      <c r="AB28" s="278"/>
      <c r="AC28" s="278"/>
      <c r="AD28" s="314"/>
    </row>
    <row r="29" spans="1:30" s="53" customFormat="1" ht="15" customHeight="1" x14ac:dyDescent="0.2">
      <c r="B29" s="279" t="s">
        <v>80</v>
      </c>
      <c r="C29" s="280" t="s">
        <v>724</v>
      </c>
      <c r="D29" s="288" t="s">
        <v>153</v>
      </c>
      <c r="E29" s="1031"/>
      <c r="F29" s="1030"/>
      <c r="G29" s="827"/>
      <c r="H29" s="285"/>
      <c r="I29" s="827"/>
      <c r="J29" s="285"/>
      <c r="K29" s="827"/>
      <c r="L29" s="285"/>
      <c r="M29" s="827"/>
      <c r="N29" s="285"/>
      <c r="O29" s="164"/>
      <c r="P29" s="337"/>
      <c r="Q29" s="278"/>
      <c r="R29" s="278"/>
      <c r="S29" s="278"/>
      <c r="T29" s="278"/>
      <c r="U29" s="278"/>
      <c r="V29" s="278"/>
      <c r="W29" s="278"/>
      <c r="X29" s="278"/>
      <c r="Y29" s="278"/>
      <c r="Z29" s="278"/>
      <c r="AA29" s="278"/>
      <c r="AB29" s="278"/>
      <c r="AC29" s="278"/>
      <c r="AD29" s="314"/>
    </row>
    <row r="30" spans="1:30" s="53" customFormat="1" ht="15" customHeight="1" x14ac:dyDescent="0.2">
      <c r="A30"/>
      <c r="B30" s="279" t="s">
        <v>81</v>
      </c>
      <c r="C30" s="280" t="s">
        <v>725</v>
      </c>
      <c r="D30" s="288" t="s">
        <v>153</v>
      </c>
      <c r="E30" s="1031"/>
      <c r="F30" s="622"/>
      <c r="G30" s="827">
        <f>-('6. T3 BALANCE SHEET '!G64-'6. T3 BALANCE SHEET '!F64)</f>
        <v>0</v>
      </c>
      <c r="H30" s="285">
        <f>-IF(G$14&gt;0,G30/G$14*100,0)</f>
        <v>0</v>
      </c>
      <c r="I30" s="827">
        <f>-('6. T3 BALANCE SHEET '!H64-'6. T3 BALANCE SHEET '!G64)</f>
        <v>0</v>
      </c>
      <c r="J30" s="285">
        <f>-IF(I$14&gt;0,I30/I$14*100,0)</f>
        <v>0</v>
      </c>
      <c r="K30" s="827">
        <f>-('6. T3 BALANCE SHEET '!I64-'6. T3 BALANCE SHEET '!H64)</f>
        <v>0</v>
      </c>
      <c r="L30" s="285">
        <f>-IF(K$14&gt;0,K30/K$14*100,0)</f>
        <v>0</v>
      </c>
      <c r="M30" s="827">
        <f>-('6. T3 BALANCE SHEET '!J64-'6. T3 BALANCE SHEET '!I64)</f>
        <v>0</v>
      </c>
      <c r="N30" s="285">
        <f>-IF(M$14&gt;0,M30/M$14*100,0)</f>
        <v>0</v>
      </c>
      <c r="O30" s="164"/>
      <c r="P30" s="337"/>
      <c r="Q30" s="278"/>
      <c r="R30" s="278"/>
      <c r="S30" s="278"/>
      <c r="T30" s="278"/>
      <c r="U30" s="278"/>
      <c r="V30" s="278"/>
      <c r="W30" s="278"/>
      <c r="X30" s="278"/>
      <c r="Y30" s="278"/>
      <c r="Z30" s="278"/>
      <c r="AA30" s="278"/>
      <c r="AB30" s="278"/>
      <c r="AC30" s="278"/>
      <c r="AD30" s="314"/>
    </row>
    <row r="31" spans="1:30" s="53" customFormat="1" ht="18" customHeight="1" thickBot="1" x14ac:dyDescent="0.25">
      <c r="A31"/>
      <c r="B31" s="295" t="s">
        <v>30</v>
      </c>
      <c r="C31" s="296" t="s">
        <v>726</v>
      </c>
      <c r="D31" s="297"/>
      <c r="E31" s="626"/>
      <c r="F31" s="627"/>
      <c r="G31" s="828">
        <f>G26+G27+G29+G30</f>
        <v>0</v>
      </c>
      <c r="H31" s="298">
        <f>IF(G$14&gt;0,G31/G$14*100,0)</f>
        <v>0</v>
      </c>
      <c r="I31" s="828">
        <f>I26+I27+I29+I30</f>
        <v>0</v>
      </c>
      <c r="J31" s="298">
        <f>IF(I$14&gt;0,I31/I$14*100,0)</f>
        <v>0</v>
      </c>
      <c r="K31" s="828">
        <f>K26+K27+K29+K30</f>
        <v>0</v>
      </c>
      <c r="L31" s="298">
        <f>IF(K$14&gt;0,K31/K$14*100,0)</f>
        <v>0</v>
      </c>
      <c r="M31" s="828">
        <f>M26+M27+M29+M30</f>
        <v>0</v>
      </c>
      <c r="N31" s="298">
        <f>IF(M$14&gt;0,M31/M$14*100,0)</f>
        <v>0</v>
      </c>
      <c r="O31" s="164"/>
      <c r="P31" s="352"/>
      <c r="Q31" s="315"/>
      <c r="R31" s="315"/>
      <c r="S31" s="315"/>
      <c r="T31" s="315"/>
      <c r="U31" s="315"/>
      <c r="V31" s="315"/>
      <c r="W31" s="315"/>
      <c r="X31" s="315"/>
      <c r="Y31" s="315"/>
      <c r="Z31" s="315"/>
      <c r="AA31" s="315"/>
      <c r="AB31" s="315"/>
      <c r="AC31" s="315"/>
      <c r="AD31" s="316"/>
    </row>
    <row r="32" spans="1:30" ht="9" customHeight="1" thickBot="1" x14ac:dyDescent="0.25">
      <c r="B32" s="60"/>
      <c r="C32" s="164"/>
      <c r="D32" s="164"/>
      <c r="E32" s="164"/>
      <c r="F32" s="165"/>
      <c r="G32" s="165"/>
      <c r="H32" s="165"/>
      <c r="I32" s="165"/>
      <c r="J32" s="165"/>
      <c r="K32" s="165"/>
      <c r="L32" s="165"/>
      <c r="M32" s="165"/>
      <c r="N32" s="165"/>
      <c r="P32" s="79"/>
      <c r="Q32" s="79"/>
      <c r="R32" s="79"/>
      <c r="S32" s="79"/>
      <c r="T32" s="79"/>
      <c r="U32" s="79"/>
      <c r="V32" s="79"/>
      <c r="W32" s="79"/>
      <c r="X32" s="79"/>
      <c r="Y32" s="79"/>
      <c r="Z32" s="79"/>
      <c r="AA32" s="79"/>
      <c r="AB32" s="79"/>
      <c r="AC32" s="79"/>
      <c r="AD32" s="79"/>
    </row>
    <row r="33" spans="1:15" ht="15.75" customHeight="1" thickBot="1" x14ac:dyDescent="0.25">
      <c r="A33" s="53"/>
      <c r="B33" s="80"/>
      <c r="C33" s="198" t="s">
        <v>727</v>
      </c>
      <c r="D33" s="166"/>
      <c r="E33" s="2381">
        <v>0</v>
      </c>
      <c r="F33" s="2381"/>
      <c r="G33" s="2376">
        <v>1</v>
      </c>
      <c r="H33" s="2377"/>
      <c r="I33" s="2376">
        <f>G33</f>
        <v>1</v>
      </c>
      <c r="J33" s="2377"/>
      <c r="K33" s="2376">
        <f>I33</f>
        <v>1</v>
      </c>
      <c r="L33" s="2377"/>
      <c r="M33" s="2376">
        <f>K33</f>
        <v>1</v>
      </c>
      <c r="N33" s="2377"/>
    </row>
    <row r="34" spans="1:15" ht="12.75" customHeight="1" x14ac:dyDescent="0.2">
      <c r="B34" s="60"/>
      <c r="C34" s="1"/>
      <c r="D34" s="4"/>
      <c r="E34" s="81"/>
      <c r="F34" s="81"/>
      <c r="G34" s="299"/>
      <c r="H34" s="81"/>
      <c r="I34" s="81"/>
      <c r="J34" s="81"/>
      <c r="K34" s="81"/>
      <c r="L34" s="81"/>
      <c r="M34" s="81"/>
      <c r="N34" s="81"/>
    </row>
    <row r="35" spans="1:15" ht="12.75" customHeight="1" x14ac:dyDescent="0.25">
      <c r="B35" s="74"/>
      <c r="C35" s="1"/>
      <c r="D35" s="4"/>
      <c r="E35" s="81"/>
      <c r="F35" s="81"/>
      <c r="G35" s="1561" t="str">
        <f>IF(G18&gt;0,"MUUTA E1 KUSTANNUKSET -TAULUKON LUVUT +MERKKISIKSI!","")</f>
        <v/>
      </c>
      <c r="H35" s="81"/>
      <c r="I35" s="81"/>
      <c r="J35" s="81"/>
      <c r="N35" s="153">
        <f>'Front Page'!F6</f>
        <v>0</v>
      </c>
    </row>
    <row r="36" spans="1:15" ht="14.25" customHeight="1" x14ac:dyDescent="0.2">
      <c r="B36" s="2408" t="str">
        <f>'1. T1 INVESTMENT PLAN'!B67</f>
        <v>BP6 Financial Projection</v>
      </c>
      <c r="C36" s="2408"/>
      <c r="D36" s="2408"/>
      <c r="E36" s="4"/>
      <c r="F36" s="60"/>
      <c r="G36" s="2382" t="str">
        <f>'1. T1 INVESTMENT PLAN'!I67</f>
        <v>Enontekiö, Kittilä, Kolari, Muonio, Pello</v>
      </c>
      <c r="H36" s="2382"/>
      <c r="I36" s="2382"/>
      <c r="J36" s="2382"/>
      <c r="K36" s="2382"/>
      <c r="L36" s="2382"/>
      <c r="M36" s="2382"/>
      <c r="N36" s="2382"/>
    </row>
    <row r="37" spans="1:15" ht="12.75" customHeight="1" x14ac:dyDescent="0.2">
      <c r="B37" s="2149"/>
      <c r="C37" s="2149"/>
      <c r="D37" s="496"/>
      <c r="E37" s="2378"/>
      <c r="F37" s="2378"/>
      <c r="G37" s="2378"/>
      <c r="H37" s="2378"/>
      <c r="I37" s="2378"/>
      <c r="J37" s="2378"/>
      <c r="K37" s="2378"/>
      <c r="L37" s="2378"/>
      <c r="M37" s="2378"/>
      <c r="N37" s="2378"/>
      <c r="O37" s="129"/>
    </row>
    <row r="38" spans="1:15" x14ac:dyDescent="0.2">
      <c r="B38" s="130"/>
      <c r="C38" s="131"/>
      <c r="D38" s="131"/>
      <c r="E38" s="2370"/>
      <c r="F38" s="2370"/>
      <c r="G38" s="2370"/>
      <c r="H38" s="2370"/>
      <c r="I38" s="2370"/>
      <c r="J38" s="2370"/>
      <c r="K38" s="2370"/>
      <c r="L38" s="2370"/>
      <c r="M38" s="2370"/>
      <c r="N38" s="2370"/>
      <c r="O38" s="129"/>
    </row>
    <row r="39" spans="1:15" x14ac:dyDescent="0.2">
      <c r="B39" s="130"/>
      <c r="C39" s="348"/>
      <c r="D39" s="131"/>
      <c r="E39" s="355"/>
      <c r="F39" s="355"/>
      <c r="G39" s="355"/>
      <c r="H39" s="355"/>
      <c r="I39" s="2370"/>
      <c r="J39" s="2370"/>
      <c r="K39" s="2370"/>
      <c r="L39" s="2370"/>
      <c r="M39" s="2370"/>
      <c r="N39" s="2370"/>
      <c r="O39" s="129"/>
    </row>
    <row r="40" spans="1:15" ht="14.25" customHeight="1" x14ac:dyDescent="0.2">
      <c r="B40" s="130"/>
      <c r="C40" s="52" t="str">
        <f>'1. T1 INVESTMENT PLAN'!B70</f>
        <v>The user acknowledges that the program may contain errors and the results provided by the program are referential and directional.</v>
      </c>
      <c r="D40" s="131"/>
      <c r="E40" s="129"/>
      <c r="F40" s="129"/>
      <c r="G40" s="355"/>
      <c r="H40" s="355"/>
      <c r="I40" s="2370"/>
      <c r="J40" s="2370"/>
      <c r="K40" s="2370"/>
      <c r="L40" s="2370"/>
      <c r="M40" s="2370"/>
      <c r="N40" s="2370"/>
      <c r="O40" s="129"/>
    </row>
    <row r="41" spans="1:15" x14ac:dyDescent="0.2">
      <c r="B41" s="130"/>
      <c r="C41" s="52" t="str">
        <f>'1. T1 INVESTMENT PLAN'!B71</f>
        <v>The user uses the program and interprets results at his own risk.</v>
      </c>
      <c r="D41" s="131"/>
      <c r="E41" s="355"/>
      <c r="F41" s="355"/>
      <c r="G41" s="355"/>
      <c r="H41" s="355"/>
      <c r="I41" s="2370"/>
      <c r="J41" s="2370"/>
      <c r="K41" s="2370"/>
      <c r="L41" s="2370"/>
      <c r="M41" s="2370"/>
      <c r="N41" s="2370"/>
      <c r="O41" s="129"/>
    </row>
    <row r="42" spans="1:15" x14ac:dyDescent="0.2">
      <c r="B42" s="130"/>
      <c r="C42" s="131"/>
      <c r="D42" s="131"/>
      <c r="E42" s="2370"/>
      <c r="F42" s="2370"/>
      <c r="G42" s="2370"/>
      <c r="H42" s="2370"/>
      <c r="I42" s="2370"/>
      <c r="J42" s="2370"/>
      <c r="K42" s="2370"/>
      <c r="L42" s="2370"/>
      <c r="M42" s="2370"/>
      <c r="N42" s="2370"/>
      <c r="O42" s="129"/>
    </row>
    <row r="43" spans="1:15" x14ac:dyDescent="0.2">
      <c r="B43" s="130"/>
      <c r="C43" s="131"/>
      <c r="D43" s="131"/>
      <c r="E43" s="2370"/>
      <c r="F43" s="2370"/>
      <c r="G43" s="2370"/>
      <c r="H43" s="2370"/>
      <c r="I43" s="2370"/>
      <c r="J43" s="2370"/>
      <c r="K43" s="2370"/>
      <c r="L43" s="2370"/>
      <c r="M43" s="2370"/>
      <c r="N43" s="2370"/>
      <c r="O43" s="129"/>
    </row>
    <row r="44" spans="1:15" x14ac:dyDescent="0.2">
      <c r="B44" s="130"/>
      <c r="C44" s="131"/>
      <c r="D44" s="131"/>
      <c r="E44" s="2370"/>
      <c r="F44" s="2370"/>
      <c r="G44" s="2370"/>
      <c r="H44" s="2370"/>
      <c r="I44" s="2370"/>
      <c r="J44" s="2370"/>
      <c r="K44" s="2370"/>
      <c r="L44" s="2370"/>
      <c r="M44" s="2370"/>
      <c r="N44" s="2370"/>
      <c r="O44" s="129"/>
    </row>
    <row r="45" spans="1:15" x14ac:dyDescent="0.2">
      <c r="B45" s="130"/>
      <c r="C45" s="131"/>
      <c r="D45" s="131"/>
      <c r="E45" s="2370"/>
      <c r="F45" s="2370"/>
      <c r="G45" s="2370"/>
      <c r="H45" s="2370"/>
      <c r="I45" s="2370"/>
      <c r="J45" s="2370"/>
      <c r="K45" s="2370"/>
      <c r="L45" s="2370"/>
      <c r="M45" s="2370"/>
      <c r="N45" s="2370"/>
      <c r="O45" s="129"/>
    </row>
    <row r="46" spans="1:15" x14ac:dyDescent="0.2">
      <c r="B46" s="130"/>
      <c r="C46" s="131"/>
      <c r="D46" s="131"/>
      <c r="E46" s="2407"/>
      <c r="F46" s="2407"/>
      <c r="G46" s="2407"/>
      <c r="H46" s="2407"/>
      <c r="I46" s="2407"/>
      <c r="J46" s="2407"/>
      <c r="K46" s="2407"/>
      <c r="L46" s="2407"/>
      <c r="M46" s="2407"/>
      <c r="N46" s="2407"/>
      <c r="O46" s="129"/>
    </row>
    <row r="47" spans="1:15" x14ac:dyDescent="0.2">
      <c r="B47" s="2386"/>
      <c r="C47" s="2386"/>
      <c r="D47" s="2386"/>
      <c r="E47" s="2370"/>
      <c r="F47" s="2370"/>
      <c r="G47" s="2370"/>
      <c r="H47" s="2370"/>
      <c r="I47" s="2370"/>
      <c r="J47" s="2370"/>
      <c r="K47" s="2370"/>
      <c r="L47" s="2370"/>
      <c r="M47" s="2370"/>
      <c r="N47" s="2370"/>
      <c r="O47" s="129"/>
    </row>
    <row r="48" spans="1:15" x14ac:dyDescent="0.2">
      <c r="B48" s="130"/>
      <c r="C48" s="131"/>
      <c r="D48" s="131"/>
      <c r="E48" s="2370"/>
      <c r="F48" s="2370"/>
      <c r="G48" s="2370"/>
      <c r="H48" s="2370"/>
      <c r="I48" s="2370"/>
      <c r="J48" s="2370"/>
      <c r="K48" s="2370"/>
      <c r="L48" s="2370"/>
      <c r="M48" s="2370"/>
      <c r="N48" s="2370"/>
      <c r="O48" s="129"/>
    </row>
    <row r="49" spans="2:19" x14ac:dyDescent="0.2">
      <c r="B49" s="130"/>
      <c r="C49" s="131"/>
      <c r="D49" s="131"/>
      <c r="E49" s="2370"/>
      <c r="F49" s="2370"/>
      <c r="G49" s="2370"/>
      <c r="H49" s="2370"/>
      <c r="I49" s="2370"/>
      <c r="J49" s="2370"/>
      <c r="K49" s="2370"/>
      <c r="L49" s="2370"/>
      <c r="M49" s="2370"/>
      <c r="N49" s="2370"/>
      <c r="O49" s="129"/>
    </row>
    <row r="50" spans="2:19" x14ac:dyDescent="0.2">
      <c r="B50" s="130"/>
      <c r="C50" s="2396"/>
      <c r="D50" s="2396"/>
      <c r="E50" s="2370"/>
      <c r="F50" s="2370"/>
      <c r="G50" s="2370"/>
      <c r="H50" s="2370"/>
      <c r="I50" s="2370"/>
      <c r="J50" s="2370"/>
      <c r="K50" s="2370"/>
      <c r="L50" s="2370"/>
      <c r="M50" s="2370"/>
      <c r="N50" s="2370"/>
      <c r="O50" s="129"/>
      <c r="P50" s="1" t="s">
        <v>0</v>
      </c>
    </row>
    <row r="51" spans="2:19" x14ac:dyDescent="0.2">
      <c r="B51" s="130"/>
      <c r="C51" s="131"/>
      <c r="D51" s="131"/>
      <c r="E51" s="2370"/>
      <c r="F51" s="2370"/>
      <c r="G51" s="2370"/>
      <c r="H51" s="2370"/>
      <c r="I51" s="2370"/>
      <c r="J51" s="2370"/>
      <c r="K51" s="2370"/>
      <c r="L51" s="2370"/>
      <c r="M51" s="2370"/>
      <c r="N51" s="2370"/>
      <c r="O51" s="129"/>
      <c r="P51" s="1" t="s">
        <v>0</v>
      </c>
    </row>
    <row r="52" spans="2:19" x14ac:dyDescent="0.2">
      <c r="B52" s="130"/>
      <c r="C52" s="131"/>
      <c r="D52" s="131"/>
      <c r="E52" s="2370"/>
      <c r="F52" s="2370"/>
      <c r="G52" s="2370"/>
      <c r="H52" s="2370"/>
      <c r="I52" s="2370"/>
      <c r="J52" s="2370"/>
      <c r="K52" s="2370"/>
      <c r="L52" s="2370"/>
      <c r="M52" s="2370"/>
      <c r="N52" s="2370"/>
      <c r="O52" s="129"/>
    </row>
    <row r="53" spans="2:19" x14ac:dyDescent="0.2">
      <c r="B53" s="2393"/>
      <c r="C53" s="2393"/>
      <c r="D53" s="2393"/>
      <c r="E53" s="2370"/>
      <c r="F53" s="2370"/>
      <c r="G53" s="2370"/>
      <c r="H53" s="2370"/>
      <c r="I53" s="2370"/>
      <c r="J53" s="2370"/>
      <c r="K53" s="2370"/>
      <c r="L53" s="2370"/>
      <c r="M53" s="2370"/>
      <c r="N53" s="2370"/>
      <c r="O53" s="129"/>
    </row>
    <row r="54" spans="2:19" x14ac:dyDescent="0.2">
      <c r="B54" s="135"/>
      <c r="C54" s="129"/>
      <c r="D54" s="129"/>
      <c r="E54" s="129"/>
      <c r="F54" s="135"/>
      <c r="G54" s="131"/>
      <c r="H54" s="135"/>
      <c r="I54" s="129"/>
      <c r="J54" s="135"/>
      <c r="K54" s="129"/>
      <c r="L54" s="135"/>
      <c r="M54" s="129"/>
      <c r="N54" s="135"/>
      <c r="O54" s="129"/>
    </row>
    <row r="55" spans="2:19" x14ac:dyDescent="0.2">
      <c r="B55" s="2394"/>
      <c r="C55" s="2394"/>
      <c r="D55" s="2394"/>
      <c r="E55" s="2395"/>
      <c r="F55" s="2392"/>
      <c r="G55" s="2395"/>
      <c r="H55" s="2392"/>
      <c r="I55" s="2395"/>
      <c r="J55" s="2392"/>
      <c r="K55" s="2395"/>
      <c r="L55" s="2392"/>
      <c r="M55" s="2395"/>
      <c r="N55" s="2392"/>
      <c r="O55" s="129"/>
    </row>
    <row r="56" spans="2:19" x14ac:dyDescent="0.2">
      <c r="B56" s="2389"/>
      <c r="C56" s="2389"/>
      <c r="D56" s="2389"/>
      <c r="E56" s="2370"/>
      <c r="F56" s="2370"/>
      <c r="G56" s="2370"/>
      <c r="H56" s="2370"/>
      <c r="I56" s="2370"/>
      <c r="J56" s="2370"/>
      <c r="K56" s="2370"/>
      <c r="L56" s="2370"/>
      <c r="M56" s="2370"/>
      <c r="N56" s="2370"/>
      <c r="O56" s="129"/>
    </row>
    <row r="57" spans="2:19" x14ac:dyDescent="0.2">
      <c r="B57" s="2389"/>
      <c r="C57" s="2389"/>
      <c r="D57" s="2389"/>
      <c r="E57" s="2370"/>
      <c r="F57" s="2370"/>
      <c r="G57" s="2370"/>
      <c r="H57" s="2370"/>
      <c r="I57" s="2370"/>
      <c r="J57" s="2370"/>
      <c r="K57" s="2370"/>
      <c r="L57" s="2370"/>
      <c r="M57" s="2370"/>
      <c r="N57" s="2370"/>
      <c r="O57" s="129"/>
    </row>
    <row r="58" spans="2:19" x14ac:dyDescent="0.2">
      <c r="B58" s="2389"/>
      <c r="C58" s="2389"/>
      <c r="D58" s="2389"/>
      <c r="E58" s="2370"/>
      <c r="F58" s="2370"/>
      <c r="G58" s="2370"/>
      <c r="H58" s="2370"/>
      <c r="I58" s="2370"/>
      <c r="J58" s="2370"/>
      <c r="K58" s="2370"/>
      <c r="L58" s="2370"/>
      <c r="M58" s="2370"/>
      <c r="N58" s="2370"/>
      <c r="O58" s="129"/>
    </row>
    <row r="59" spans="2:19" x14ac:dyDescent="0.2">
      <c r="B59" s="2389"/>
      <c r="C59" s="2389"/>
      <c r="D59" s="2389"/>
      <c r="E59" s="2370"/>
      <c r="F59" s="2370"/>
      <c r="G59" s="2370"/>
      <c r="H59" s="2370"/>
      <c r="I59" s="2370"/>
      <c r="J59" s="2370"/>
      <c r="K59" s="2370"/>
      <c r="L59" s="2370"/>
      <c r="M59" s="2370"/>
      <c r="N59" s="2370"/>
      <c r="O59" s="129"/>
    </row>
    <row r="60" spans="2:19" x14ac:dyDescent="0.2">
      <c r="B60" s="111"/>
      <c r="C60" s="111"/>
      <c r="D60" s="111"/>
      <c r="E60" s="2370"/>
      <c r="F60" s="2370"/>
      <c r="G60" s="151"/>
      <c r="H60" s="132"/>
      <c r="I60" s="132"/>
      <c r="J60" s="132"/>
      <c r="K60" s="132"/>
      <c r="L60" s="132"/>
      <c r="M60" s="132"/>
      <c r="N60" s="132"/>
      <c r="O60" s="129"/>
    </row>
    <row r="61" spans="2:19" x14ac:dyDescent="0.2">
      <c r="B61" s="2389"/>
      <c r="C61" s="2389"/>
      <c r="D61" s="2389"/>
      <c r="E61" s="2370"/>
      <c r="F61" s="2370"/>
      <c r="G61" s="2370"/>
      <c r="H61" s="2370"/>
      <c r="I61" s="2370"/>
      <c r="J61" s="2370"/>
      <c r="K61" s="2370"/>
      <c r="L61" s="2370"/>
      <c r="M61" s="2370"/>
      <c r="N61" s="2370"/>
      <c r="O61" s="129"/>
      <c r="S61" s="1" t="s">
        <v>31</v>
      </c>
    </row>
    <row r="62" spans="2:19" x14ac:dyDescent="0.2">
      <c r="B62" s="2389"/>
      <c r="C62" s="2389"/>
      <c r="D62" s="2389"/>
      <c r="E62" s="2370"/>
      <c r="F62" s="2370"/>
      <c r="G62" s="2370"/>
      <c r="H62" s="2370"/>
      <c r="I62" s="2370"/>
      <c r="J62" s="2370"/>
      <c r="K62" s="2370"/>
      <c r="L62" s="2370"/>
      <c r="M62" s="2370"/>
      <c r="N62" s="2370"/>
      <c r="O62" s="129"/>
    </row>
    <row r="63" spans="2:19" x14ac:dyDescent="0.2">
      <c r="B63" s="2389"/>
      <c r="C63" s="2389"/>
      <c r="D63" s="2389"/>
      <c r="E63" s="2371"/>
      <c r="F63" s="2371"/>
      <c r="G63" s="2371"/>
      <c r="H63" s="2371"/>
      <c r="I63" s="2371"/>
      <c r="J63" s="2371"/>
      <c r="K63" s="2371"/>
      <c r="L63" s="2371"/>
      <c r="M63" s="2371"/>
      <c r="N63" s="2371"/>
      <c r="O63" s="129"/>
    </row>
    <row r="64" spans="2:19" x14ac:dyDescent="0.2">
      <c r="B64" s="111"/>
      <c r="C64" s="111"/>
      <c r="D64" s="111"/>
      <c r="E64" s="137"/>
      <c r="F64" s="137"/>
      <c r="G64" s="300"/>
      <c r="H64" s="137"/>
      <c r="I64" s="137"/>
      <c r="J64" s="137"/>
      <c r="K64" s="137"/>
      <c r="L64" s="137"/>
      <c r="M64" s="137"/>
      <c r="N64" s="137"/>
      <c r="O64" s="129"/>
    </row>
    <row r="65" spans="2:15" x14ac:dyDescent="0.2">
      <c r="B65" s="111"/>
      <c r="C65" s="111"/>
      <c r="D65" s="111"/>
      <c r="E65" s="137"/>
      <c r="F65" s="137"/>
      <c r="G65" s="300"/>
      <c r="H65" s="137"/>
      <c r="I65" s="137"/>
      <c r="J65" s="137"/>
      <c r="K65" s="137"/>
      <c r="L65" s="137"/>
      <c r="M65" s="137"/>
      <c r="N65" s="137"/>
      <c r="O65" s="129"/>
    </row>
    <row r="66" spans="2:15" x14ac:dyDescent="0.2">
      <c r="B66" s="111"/>
      <c r="C66" s="111"/>
      <c r="D66" s="111"/>
      <c r="E66" s="137"/>
      <c r="F66" s="137"/>
      <c r="G66" s="300"/>
      <c r="H66" s="137"/>
      <c r="I66" s="137"/>
      <c r="J66" s="137"/>
      <c r="K66" s="137"/>
      <c r="L66" s="137"/>
      <c r="M66" s="137"/>
      <c r="N66" s="137"/>
      <c r="O66" s="129"/>
    </row>
    <row r="67" spans="2:15" x14ac:dyDescent="0.2">
      <c r="B67" s="111"/>
      <c r="C67" s="111"/>
      <c r="D67" s="111"/>
      <c r="E67" s="137"/>
      <c r="F67" s="137"/>
      <c r="G67" s="300"/>
      <c r="H67" s="137"/>
      <c r="I67" s="137"/>
      <c r="J67" s="137"/>
      <c r="K67" s="137"/>
      <c r="L67" s="137"/>
      <c r="M67" s="137"/>
      <c r="N67" s="137"/>
      <c r="O67" s="129"/>
    </row>
    <row r="68" spans="2:15" x14ac:dyDescent="0.2">
      <c r="B68" s="111"/>
      <c r="C68" s="111"/>
      <c r="D68" s="111"/>
      <c r="E68" s="137"/>
      <c r="F68" s="137"/>
      <c r="G68" s="300"/>
      <c r="H68" s="137"/>
      <c r="I68" s="137"/>
      <c r="J68" s="137"/>
      <c r="K68" s="137"/>
      <c r="L68" s="137"/>
      <c r="M68" s="137"/>
      <c r="N68" s="137"/>
      <c r="O68" s="129"/>
    </row>
    <row r="69" spans="2:15" x14ac:dyDescent="0.2">
      <c r="B69" s="111"/>
      <c r="C69" s="111"/>
      <c r="D69" s="111"/>
      <c r="E69" s="137"/>
      <c r="F69" s="137"/>
      <c r="G69" s="300"/>
      <c r="H69" s="137"/>
      <c r="I69" s="137"/>
      <c r="J69" s="137"/>
      <c r="K69" s="137"/>
      <c r="L69" s="137"/>
      <c r="M69" s="137"/>
      <c r="N69" s="137"/>
      <c r="O69" s="129"/>
    </row>
    <row r="70" spans="2:15" x14ac:dyDescent="0.2">
      <c r="B70" s="111"/>
      <c r="C70" s="111"/>
      <c r="D70" s="111"/>
      <c r="E70" s="137"/>
      <c r="F70" s="137"/>
      <c r="G70" s="300"/>
      <c r="H70" s="137"/>
      <c r="I70" s="137"/>
      <c r="J70" s="137"/>
      <c r="K70" s="137"/>
      <c r="L70" s="137"/>
      <c r="M70" s="137"/>
      <c r="N70" s="137"/>
      <c r="O70" s="129"/>
    </row>
    <row r="71" spans="2:15" x14ac:dyDescent="0.2">
      <c r="B71" s="111"/>
      <c r="C71" s="111"/>
      <c r="D71" s="111"/>
      <c r="E71" s="137"/>
      <c r="F71" s="137"/>
      <c r="G71" s="300"/>
      <c r="H71" s="137"/>
      <c r="I71" s="137"/>
      <c r="J71" s="137"/>
      <c r="K71" s="137"/>
      <c r="L71" s="137"/>
      <c r="M71" s="137"/>
      <c r="N71" s="137"/>
      <c r="O71" s="129"/>
    </row>
    <row r="72" spans="2:15" x14ac:dyDescent="0.2">
      <c r="B72" s="111"/>
      <c r="C72" s="111"/>
      <c r="D72" s="111"/>
      <c r="E72" s="137"/>
      <c r="F72" s="137"/>
      <c r="G72" s="300"/>
      <c r="H72" s="137"/>
      <c r="I72" s="137"/>
      <c r="J72" s="137"/>
      <c r="K72" s="137"/>
      <c r="L72" s="137"/>
      <c r="M72" s="137"/>
      <c r="N72" s="137"/>
      <c r="O72" s="129"/>
    </row>
    <row r="73" spans="2:15" x14ac:dyDescent="0.2">
      <c r="B73" s="111"/>
      <c r="C73" s="111"/>
      <c r="D73" s="111"/>
      <c r="E73" s="137"/>
      <c r="F73" s="137"/>
      <c r="G73" s="300"/>
      <c r="H73" s="137"/>
      <c r="I73" s="137"/>
      <c r="J73" s="137"/>
      <c r="K73" s="137"/>
      <c r="L73" s="137"/>
      <c r="M73" s="137"/>
      <c r="N73" s="137"/>
      <c r="O73" s="129"/>
    </row>
    <row r="74" spans="2:15" x14ac:dyDescent="0.2">
      <c r="B74" s="111"/>
      <c r="C74" s="111"/>
      <c r="D74" s="111"/>
      <c r="E74" s="137"/>
      <c r="F74" s="137"/>
      <c r="G74" s="300"/>
      <c r="H74" s="137"/>
      <c r="I74" s="137"/>
      <c r="J74" s="137"/>
      <c r="K74" s="137"/>
      <c r="L74" s="137"/>
      <c r="M74" s="137"/>
      <c r="N74" s="137"/>
      <c r="O74" s="129"/>
    </row>
    <row r="75" spans="2:15" x14ac:dyDescent="0.2">
      <c r="B75" s="111"/>
      <c r="C75" s="111"/>
      <c r="D75" s="111"/>
      <c r="E75" s="137"/>
      <c r="F75" s="137"/>
      <c r="G75" s="300"/>
      <c r="H75" s="137"/>
      <c r="I75" s="137"/>
      <c r="J75" s="137"/>
      <c r="K75" s="137"/>
      <c r="L75" s="137"/>
      <c r="M75" s="137"/>
      <c r="N75" s="137"/>
      <c r="O75" s="129"/>
    </row>
    <row r="76" spans="2:15" x14ac:dyDescent="0.2">
      <c r="B76" s="135"/>
      <c r="C76" s="138"/>
      <c r="D76" s="129"/>
      <c r="E76" s="136"/>
      <c r="F76" s="139"/>
      <c r="G76" s="131"/>
      <c r="H76" s="139"/>
      <c r="I76" s="136"/>
      <c r="J76" s="139"/>
      <c r="K76" s="136"/>
      <c r="L76" s="139"/>
      <c r="M76" s="136"/>
      <c r="N76" s="139"/>
      <c r="O76" s="129"/>
    </row>
    <row r="77" spans="2:15" x14ac:dyDescent="0.2">
      <c r="B77" s="135"/>
      <c r="C77" s="138"/>
      <c r="D77" s="129"/>
      <c r="E77" s="129"/>
      <c r="F77" s="135"/>
      <c r="G77" s="131"/>
      <c r="H77" s="135"/>
      <c r="I77" s="129"/>
      <c r="J77" s="135"/>
      <c r="K77" s="129"/>
      <c r="L77" s="135"/>
      <c r="M77" s="129"/>
      <c r="N77" s="135"/>
      <c r="O77" s="129"/>
    </row>
    <row r="78" spans="2:15" x14ac:dyDescent="0.2">
      <c r="B78" s="135"/>
      <c r="C78" s="138"/>
      <c r="D78" s="129"/>
      <c r="E78" s="129"/>
      <c r="F78" s="135"/>
      <c r="G78" s="131"/>
      <c r="H78" s="135"/>
      <c r="I78" s="129"/>
      <c r="J78" s="135"/>
      <c r="K78" s="129"/>
      <c r="L78" s="135"/>
      <c r="M78" s="129"/>
      <c r="N78" s="135"/>
      <c r="O78" s="129"/>
    </row>
    <row r="79" spans="2:15" x14ac:dyDescent="0.2">
      <c r="B79" s="140"/>
      <c r="C79" s="138"/>
      <c r="D79" s="138"/>
      <c r="E79" s="138"/>
      <c r="F79" s="140"/>
      <c r="G79" s="301"/>
      <c r="H79" s="140"/>
      <c r="I79" s="138"/>
      <c r="J79" s="140"/>
      <c r="K79" s="138"/>
      <c r="L79" s="140"/>
      <c r="M79" s="138"/>
      <c r="N79" s="140"/>
      <c r="O79" s="129"/>
    </row>
    <row r="80" spans="2:15" x14ac:dyDescent="0.2">
      <c r="B80" s="2389"/>
      <c r="C80" s="2389"/>
      <c r="D80" s="2389"/>
      <c r="E80" s="2390"/>
      <c r="F80" s="2390"/>
      <c r="G80" s="2390"/>
      <c r="H80" s="2390"/>
      <c r="I80" s="2390"/>
      <c r="J80" s="2391"/>
      <c r="K80" s="2392"/>
      <c r="L80" s="2392"/>
      <c r="M80" s="135"/>
      <c r="N80" s="135"/>
      <c r="O80" s="129"/>
    </row>
    <row r="81" spans="2:15" x14ac:dyDescent="0.2">
      <c r="B81" s="139"/>
      <c r="C81" s="111"/>
      <c r="D81" s="111"/>
      <c r="E81" s="141"/>
      <c r="F81" s="143"/>
      <c r="G81" s="275"/>
      <c r="H81" s="143"/>
      <c r="I81" s="141"/>
      <c r="J81" s="142"/>
      <c r="K81" s="135"/>
      <c r="L81" s="135"/>
      <c r="M81" s="135"/>
      <c r="N81" s="135"/>
      <c r="O81" s="129"/>
    </row>
    <row r="82" spans="2:15" x14ac:dyDescent="0.2">
      <c r="B82" s="139"/>
      <c r="C82" s="111"/>
      <c r="D82" s="111"/>
      <c r="E82" s="141"/>
      <c r="F82" s="143"/>
      <c r="G82" s="275"/>
      <c r="H82" s="143"/>
      <c r="I82" s="141"/>
      <c r="J82" s="142"/>
      <c r="K82" s="135"/>
      <c r="L82" s="135"/>
      <c r="M82" s="135"/>
      <c r="N82" s="135"/>
      <c r="O82" s="129"/>
    </row>
    <row r="83" spans="2:15" x14ac:dyDescent="0.2">
      <c r="B83" s="139"/>
      <c r="C83" s="111"/>
      <c r="D83" s="111"/>
      <c r="E83" s="141"/>
      <c r="F83" s="143"/>
      <c r="G83" s="275"/>
      <c r="H83" s="143"/>
      <c r="I83" s="141"/>
      <c r="J83" s="142"/>
      <c r="K83" s="135"/>
      <c r="L83" s="135"/>
      <c r="M83" s="135"/>
      <c r="N83" s="135"/>
      <c r="O83" s="129"/>
    </row>
    <row r="84" spans="2:15" ht="18" x14ac:dyDescent="0.2">
      <c r="B84" s="139"/>
      <c r="C84" s="111"/>
      <c r="D84" s="144"/>
      <c r="E84" s="129"/>
      <c r="F84" s="143"/>
      <c r="G84" s="275"/>
      <c r="H84" s="143"/>
      <c r="I84" s="141"/>
      <c r="J84" s="142"/>
      <c r="K84" s="135"/>
      <c r="L84" s="135"/>
      <c r="M84" s="135"/>
      <c r="N84" s="135"/>
      <c r="O84" s="129"/>
    </row>
    <row r="85" spans="2:15" ht="18" x14ac:dyDescent="0.2">
      <c r="B85" s="139"/>
      <c r="C85" s="111"/>
      <c r="D85" s="144"/>
      <c r="E85" s="129"/>
      <c r="F85" s="143"/>
      <c r="G85" s="275"/>
      <c r="H85" s="143"/>
      <c r="I85" s="141"/>
      <c r="J85" s="142"/>
      <c r="K85" s="135"/>
      <c r="L85" s="135"/>
      <c r="M85" s="135"/>
      <c r="N85" s="135"/>
      <c r="O85" s="129"/>
    </row>
    <row r="86" spans="2:15" x14ac:dyDescent="0.2">
      <c r="B86" s="135"/>
      <c r="C86" s="129"/>
      <c r="D86" s="129"/>
      <c r="E86" s="129"/>
      <c r="F86" s="135"/>
      <c r="G86" s="131"/>
      <c r="H86" s="135"/>
      <c r="I86" s="129"/>
      <c r="J86" s="135"/>
      <c r="K86" s="129"/>
      <c r="L86" s="135"/>
      <c r="M86" s="129"/>
      <c r="N86" s="135"/>
      <c r="O86" s="129"/>
    </row>
    <row r="87" spans="2:15" x14ac:dyDescent="0.2">
      <c r="B87" s="135"/>
      <c r="C87" s="129"/>
      <c r="D87" s="129"/>
      <c r="E87" s="129"/>
      <c r="F87" s="135"/>
      <c r="G87" s="131"/>
      <c r="H87" s="135"/>
      <c r="I87" s="129"/>
      <c r="J87" s="135"/>
      <c r="K87" s="129"/>
      <c r="L87" s="135"/>
      <c r="M87" s="129"/>
      <c r="N87" s="135"/>
      <c r="O87" s="129"/>
    </row>
    <row r="88" spans="2:15" x14ac:dyDescent="0.2">
      <c r="B88" s="135"/>
      <c r="C88" s="129"/>
      <c r="D88" s="129"/>
      <c r="E88" s="129"/>
      <c r="F88" s="135"/>
      <c r="G88" s="131"/>
      <c r="H88" s="135"/>
      <c r="I88" s="129"/>
      <c r="J88" s="135"/>
      <c r="K88" s="129"/>
      <c r="L88" s="135"/>
      <c r="M88" s="129"/>
      <c r="N88" s="135"/>
      <c r="O88" s="129"/>
    </row>
    <row r="89" spans="2:15" x14ac:dyDescent="0.2">
      <c r="B89" s="135"/>
      <c r="C89" s="129"/>
      <c r="D89" s="129"/>
      <c r="E89" s="129"/>
      <c r="F89" s="135"/>
      <c r="G89" s="131"/>
      <c r="H89" s="135"/>
      <c r="I89" s="129"/>
      <c r="J89" s="135"/>
      <c r="K89" s="129"/>
      <c r="L89" s="135"/>
      <c r="M89" s="129"/>
      <c r="N89" s="135"/>
      <c r="O89" s="129"/>
    </row>
    <row r="90" spans="2:15" x14ac:dyDescent="0.2">
      <c r="B90" s="135"/>
      <c r="C90" s="129"/>
      <c r="D90" s="129"/>
      <c r="E90" s="129"/>
      <c r="F90" s="135"/>
      <c r="G90" s="131"/>
      <c r="H90" s="135"/>
      <c r="I90" s="129"/>
      <c r="J90" s="135"/>
      <c r="K90" s="129"/>
      <c r="L90" s="135"/>
      <c r="M90" s="129"/>
      <c r="N90" s="135"/>
      <c r="O90" s="129"/>
    </row>
    <row r="91" spans="2:15" x14ac:dyDescent="0.2">
      <c r="B91" s="135"/>
      <c r="C91" s="129"/>
      <c r="D91" s="129"/>
      <c r="E91" s="129"/>
      <c r="F91" s="135"/>
      <c r="G91" s="131"/>
      <c r="H91" s="135"/>
      <c r="I91" s="129"/>
      <c r="J91" s="135"/>
      <c r="K91" s="129"/>
      <c r="L91" s="135"/>
      <c r="M91" s="129"/>
      <c r="N91" s="135"/>
      <c r="O91" s="129"/>
    </row>
    <row r="92" spans="2:15" x14ac:dyDescent="0.2">
      <c r="B92" s="135"/>
      <c r="C92" s="129"/>
      <c r="D92" s="129"/>
      <c r="E92" s="129"/>
      <c r="F92" s="135"/>
      <c r="G92" s="131"/>
      <c r="H92" s="135"/>
      <c r="I92" s="129"/>
      <c r="J92" s="135"/>
      <c r="K92" s="129"/>
      <c r="L92" s="135"/>
      <c r="M92" s="129"/>
      <c r="N92" s="135"/>
      <c r="O92" s="129"/>
    </row>
    <row r="93" spans="2:15" x14ac:dyDescent="0.2">
      <c r="B93" s="135"/>
      <c r="C93" s="129"/>
      <c r="D93" s="129"/>
      <c r="E93" s="129"/>
      <c r="F93" s="135"/>
      <c r="G93" s="131"/>
      <c r="H93" s="135"/>
      <c r="I93" s="129"/>
      <c r="J93" s="135"/>
      <c r="K93" s="129"/>
      <c r="L93" s="135"/>
      <c r="M93" s="129"/>
      <c r="N93" s="135"/>
      <c r="O93" s="129"/>
    </row>
    <row r="94" spans="2:15" x14ac:dyDescent="0.2">
      <c r="B94" s="135"/>
      <c r="C94" s="129"/>
      <c r="D94" s="129"/>
      <c r="E94" s="129"/>
      <c r="F94" s="135"/>
      <c r="G94" s="131"/>
      <c r="H94" s="135"/>
      <c r="I94" s="129"/>
      <c r="J94" s="135"/>
      <c r="K94" s="129"/>
      <c r="L94" s="135"/>
      <c r="M94" s="129"/>
      <c r="N94" s="135"/>
      <c r="O94" s="129"/>
    </row>
    <row r="95" spans="2:15" x14ac:dyDescent="0.2">
      <c r="B95" s="135"/>
      <c r="C95" s="129"/>
      <c r="D95" s="129"/>
      <c r="E95" s="129"/>
      <c r="F95" s="135"/>
      <c r="G95" s="131"/>
      <c r="H95" s="135"/>
      <c r="I95" s="129"/>
      <c r="J95" s="135"/>
      <c r="K95" s="129"/>
      <c r="L95" s="135"/>
      <c r="M95" s="129"/>
      <c r="N95" s="135"/>
      <c r="O95" s="129"/>
    </row>
    <row r="96" spans="2:15" x14ac:dyDescent="0.2">
      <c r="B96" s="135"/>
      <c r="C96" s="129"/>
      <c r="D96" s="129"/>
      <c r="E96" s="129"/>
      <c r="F96" s="135"/>
      <c r="G96" s="131"/>
      <c r="H96" s="135"/>
      <c r="I96" s="129"/>
      <c r="J96" s="135"/>
      <c r="K96" s="129"/>
      <c r="L96" s="135"/>
      <c r="M96" s="129"/>
      <c r="N96" s="135"/>
      <c r="O96" s="129"/>
    </row>
    <row r="97" spans="2:15" x14ac:dyDescent="0.2">
      <c r="B97" s="135"/>
      <c r="C97" s="129"/>
      <c r="D97" s="129"/>
      <c r="E97" s="129"/>
      <c r="F97" s="135"/>
      <c r="G97" s="131"/>
      <c r="H97" s="135"/>
      <c r="I97" s="129"/>
      <c r="J97" s="135"/>
      <c r="K97" s="129"/>
      <c r="L97" s="135"/>
      <c r="M97" s="129"/>
      <c r="N97" s="135"/>
      <c r="O97" s="129"/>
    </row>
    <row r="98" spans="2:15" x14ac:dyDescent="0.2">
      <c r="B98" s="135"/>
      <c r="C98" s="129"/>
      <c r="D98" s="129"/>
      <c r="E98" s="129"/>
      <c r="F98" s="135"/>
      <c r="G98" s="131"/>
      <c r="H98" s="135"/>
      <c r="I98" s="129"/>
      <c r="J98" s="135"/>
      <c r="K98" s="129"/>
      <c r="L98" s="135"/>
      <c r="M98" s="129"/>
      <c r="N98" s="135"/>
      <c r="O98" s="129"/>
    </row>
    <row r="99" spans="2:15" x14ac:dyDescent="0.2">
      <c r="B99" s="135"/>
      <c r="C99" s="129"/>
      <c r="D99" s="129"/>
      <c r="E99" s="129"/>
      <c r="F99" s="135"/>
      <c r="G99" s="131"/>
      <c r="H99" s="135"/>
      <c r="I99" s="129"/>
      <c r="J99" s="135"/>
      <c r="K99" s="129"/>
      <c r="L99" s="135"/>
      <c r="M99" s="129"/>
      <c r="N99" s="135"/>
      <c r="O99" s="129"/>
    </row>
    <row r="100" spans="2:15" x14ac:dyDescent="0.2">
      <c r="B100" s="135"/>
      <c r="C100" s="129"/>
      <c r="D100" s="129"/>
      <c r="E100" s="129"/>
      <c r="F100" s="135"/>
      <c r="G100" s="131"/>
      <c r="H100" s="135"/>
      <c r="I100" s="129"/>
      <c r="J100" s="135"/>
      <c r="K100" s="129"/>
      <c r="L100" s="135"/>
      <c r="M100" s="129"/>
      <c r="N100" s="135"/>
      <c r="O100" s="129"/>
    </row>
    <row r="101" spans="2:15" x14ac:dyDescent="0.2">
      <c r="B101" s="135"/>
      <c r="C101" s="129"/>
      <c r="D101" s="129"/>
      <c r="E101" s="129"/>
      <c r="F101" s="135"/>
      <c r="G101" s="131"/>
      <c r="H101" s="135"/>
      <c r="I101" s="129"/>
      <c r="J101" s="135"/>
      <c r="K101" s="129"/>
      <c r="L101" s="135"/>
      <c r="M101" s="129"/>
      <c r="N101" s="135"/>
      <c r="O101" s="129"/>
    </row>
    <row r="102" spans="2:15" x14ac:dyDescent="0.2">
      <c r="B102" s="135"/>
      <c r="C102" s="129"/>
      <c r="D102" s="129"/>
      <c r="E102" s="129"/>
      <c r="F102" s="135"/>
      <c r="G102" s="131"/>
      <c r="H102" s="135"/>
      <c r="I102" s="129"/>
      <c r="J102" s="135"/>
      <c r="K102" s="129"/>
      <c r="L102" s="135"/>
      <c r="M102" s="129"/>
      <c r="N102" s="135"/>
      <c r="O102" s="129"/>
    </row>
    <row r="103" spans="2:15" x14ac:dyDescent="0.2">
      <c r="B103" s="135"/>
      <c r="C103" s="129"/>
      <c r="D103" s="129"/>
      <c r="E103" s="129"/>
      <c r="F103" s="135"/>
      <c r="G103" s="131"/>
      <c r="H103" s="135"/>
      <c r="I103" s="129"/>
      <c r="J103" s="135"/>
      <c r="K103" s="129"/>
      <c r="L103" s="135"/>
      <c r="M103" s="129"/>
      <c r="N103" s="135"/>
      <c r="O103" s="129"/>
    </row>
    <row r="104" spans="2:15" x14ac:dyDescent="0.2">
      <c r="B104" s="135"/>
      <c r="C104" s="129"/>
      <c r="D104" s="129"/>
      <c r="E104" s="129"/>
      <c r="F104" s="135"/>
      <c r="G104" s="131"/>
      <c r="H104" s="135"/>
      <c r="I104" s="129"/>
      <c r="J104" s="135"/>
      <c r="K104" s="129"/>
      <c r="L104" s="135"/>
      <c r="M104" s="129"/>
      <c r="N104" s="135"/>
      <c r="O104" s="129"/>
    </row>
    <row r="105" spans="2:15" x14ac:dyDescent="0.2">
      <c r="B105" s="135"/>
      <c r="C105" s="129"/>
      <c r="D105" s="129"/>
      <c r="E105" s="129"/>
      <c r="F105" s="135"/>
      <c r="G105" s="131"/>
      <c r="H105" s="135"/>
      <c r="I105" s="129"/>
      <c r="J105" s="135"/>
      <c r="K105" s="129"/>
      <c r="L105" s="135"/>
      <c r="M105" s="129"/>
      <c r="N105" s="135"/>
      <c r="O105" s="129"/>
    </row>
    <row r="106" spans="2:15" x14ac:dyDescent="0.2">
      <c r="B106" s="135"/>
      <c r="C106" s="129"/>
      <c r="D106" s="129"/>
      <c r="E106" s="129"/>
      <c r="F106" s="135"/>
      <c r="G106" s="131"/>
      <c r="H106" s="135"/>
      <c r="I106" s="129"/>
      <c r="J106" s="135"/>
      <c r="K106" s="129"/>
      <c r="L106" s="135"/>
      <c r="M106" s="129"/>
      <c r="N106" s="135"/>
      <c r="O106" s="129"/>
    </row>
    <row r="107" spans="2:15" x14ac:dyDescent="0.2">
      <c r="B107" s="135"/>
      <c r="C107" s="129"/>
      <c r="D107" s="129"/>
      <c r="E107" s="129"/>
      <c r="F107" s="135"/>
      <c r="G107" s="131"/>
      <c r="H107" s="135"/>
      <c r="I107" s="129"/>
      <c r="J107" s="135"/>
      <c r="K107" s="129"/>
      <c r="L107" s="135"/>
      <c r="M107" s="129"/>
      <c r="N107" s="135"/>
      <c r="O107" s="129"/>
    </row>
    <row r="108" spans="2:15" x14ac:dyDescent="0.2">
      <c r="B108" s="135"/>
      <c r="C108" s="129"/>
      <c r="D108" s="129"/>
      <c r="E108" s="129"/>
      <c r="F108" s="135"/>
      <c r="G108" s="131"/>
      <c r="H108" s="135"/>
      <c r="I108" s="129"/>
      <c r="J108" s="135"/>
      <c r="K108" s="129"/>
      <c r="L108" s="135"/>
      <c r="M108" s="129"/>
      <c r="N108" s="135"/>
      <c r="O108" s="129"/>
    </row>
    <row r="109" spans="2:15" x14ac:dyDescent="0.2">
      <c r="B109" s="135"/>
      <c r="C109" s="129"/>
      <c r="D109" s="129"/>
      <c r="E109" s="129"/>
      <c r="F109" s="135"/>
      <c r="G109" s="131"/>
      <c r="H109" s="135"/>
      <c r="I109" s="129"/>
      <c r="J109" s="135"/>
      <c r="K109" s="129"/>
      <c r="L109" s="135"/>
      <c r="M109" s="129"/>
      <c r="N109" s="135"/>
      <c r="O109" s="129"/>
    </row>
    <row r="110" spans="2:15" x14ac:dyDescent="0.2">
      <c r="B110" s="135"/>
      <c r="C110" s="129"/>
      <c r="D110" s="129"/>
      <c r="E110" s="129"/>
      <c r="F110" s="135"/>
      <c r="G110" s="131"/>
      <c r="H110" s="135"/>
      <c r="I110" s="129"/>
      <c r="J110" s="135"/>
      <c r="K110" s="129"/>
      <c r="L110" s="135"/>
      <c r="M110" s="129"/>
      <c r="N110" s="135"/>
      <c r="O110" s="129"/>
    </row>
    <row r="111" spans="2:15" x14ac:dyDescent="0.2">
      <c r="B111" s="135"/>
      <c r="C111" s="129"/>
      <c r="D111" s="129"/>
      <c r="E111" s="129"/>
      <c r="F111" s="135"/>
      <c r="G111" s="131"/>
      <c r="H111" s="135"/>
      <c r="I111" s="129"/>
      <c r="J111" s="135"/>
      <c r="K111" s="129"/>
      <c r="L111" s="135"/>
      <c r="M111" s="129"/>
      <c r="N111" s="135"/>
      <c r="O111" s="129"/>
    </row>
    <row r="112" spans="2:15" x14ac:dyDescent="0.2">
      <c r="B112" s="135"/>
      <c r="C112" s="129"/>
      <c r="D112" s="129"/>
      <c r="E112" s="129"/>
      <c r="F112" s="135"/>
      <c r="G112" s="131"/>
      <c r="H112" s="135"/>
      <c r="I112" s="129"/>
      <c r="J112" s="135"/>
      <c r="K112" s="129"/>
      <c r="L112" s="135"/>
      <c r="M112" s="129"/>
      <c r="N112" s="135"/>
      <c r="O112" s="129"/>
    </row>
    <row r="113" spans="2:15" x14ac:dyDescent="0.2">
      <c r="B113" s="135"/>
      <c r="C113" s="129"/>
      <c r="D113" s="129"/>
      <c r="E113" s="129"/>
      <c r="F113" s="135"/>
      <c r="G113" s="131"/>
      <c r="H113" s="135"/>
      <c r="I113" s="129"/>
      <c r="J113" s="135"/>
      <c r="K113" s="129"/>
      <c r="L113" s="135"/>
      <c r="M113" s="129"/>
      <c r="N113" s="135"/>
      <c r="O113" s="129"/>
    </row>
    <row r="114" spans="2:15" x14ac:dyDescent="0.2">
      <c r="B114" s="135"/>
      <c r="C114" s="2384"/>
      <c r="D114" s="2385"/>
      <c r="E114" s="2385"/>
      <c r="F114" s="2386"/>
      <c r="G114" s="2386"/>
      <c r="H114" s="2386"/>
      <c r="I114" s="2386"/>
      <c r="J114" s="2386"/>
      <c r="K114" s="2386"/>
      <c r="L114" s="133"/>
      <c r="M114" s="133"/>
      <c r="N114" s="133"/>
      <c r="O114" s="133"/>
    </row>
    <row r="115" spans="2:15" x14ac:dyDescent="0.2">
      <c r="B115" s="135"/>
      <c r="C115" s="2385"/>
      <c r="D115" s="2385"/>
      <c r="E115" s="2385"/>
      <c r="F115" s="2397"/>
      <c r="G115" s="2397"/>
      <c r="H115" s="2397"/>
      <c r="I115" s="2397"/>
      <c r="J115" s="2397"/>
      <c r="K115" s="2397"/>
      <c r="L115" s="145"/>
      <c r="M115" s="145"/>
      <c r="N115" s="145"/>
      <c r="O115" s="145"/>
    </row>
    <row r="116" spans="2:15" x14ac:dyDescent="0.2">
      <c r="B116" s="135"/>
      <c r="C116" s="146"/>
      <c r="D116" s="2396"/>
      <c r="E116" s="2396"/>
      <c r="F116" s="2398"/>
      <c r="G116" s="2398"/>
      <c r="H116" s="2398"/>
      <c r="I116" s="2398"/>
      <c r="J116" s="2398"/>
      <c r="K116" s="2398"/>
      <c r="L116" s="147"/>
      <c r="M116" s="147"/>
      <c r="N116" s="147"/>
      <c r="O116" s="147"/>
    </row>
    <row r="117" spans="2:15" x14ac:dyDescent="0.2">
      <c r="B117" s="135"/>
      <c r="C117" s="146"/>
      <c r="D117" s="134"/>
      <c r="E117" s="148"/>
      <c r="F117" s="2398"/>
      <c r="G117" s="2398"/>
      <c r="H117" s="2398"/>
      <c r="I117" s="2399"/>
      <c r="J117" s="2398"/>
      <c r="K117" s="2399"/>
      <c r="L117" s="147"/>
      <c r="M117" s="147"/>
      <c r="N117" s="147"/>
      <c r="O117" s="149"/>
    </row>
    <row r="118" spans="2:15" x14ac:dyDescent="0.2">
      <c r="B118" s="135"/>
      <c r="C118" s="146"/>
      <c r="D118" s="134"/>
      <c r="E118" s="148"/>
      <c r="F118" s="2398"/>
      <c r="G118" s="2398"/>
      <c r="H118" s="2398"/>
      <c r="I118" s="2399"/>
      <c r="J118" s="2398"/>
      <c r="K118" s="2399"/>
      <c r="L118" s="147"/>
      <c r="M118" s="147"/>
      <c r="N118" s="147"/>
      <c r="O118" s="149"/>
    </row>
    <row r="119" spans="2:15" x14ac:dyDescent="0.2">
      <c r="B119" s="135"/>
      <c r="C119" s="146"/>
      <c r="D119" s="134"/>
      <c r="E119" s="148"/>
      <c r="F119" s="2398"/>
      <c r="G119" s="2398"/>
      <c r="H119" s="2398"/>
      <c r="I119" s="2399"/>
      <c r="J119" s="2398"/>
      <c r="K119" s="2399"/>
      <c r="L119" s="147"/>
      <c r="M119" s="147"/>
      <c r="N119" s="147"/>
      <c r="O119" s="149"/>
    </row>
    <row r="120" spans="2:15" x14ac:dyDescent="0.2">
      <c r="B120" s="135"/>
      <c r="C120" s="146"/>
      <c r="D120" s="134"/>
      <c r="E120" s="148"/>
      <c r="F120" s="2398"/>
      <c r="G120" s="2398"/>
      <c r="H120" s="2383"/>
      <c r="I120" s="2383"/>
      <c r="J120" s="2383"/>
      <c r="K120" s="2383"/>
      <c r="L120" s="150"/>
      <c r="M120" s="150"/>
      <c r="N120" s="150"/>
      <c r="O120" s="150"/>
    </row>
    <row r="121" spans="2:15" x14ac:dyDescent="0.2">
      <c r="B121" s="135"/>
      <c r="C121" s="146"/>
      <c r="D121" s="2396"/>
      <c r="E121" s="2396"/>
      <c r="F121" s="2398"/>
      <c r="G121" s="2398"/>
      <c r="H121" s="2400"/>
      <c r="I121" s="2400"/>
      <c r="J121" s="2400"/>
      <c r="K121" s="2400"/>
      <c r="L121" s="151"/>
      <c r="M121" s="151"/>
      <c r="N121" s="151"/>
      <c r="O121" s="151"/>
    </row>
    <row r="122" spans="2:15" x14ac:dyDescent="0.2">
      <c r="B122" s="135"/>
      <c r="C122" s="146"/>
      <c r="D122" s="2328"/>
      <c r="E122" s="2328"/>
      <c r="F122" s="2398"/>
      <c r="G122" s="2399"/>
      <c r="H122" s="2398"/>
      <c r="I122" s="2399"/>
      <c r="J122" s="2398"/>
      <c r="K122" s="2399"/>
      <c r="L122" s="147"/>
      <c r="M122" s="147"/>
      <c r="N122" s="147"/>
      <c r="O122" s="149"/>
    </row>
    <row r="123" spans="2:15" x14ac:dyDescent="0.2">
      <c r="B123" s="135"/>
      <c r="C123" s="2384"/>
      <c r="D123" s="2385"/>
      <c r="E123" s="2385"/>
      <c r="F123" s="2386"/>
      <c r="G123" s="2386"/>
      <c r="H123" s="2386"/>
      <c r="I123" s="2386"/>
      <c r="J123" s="2386"/>
      <c r="K123" s="2386"/>
      <c r="L123" s="133"/>
      <c r="M123" s="133"/>
      <c r="N123" s="133"/>
      <c r="O123" s="133"/>
    </row>
    <row r="124" spans="2:15" x14ac:dyDescent="0.2">
      <c r="B124" s="135"/>
      <c r="C124" s="2385"/>
      <c r="D124" s="2385"/>
      <c r="E124" s="2385"/>
      <c r="F124" s="2397"/>
      <c r="G124" s="2397"/>
      <c r="H124" s="2397"/>
      <c r="I124" s="2397"/>
      <c r="J124" s="2397"/>
      <c r="K124" s="2397"/>
      <c r="L124" s="145"/>
      <c r="M124" s="145"/>
      <c r="N124" s="145"/>
      <c r="O124" s="145"/>
    </row>
    <row r="125" spans="2:15" x14ac:dyDescent="0.2">
      <c r="B125" s="135"/>
      <c r="C125" s="146"/>
      <c r="D125" s="131"/>
      <c r="E125" s="152"/>
      <c r="F125" s="2398"/>
      <c r="G125" s="2399"/>
      <c r="H125" s="2398"/>
      <c r="I125" s="2399"/>
      <c r="J125" s="2398"/>
      <c r="K125" s="2399"/>
      <c r="L125" s="147"/>
      <c r="M125" s="147"/>
      <c r="N125" s="147"/>
      <c r="O125" s="149"/>
    </row>
    <row r="126" spans="2:15" x14ac:dyDescent="0.2">
      <c r="B126" s="135"/>
      <c r="C126" s="146"/>
      <c r="D126" s="131"/>
      <c r="E126" s="152"/>
      <c r="F126" s="2398"/>
      <c r="G126" s="2399"/>
      <c r="H126" s="2398"/>
      <c r="I126" s="2399"/>
      <c r="J126" s="2398"/>
      <c r="K126" s="2399"/>
      <c r="L126" s="147"/>
      <c r="M126" s="147"/>
      <c r="N126" s="147"/>
      <c r="O126" s="149"/>
    </row>
    <row r="127" spans="2:15" x14ac:dyDescent="0.2">
      <c r="B127" s="135"/>
      <c r="C127" s="146"/>
      <c r="D127" s="131"/>
      <c r="E127" s="152"/>
      <c r="F127" s="2400"/>
      <c r="G127" s="2400"/>
      <c r="H127" s="2398"/>
      <c r="I127" s="2399"/>
      <c r="J127" s="2398"/>
      <c r="K127" s="2399"/>
      <c r="L127" s="147"/>
      <c r="M127" s="147"/>
      <c r="N127" s="147"/>
      <c r="O127" s="149"/>
    </row>
    <row r="128" spans="2:15" x14ac:dyDescent="0.2">
      <c r="B128" s="135"/>
      <c r="C128" s="146"/>
      <c r="D128" s="131"/>
      <c r="E128" s="152"/>
      <c r="F128" s="2398"/>
      <c r="G128" s="2399"/>
      <c r="H128" s="2398"/>
      <c r="I128" s="2399"/>
      <c r="J128" s="2398"/>
      <c r="K128" s="2399"/>
      <c r="L128" s="147"/>
      <c r="M128" s="147"/>
      <c r="N128" s="147"/>
      <c r="O128" s="149"/>
    </row>
    <row r="129" spans="2:15" x14ac:dyDescent="0.2">
      <c r="B129" s="135"/>
      <c r="C129" s="146"/>
      <c r="D129" s="131"/>
      <c r="E129" s="152"/>
      <c r="F129" s="2398"/>
      <c r="G129" s="2399"/>
      <c r="H129" s="2398"/>
      <c r="I129" s="2399"/>
      <c r="J129" s="2398"/>
      <c r="K129" s="2399"/>
      <c r="L129" s="147"/>
      <c r="M129" s="147"/>
      <c r="N129" s="147"/>
      <c r="O129" s="149"/>
    </row>
  </sheetData>
  <sheetProtection algorithmName="SHA-512" hashValue="zj/cDODlCDuUcD0tnQCbepgfsK4LTvMddTqn5EYUqoT1EdYQXnuvf1qI6xtqMZIEXNFWRpEFXTL1pEvAvtMocg==" saltValue="qqaFUIbbiUQJIyDiWiFNsQ==" spinCount="100000" sheet="1" objects="1" scenarios="1"/>
  <mergeCells count="213">
    <mergeCell ref="P3:Q3"/>
    <mergeCell ref="M63:N63"/>
    <mergeCell ref="M51:N51"/>
    <mergeCell ref="M52:N52"/>
    <mergeCell ref="M53:N53"/>
    <mergeCell ref="M55:N55"/>
    <mergeCell ref="M56:N56"/>
    <mergeCell ref="M49:N49"/>
    <mergeCell ref="M50:N50"/>
    <mergeCell ref="M58:N58"/>
    <mergeCell ref="M59:N59"/>
    <mergeCell ref="M61:N61"/>
    <mergeCell ref="M62:N62"/>
    <mergeCell ref="M40:N40"/>
    <mergeCell ref="M41:N41"/>
    <mergeCell ref="M42:N42"/>
    <mergeCell ref="M43:N43"/>
    <mergeCell ref="M44:N44"/>
    <mergeCell ref="M57:N57"/>
    <mergeCell ref="M45:N45"/>
    <mergeCell ref="M46:N46"/>
    <mergeCell ref="M47:N47"/>
    <mergeCell ref="M48:N48"/>
    <mergeCell ref="P10:S10"/>
    <mergeCell ref="B36:D36"/>
    <mergeCell ref="B37:C37"/>
    <mergeCell ref="I8:J8"/>
    <mergeCell ref="K8:L8"/>
    <mergeCell ref="I43:J43"/>
    <mergeCell ref="B5:D5"/>
    <mergeCell ref="E52:F52"/>
    <mergeCell ref="G52:H52"/>
    <mergeCell ref="I52:J52"/>
    <mergeCell ref="K52:L52"/>
    <mergeCell ref="E51:F51"/>
    <mergeCell ref="G51:H51"/>
    <mergeCell ref="I51:J51"/>
    <mergeCell ref="K51:L51"/>
    <mergeCell ref="G49:H49"/>
    <mergeCell ref="I49:J49"/>
    <mergeCell ref="K49:L49"/>
    <mergeCell ref="G50:H50"/>
    <mergeCell ref="I50:J50"/>
    <mergeCell ref="K50:L50"/>
    <mergeCell ref="G48:H48"/>
    <mergeCell ref="I48:J48"/>
    <mergeCell ref="K48:L48"/>
    <mergeCell ref="E46:F46"/>
    <mergeCell ref="E42:F42"/>
    <mergeCell ref="I45:J45"/>
    <mergeCell ref="K45:L45"/>
    <mergeCell ref="J115:K115"/>
    <mergeCell ref="G7:H7"/>
    <mergeCell ref="I7:J7"/>
    <mergeCell ref="K7:L7"/>
    <mergeCell ref="I40:J40"/>
    <mergeCell ref="K40:L40"/>
    <mergeCell ref="G33:H33"/>
    <mergeCell ref="I33:J33"/>
    <mergeCell ref="K33:L33"/>
    <mergeCell ref="I56:J56"/>
    <mergeCell ref="K56:L56"/>
    <mergeCell ref="G42:H42"/>
    <mergeCell ref="I42:J42"/>
    <mergeCell ref="K42:L42"/>
    <mergeCell ref="G38:H38"/>
    <mergeCell ref="I38:J38"/>
    <mergeCell ref="I41:J41"/>
    <mergeCell ref="G43:H43"/>
    <mergeCell ref="K38:L38"/>
    <mergeCell ref="K41:L41"/>
    <mergeCell ref="G8:H8"/>
    <mergeCell ref="F115:G115"/>
    <mergeCell ref="F116:G116"/>
    <mergeCell ref="F117:G117"/>
    <mergeCell ref="E43:F43"/>
    <mergeCell ref="E45:F45"/>
    <mergeCell ref="E47:F47"/>
    <mergeCell ref="G47:H47"/>
    <mergeCell ref="I47:J47"/>
    <mergeCell ref="H114:I114"/>
    <mergeCell ref="C114:E115"/>
    <mergeCell ref="C50:D50"/>
    <mergeCell ref="E50:F50"/>
    <mergeCell ref="E49:F49"/>
    <mergeCell ref="E48:F48"/>
    <mergeCell ref="E53:F53"/>
    <mergeCell ref="G53:H53"/>
    <mergeCell ref="I53:J53"/>
    <mergeCell ref="E44:F44"/>
    <mergeCell ref="G46:H46"/>
    <mergeCell ref="I46:J46"/>
    <mergeCell ref="I39:J39"/>
    <mergeCell ref="K39:L39"/>
    <mergeCell ref="G57:H57"/>
    <mergeCell ref="K62:L62"/>
    <mergeCell ref="K58:L58"/>
    <mergeCell ref="G56:H56"/>
    <mergeCell ref="K55:L55"/>
    <mergeCell ref="I61:J61"/>
    <mergeCell ref="I57:J57"/>
    <mergeCell ref="K46:L46"/>
    <mergeCell ref="K44:L44"/>
    <mergeCell ref="K53:L53"/>
    <mergeCell ref="K47:L47"/>
    <mergeCell ref="B7:D8"/>
    <mergeCell ref="E7:F7"/>
    <mergeCell ref="F118:G118"/>
    <mergeCell ref="F120:G120"/>
    <mergeCell ref="B62:D62"/>
    <mergeCell ref="B58:D58"/>
    <mergeCell ref="B59:D59"/>
    <mergeCell ref="E38:F38"/>
    <mergeCell ref="B63:D63"/>
    <mergeCell ref="E56:F56"/>
    <mergeCell ref="G37:H37"/>
    <mergeCell ref="D116:E116"/>
    <mergeCell ref="H120:I120"/>
    <mergeCell ref="I58:J58"/>
    <mergeCell ref="E57:F57"/>
    <mergeCell ref="B57:D57"/>
    <mergeCell ref="E61:F61"/>
    <mergeCell ref="E58:F58"/>
    <mergeCell ref="G58:H58"/>
    <mergeCell ref="H117:I117"/>
    <mergeCell ref="J116:K116"/>
    <mergeCell ref="K57:L57"/>
    <mergeCell ref="G62:H62"/>
    <mergeCell ref="I62:J62"/>
    <mergeCell ref="F122:G122"/>
    <mergeCell ref="J121:K121"/>
    <mergeCell ref="J125:K125"/>
    <mergeCell ref="H121:I121"/>
    <mergeCell ref="F121:G121"/>
    <mergeCell ref="H125:I125"/>
    <mergeCell ref="H122:I122"/>
    <mergeCell ref="F124:G124"/>
    <mergeCell ref="H124:I124"/>
    <mergeCell ref="H123:I123"/>
    <mergeCell ref="J124:K124"/>
    <mergeCell ref="J122:K122"/>
    <mergeCell ref="D121:E121"/>
    <mergeCell ref="H115:I115"/>
    <mergeCell ref="H116:I116"/>
    <mergeCell ref="F114:G114"/>
    <mergeCell ref="J117:K117"/>
    <mergeCell ref="J129:K129"/>
    <mergeCell ref="J128:K128"/>
    <mergeCell ref="F127:G127"/>
    <mergeCell ref="H127:I127"/>
    <mergeCell ref="J127:K127"/>
    <mergeCell ref="H129:I129"/>
    <mergeCell ref="H128:I128"/>
    <mergeCell ref="F128:G128"/>
    <mergeCell ref="F129:G129"/>
    <mergeCell ref="F126:G126"/>
    <mergeCell ref="H126:I126"/>
    <mergeCell ref="J126:K126"/>
    <mergeCell ref="H118:I118"/>
    <mergeCell ref="J118:K118"/>
    <mergeCell ref="J114:K114"/>
    <mergeCell ref="F125:G125"/>
    <mergeCell ref="H119:I119"/>
    <mergeCell ref="J119:K119"/>
    <mergeCell ref="F119:G119"/>
    <mergeCell ref="I37:J37"/>
    <mergeCell ref="J120:K120"/>
    <mergeCell ref="D122:E122"/>
    <mergeCell ref="C123:E124"/>
    <mergeCell ref="F123:G123"/>
    <mergeCell ref="J123:K123"/>
    <mergeCell ref="C26:D26"/>
    <mergeCell ref="B80:D80"/>
    <mergeCell ref="E80:I80"/>
    <mergeCell ref="J80:L80"/>
    <mergeCell ref="B47:D47"/>
    <mergeCell ref="G61:H61"/>
    <mergeCell ref="B53:D53"/>
    <mergeCell ref="E37:F37"/>
    <mergeCell ref="E59:F59"/>
    <mergeCell ref="G59:H59"/>
    <mergeCell ref="I59:J59"/>
    <mergeCell ref="K59:L59"/>
    <mergeCell ref="B55:D55"/>
    <mergeCell ref="B56:D56"/>
    <mergeCell ref="B61:D61"/>
    <mergeCell ref="E55:F55"/>
    <mergeCell ref="G55:H55"/>
    <mergeCell ref="I55:J55"/>
    <mergeCell ref="A7:A8"/>
    <mergeCell ref="L5:N5"/>
    <mergeCell ref="I5:K5"/>
    <mergeCell ref="E60:F60"/>
    <mergeCell ref="E63:F63"/>
    <mergeCell ref="G63:H63"/>
    <mergeCell ref="I63:J63"/>
    <mergeCell ref="K63:L63"/>
    <mergeCell ref="K61:L61"/>
    <mergeCell ref="E62:F62"/>
    <mergeCell ref="G45:H45"/>
    <mergeCell ref="G44:H44"/>
    <mergeCell ref="I44:J44"/>
    <mergeCell ref="M7:N7"/>
    <mergeCell ref="M8:N8"/>
    <mergeCell ref="M33:N33"/>
    <mergeCell ref="M37:N37"/>
    <mergeCell ref="M38:N38"/>
    <mergeCell ref="M39:N39"/>
    <mergeCell ref="E8:F8"/>
    <mergeCell ref="E33:F33"/>
    <mergeCell ref="K43:L43"/>
    <mergeCell ref="K37:L37"/>
    <mergeCell ref="G36:N36"/>
  </mergeCells>
  <printOptions horizontalCentered="1" verticalCentered="1"/>
  <pageMargins left="0.25" right="0.25" top="0.75" bottom="0.75" header="0.3" footer="0.3"/>
  <pageSetup paperSize="9" orientation="landscape" verticalDpi="4" r:id="rId1"/>
  <colBreaks count="1" manualBreakCount="1">
    <brk id="14" min="1"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152A1"/>
  </sheetPr>
  <dimension ref="A2:BP157"/>
  <sheetViews>
    <sheetView showGridLines="0" showZeros="0" zoomScale="115" zoomScaleNormal="115" workbookViewId="0">
      <selection activeCell="F6" sqref="F6"/>
    </sheetView>
  </sheetViews>
  <sheetFormatPr defaultRowHeight="12.75" x14ac:dyDescent="0.2"/>
  <cols>
    <col min="2" max="2" width="5.140625" customWidth="1"/>
    <col min="3" max="3" width="4.28515625" customWidth="1"/>
    <col min="4" max="4" width="33.140625" customWidth="1"/>
    <col min="5" max="5" width="6" customWidth="1"/>
    <col min="6" max="6" width="7.28515625" style="40" customWidth="1"/>
    <col min="7" max="19" width="10" customWidth="1"/>
    <col min="20" max="20" width="9.28515625" customWidth="1"/>
    <col min="21" max="21" width="11.7109375" style="225" customWidth="1"/>
    <col min="22" max="22" width="6.5703125" style="225" customWidth="1"/>
    <col min="23" max="23" width="3.5703125" customWidth="1"/>
    <col min="24" max="24" width="8.85546875" hidden="1" customWidth="1"/>
    <col min="25" max="25" width="8.5703125" hidden="1" customWidth="1"/>
    <col min="26" max="26" width="7.7109375" hidden="1" customWidth="1"/>
    <col min="27" max="28" width="8.7109375" hidden="1" customWidth="1"/>
    <col min="29" max="29" width="6.7109375" hidden="1" customWidth="1"/>
    <col min="30" max="32" width="8.7109375" hidden="1" customWidth="1"/>
    <col min="33" max="48" width="8.85546875" hidden="1" customWidth="1"/>
    <col min="49" max="49" width="11.42578125" hidden="1" customWidth="1"/>
    <col min="50" max="50" width="8.85546875" hidden="1" customWidth="1"/>
    <col min="51" max="51" width="13.28515625" hidden="1" customWidth="1"/>
    <col min="52" max="53" width="8.85546875" customWidth="1"/>
    <col min="69" max="69" width="2.28515625" customWidth="1"/>
  </cols>
  <sheetData>
    <row r="2" spans="1:66" ht="6" customHeight="1" x14ac:dyDescent="0.2"/>
    <row r="3" spans="1:66" ht="12" customHeight="1" x14ac:dyDescent="0.2"/>
    <row r="4" spans="1:66" ht="18" customHeight="1" x14ac:dyDescent="0.2">
      <c r="B4" s="2449" t="s">
        <v>782</v>
      </c>
      <c r="C4" s="2449"/>
    </row>
    <row r="5" spans="1:66" ht="13.35" customHeight="1" x14ac:dyDescent="0.2"/>
    <row r="6" spans="1:66" ht="15.75" customHeight="1" x14ac:dyDescent="0.3">
      <c r="B6" s="88" t="s">
        <v>808</v>
      </c>
      <c r="C6" s="99"/>
      <c r="D6" s="100"/>
      <c r="G6" s="1680">
        <v>1</v>
      </c>
      <c r="H6" s="2443" t="s">
        <v>736</v>
      </c>
      <c r="I6" s="2443"/>
      <c r="J6" s="2443"/>
      <c r="K6" s="1830">
        <f>'1. T1 INVESTMENT PLAN'!E16</f>
        <v>2027</v>
      </c>
      <c r="M6" s="159"/>
      <c r="O6" s="2450" t="s">
        <v>279</v>
      </c>
      <c r="P6" s="2450"/>
      <c r="Q6" s="2450"/>
      <c r="R6" s="99"/>
      <c r="S6" s="99"/>
    </row>
    <row r="7" spans="1:66" ht="14.65" customHeight="1" x14ac:dyDescent="0.3">
      <c r="B7" s="160"/>
      <c r="C7" s="99"/>
      <c r="D7" s="100"/>
      <c r="E7" s="100"/>
      <c r="F7" s="128"/>
      <c r="G7" s="128"/>
      <c r="H7" s="158"/>
      <c r="I7" s="101"/>
      <c r="J7" s="2466"/>
      <c r="K7" s="2466"/>
      <c r="L7" s="2466"/>
      <c r="M7" s="2466"/>
      <c r="O7" s="2467"/>
      <c r="P7" s="2467"/>
      <c r="Q7" s="2467"/>
      <c r="R7" s="99"/>
      <c r="S7" s="99"/>
      <c r="U7" s="225">
        <v>0</v>
      </c>
      <c r="BA7" s="2475" t="str">
        <f>B6</f>
        <v>T5 CASH BUDGET</v>
      </c>
      <c r="BB7" s="2475"/>
      <c r="BC7" s="2475"/>
      <c r="BF7" s="338" t="str">
        <f>H6</f>
        <v>FORECAST YEAR</v>
      </c>
      <c r="BG7" s="1681">
        <f>K6</f>
        <v>2027</v>
      </c>
      <c r="BK7" s="24" t="str">
        <f>O6</f>
        <v>1/20XX - 12/20XX</v>
      </c>
    </row>
    <row r="8" spans="1:66" ht="13.5" customHeight="1" x14ac:dyDescent="0.25">
      <c r="B8" s="2145">
        <f>B65</f>
        <v>0</v>
      </c>
      <c r="C8" s="2145"/>
      <c r="D8" s="2145"/>
      <c r="E8" s="2145"/>
      <c r="F8" s="2145"/>
      <c r="G8" s="102"/>
      <c r="H8" s="102"/>
      <c r="I8" s="102"/>
      <c r="J8" s="102"/>
      <c r="K8" s="102"/>
      <c r="L8" s="102"/>
      <c r="M8" s="102"/>
      <c r="O8" s="2451"/>
      <c r="P8" s="2451"/>
      <c r="Q8" s="2451"/>
      <c r="R8" s="102"/>
      <c r="S8" s="103"/>
      <c r="U8" s="2173"/>
      <c r="V8" s="2173"/>
      <c r="W8" s="2173"/>
      <c r="X8" s="2173"/>
      <c r="BA8" s="88"/>
      <c r="BB8" s="88"/>
      <c r="BC8" s="88"/>
      <c r="BE8" s="24"/>
      <c r="BK8" s="24"/>
    </row>
    <row r="9" spans="1:66" ht="11.25" customHeight="1" x14ac:dyDescent="0.2">
      <c r="B9" s="102"/>
      <c r="C9" s="102"/>
      <c r="G9" s="102"/>
      <c r="H9" s="102"/>
      <c r="I9" s="102"/>
      <c r="J9" s="102"/>
      <c r="K9" s="102"/>
      <c r="L9" s="102"/>
      <c r="M9" s="102"/>
      <c r="N9" s="1585"/>
      <c r="O9" s="1585"/>
      <c r="P9" s="1585"/>
      <c r="Q9" s="102"/>
      <c r="R9" s="102"/>
      <c r="S9" s="103"/>
      <c r="BA9" s="109"/>
      <c r="BC9" s="40"/>
    </row>
    <row r="10" spans="1:66" ht="16.5" customHeight="1" thickBot="1" x14ac:dyDescent="0.3">
      <c r="A10" s="53"/>
      <c r="B10" s="1831"/>
      <c r="C10" s="2463" t="s">
        <v>729</v>
      </c>
      <c r="D10" s="2463"/>
      <c r="E10" s="2463"/>
      <c r="F10" s="1836"/>
      <c r="G10" s="1828" t="s">
        <v>762</v>
      </c>
      <c r="H10" s="1828" t="s">
        <v>763</v>
      </c>
      <c r="I10" s="1828" t="s">
        <v>764</v>
      </c>
      <c r="J10" s="1828" t="s">
        <v>765</v>
      </c>
      <c r="K10" s="1828" t="s">
        <v>766</v>
      </c>
      <c r="L10" s="1828" t="s">
        <v>767</v>
      </c>
      <c r="M10" s="1828" t="s">
        <v>768</v>
      </c>
      <c r="N10" s="1828" t="s">
        <v>769</v>
      </c>
      <c r="O10" s="1828" t="s">
        <v>770</v>
      </c>
      <c r="P10" s="1828" t="s">
        <v>771</v>
      </c>
      <c r="Q10" s="1828" t="s">
        <v>772</v>
      </c>
      <c r="R10" s="1828" t="s">
        <v>773</v>
      </c>
      <c r="S10" s="1587" t="s">
        <v>408</v>
      </c>
      <c r="X10" s="2491" t="s">
        <v>292</v>
      </c>
      <c r="Y10" s="2491"/>
      <c r="Z10" s="2491"/>
      <c r="AA10" s="1059"/>
      <c r="AB10" s="1059"/>
      <c r="AC10" s="1059"/>
      <c r="AD10" s="1059"/>
      <c r="AE10" s="1059"/>
      <c r="AF10" s="1059"/>
      <c r="AG10" s="2165" t="s">
        <v>0</v>
      </c>
      <c r="AH10" s="2165"/>
      <c r="AI10" s="2165"/>
      <c r="AJ10" s="339"/>
      <c r="BA10" s="2">
        <f>'1. T1 INVESTMENT PLAN'!B7</f>
        <v>0</v>
      </c>
      <c r="BB10" s="162"/>
      <c r="BC10" s="1637"/>
      <c r="BD10" s="162"/>
      <c r="BG10" s="24"/>
      <c r="BH10" s="24"/>
      <c r="BI10" s="24"/>
      <c r="BJ10" s="24"/>
      <c r="BL10" s="24"/>
      <c r="BM10" s="24"/>
      <c r="BN10" s="162"/>
    </row>
    <row r="11" spans="1:66" ht="12" customHeight="1" x14ac:dyDescent="0.2">
      <c r="B11" s="2468">
        <v>1</v>
      </c>
      <c r="C11" s="2470" t="s">
        <v>730</v>
      </c>
      <c r="D11" s="2471"/>
      <c r="E11" s="2471"/>
      <c r="F11" s="2472"/>
      <c r="G11" s="1382">
        <f>'1. T1 INVESTMENT PLAN'!E48+'1. T1 INVESTMENT PLAN'!E49+'1. T1 INVESTMENT PLAN'!E51+'1. T1 INVESTMENT PLAN'!E52</f>
        <v>0</v>
      </c>
      <c r="H11" s="639">
        <f>G59</f>
        <v>0</v>
      </c>
      <c r="I11" s="639">
        <f t="shared" ref="I11:R11" si="0">H59</f>
        <v>0</v>
      </c>
      <c r="J11" s="639">
        <f t="shared" si="0"/>
        <v>0</v>
      </c>
      <c r="K11" s="639">
        <f t="shared" si="0"/>
        <v>0</v>
      </c>
      <c r="L11" s="639">
        <f t="shared" si="0"/>
        <v>0</v>
      </c>
      <c r="M11" s="639">
        <f t="shared" si="0"/>
        <v>0</v>
      </c>
      <c r="N11" s="639">
        <f t="shared" si="0"/>
        <v>0</v>
      </c>
      <c r="O11" s="639">
        <f t="shared" si="0"/>
        <v>0</v>
      </c>
      <c r="P11" s="639">
        <f t="shared" si="0"/>
        <v>0</v>
      </c>
      <c r="Q11" s="639">
        <f t="shared" si="0"/>
        <v>0</v>
      </c>
      <c r="R11" s="639">
        <f t="shared" si="0"/>
        <v>0</v>
      </c>
      <c r="S11" s="639"/>
      <c r="X11" s="1059"/>
      <c r="Y11" s="1059"/>
      <c r="Z11" s="1059"/>
      <c r="AA11" s="1059"/>
      <c r="AB11" s="1059"/>
      <c r="AC11" s="1059"/>
      <c r="AD11" s="1059"/>
      <c r="AE11" s="1059"/>
      <c r="AF11" s="1059"/>
      <c r="BC11" s="40"/>
    </row>
    <row r="12" spans="1:66" ht="12" customHeight="1" x14ac:dyDescent="0.2">
      <c r="B12" s="2469"/>
      <c r="C12" s="1612" t="s">
        <v>876</v>
      </c>
      <c r="D12" s="1613"/>
      <c r="E12" s="1613"/>
      <c r="F12" s="1614"/>
      <c r="G12" s="633">
        <f>'AT Kassa'!C11</f>
        <v>0</v>
      </c>
      <c r="H12" s="633">
        <f>'AT Kassa'!D11</f>
        <v>0</v>
      </c>
      <c r="I12" s="633">
        <f>'AT Kassa'!E11</f>
        <v>0</v>
      </c>
      <c r="J12" s="633">
        <f>'AT Kassa'!F11</f>
        <v>0</v>
      </c>
      <c r="K12" s="633">
        <f>'AT Kassa'!G11</f>
        <v>0</v>
      </c>
      <c r="L12" s="633">
        <f>'AT Kassa'!H11</f>
        <v>0</v>
      </c>
      <c r="M12" s="640"/>
      <c r="N12" s="640"/>
      <c r="O12" s="640"/>
      <c r="P12" s="640"/>
      <c r="Q12" s="640"/>
      <c r="R12" s="640"/>
      <c r="S12" s="1588">
        <f>SUM(G12:R12)</f>
        <v>0</v>
      </c>
      <c r="U12" s="225">
        <v>0</v>
      </c>
      <c r="X12" s="1059"/>
      <c r="Y12" s="1059"/>
      <c r="Z12" s="1059"/>
      <c r="AA12" s="1059"/>
      <c r="AB12" s="1059"/>
      <c r="AC12" s="1059"/>
      <c r="AD12" s="1059"/>
      <c r="AE12" s="1059"/>
      <c r="AF12" s="1059"/>
      <c r="BC12" s="40"/>
    </row>
    <row r="13" spans="1:66" ht="13.9" customHeight="1" x14ac:dyDescent="0.2">
      <c r="A13" s="53"/>
      <c r="B13" s="1589">
        <v>2</v>
      </c>
      <c r="C13" s="2414" t="s">
        <v>731</v>
      </c>
      <c r="D13" s="2416"/>
      <c r="E13" s="1617">
        <v>0.5</v>
      </c>
      <c r="F13" s="1568">
        <v>25.5</v>
      </c>
      <c r="G13" s="634">
        <f t="shared" ref="G13:Q13" si="1">G14*$S13</f>
        <v>0</v>
      </c>
      <c r="H13" s="634">
        <f t="shared" si="1"/>
        <v>0</v>
      </c>
      <c r="I13" s="634">
        <f t="shared" si="1"/>
        <v>0</v>
      </c>
      <c r="J13" s="634">
        <f t="shared" si="1"/>
        <v>0</v>
      </c>
      <c r="K13" s="634">
        <f t="shared" si="1"/>
        <v>0</v>
      </c>
      <c r="L13" s="634">
        <f t="shared" si="1"/>
        <v>0</v>
      </c>
      <c r="M13" s="634">
        <f t="shared" si="1"/>
        <v>0</v>
      </c>
      <c r="N13" s="634">
        <f t="shared" si="1"/>
        <v>0</v>
      </c>
      <c r="O13" s="634">
        <f t="shared" si="1"/>
        <v>0</v>
      </c>
      <c r="P13" s="634">
        <f t="shared" si="1"/>
        <v>0</v>
      </c>
      <c r="Q13" s="634">
        <f t="shared" si="1"/>
        <v>0</v>
      </c>
      <c r="R13" s="634">
        <f>R14*$S13</f>
        <v>0</v>
      </c>
      <c r="S13" s="1590">
        <f>IF(G6=2,E13*('4. E2 TURNOVER'!F10+'4. E2 TURNOVER'!F13),E13*('4. E2 TURNOVER'!E10+'4. E2 TURNOVER'!E13))</f>
        <v>0</v>
      </c>
      <c r="X13" s="1059"/>
      <c r="Y13" s="1059"/>
      <c r="Z13" s="1059"/>
      <c r="AA13" s="1059"/>
      <c r="AB13" s="1059"/>
      <c r="AC13" s="1059"/>
      <c r="AD13" s="1059"/>
      <c r="AE13" s="1059"/>
      <c r="AF13" s="1059"/>
      <c r="BC13" s="40"/>
    </row>
    <row r="14" spans="1:66" ht="12" customHeight="1" x14ac:dyDescent="0.2">
      <c r="A14" s="2"/>
      <c r="B14" s="528"/>
      <c r="C14" s="1618"/>
      <c r="D14" s="2423" t="s">
        <v>734</v>
      </c>
      <c r="E14" s="2423"/>
      <c r="F14" s="2424"/>
      <c r="G14" s="635">
        <v>0.04</v>
      </c>
      <c r="H14" s="635">
        <v>0.05</v>
      </c>
      <c r="I14" s="635">
        <v>0.06</v>
      </c>
      <c r="J14" s="635">
        <v>7.0000000000000007E-2</v>
      </c>
      <c r="K14" s="635">
        <v>0.08</v>
      </c>
      <c r="L14" s="635">
        <v>0.1</v>
      </c>
      <c r="M14" s="635">
        <v>0.1</v>
      </c>
      <c r="N14" s="635">
        <v>0.1</v>
      </c>
      <c r="O14" s="635">
        <v>0.1</v>
      </c>
      <c r="P14" s="635">
        <v>0.1</v>
      </c>
      <c r="Q14" s="635">
        <v>0.1</v>
      </c>
      <c r="R14" s="635">
        <v>0.1</v>
      </c>
      <c r="S14" s="1591">
        <f>SUM(G14:R14)</f>
        <v>0.99999999999999989</v>
      </c>
      <c r="T14" s="201" t="str">
        <f>IF(E13=0," ",IF(S14=100%," ","VIRHE!"))</f>
        <v xml:space="preserve"> </v>
      </c>
      <c r="X14" s="1059"/>
      <c r="Y14" s="1059"/>
      <c r="Z14" s="1059"/>
      <c r="AA14" s="1059"/>
      <c r="AB14" s="1059"/>
      <c r="AC14" s="1059"/>
      <c r="AD14" s="1059"/>
      <c r="AE14" s="1059"/>
      <c r="AF14" s="1059"/>
      <c r="BC14" s="40"/>
    </row>
    <row r="15" spans="1:66" ht="15" customHeight="1" x14ac:dyDescent="0.2">
      <c r="A15" s="53"/>
      <c r="B15" s="528">
        <v>3</v>
      </c>
      <c r="C15" s="2414" t="s">
        <v>732</v>
      </c>
      <c r="D15" s="2423"/>
      <c r="E15" s="2424"/>
      <c r="F15" s="1620">
        <v>25.5</v>
      </c>
      <c r="G15" s="634">
        <f>G16*$S15</f>
        <v>0</v>
      </c>
      <c r="H15" s="634">
        <f>H16*$S15</f>
        <v>0</v>
      </c>
      <c r="I15" s="634">
        <f t="shared" ref="I15:R15" si="2">I16*$S15</f>
        <v>0</v>
      </c>
      <c r="J15" s="634">
        <f t="shared" si="2"/>
        <v>0</v>
      </c>
      <c r="K15" s="634">
        <f t="shared" si="2"/>
        <v>0</v>
      </c>
      <c r="L15" s="634">
        <f t="shared" si="2"/>
        <v>0</v>
      </c>
      <c r="M15" s="634">
        <f t="shared" si="2"/>
        <v>0</v>
      </c>
      <c r="N15" s="634">
        <f t="shared" si="2"/>
        <v>0</v>
      </c>
      <c r="O15" s="634">
        <f t="shared" si="2"/>
        <v>0</v>
      </c>
      <c r="P15" s="634">
        <f t="shared" si="2"/>
        <v>0</v>
      </c>
      <c r="Q15" s="634">
        <f t="shared" si="2"/>
        <v>0</v>
      </c>
      <c r="R15" s="634">
        <f t="shared" si="2"/>
        <v>0</v>
      </c>
      <c r="S15" s="1590">
        <f>IF(G6=2,('4. E2 TURNOVER'!F10+'4. E2 TURNOVER'!F13)-S13,'4. E2 TURNOVER'!E10+'4. E2 TURNOVER'!E13-S13)</f>
        <v>0</v>
      </c>
      <c r="U15" s="231"/>
      <c r="V15" s="231"/>
      <c r="X15" s="1059"/>
      <c r="Y15" s="1059"/>
      <c r="Z15" s="1059"/>
      <c r="AA15" s="1059"/>
      <c r="AB15" s="1059"/>
      <c r="AC15" s="1059"/>
      <c r="AD15" s="1059"/>
      <c r="AE15" s="1059"/>
      <c r="AF15" s="1059"/>
      <c r="BC15" s="40"/>
    </row>
    <row r="16" spans="1:66" ht="12" customHeight="1" x14ac:dyDescent="0.2">
      <c r="B16" s="528"/>
      <c r="C16" s="1618"/>
      <c r="D16" s="2423" t="s">
        <v>734</v>
      </c>
      <c r="E16" s="2423"/>
      <c r="F16" s="2424"/>
      <c r="G16" s="635">
        <v>0.04</v>
      </c>
      <c r="H16" s="635">
        <v>0.05</v>
      </c>
      <c r="I16" s="635">
        <v>0.06</v>
      </c>
      <c r="J16" s="635">
        <v>7.0000000000000007E-2</v>
      </c>
      <c r="K16" s="635">
        <v>0.08</v>
      </c>
      <c r="L16" s="635">
        <v>0.1</v>
      </c>
      <c r="M16" s="635">
        <v>0.1</v>
      </c>
      <c r="N16" s="635">
        <v>0.1</v>
      </c>
      <c r="O16" s="635">
        <v>0.1</v>
      </c>
      <c r="P16" s="635">
        <v>0.1</v>
      </c>
      <c r="Q16" s="635">
        <v>0.1</v>
      </c>
      <c r="R16" s="635">
        <v>0.1</v>
      </c>
      <c r="S16" s="1591">
        <f>SUM(G16:R16)</f>
        <v>0.99999999999999989</v>
      </c>
      <c r="T16" s="201" t="str">
        <f>IF(E13=100%," ",IF(S16=100%," ","VIRHE!"))</f>
        <v xml:space="preserve"> </v>
      </c>
      <c r="X16" s="1059"/>
      <c r="Y16" s="1059"/>
      <c r="Z16" s="1059"/>
      <c r="AA16" s="1059"/>
      <c r="AB16" s="1059"/>
      <c r="AC16" s="1059"/>
      <c r="AD16" s="1059"/>
      <c r="AE16" s="1059"/>
      <c r="AF16" s="1059"/>
      <c r="BC16" s="40"/>
    </row>
    <row r="17" spans="1:67" ht="12" customHeight="1" thickBot="1" x14ac:dyDescent="0.25">
      <c r="A17" s="53"/>
      <c r="B17" s="528"/>
      <c r="C17" s="1618"/>
      <c r="D17" s="1619" t="s">
        <v>733</v>
      </c>
      <c r="E17" s="1621">
        <v>14</v>
      </c>
      <c r="F17" s="1622" t="s">
        <v>807</v>
      </c>
      <c r="G17" s="634">
        <f>'AT Kassa'!C33</f>
        <v>0</v>
      </c>
      <c r="H17" s="634">
        <f>'AT Kassa'!D33</f>
        <v>0</v>
      </c>
      <c r="I17" s="634">
        <f>'AT Kassa'!E33</f>
        <v>0</v>
      </c>
      <c r="J17" s="634">
        <f>'AT Kassa'!F33</f>
        <v>0</v>
      </c>
      <c r="K17" s="634">
        <f>'AT Kassa'!G33</f>
        <v>0</v>
      </c>
      <c r="L17" s="634">
        <f>'AT Kassa'!H33</f>
        <v>0</v>
      </c>
      <c r="M17" s="634">
        <f>'AT Kassa'!I33</f>
        <v>0</v>
      </c>
      <c r="N17" s="634">
        <f>'AT Kassa'!J33</f>
        <v>0</v>
      </c>
      <c r="O17" s="634">
        <f>'AT Kassa'!K33</f>
        <v>0</v>
      </c>
      <c r="P17" s="634">
        <f>'AT Kassa'!L33</f>
        <v>0</v>
      </c>
      <c r="Q17" s="634">
        <f>'AT Kassa'!M33</f>
        <v>0</v>
      </c>
      <c r="R17" s="634">
        <f>'AT Kassa'!N33</f>
        <v>0</v>
      </c>
      <c r="S17" s="1590">
        <f>SUM(G17:R17)</f>
        <v>0</v>
      </c>
      <c r="X17" s="131"/>
      <c r="Y17" s="131"/>
      <c r="Z17" s="131"/>
      <c r="AA17" s="131"/>
      <c r="AB17" s="131"/>
      <c r="AC17" s="131"/>
      <c r="AD17" s="131"/>
      <c r="AE17" s="131"/>
      <c r="AF17" s="131"/>
      <c r="AG17" s="4"/>
      <c r="AH17" s="4"/>
      <c r="AI17" s="4"/>
      <c r="AJ17" s="4"/>
      <c r="AK17" s="4"/>
      <c r="AL17" s="4"/>
      <c r="AM17" s="4"/>
      <c r="AN17" s="4"/>
      <c r="AO17" s="4"/>
      <c r="BC17" s="40"/>
    </row>
    <row r="18" spans="1:67" ht="12" customHeight="1" x14ac:dyDescent="0.2">
      <c r="A18" s="53"/>
      <c r="B18" s="528">
        <v>4</v>
      </c>
      <c r="C18" s="2420" t="s">
        <v>735</v>
      </c>
      <c r="D18" s="2421"/>
      <c r="E18" s="2422"/>
      <c r="F18" s="1620">
        <v>25.5</v>
      </c>
      <c r="G18" s="636">
        <f>-'5. T4 FINANCING PLAN'!$G$58%*'8. T5 CASH BUDGET'!G15</f>
        <v>0</v>
      </c>
      <c r="H18" s="636">
        <f>-'5. T4 FINANCING PLAN'!$G$58%*'8. T5 CASH BUDGET'!H15</f>
        <v>0</v>
      </c>
      <c r="I18" s="636">
        <f>-'5. T4 FINANCING PLAN'!$G$58%*'8. T5 CASH BUDGET'!I15</f>
        <v>0</v>
      </c>
      <c r="J18" s="636">
        <f>-'5. T4 FINANCING PLAN'!$G$58%*'8. T5 CASH BUDGET'!J15</f>
        <v>0</v>
      </c>
      <c r="K18" s="636">
        <f>-'5. T4 FINANCING PLAN'!$G$58%*'8. T5 CASH BUDGET'!K15</f>
        <v>0</v>
      </c>
      <c r="L18" s="636">
        <f>-'5. T4 FINANCING PLAN'!$G$58%*'8. T5 CASH BUDGET'!L15</f>
        <v>0</v>
      </c>
      <c r="M18" s="636">
        <f>-'5. T4 FINANCING PLAN'!$G$58%*'8. T5 CASH BUDGET'!M15</f>
        <v>0</v>
      </c>
      <c r="N18" s="636">
        <f>-'5. T4 FINANCING PLAN'!$G$58%*'8. T5 CASH BUDGET'!N15</f>
        <v>0</v>
      </c>
      <c r="O18" s="636">
        <f>-'5. T4 FINANCING PLAN'!$G$58%*'8. T5 CASH BUDGET'!O15</f>
        <v>0</v>
      </c>
      <c r="P18" s="636">
        <f>-'5. T4 FINANCING PLAN'!$G$58%*'8. T5 CASH BUDGET'!P15</f>
        <v>0</v>
      </c>
      <c r="Q18" s="636">
        <f>-'5. T4 FINANCING PLAN'!$G$58%*'8. T5 CASH BUDGET'!Q15</f>
        <v>0</v>
      </c>
      <c r="R18" s="636">
        <f>-'5. T4 FINANCING PLAN'!$G$58%*'8. T5 CASH BUDGET'!R15</f>
        <v>0</v>
      </c>
      <c r="S18" s="1590">
        <f>SUM(G18:R18)</f>
        <v>0</v>
      </c>
      <c r="U18" s="2444" t="s">
        <v>776</v>
      </c>
      <c r="V18" s="1091"/>
      <c r="W18">
        <v>0</v>
      </c>
      <c r="X18" s="131"/>
      <c r="Y18" s="131"/>
      <c r="Z18" s="131"/>
      <c r="AA18" s="131"/>
      <c r="AB18" s="131"/>
      <c r="AC18" s="131"/>
      <c r="AD18" s="131"/>
      <c r="AE18" s="131"/>
      <c r="AF18" s="131"/>
      <c r="AG18" s="4"/>
      <c r="AH18" s="4"/>
      <c r="AI18" s="4"/>
      <c r="AJ18" s="4"/>
      <c r="AK18" s="4"/>
      <c r="AL18" s="4"/>
      <c r="AM18" s="4"/>
      <c r="AN18" s="4"/>
      <c r="AO18" s="4"/>
      <c r="BC18" s="40"/>
    </row>
    <row r="19" spans="1:67" ht="12" customHeight="1" thickBot="1" x14ac:dyDescent="0.25">
      <c r="B19" s="1592">
        <v>5</v>
      </c>
      <c r="C19" s="2460" t="s">
        <v>857</v>
      </c>
      <c r="D19" s="2461"/>
      <c r="E19" s="2462"/>
      <c r="F19" s="1623"/>
      <c r="G19" s="1692">
        <f>'3. E1 OPERATING COSTS'!$D$30/12</f>
        <v>0</v>
      </c>
      <c r="H19" s="1692">
        <f>'3. E1 OPERATING COSTS'!$D$30/12</f>
        <v>0</v>
      </c>
      <c r="I19" s="1692">
        <f>'3. E1 OPERATING COSTS'!$D$30/12</f>
        <v>0</v>
      </c>
      <c r="J19" s="1692">
        <f>'3. E1 OPERATING COSTS'!$D$30/12</f>
        <v>0</v>
      </c>
      <c r="K19" s="1692">
        <f>'3. E1 OPERATING COSTS'!$D$30/12</f>
        <v>0</v>
      </c>
      <c r="L19" s="1692">
        <f>'3. E1 OPERATING COSTS'!$D$30/12</f>
        <v>0</v>
      </c>
      <c r="M19" s="1692">
        <f>'3. E1 OPERATING COSTS'!$D$30/12+'1. T1 INVESTMENT PLAN'!E61</f>
        <v>0</v>
      </c>
      <c r="N19" s="1692">
        <f>'3. E1 OPERATING COSTS'!$D$30/12</f>
        <v>0</v>
      </c>
      <c r="O19" s="1692">
        <f>'3. E1 OPERATING COSTS'!$D$30/12</f>
        <v>0</v>
      </c>
      <c r="P19" s="1692">
        <f>'3. E1 OPERATING COSTS'!$D$30/12</f>
        <v>0</v>
      </c>
      <c r="Q19" s="1692">
        <f>'3. E1 OPERATING COSTS'!$D$30/12</f>
        <v>0</v>
      </c>
      <c r="R19" s="1692">
        <f>'3. E1 OPERATING COSTS'!$D$30/12</f>
        <v>0</v>
      </c>
      <c r="S19" s="1593">
        <f>SUM(G19:R19)</f>
        <v>0</v>
      </c>
      <c r="U19" s="2445"/>
      <c r="V19" s="1091"/>
      <c r="W19" s="53"/>
      <c r="X19" s="152"/>
      <c r="Y19" s="152"/>
      <c r="Z19" s="152"/>
      <c r="AA19" s="152"/>
      <c r="AB19" s="152"/>
      <c r="AC19" s="152"/>
      <c r="AD19" s="152"/>
      <c r="AE19" s="152"/>
      <c r="AF19" s="152"/>
      <c r="AG19" s="164"/>
      <c r="AH19" s="164"/>
      <c r="AI19" s="164"/>
      <c r="AJ19" s="164"/>
      <c r="AK19" s="164"/>
      <c r="AL19" s="164"/>
      <c r="AM19" s="164"/>
      <c r="AN19" s="164"/>
      <c r="AO19" s="164"/>
      <c r="AP19" s="53"/>
      <c r="AQ19" s="53"/>
      <c r="BC19" s="40"/>
    </row>
    <row r="20" spans="1:67" ht="12.75" customHeight="1" thickTop="1" x14ac:dyDescent="0.2">
      <c r="A20" s="53"/>
      <c r="B20" s="1594"/>
      <c r="C20" s="2452" t="s">
        <v>719</v>
      </c>
      <c r="D20" s="2453"/>
      <c r="E20" s="2454"/>
      <c r="F20" s="1595"/>
      <c r="G20" s="1596">
        <f>G13+G17+G19+G18</f>
        <v>0</v>
      </c>
      <c r="H20" s="1596">
        <f t="shared" ref="H20:Q20" si="3">H13+H17+H19+H18</f>
        <v>0</v>
      </c>
      <c r="I20" s="1596">
        <f t="shared" si="3"/>
        <v>0</v>
      </c>
      <c r="J20" s="1596">
        <f t="shared" si="3"/>
        <v>0</v>
      </c>
      <c r="K20" s="1596">
        <f t="shared" si="3"/>
        <v>0</v>
      </c>
      <c r="L20" s="1596">
        <f>L13+L17+L19+L18</f>
        <v>0</v>
      </c>
      <c r="M20" s="1596">
        <f>M13+M17+M19+M18</f>
        <v>0</v>
      </c>
      <c r="N20" s="1596">
        <f>N13+N17+N19+N18</f>
        <v>0</v>
      </c>
      <c r="O20" s="1596">
        <f t="shared" si="3"/>
        <v>0</v>
      </c>
      <c r="P20" s="1596">
        <f>P13+P17+P19+P18</f>
        <v>0</v>
      </c>
      <c r="Q20" s="1596">
        <f t="shared" si="3"/>
        <v>0</v>
      </c>
      <c r="R20" s="1596">
        <f>R13+R17+R19+R18</f>
        <v>0</v>
      </c>
      <c r="S20" s="1597">
        <f>SUM(G20:R20)</f>
        <v>0</v>
      </c>
      <c r="U20" s="2445"/>
      <c r="V20" s="1091"/>
      <c r="W20" s="53"/>
      <c r="X20" s="2448" t="s">
        <v>90</v>
      </c>
      <c r="Y20" s="2448"/>
      <c r="Z20" s="2448"/>
      <c r="AA20" s="2448"/>
      <c r="AB20" s="2448"/>
      <c r="AC20" s="2448"/>
      <c r="AD20" s="2448"/>
      <c r="AE20" s="2448"/>
      <c r="AF20" s="2448"/>
      <c r="AG20" s="2448" t="s">
        <v>315</v>
      </c>
      <c r="AH20" s="2448"/>
      <c r="AI20" s="2448"/>
      <c r="AJ20" s="2448"/>
      <c r="AK20" s="2448"/>
      <c r="AL20" s="2448"/>
      <c r="AM20" s="2448"/>
      <c r="AN20" s="2448" t="s">
        <v>314</v>
      </c>
      <c r="AO20" s="2448"/>
      <c r="AP20" s="2448"/>
      <c r="AQ20" s="2448"/>
      <c r="AR20" s="2448"/>
      <c r="AS20" s="2448"/>
      <c r="AT20" s="2448"/>
      <c r="AU20" s="2441" t="s">
        <v>17</v>
      </c>
      <c r="AV20" s="2441"/>
      <c r="AW20" s="2441"/>
      <c r="BC20" s="40"/>
    </row>
    <row r="21" spans="1:67" ht="4.3499999999999996" customHeight="1" x14ac:dyDescent="0.2">
      <c r="B21" s="309"/>
      <c r="C21" s="641"/>
      <c r="D21" s="641"/>
      <c r="E21" s="641"/>
      <c r="F21" s="310"/>
      <c r="G21" s="311"/>
      <c r="H21" s="311"/>
      <c r="I21" s="311"/>
      <c r="J21" s="311"/>
      <c r="K21" s="311"/>
      <c r="L21" s="311"/>
      <c r="M21" s="311"/>
      <c r="N21" s="311"/>
      <c r="O21" s="311"/>
      <c r="P21" s="311"/>
      <c r="Q21" s="311"/>
      <c r="R21" s="311"/>
      <c r="S21" s="235" t="s">
        <v>0</v>
      </c>
      <c r="U21" s="1213"/>
      <c r="V21" s="1091"/>
      <c r="W21" s="53"/>
      <c r="X21" s="537"/>
      <c r="Y21" s="537"/>
      <c r="Z21" s="537"/>
      <c r="AA21" s="537"/>
      <c r="AB21" s="537"/>
      <c r="AC21" s="537"/>
      <c r="AD21" s="1097"/>
      <c r="AE21" s="1097"/>
      <c r="AF21" s="1097"/>
      <c r="AG21" s="537"/>
      <c r="AH21" s="537"/>
      <c r="AI21" s="537"/>
      <c r="AJ21" s="537"/>
      <c r="AK21" s="1097"/>
      <c r="AL21" s="1097"/>
      <c r="AM21" s="1097"/>
      <c r="AN21" s="537"/>
      <c r="AO21" s="537"/>
      <c r="AP21" s="537"/>
      <c r="AQ21" s="537"/>
      <c r="AR21" s="1097"/>
      <c r="AS21" s="1097"/>
      <c r="AT21" s="1097"/>
      <c r="BC21" s="40"/>
    </row>
    <row r="22" spans="1:67" ht="15" customHeight="1" x14ac:dyDescent="0.2">
      <c r="B22" s="2118"/>
      <c r="C22" s="2455" t="s">
        <v>758</v>
      </c>
      <c r="D22" s="2455"/>
      <c r="E22" s="2456"/>
      <c r="F22" s="1835" t="s">
        <v>629</v>
      </c>
      <c r="G22" s="2119" t="str">
        <f>G10</f>
        <v>JAN</v>
      </c>
      <c r="H22" s="2119" t="str">
        <f t="shared" ref="H22:S22" si="4">+H10</f>
        <v>FEB</v>
      </c>
      <c r="I22" s="2119" t="str">
        <f t="shared" si="4"/>
        <v>MARS</v>
      </c>
      <c r="J22" s="2119" t="str">
        <f t="shared" si="4"/>
        <v>APR</v>
      </c>
      <c r="K22" s="2119" t="str">
        <f t="shared" si="4"/>
        <v>MAY</v>
      </c>
      <c r="L22" s="2119" t="str">
        <f t="shared" si="4"/>
        <v>JUNE</v>
      </c>
      <c r="M22" s="2119" t="str">
        <f t="shared" si="4"/>
        <v>JULY</v>
      </c>
      <c r="N22" s="2119" t="str">
        <f t="shared" si="4"/>
        <v>AUG</v>
      </c>
      <c r="O22" s="2119" t="str">
        <f t="shared" si="4"/>
        <v>SEP</v>
      </c>
      <c r="P22" s="2119" t="str">
        <f t="shared" si="4"/>
        <v>OCT</v>
      </c>
      <c r="Q22" s="2119" t="str">
        <f t="shared" si="4"/>
        <v>NOV</v>
      </c>
      <c r="R22" s="2119" t="str">
        <f t="shared" si="4"/>
        <v>DEC</v>
      </c>
      <c r="S22" s="2120" t="str">
        <f t="shared" si="4"/>
        <v>TOTAL</v>
      </c>
      <c r="T22" s="1474" t="s">
        <v>775</v>
      </c>
      <c r="U22" s="1214" t="s">
        <v>774</v>
      </c>
      <c r="V22" s="1091"/>
      <c r="W22" s="53"/>
      <c r="X22" s="1098"/>
      <c r="Y22" s="1119"/>
      <c r="Z22" s="1117" t="s">
        <v>83</v>
      </c>
      <c r="AA22" s="1099" t="s">
        <v>293</v>
      </c>
      <c r="AB22" s="1099" t="s">
        <v>91</v>
      </c>
      <c r="AC22" s="2446" t="s">
        <v>73</v>
      </c>
      <c r="AD22" s="1100" t="s">
        <v>84</v>
      </c>
      <c r="AE22" s="1100" t="s">
        <v>331</v>
      </c>
      <c r="AF22" s="1101" t="s">
        <v>85</v>
      </c>
      <c r="AG22" s="1117" t="s">
        <v>83</v>
      </c>
      <c r="AH22" s="1099" t="s">
        <v>293</v>
      </c>
      <c r="AI22" s="1099" t="s">
        <v>91</v>
      </c>
      <c r="AJ22" s="2446" t="s">
        <v>73</v>
      </c>
      <c r="AK22" s="1100" t="s">
        <v>84</v>
      </c>
      <c r="AL22" s="1100" t="s">
        <v>331</v>
      </c>
      <c r="AM22" s="1101" t="s">
        <v>85</v>
      </c>
      <c r="AN22" s="1114" t="s">
        <v>83</v>
      </c>
      <c r="AO22" s="1099" t="s">
        <v>293</v>
      </c>
      <c r="AP22" s="1099" t="s">
        <v>91</v>
      </c>
      <c r="AQ22" s="2446" t="s">
        <v>73</v>
      </c>
      <c r="AR22" s="1100" t="s">
        <v>84</v>
      </c>
      <c r="AS22" s="1100" t="s">
        <v>331</v>
      </c>
      <c r="AT22" s="488" t="s">
        <v>85</v>
      </c>
      <c r="AU22" s="1112" t="s">
        <v>84</v>
      </c>
      <c r="AV22" s="1100" t="s">
        <v>331</v>
      </c>
      <c r="AW22" s="1101" t="s">
        <v>85</v>
      </c>
      <c r="AX22" s="2499" t="s">
        <v>921</v>
      </c>
      <c r="AY22" s="2500"/>
      <c r="BC22" s="40"/>
    </row>
    <row r="23" spans="1:67" ht="12" customHeight="1" x14ac:dyDescent="0.2">
      <c r="B23" s="2464">
        <v>6</v>
      </c>
      <c r="C23" s="2457" t="s">
        <v>737</v>
      </c>
      <c r="D23" s="2458"/>
      <c r="E23" s="2459"/>
      <c r="F23" s="1834">
        <v>25.5</v>
      </c>
      <c r="G23" s="1384">
        <f>IF(($S13+$S15)*$U23=0,0,(G13+G15)/($S13+$S15)*'8. T5 CASH BUDGET'!$U23)</f>
        <v>0</v>
      </c>
      <c r="H23" s="1384">
        <f>IF(($S13+$S15)*$U23=0,0,(H13+H15)/($S13+$S15)*'8. T5 CASH BUDGET'!$U23)</f>
        <v>0</v>
      </c>
      <c r="I23" s="1384">
        <f>IF(($S13+$S15)*$U23=0,0,(I13+I15)/($S13+$S15)*'8. T5 CASH BUDGET'!$U23)</f>
        <v>0</v>
      </c>
      <c r="J23" s="1384">
        <f>IF(($S13+$S15)*$U23=0,0,(J13+J15)/($S13+$S15)*'8. T5 CASH BUDGET'!$U23)</f>
        <v>0</v>
      </c>
      <c r="K23" s="1384">
        <f>IF(($S13+$S15)*$U23=0,0,(K13+K15)/($S13+$S15)*'8. T5 CASH BUDGET'!$U23)</f>
        <v>0</v>
      </c>
      <c r="L23" s="1384">
        <f>IF(($S13+$S15)*$U23=0,0,(L13+L15)/($S13+$S15)*'8. T5 CASH BUDGET'!$U23)</f>
        <v>0</v>
      </c>
      <c r="M23" s="1384">
        <f>IF(($S13+$S15)*$U23=0,0,(M13+M15)/($S13+$S15)*'8. T5 CASH BUDGET'!$U23)</f>
        <v>0</v>
      </c>
      <c r="N23" s="1384">
        <f>IF(($S13+$S15)*$U23=0,0,(N13+N15)/($S13+$S15)*'8. T5 CASH BUDGET'!$U23)</f>
        <v>0</v>
      </c>
      <c r="O23" s="1384">
        <f>IF(($S13+$S15)*$U23=0,0,(O13+O15)/($S13+$S15)*'8. T5 CASH BUDGET'!$U23)</f>
        <v>0</v>
      </c>
      <c r="P23" s="1384">
        <f>IF(($S13+$S15)*$U23=0,0,(P13+P15)/($S13+$S15)*'8. T5 CASH BUDGET'!$U23)</f>
        <v>0</v>
      </c>
      <c r="Q23" s="1384">
        <f>IF(($S13+$S15)*$U23=0,0,(Q13+Q15)/($S13+$S15)*'8. T5 CASH BUDGET'!$U23)</f>
        <v>0</v>
      </c>
      <c r="R23" s="1384">
        <f>IF(($S13+$S15)*$U23=0,0,(R13+R15)/($S13+$S15)*'8. T5 CASH BUDGET'!$U23)</f>
        <v>0</v>
      </c>
      <c r="S23" s="640">
        <f>SUM(G23:R23)</f>
        <v>0</v>
      </c>
      <c r="T23" s="1060">
        <f>U23-S23</f>
        <v>0</v>
      </c>
      <c r="U23" s="1049">
        <f>'4. E2 TURNOVER'!E11+'8. T5 CASH BUDGET'!F23/100*'4. E2 TURNOVER'!E11</f>
        <v>0</v>
      </c>
      <c r="V23" s="989" t="s">
        <v>0</v>
      </c>
      <c r="W23" s="53"/>
      <c r="X23" s="1102"/>
      <c r="Y23" s="1120"/>
      <c r="Z23" s="1118" t="s">
        <v>86</v>
      </c>
      <c r="AA23" s="1103" t="s">
        <v>87</v>
      </c>
      <c r="AB23" s="1103" t="s">
        <v>92</v>
      </c>
      <c r="AC23" s="2447"/>
      <c r="AD23" s="1104" t="s">
        <v>88</v>
      </c>
      <c r="AE23" s="1104" t="s">
        <v>332</v>
      </c>
      <c r="AF23" s="1105" t="s">
        <v>86</v>
      </c>
      <c r="AG23" s="1118" t="s">
        <v>86</v>
      </c>
      <c r="AH23" s="1103" t="s">
        <v>87</v>
      </c>
      <c r="AI23" s="1103" t="s">
        <v>92</v>
      </c>
      <c r="AJ23" s="2447"/>
      <c r="AK23" s="1104" t="s">
        <v>88</v>
      </c>
      <c r="AL23" s="1104" t="s">
        <v>332</v>
      </c>
      <c r="AM23" s="1105" t="s">
        <v>86</v>
      </c>
      <c r="AN23" s="1115" t="s">
        <v>86</v>
      </c>
      <c r="AO23" s="1103" t="s">
        <v>87</v>
      </c>
      <c r="AP23" s="1103" t="s">
        <v>92</v>
      </c>
      <c r="AQ23" s="2447"/>
      <c r="AR23" s="1104" t="s">
        <v>88</v>
      </c>
      <c r="AS23" s="1104" t="s">
        <v>332</v>
      </c>
      <c r="AT23" s="489" t="s">
        <v>86</v>
      </c>
      <c r="AU23" s="1113" t="s">
        <v>88</v>
      </c>
      <c r="AV23" s="1104" t="s">
        <v>332</v>
      </c>
      <c r="AW23" s="1105" t="s">
        <v>86</v>
      </c>
      <c r="AX23" s="1105" t="s">
        <v>922</v>
      </c>
      <c r="AY23" s="1105" t="s">
        <v>923</v>
      </c>
      <c r="BC23" s="40"/>
    </row>
    <row r="24" spans="1:67" ht="12" customHeight="1" x14ac:dyDescent="0.2">
      <c r="B24" s="2465"/>
      <c r="C24" s="2417" t="s">
        <v>780</v>
      </c>
      <c r="D24" s="2418"/>
      <c r="E24" s="2419"/>
      <c r="F24" s="1807"/>
      <c r="G24" s="1588">
        <f>'AT Kassa'!Q8</f>
        <v>0</v>
      </c>
      <c r="H24" s="1588">
        <f>'AT Kassa'!R8</f>
        <v>0</v>
      </c>
      <c r="I24" s="1588">
        <f>'AT Kassa'!S8</f>
        <v>0</v>
      </c>
      <c r="J24" s="1570"/>
      <c r="K24" s="1570"/>
      <c r="L24" s="1570"/>
      <c r="M24" s="1570"/>
      <c r="N24" s="1570"/>
      <c r="O24" s="1570"/>
      <c r="P24" s="1570"/>
      <c r="Q24" s="1570"/>
      <c r="R24" s="1570"/>
      <c r="S24" s="640"/>
      <c r="T24" s="1598"/>
      <c r="U24" s="1052"/>
      <c r="V24" s="989"/>
      <c r="W24" s="53"/>
      <c r="X24" s="1102"/>
      <c r="Y24" s="1120"/>
      <c r="Z24" s="1118"/>
      <c r="AA24" s="1103"/>
      <c r="AB24" s="1103"/>
      <c r="AC24" s="1566"/>
      <c r="AD24" s="1567"/>
      <c r="AE24" s="1567"/>
      <c r="AF24" s="1105"/>
      <c r="AG24" s="1118"/>
      <c r="AH24" s="1103"/>
      <c r="AI24" s="1103"/>
      <c r="AJ24" s="1565"/>
      <c r="AK24" s="1104"/>
      <c r="AL24" s="1104"/>
      <c r="AM24" s="1105"/>
      <c r="AN24" s="1115"/>
      <c r="AO24" s="1103"/>
      <c r="AP24" s="1103"/>
      <c r="AQ24" s="1565"/>
      <c r="AR24" s="1104"/>
      <c r="AS24" s="1104"/>
      <c r="AT24" s="489"/>
      <c r="AU24" s="1113"/>
      <c r="AV24" s="1104"/>
      <c r="AW24" s="1105"/>
      <c r="AX24" s="1105"/>
      <c r="AY24" s="1105"/>
      <c r="BC24" s="40"/>
    </row>
    <row r="25" spans="1:67" ht="12" customHeight="1" x14ac:dyDescent="0.2">
      <c r="B25" s="1589">
        <f>B23+1</f>
        <v>7</v>
      </c>
      <c r="C25" s="2414" t="s">
        <v>738</v>
      </c>
      <c r="D25" s="2415"/>
      <c r="E25" s="2416"/>
      <c r="F25" s="1814">
        <v>25.5</v>
      </c>
      <c r="G25" s="1383">
        <f>'1. T1 INVESTMENT PLAN'!E40</f>
        <v>0</v>
      </c>
      <c r="H25" s="1383"/>
      <c r="I25" s="1383">
        <v>0</v>
      </c>
      <c r="J25" s="1383">
        <v>0</v>
      </c>
      <c r="K25" s="1383"/>
      <c r="L25" s="1383"/>
      <c r="M25" s="1383">
        <v>0</v>
      </c>
      <c r="N25" s="1383">
        <v>0</v>
      </c>
      <c r="O25" s="1383"/>
      <c r="P25" s="1383"/>
      <c r="Q25" s="1383"/>
      <c r="R25" s="1383"/>
      <c r="S25" s="1590">
        <f>SUM(G25:R25)</f>
        <v>0</v>
      </c>
      <c r="T25" s="1583" t="s">
        <v>0</v>
      </c>
      <c r="U25" s="1584"/>
      <c r="V25" s="989"/>
      <c r="W25" s="53"/>
      <c r="X25" s="1106"/>
      <c r="Y25" s="1121"/>
      <c r="Z25" s="2436" t="s">
        <v>0</v>
      </c>
      <c r="AA25" s="2437"/>
      <c r="AB25" s="1125"/>
      <c r="AC25" s="1126"/>
      <c r="AD25" s="1135">
        <v>1.9099999999999999E-2</v>
      </c>
      <c r="AE25" s="1124">
        <v>0</v>
      </c>
      <c r="AF25" s="1127"/>
      <c r="AG25" s="2436" t="s">
        <v>0</v>
      </c>
      <c r="AH25" s="2437"/>
      <c r="AI25" s="1125">
        <v>0</v>
      </c>
      <c r="AJ25" s="1125"/>
      <c r="AK25" s="1107">
        <f>AD25</f>
        <v>1.9099999999999999E-2</v>
      </c>
      <c r="AL25" s="1136">
        <v>8.1900000000000001E-2</v>
      </c>
      <c r="AM25" s="1127"/>
      <c r="AN25" s="2442" t="s">
        <v>0</v>
      </c>
      <c r="AO25" s="2437"/>
      <c r="AP25" s="1125" t="s">
        <v>0</v>
      </c>
      <c r="AQ25" s="1125"/>
      <c r="AR25" s="1107">
        <f>AD25</f>
        <v>1.9099999999999999E-2</v>
      </c>
      <c r="AS25" s="1107">
        <f>AL25</f>
        <v>8.1900000000000001E-2</v>
      </c>
      <c r="AT25" s="1128"/>
      <c r="AU25" s="1129"/>
      <c r="AV25" s="1134"/>
      <c r="AW25" s="1130"/>
      <c r="AX25" s="1130"/>
      <c r="AY25" s="1130"/>
      <c r="BC25" s="40"/>
    </row>
    <row r="26" spans="1:67" ht="12" customHeight="1" x14ac:dyDescent="0.2">
      <c r="B26" s="1589">
        <f t="shared" ref="B26:B46" si="5">B25+1</f>
        <v>8</v>
      </c>
      <c r="C26" s="1615" t="s">
        <v>858</v>
      </c>
      <c r="D26" s="1626"/>
      <c r="E26" s="1616"/>
      <c r="F26" s="1815">
        <v>25.5</v>
      </c>
      <c r="G26" s="1383">
        <f t="shared" ref="G26:R26" si="6">$U26/12</f>
        <v>0</v>
      </c>
      <c r="H26" s="1383">
        <f t="shared" si="6"/>
        <v>0</v>
      </c>
      <c r="I26" s="1383">
        <f t="shared" si="6"/>
        <v>0</v>
      </c>
      <c r="J26" s="1383">
        <f t="shared" si="6"/>
        <v>0</v>
      </c>
      <c r="K26" s="1383">
        <f t="shared" si="6"/>
        <v>0</v>
      </c>
      <c r="L26" s="1383">
        <f t="shared" si="6"/>
        <v>0</v>
      </c>
      <c r="M26" s="1383">
        <f t="shared" si="6"/>
        <v>0</v>
      </c>
      <c r="N26" s="1383">
        <f t="shared" si="6"/>
        <v>0</v>
      </c>
      <c r="O26" s="1383">
        <f t="shared" si="6"/>
        <v>0</v>
      </c>
      <c r="P26" s="1383">
        <f t="shared" si="6"/>
        <v>0</v>
      </c>
      <c r="Q26" s="1383">
        <f t="shared" si="6"/>
        <v>0</v>
      </c>
      <c r="R26" s="1383">
        <f t="shared" si="6"/>
        <v>0</v>
      </c>
      <c r="S26" s="1590">
        <f>SUM(G26:R26)</f>
        <v>0</v>
      </c>
      <c r="T26" s="1060">
        <f t="shared" ref="T26:T44" si="7">U26-S26</f>
        <v>0</v>
      </c>
      <c r="U26" s="1049">
        <f>-'7. T2 RESULT BUDGET '!G16-'7. T2 RESULT BUDGET '!G16*'8. T5 CASH BUDGET'!F26/100</f>
        <v>0</v>
      </c>
      <c r="V26" s="989"/>
      <c r="W26" s="53"/>
      <c r="X26" s="2429" t="s">
        <v>316</v>
      </c>
      <c r="Y26" s="2430"/>
      <c r="Z26" s="926">
        <f>'3. E1 OPERATING COSTS'!D13*'3. E1 OPERATING COSTS'!D15</f>
        <v>0</v>
      </c>
      <c r="AA26" s="1108">
        <f>'3. E1 OPERATING COSTS'!D14*'3. E1 OPERATING COSTS'!D15</f>
        <v>0</v>
      </c>
      <c r="AB26" s="1108">
        <f>AA26+Z26</f>
        <v>0</v>
      </c>
      <c r="AC26" s="1122">
        <f>'3. E1 OPERATING COSTS'!D16</f>
        <v>0.28999999999999998</v>
      </c>
      <c r="AD26" s="1123">
        <f>(AC26+AD$25)*AB26</f>
        <v>0</v>
      </c>
      <c r="AE26" s="1123">
        <v>0</v>
      </c>
      <c r="AF26" s="1110">
        <f>Z26-AB26*AC26</f>
        <v>0</v>
      </c>
      <c r="AG26" s="926">
        <f>'3. E1 OPERATING COSTS'!D18*'3. E1 OPERATING COSTS'!D19*'3. E1 OPERATING COSTS'!D20*'3. E1 OPERATING COSTS'!D21</f>
        <v>0</v>
      </c>
      <c r="AH26" s="1108">
        <f>'3. E1 OPERATING COSTS'!D22</f>
        <v>0</v>
      </c>
      <c r="AI26" s="1108">
        <f>AH26+AG26</f>
        <v>0</v>
      </c>
      <c r="AJ26" s="1122">
        <f>'3. E1 OPERATING COSTS'!D23</f>
        <v>0.2</v>
      </c>
      <c r="AK26" s="1353">
        <f>(AJ26+AK$25)*AI26</f>
        <v>0</v>
      </c>
      <c r="AL26" s="1131">
        <f>AI26*AL$25</f>
        <v>0</v>
      </c>
      <c r="AM26" s="1110">
        <f>AG26-AI26*AJ26-AL26</f>
        <v>0</v>
      </c>
      <c r="AN26" s="1116">
        <f>'3. E1 OPERATING COSTS'!D25*'3. E1 OPERATING COSTS'!D26*'3. E1 OPERATING COSTS'!D27</f>
        <v>0</v>
      </c>
      <c r="AO26" s="1108">
        <f>'3. E1 OPERATING COSTS'!D28</f>
        <v>0</v>
      </c>
      <c r="AP26" s="1108">
        <f>AO26+AN26</f>
        <v>0</v>
      </c>
      <c r="AQ26" s="1122">
        <f>'3. E1 OPERATING COSTS'!D29</f>
        <v>0.25</v>
      </c>
      <c r="AR26" s="1123">
        <f>(AQ26+AR$25)*AP26</f>
        <v>0</v>
      </c>
      <c r="AS26" s="1131">
        <f>AS$25*AP26</f>
        <v>0</v>
      </c>
      <c r="AT26" s="1111">
        <f>AN26-AP26*AQ26-AS26</f>
        <v>0</v>
      </c>
      <c r="AU26" s="1132">
        <f t="shared" ref="AU26:AW27" si="8">AR26+AK26+AD26</f>
        <v>0</v>
      </c>
      <c r="AV26" s="1109">
        <f t="shared" si="8"/>
        <v>0</v>
      </c>
      <c r="AW26" s="1133">
        <f t="shared" si="8"/>
        <v>0</v>
      </c>
      <c r="AX26" s="1133">
        <f>AB26</f>
        <v>0</v>
      </c>
      <c r="AY26" s="1133">
        <f>AI26+AP26</f>
        <v>0</v>
      </c>
      <c r="BC26" s="40"/>
      <c r="BO26" s="40"/>
    </row>
    <row r="27" spans="1:67" ht="12" customHeight="1" x14ac:dyDescent="0.2">
      <c r="B27" s="1589">
        <f t="shared" si="5"/>
        <v>9</v>
      </c>
      <c r="C27" s="2414" t="s">
        <v>740</v>
      </c>
      <c r="D27" s="2415"/>
      <c r="E27" s="2416"/>
      <c r="F27" s="1815">
        <v>25.5</v>
      </c>
      <c r="G27" s="1383">
        <f>'1. T1 INVESTMENT PLAN'!E20+'1. T1 INVESTMENT PLAN'!E27+IF('1. T1 INVESTMENT PLAN'!E33&gt;0,'1. T1 INVESTMENT PLAN'!E32,0)+IF('1. T1 INVESTMENT PLAN'!E36&gt;0,'1. T1 INVESTMENT PLAN'!E35,0)</f>
        <v>0</v>
      </c>
      <c r="H27" s="1383">
        <v>0</v>
      </c>
      <c r="I27" s="1383">
        <v>0</v>
      </c>
      <c r="J27" s="1383">
        <v>0</v>
      </c>
      <c r="K27" s="1383">
        <v>0</v>
      </c>
      <c r="L27" s="1383">
        <v>0</v>
      </c>
      <c r="M27" s="1383">
        <v>0</v>
      </c>
      <c r="N27" s="1383">
        <v>0</v>
      </c>
      <c r="O27" s="1383">
        <v>0</v>
      </c>
      <c r="P27" s="1383">
        <v>0</v>
      </c>
      <c r="Q27" s="1383">
        <v>0</v>
      </c>
      <c r="R27" s="1383"/>
      <c r="S27" s="1590">
        <f t="shared" ref="S27:S46" si="9">SUM(G27:R27)</f>
        <v>0</v>
      </c>
      <c r="T27" s="1061" t="s">
        <v>0</v>
      </c>
      <c r="U27" s="1050"/>
      <c r="V27" s="989"/>
      <c r="W27" s="53"/>
      <c r="X27" s="2429" t="s">
        <v>317</v>
      </c>
      <c r="Y27" s="2430"/>
      <c r="Z27" s="926">
        <f>'3. E1 OPERATING COSTS'!F13*'3. E1 OPERATING COSTS'!F15</f>
        <v>0</v>
      </c>
      <c r="AA27" s="1108">
        <f>IF('3. E1 OPERATING COSTS'!F15&gt;12,12,'3. E1 OPERATING COSTS'!F15)*'3. E1 OPERATING COSTS'!F14</f>
        <v>0</v>
      </c>
      <c r="AB27" s="1108">
        <f>AA27+Z27</f>
        <v>0</v>
      </c>
      <c r="AC27" s="1122">
        <f>'3. E1 OPERATING COSTS'!F16</f>
        <v>0.28999999999999998</v>
      </c>
      <c r="AD27" s="1123">
        <f>(AC27+AD$25)*AB27</f>
        <v>0</v>
      </c>
      <c r="AE27" s="1131">
        <f>AE$25*$AB27</f>
        <v>0</v>
      </c>
      <c r="AF27" s="1110">
        <f>Z27-AB27*AC27</f>
        <v>0</v>
      </c>
      <c r="AG27" s="926">
        <f>'3. E1 OPERATING COSTS'!F18*'3. E1 OPERATING COSTS'!F19*'3. E1 OPERATING COSTS'!F20*'3. E1 OPERATING COSTS'!F21</f>
        <v>0</v>
      </c>
      <c r="AH27" s="1108">
        <f>'3. E1 OPERATING COSTS'!F22</f>
        <v>0</v>
      </c>
      <c r="AI27" s="1108">
        <f>AH27+AG27</f>
        <v>0</v>
      </c>
      <c r="AJ27" s="1122">
        <f>'3. E1 OPERATING COSTS'!F23</f>
        <v>0.2</v>
      </c>
      <c r="AK27" s="1123">
        <f>(AJ27+AK$25)*AI27</f>
        <v>0</v>
      </c>
      <c r="AL27" s="1131">
        <f>AI27*AL$25</f>
        <v>0</v>
      </c>
      <c r="AM27" s="1110">
        <f>AG27-AI27*AJ27-AL27</f>
        <v>0</v>
      </c>
      <c r="AN27" s="1116">
        <f>'3. E1 OPERATING COSTS'!F25*'3. E1 OPERATING COSTS'!F26*'3. E1 OPERATING COSTS'!F27</f>
        <v>0</v>
      </c>
      <c r="AO27" s="1108">
        <f>'3. E1 OPERATING COSTS'!F28</f>
        <v>0</v>
      </c>
      <c r="AP27" s="1108">
        <f>AO27+AN27</f>
        <v>0</v>
      </c>
      <c r="AQ27" s="1122">
        <f>'3. E1 OPERATING COSTS'!F29</f>
        <v>0.25</v>
      </c>
      <c r="AR27" s="1123">
        <f>(AQ27+AR$25)*AP27</f>
        <v>0</v>
      </c>
      <c r="AS27" s="1131">
        <f>AP27*AS$25</f>
        <v>0</v>
      </c>
      <c r="AT27" s="1111">
        <f>AN27-AP27*AQ27-AS27</f>
        <v>0</v>
      </c>
      <c r="AU27" s="1132">
        <f t="shared" si="8"/>
        <v>0</v>
      </c>
      <c r="AV27" s="1109">
        <f t="shared" si="8"/>
        <v>0</v>
      </c>
      <c r="AW27" s="1133">
        <f t="shared" si="8"/>
        <v>0</v>
      </c>
      <c r="AX27" s="1133">
        <f>AB27</f>
        <v>0</v>
      </c>
      <c r="AY27" s="1133">
        <f>AI27+AP27</f>
        <v>0</v>
      </c>
      <c r="BC27" s="40"/>
    </row>
    <row r="28" spans="1:67" ht="12" customHeight="1" x14ac:dyDescent="0.2">
      <c r="B28" s="1589">
        <f t="shared" si="5"/>
        <v>10</v>
      </c>
      <c r="C28" s="2438" t="s">
        <v>741</v>
      </c>
      <c r="D28" s="2439"/>
      <c r="E28" s="2440"/>
      <c r="F28" s="1815">
        <v>25.5</v>
      </c>
      <c r="G28" s="1383">
        <f t="shared" ref="G28:R29" si="10">$U28/12</f>
        <v>0</v>
      </c>
      <c r="H28" s="1383">
        <f t="shared" si="10"/>
        <v>0</v>
      </c>
      <c r="I28" s="1383">
        <f t="shared" si="10"/>
        <v>0</v>
      </c>
      <c r="J28" s="1383">
        <f t="shared" si="10"/>
        <v>0</v>
      </c>
      <c r="K28" s="1383">
        <f t="shared" si="10"/>
        <v>0</v>
      </c>
      <c r="L28" s="1383">
        <f t="shared" si="10"/>
        <v>0</v>
      </c>
      <c r="M28" s="1383">
        <f t="shared" si="10"/>
        <v>0</v>
      </c>
      <c r="N28" s="1383">
        <f t="shared" si="10"/>
        <v>0</v>
      </c>
      <c r="O28" s="1383">
        <f t="shared" si="10"/>
        <v>0</v>
      </c>
      <c r="P28" s="1383">
        <f t="shared" si="10"/>
        <v>0</v>
      </c>
      <c r="Q28" s="1383">
        <f t="shared" si="10"/>
        <v>0</v>
      </c>
      <c r="R28" s="1383">
        <f t="shared" si="10"/>
        <v>0</v>
      </c>
      <c r="S28" s="1590">
        <f t="shared" si="9"/>
        <v>0</v>
      </c>
      <c r="T28" s="1060">
        <f t="shared" si="7"/>
        <v>0</v>
      </c>
      <c r="U28" s="1049">
        <f>'3. E1 OPERATING COSTS'!D53+'3. E1 OPERATING COSTS'!D53*F28/100</f>
        <v>0</v>
      </c>
      <c r="V28" s="989"/>
      <c r="W28" s="53"/>
      <c r="X28" s="1137"/>
      <c r="Y28" s="1138"/>
      <c r="Z28" s="1139"/>
      <c r="AA28" s="1139"/>
      <c r="AB28" s="1139"/>
      <c r="AC28" s="1139"/>
      <c r="AD28" s="1140"/>
      <c r="AE28" s="1140"/>
      <c r="AF28" s="1141"/>
      <c r="AG28" s="1139"/>
      <c r="AH28" s="1139"/>
      <c r="AI28" s="1139"/>
      <c r="AJ28" s="1139"/>
      <c r="AK28" s="1142"/>
      <c r="AL28" s="1142"/>
      <c r="AM28" s="1141"/>
      <c r="AN28" s="1139"/>
      <c r="AO28" s="1139"/>
      <c r="AP28" s="1139"/>
      <c r="AQ28" s="1139"/>
      <c r="AR28" s="1142"/>
      <c r="AS28" s="1142"/>
      <c r="AT28" s="1141"/>
      <c r="AU28" s="1142"/>
      <c r="AV28" s="1142"/>
      <c r="AW28" s="1142"/>
      <c r="BC28" s="40"/>
    </row>
    <row r="29" spans="1:67" ht="12" customHeight="1" x14ac:dyDescent="0.2">
      <c r="B29" s="1589">
        <f t="shared" si="5"/>
        <v>11</v>
      </c>
      <c r="C29" s="2432" t="s">
        <v>911</v>
      </c>
      <c r="D29" s="2415"/>
      <c r="E29" s="2416"/>
      <c r="F29" s="1815">
        <v>25.5</v>
      </c>
      <c r="G29" s="1383">
        <f t="shared" si="10"/>
        <v>0</v>
      </c>
      <c r="H29" s="1383">
        <f t="shared" si="10"/>
        <v>0</v>
      </c>
      <c r="I29" s="1383">
        <f t="shared" si="10"/>
        <v>0</v>
      </c>
      <c r="J29" s="1383">
        <f t="shared" si="10"/>
        <v>0</v>
      </c>
      <c r="K29" s="1383">
        <f t="shared" si="10"/>
        <v>0</v>
      </c>
      <c r="L29" s="1383">
        <f t="shared" si="10"/>
        <v>0</v>
      </c>
      <c r="M29" s="1383">
        <f t="shared" si="10"/>
        <v>0</v>
      </c>
      <c r="N29" s="1383">
        <f t="shared" si="10"/>
        <v>0</v>
      </c>
      <c r="O29" s="1383">
        <f t="shared" si="10"/>
        <v>0</v>
      </c>
      <c r="P29" s="1383">
        <f t="shared" si="10"/>
        <v>0</v>
      </c>
      <c r="Q29" s="1383">
        <f t="shared" si="10"/>
        <v>0</v>
      </c>
      <c r="R29" s="1383">
        <f t="shared" si="10"/>
        <v>0</v>
      </c>
      <c r="S29" s="1590">
        <f t="shared" si="9"/>
        <v>0</v>
      </c>
      <c r="T29" s="1060">
        <f t="shared" si="7"/>
        <v>0</v>
      </c>
      <c r="U29" s="1049">
        <f>'3. E1 OPERATING COSTS'!D65+'3. E1 OPERATING COSTS'!D65*'8. T5 CASH BUDGET'!F29/100+'3. E1 OPERATING COSTS'!D77+'3. E1 OPERATING COSTS'!D77*'8. T5 CASH BUDGET'!F29/100</f>
        <v>0</v>
      </c>
      <c r="V29" s="989"/>
      <c r="W29" s="53"/>
      <c r="X29" s="2134"/>
      <c r="Y29" s="2135"/>
      <c r="Z29" s="2136"/>
      <c r="AA29" s="2136"/>
      <c r="AB29" s="2136"/>
      <c r="AC29" s="2136"/>
      <c r="AD29" s="2137"/>
      <c r="AE29" s="2137"/>
      <c r="AF29" s="2138"/>
      <c r="AG29" s="2136"/>
      <c r="AH29" s="2136"/>
      <c r="AI29" s="2136"/>
      <c r="AJ29" s="2136"/>
      <c r="AK29" s="2139"/>
      <c r="AL29" s="1146"/>
      <c r="AM29" s="1145"/>
      <c r="AN29" s="439"/>
      <c r="AO29" s="439"/>
      <c r="AP29" s="439"/>
      <c r="AQ29" s="439"/>
      <c r="AR29" s="1146"/>
      <c r="AS29" s="1146"/>
      <c r="AT29" s="1145"/>
      <c r="AU29" s="1146"/>
      <c r="AV29" s="1146"/>
      <c r="AW29" s="1146"/>
      <c r="BC29" s="40"/>
    </row>
    <row r="30" spans="1:67" ht="12" customHeight="1" x14ac:dyDescent="0.2">
      <c r="B30" s="1589">
        <f t="shared" si="5"/>
        <v>12</v>
      </c>
      <c r="C30" s="2414" t="s">
        <v>742</v>
      </c>
      <c r="D30" s="2415"/>
      <c r="E30" s="2416"/>
      <c r="F30" s="531"/>
      <c r="G30" s="1383">
        <f t="shared" ref="G30:R30" si="11">$U30/12</f>
        <v>0</v>
      </c>
      <c r="H30" s="1383">
        <f t="shared" si="11"/>
        <v>0</v>
      </c>
      <c r="I30" s="1383">
        <f t="shared" si="11"/>
        <v>0</v>
      </c>
      <c r="J30" s="1383">
        <f t="shared" si="11"/>
        <v>0</v>
      </c>
      <c r="K30" s="1383">
        <f t="shared" si="11"/>
        <v>0</v>
      </c>
      <c r="L30" s="1383">
        <f t="shared" si="11"/>
        <v>0</v>
      </c>
      <c r="M30" s="1383">
        <f t="shared" si="11"/>
        <v>0</v>
      </c>
      <c r="N30" s="1383">
        <f t="shared" si="11"/>
        <v>0</v>
      </c>
      <c r="O30" s="1383">
        <f t="shared" si="11"/>
        <v>0</v>
      </c>
      <c r="P30" s="1383">
        <f t="shared" si="11"/>
        <v>0</v>
      </c>
      <c r="Q30" s="1383">
        <f t="shared" si="11"/>
        <v>0</v>
      </c>
      <c r="R30" s="1383">
        <f t="shared" si="11"/>
        <v>0</v>
      </c>
      <c r="S30" s="1590">
        <f t="shared" si="9"/>
        <v>0</v>
      </c>
      <c r="T30" s="1060">
        <f t="shared" si="7"/>
        <v>0</v>
      </c>
      <c r="U30" s="1051">
        <f>'AT2 Lainat, alv'!E62</f>
        <v>0</v>
      </c>
      <c r="V30" s="1092"/>
      <c r="W30" s="53"/>
      <c r="X30" s="1143"/>
      <c r="Y30" s="2140"/>
      <c r="Z30" s="439"/>
      <c r="AA30" s="439"/>
      <c r="AB30" s="439"/>
      <c r="AC30" s="439"/>
      <c r="AD30" s="439"/>
      <c r="AE30" s="439"/>
      <c r="AF30" s="439"/>
      <c r="AG30" s="439"/>
      <c r="AH30" s="439"/>
      <c r="AI30" s="439"/>
      <c r="AJ30" s="439"/>
      <c r="AK30" s="439"/>
      <c r="AL30" s="1146"/>
      <c r="AM30" s="1145"/>
      <c r="AN30" s="439"/>
      <c r="AO30" s="439"/>
      <c r="AP30" s="439"/>
      <c r="AQ30" s="439"/>
      <c r="AR30" s="1146"/>
      <c r="AS30" s="1146"/>
      <c r="AT30" s="1145"/>
      <c r="AU30" s="1146"/>
      <c r="AV30" s="1146"/>
      <c r="AW30" s="1146"/>
      <c r="BC30" s="40"/>
    </row>
    <row r="31" spans="1:67" ht="12" customHeight="1" x14ac:dyDescent="0.2">
      <c r="B31" s="1589">
        <f t="shared" si="5"/>
        <v>13</v>
      </c>
      <c r="C31" s="2431" t="s">
        <v>886</v>
      </c>
      <c r="D31" s="2415"/>
      <c r="E31" s="2416"/>
      <c r="F31" s="531"/>
      <c r="G31" s="634">
        <f>IF(G6=1,0,'6. T3 BALANCE SHEET '!H87/2)</f>
        <v>0</v>
      </c>
      <c r="H31" s="634">
        <f>G31</f>
        <v>0</v>
      </c>
      <c r="I31" s="634">
        <f>'AT1 Avustus, alv'!M27</f>
        <v>0</v>
      </c>
      <c r="J31" s="634">
        <f>'AT1 Avustus, alv'!N27</f>
        <v>0</v>
      </c>
      <c r="K31" s="634">
        <f>'AT1 Avustus, alv'!O27</f>
        <v>0</v>
      </c>
      <c r="L31" s="634">
        <f>'AT1 Avustus, alv'!P27</f>
        <v>0</v>
      </c>
      <c r="M31" s="634">
        <f>'AT1 Avustus, alv'!Q27</f>
        <v>0</v>
      </c>
      <c r="N31" s="634">
        <f>'AT1 Avustus, alv'!R27</f>
        <v>0</v>
      </c>
      <c r="O31" s="634">
        <f>'AT1 Avustus, alv'!S27</f>
        <v>0</v>
      </c>
      <c r="P31" s="634">
        <f>'AT1 Avustus, alv'!T27</f>
        <v>0</v>
      </c>
      <c r="Q31" s="634">
        <f>'AT1 Avustus, alv'!U27</f>
        <v>0</v>
      </c>
      <c r="R31" s="634">
        <f>'AT1 Avustus, alv'!V27</f>
        <v>0</v>
      </c>
      <c r="S31" s="1590">
        <f t="shared" si="9"/>
        <v>0</v>
      </c>
      <c r="T31" s="1054" t="s">
        <v>0</v>
      </c>
      <c r="U31" s="1052"/>
      <c r="V31" s="989"/>
      <c r="W31" s="53"/>
      <c r="X31" s="1143"/>
      <c r="Y31" s="2140"/>
      <c r="Z31" s="439"/>
      <c r="AA31" s="439"/>
      <c r="AB31" s="439"/>
      <c r="AC31" s="439"/>
      <c r="AD31" s="439"/>
      <c r="AE31" s="439"/>
      <c r="AF31" s="439"/>
      <c r="AG31" s="439"/>
      <c r="AH31" s="439"/>
      <c r="AI31" s="439"/>
      <c r="AJ31" s="439"/>
      <c r="AK31" s="439"/>
      <c r="AL31" s="1146"/>
      <c r="AM31" s="1145"/>
      <c r="AN31" s="439"/>
      <c r="AO31" s="439"/>
      <c r="AP31" s="439"/>
      <c r="AQ31" s="439"/>
      <c r="AR31" s="1146"/>
      <c r="AS31" s="1146"/>
      <c r="AT31" s="1145"/>
      <c r="AU31" s="1146"/>
      <c r="AV31" s="1146"/>
      <c r="AW31" s="1146"/>
      <c r="BC31" s="40"/>
    </row>
    <row r="32" spans="1:67" ht="12" customHeight="1" x14ac:dyDescent="0.2">
      <c r="B32" s="2501">
        <f t="shared" si="5"/>
        <v>14</v>
      </c>
      <c r="C32" s="2433" t="s">
        <v>917</v>
      </c>
      <c r="D32" s="2423"/>
      <c r="E32" s="2424"/>
      <c r="F32" s="1604"/>
      <c r="G32" s="1383">
        <f>U32/12</f>
        <v>0</v>
      </c>
      <c r="H32" s="1383">
        <f>G32</f>
        <v>0</v>
      </c>
      <c r="I32" s="1383">
        <f t="shared" ref="I32:R32" si="12">H32</f>
        <v>0</v>
      </c>
      <c r="J32" s="1383">
        <f t="shared" si="12"/>
        <v>0</v>
      </c>
      <c r="K32" s="1383">
        <f t="shared" si="12"/>
        <v>0</v>
      </c>
      <c r="L32" s="1383">
        <f t="shared" si="12"/>
        <v>0</v>
      </c>
      <c r="M32" s="1383">
        <f t="shared" si="12"/>
        <v>0</v>
      </c>
      <c r="N32" s="1383">
        <f t="shared" si="12"/>
        <v>0</v>
      </c>
      <c r="O32" s="1383">
        <f t="shared" si="12"/>
        <v>0</v>
      </c>
      <c r="P32" s="1383">
        <f t="shared" si="12"/>
        <v>0</v>
      </c>
      <c r="Q32" s="1383">
        <f t="shared" si="12"/>
        <v>0</v>
      </c>
      <c r="R32" s="1383">
        <f t="shared" si="12"/>
        <v>0</v>
      </c>
      <c r="S32" s="1590">
        <f t="shared" si="9"/>
        <v>0</v>
      </c>
      <c r="T32" s="2125">
        <f>U32-S32</f>
        <v>0</v>
      </c>
      <c r="U32" s="2126">
        <f>AB26</f>
        <v>0</v>
      </c>
      <c r="V32" s="971"/>
      <c r="W32" s="53"/>
      <c r="X32" s="1143"/>
      <c r="Y32" s="437"/>
      <c r="Z32" s="439"/>
      <c r="AA32" s="439"/>
      <c r="AB32" s="439"/>
      <c r="AC32" s="439"/>
      <c r="AD32" s="1144"/>
      <c r="AE32" s="1144"/>
      <c r="AF32" s="1145"/>
      <c r="AG32" s="439"/>
      <c r="AH32" s="439"/>
      <c r="AI32" s="439"/>
      <c r="AJ32" s="439"/>
      <c r="AK32" s="1146"/>
      <c r="AL32" s="1146"/>
      <c r="AM32" s="1145"/>
      <c r="AN32" s="439"/>
      <c r="AO32" s="439"/>
      <c r="AP32" s="439"/>
      <c r="AQ32" s="439"/>
      <c r="AR32" s="1146"/>
      <c r="AS32" s="1146"/>
      <c r="AT32" s="1145"/>
      <c r="AU32" s="1146"/>
      <c r="AV32" s="1146"/>
      <c r="AW32" s="1146"/>
      <c r="BC32" s="40"/>
    </row>
    <row r="33" spans="2:68" ht="12" customHeight="1" x14ac:dyDescent="0.2">
      <c r="B33" s="2465"/>
      <c r="C33" s="2433" t="s">
        <v>919</v>
      </c>
      <c r="D33" s="2423"/>
      <c r="E33" s="2424"/>
      <c r="F33" s="2121">
        <v>0.20730000000000001</v>
      </c>
      <c r="G33" s="634"/>
      <c r="H33" s="634">
        <f>G32*F33</f>
        <v>0</v>
      </c>
      <c r="I33" s="634">
        <f t="shared" ref="I33" si="13">H33</f>
        <v>0</v>
      </c>
      <c r="J33" s="634">
        <f t="shared" ref="J33" si="14">I33</f>
        <v>0</v>
      </c>
      <c r="K33" s="634">
        <f t="shared" ref="K33" si="15">J33</f>
        <v>0</v>
      </c>
      <c r="L33" s="634">
        <f t="shared" ref="L33" si="16">K33</f>
        <v>0</v>
      </c>
      <c r="M33" s="634">
        <f t="shared" ref="M33" si="17">L33</f>
        <v>0</v>
      </c>
      <c r="N33" s="634">
        <f t="shared" ref="N33" si="18">M33</f>
        <v>0</v>
      </c>
      <c r="O33" s="634">
        <f t="shared" ref="O33" si="19">N33</f>
        <v>0</v>
      </c>
      <c r="P33" s="634">
        <f t="shared" ref="P33" si="20">O33</f>
        <v>0</v>
      </c>
      <c r="Q33" s="634">
        <f t="shared" ref="Q33" si="21">P33</f>
        <v>0</v>
      </c>
      <c r="R33" s="634">
        <f t="shared" ref="R33" si="22">Q33</f>
        <v>0</v>
      </c>
      <c r="S33" s="1590">
        <f t="shared" ref="S33" si="23">SUM(G33:R33)</f>
        <v>0</v>
      </c>
      <c r="T33" s="1055"/>
      <c r="U33" s="971"/>
      <c r="V33" s="971"/>
      <c r="W33" s="53"/>
      <c r="X33" s="1143"/>
      <c r="Y33" s="437"/>
      <c r="Z33" s="439"/>
      <c r="AA33" s="439"/>
      <c r="AB33" s="439"/>
      <c r="AC33" s="439"/>
      <c r="AD33" s="1144"/>
      <c r="AE33" s="1144"/>
      <c r="AF33" s="1145"/>
      <c r="AG33" s="439"/>
      <c r="AH33" s="439"/>
      <c r="AI33" s="439"/>
      <c r="AJ33" s="439"/>
      <c r="AK33" s="1146"/>
      <c r="AL33" s="1146"/>
      <c r="AM33" s="1145"/>
      <c r="AN33" s="439"/>
      <c r="AO33" s="439"/>
      <c r="AP33" s="439"/>
      <c r="AQ33" s="439"/>
      <c r="AR33" s="1146"/>
      <c r="AS33" s="1146"/>
      <c r="AT33" s="1145"/>
      <c r="AU33" s="1146"/>
      <c r="AV33" s="1146"/>
      <c r="AW33" s="1146"/>
      <c r="BC33" s="40"/>
    </row>
    <row r="34" spans="2:68" ht="12" customHeight="1" x14ac:dyDescent="0.2">
      <c r="B34" s="1589">
        <v>15</v>
      </c>
      <c r="C34" s="2238" t="s">
        <v>928</v>
      </c>
      <c r="D34" s="2239"/>
      <c r="E34" s="2240"/>
      <c r="F34" s="1647"/>
      <c r="G34" s="2130"/>
      <c r="H34" s="2130"/>
      <c r="I34" s="2130"/>
      <c r="J34" s="2130"/>
      <c r="K34" s="2130"/>
      <c r="L34" s="2130"/>
      <c r="M34" s="2130"/>
      <c r="N34" s="2130"/>
      <c r="O34" s="2130"/>
      <c r="P34" s="2130"/>
      <c r="Q34" s="2130"/>
      <c r="R34" s="2130"/>
      <c r="S34" s="2130"/>
      <c r="V34" s="971"/>
      <c r="W34" s="53"/>
      <c r="X34" s="1143"/>
      <c r="Y34" s="437"/>
      <c r="Z34" s="439"/>
      <c r="AA34" s="439"/>
      <c r="AB34" s="439"/>
      <c r="AC34" s="439"/>
      <c r="AD34" s="1144"/>
      <c r="AE34" s="1144"/>
      <c r="AF34" s="1145"/>
      <c r="AG34" s="439"/>
      <c r="AH34" s="439"/>
      <c r="AI34" s="439"/>
      <c r="AJ34" s="439"/>
      <c r="AK34" s="1146"/>
      <c r="AL34" s="1146"/>
      <c r="AM34" s="1145"/>
      <c r="AN34" s="439"/>
      <c r="AO34" s="439"/>
      <c r="AP34" s="439"/>
      <c r="AQ34" s="439"/>
      <c r="AR34" s="1146"/>
      <c r="AS34" s="1146"/>
      <c r="AT34" s="1145"/>
      <c r="AU34" s="1146"/>
      <c r="AV34" s="1146"/>
      <c r="AW34" s="1146"/>
      <c r="BC34" s="40"/>
    </row>
    <row r="35" spans="2:68" ht="12" customHeight="1" x14ac:dyDescent="0.2">
      <c r="B35" s="2131" t="s">
        <v>924</v>
      </c>
      <c r="C35" s="2504" t="s">
        <v>927</v>
      </c>
      <c r="D35" s="2505"/>
      <c r="E35" s="2506"/>
      <c r="F35" s="529"/>
      <c r="G35" s="1383">
        <f>AI26/12+AP26/12</f>
        <v>0</v>
      </c>
      <c r="H35" s="1383">
        <f t="shared" ref="H35:R35" si="24">G35</f>
        <v>0</v>
      </c>
      <c r="I35" s="1383">
        <f t="shared" si="24"/>
        <v>0</v>
      </c>
      <c r="J35" s="1383">
        <f t="shared" si="24"/>
        <v>0</v>
      </c>
      <c r="K35" s="1383">
        <f t="shared" si="24"/>
        <v>0</v>
      </c>
      <c r="L35" s="1383">
        <f t="shared" si="24"/>
        <v>0</v>
      </c>
      <c r="M35" s="1383">
        <f t="shared" si="24"/>
        <v>0</v>
      </c>
      <c r="N35" s="1383">
        <f t="shared" si="24"/>
        <v>0</v>
      </c>
      <c r="O35" s="1383">
        <f t="shared" si="24"/>
        <v>0</v>
      </c>
      <c r="P35" s="1383">
        <f t="shared" si="24"/>
        <v>0</v>
      </c>
      <c r="Q35" s="1383">
        <f t="shared" si="24"/>
        <v>0</v>
      </c>
      <c r="R35" s="1383">
        <f t="shared" si="24"/>
        <v>0</v>
      </c>
      <c r="S35" s="1590">
        <f t="shared" si="9"/>
        <v>0</v>
      </c>
      <c r="T35" s="2132">
        <f>U35-S35-S36</f>
        <v>0</v>
      </c>
      <c r="U35" s="797">
        <f>AY26</f>
        <v>0</v>
      </c>
      <c r="V35" s="971"/>
      <c r="W35" s="53"/>
      <c r="X35" s="1143"/>
      <c r="Y35" s="437"/>
      <c r="Z35" s="439"/>
      <c r="AA35" s="439"/>
      <c r="AB35" s="439"/>
      <c r="AC35" s="439"/>
      <c r="AD35" s="1144"/>
      <c r="AE35" s="1144"/>
      <c r="AF35" s="1145"/>
      <c r="AG35" s="439"/>
      <c r="AH35" s="439"/>
      <c r="AI35" s="439"/>
      <c r="AJ35" s="439"/>
      <c r="AK35" s="1146"/>
      <c r="AL35" s="1146"/>
      <c r="AM35" s="1145"/>
      <c r="AN35" s="439"/>
      <c r="AO35" s="439"/>
      <c r="AP35" s="439"/>
      <c r="AQ35" s="439"/>
      <c r="AR35" s="1146"/>
      <c r="AS35" s="1146"/>
      <c r="AT35" s="1145"/>
      <c r="AU35" s="1146"/>
      <c r="AV35" s="1146"/>
      <c r="AW35" s="1146"/>
      <c r="BC35" s="40"/>
    </row>
    <row r="36" spans="2:68" ht="12" customHeight="1" x14ac:dyDescent="0.2">
      <c r="B36" s="2131" t="s">
        <v>925</v>
      </c>
      <c r="C36" s="2502" t="s">
        <v>929</v>
      </c>
      <c r="D36" s="2507"/>
      <c r="E36" s="2508"/>
      <c r="F36" s="529"/>
      <c r="G36" s="1383">
        <v>0</v>
      </c>
      <c r="H36" s="1383">
        <v>0</v>
      </c>
      <c r="I36" s="1383">
        <v>0</v>
      </c>
      <c r="J36" s="1383"/>
      <c r="K36" s="1383"/>
      <c r="L36" s="1383"/>
      <c r="M36" s="1383"/>
      <c r="N36" s="1383"/>
      <c r="O36" s="1383"/>
      <c r="P36" s="1383"/>
      <c r="Q36" s="1383"/>
      <c r="R36" s="1383"/>
      <c r="S36" s="1590">
        <f t="shared" si="9"/>
        <v>0</v>
      </c>
      <c r="T36" s="2129"/>
      <c r="U36" s="989"/>
      <c r="V36" s="971"/>
      <c r="W36" s="53"/>
      <c r="X36" s="1143"/>
      <c r="Y36" s="437"/>
      <c r="Z36" s="439"/>
      <c r="AA36" s="439"/>
      <c r="AB36" s="439"/>
      <c r="AC36" s="439"/>
      <c r="AD36" s="1144"/>
      <c r="AE36" s="1144"/>
      <c r="AF36" s="1145"/>
      <c r="AG36" s="439"/>
      <c r="AH36" s="439"/>
      <c r="AI36" s="439"/>
      <c r="AJ36" s="439"/>
      <c r="AK36" s="1146"/>
      <c r="AL36" s="1146"/>
      <c r="AM36" s="1145"/>
      <c r="AN36" s="439"/>
      <c r="AO36" s="439"/>
      <c r="AP36" s="439"/>
      <c r="AQ36" s="439"/>
      <c r="AR36" s="1146"/>
      <c r="AS36" s="1146"/>
      <c r="AT36" s="1145"/>
      <c r="AU36" s="1146"/>
      <c r="AV36" s="1146"/>
      <c r="AW36" s="1146"/>
      <c r="BC36" s="40"/>
    </row>
    <row r="37" spans="2:68" ht="12" customHeight="1" x14ac:dyDescent="0.2">
      <c r="B37" s="2131" t="s">
        <v>930</v>
      </c>
      <c r="C37" s="2433" t="s">
        <v>918</v>
      </c>
      <c r="D37" s="2434"/>
      <c r="E37" s="2435"/>
      <c r="F37" s="2122">
        <v>0.19</v>
      </c>
      <c r="G37" s="2123"/>
      <c r="H37" s="2123">
        <f>(G35+G36)*$F37</f>
        <v>0</v>
      </c>
      <c r="I37" s="2123">
        <f t="shared" ref="I37:R37" si="25">(H35+H36)*$F37</f>
        <v>0</v>
      </c>
      <c r="J37" s="2123">
        <f t="shared" si="25"/>
        <v>0</v>
      </c>
      <c r="K37" s="2123">
        <f t="shared" si="25"/>
        <v>0</v>
      </c>
      <c r="L37" s="2123">
        <f t="shared" si="25"/>
        <v>0</v>
      </c>
      <c r="M37" s="2123">
        <f t="shared" si="25"/>
        <v>0</v>
      </c>
      <c r="N37" s="2123">
        <f t="shared" si="25"/>
        <v>0</v>
      </c>
      <c r="O37" s="2123">
        <f t="shared" si="25"/>
        <v>0</v>
      </c>
      <c r="P37" s="2123">
        <f t="shared" si="25"/>
        <v>0</v>
      </c>
      <c r="Q37" s="2123">
        <f t="shared" si="25"/>
        <v>0</v>
      </c>
      <c r="R37" s="2123">
        <f t="shared" si="25"/>
        <v>0</v>
      </c>
      <c r="S37" s="2124">
        <f>SUM(G37:R37)</f>
        <v>0</v>
      </c>
      <c r="T37" s="1055"/>
      <c r="U37" s="971"/>
      <c r="V37" s="971"/>
      <c r="W37" s="53"/>
      <c r="X37" s="1143"/>
      <c r="Y37" s="437"/>
      <c r="Z37" s="439"/>
      <c r="AA37" s="439"/>
      <c r="AB37" s="439"/>
      <c r="AC37" s="439"/>
      <c r="AD37" s="1144"/>
      <c r="AE37" s="1144"/>
      <c r="AF37" s="1145"/>
      <c r="AG37" s="439"/>
      <c r="AH37" s="439"/>
      <c r="AI37" s="439"/>
      <c r="AJ37" s="439"/>
      <c r="AK37" s="1146"/>
      <c r="AL37" s="1146"/>
      <c r="AM37" s="1145"/>
      <c r="AN37" s="439"/>
      <c r="AO37" s="439"/>
      <c r="AP37" s="439"/>
      <c r="AQ37" s="439"/>
      <c r="AR37" s="1146"/>
      <c r="AS37" s="1146"/>
      <c r="AT37" s="1145"/>
      <c r="AU37" s="1146"/>
      <c r="AV37" s="1146"/>
      <c r="AW37" s="1146"/>
      <c r="BC37" s="40"/>
    </row>
    <row r="38" spans="2:68" ht="12" customHeight="1" x14ac:dyDescent="0.2">
      <c r="B38" s="1589">
        <v>16</v>
      </c>
      <c r="C38" s="2414" t="s">
        <v>743</v>
      </c>
      <c r="D38" s="2423"/>
      <c r="E38" s="2423"/>
      <c r="F38" s="541"/>
      <c r="G38" s="1383">
        <f>$U38/12</f>
        <v>0</v>
      </c>
      <c r="H38" s="1383">
        <f t="shared" ref="H38:R38" si="26">$U38/12</f>
        <v>0</v>
      </c>
      <c r="I38" s="1383">
        <f t="shared" si="26"/>
        <v>0</v>
      </c>
      <c r="J38" s="1383">
        <f t="shared" si="26"/>
        <v>0</v>
      </c>
      <c r="K38" s="1383">
        <f t="shared" si="26"/>
        <v>0</v>
      </c>
      <c r="L38" s="1383">
        <f t="shared" si="26"/>
        <v>0</v>
      </c>
      <c r="M38" s="1383">
        <f t="shared" si="26"/>
        <v>0</v>
      </c>
      <c r="N38" s="1383">
        <f t="shared" si="26"/>
        <v>0</v>
      </c>
      <c r="O38" s="1383">
        <f t="shared" si="26"/>
        <v>0</v>
      </c>
      <c r="P38" s="1383">
        <f t="shared" si="26"/>
        <v>0</v>
      </c>
      <c r="Q38" s="1383">
        <f t="shared" si="26"/>
        <v>0</v>
      </c>
      <c r="R38" s="1383">
        <f t="shared" si="26"/>
        <v>0</v>
      </c>
      <c r="S38" s="1590">
        <f t="shared" si="9"/>
        <v>0</v>
      </c>
      <c r="T38" s="1060">
        <f t="shared" si="7"/>
        <v>0</v>
      </c>
      <c r="U38" s="1049">
        <f>'3. E1 OPERATING COSTS'!D43+'3. E1 OPERATING COSTS'!D38+'3. E1 OPERATING COSTS'!D42</f>
        <v>0</v>
      </c>
      <c r="V38" s="989"/>
      <c r="W38" s="53"/>
      <c r="X38" s="1143"/>
      <c r="Y38" s="437"/>
      <c r="Z38" s="439"/>
      <c r="AA38" s="439"/>
      <c r="AB38" s="439"/>
      <c r="AC38" s="439"/>
      <c r="AD38" s="1144"/>
      <c r="AE38" s="1144"/>
      <c r="AF38" s="1145"/>
      <c r="AG38" s="439"/>
      <c r="AH38" s="439"/>
      <c r="AI38" s="439"/>
      <c r="AJ38" s="439"/>
      <c r="AK38" s="1146"/>
      <c r="AL38" s="1146"/>
      <c r="AM38" s="1145"/>
      <c r="AN38" s="439"/>
      <c r="AO38" s="439"/>
      <c r="AP38" s="439"/>
      <c r="AQ38" s="439"/>
      <c r="AR38" s="1146"/>
      <c r="AS38" s="1146"/>
      <c r="AT38" s="1145"/>
      <c r="AU38" s="1146"/>
      <c r="AV38" s="1146"/>
      <c r="AW38" s="1146"/>
      <c r="BC38" s="40"/>
    </row>
    <row r="39" spans="2:68" ht="12" customHeight="1" x14ac:dyDescent="0.2">
      <c r="B39" s="1589">
        <f t="shared" si="5"/>
        <v>17</v>
      </c>
      <c r="C39" s="2438" t="s">
        <v>860</v>
      </c>
      <c r="D39" s="2439"/>
      <c r="E39" s="2440"/>
      <c r="F39" s="532"/>
      <c r="G39" s="1383">
        <f>$U39/12</f>
        <v>0</v>
      </c>
      <c r="H39" s="1383">
        <f t="shared" ref="H39:R39" si="27">$U39/12</f>
        <v>0</v>
      </c>
      <c r="I39" s="1383">
        <f t="shared" si="27"/>
        <v>0</v>
      </c>
      <c r="J39" s="1383">
        <f t="shared" si="27"/>
        <v>0</v>
      </c>
      <c r="K39" s="1383">
        <f t="shared" si="27"/>
        <v>0</v>
      </c>
      <c r="L39" s="1383">
        <f t="shared" si="27"/>
        <v>0</v>
      </c>
      <c r="M39" s="1383">
        <f t="shared" si="27"/>
        <v>0</v>
      </c>
      <c r="N39" s="1383">
        <f t="shared" si="27"/>
        <v>0</v>
      </c>
      <c r="O39" s="1383">
        <f t="shared" si="27"/>
        <v>0</v>
      </c>
      <c r="P39" s="1383">
        <f t="shared" si="27"/>
        <v>0</v>
      </c>
      <c r="Q39" s="1383">
        <f t="shared" si="27"/>
        <v>0</v>
      </c>
      <c r="R39" s="1383">
        <f t="shared" si="27"/>
        <v>0</v>
      </c>
      <c r="S39" s="1590">
        <f t="shared" si="9"/>
        <v>0</v>
      </c>
      <c r="T39" s="1060">
        <f t="shared" si="7"/>
        <v>0</v>
      </c>
      <c r="U39" s="1049">
        <f>'3. E1 OPERATING COSTS'!D130</f>
        <v>0</v>
      </c>
      <c r="V39" s="989"/>
      <c r="W39" s="53"/>
      <c r="X39" s="1143"/>
      <c r="Y39" s="437"/>
      <c r="Z39" s="439"/>
      <c r="AA39" s="439"/>
      <c r="AB39" s="439"/>
      <c r="AC39" s="439"/>
      <c r="AD39" s="1144"/>
      <c r="AE39" s="1144"/>
      <c r="AF39" s="1145"/>
      <c r="AG39" s="439"/>
      <c r="AH39" s="439"/>
      <c r="AI39" s="439"/>
      <c r="AJ39" s="439"/>
      <c r="AK39" s="1146"/>
      <c r="AL39" s="1146"/>
      <c r="AM39" s="1145"/>
      <c r="AN39" s="439"/>
      <c r="AO39" s="439"/>
      <c r="AP39" s="439"/>
      <c r="AQ39" s="439"/>
      <c r="AR39" s="1146"/>
      <c r="AS39" s="1146"/>
      <c r="AT39" s="1145"/>
      <c r="AU39" s="1146"/>
      <c r="AV39" s="1146"/>
      <c r="AW39" s="1146"/>
      <c r="BC39" s="40"/>
    </row>
    <row r="40" spans="2:68" ht="12" customHeight="1" x14ac:dyDescent="0.2">
      <c r="B40" s="1589">
        <f t="shared" si="5"/>
        <v>18</v>
      </c>
      <c r="C40" s="2414" t="s">
        <v>861</v>
      </c>
      <c r="D40" s="2415"/>
      <c r="E40" s="2416"/>
      <c r="F40" s="529"/>
      <c r="G40" s="1383">
        <f>$U40/12</f>
        <v>0</v>
      </c>
      <c r="H40" s="1383">
        <f t="shared" ref="H40:R42" si="28">$U40/12</f>
        <v>0</v>
      </c>
      <c r="I40" s="1383">
        <f t="shared" si="28"/>
        <v>0</v>
      </c>
      <c r="J40" s="1383">
        <f t="shared" si="28"/>
        <v>0</v>
      </c>
      <c r="K40" s="1383">
        <f t="shared" si="28"/>
        <v>0</v>
      </c>
      <c r="L40" s="1383">
        <f t="shared" si="28"/>
        <v>0</v>
      </c>
      <c r="M40" s="1383">
        <f t="shared" si="28"/>
        <v>0</v>
      </c>
      <c r="N40" s="1383">
        <f t="shared" si="28"/>
        <v>0</v>
      </c>
      <c r="O40" s="1383">
        <f t="shared" si="28"/>
        <v>0</v>
      </c>
      <c r="P40" s="1383">
        <f t="shared" si="28"/>
        <v>0</v>
      </c>
      <c r="Q40" s="1383">
        <f t="shared" si="28"/>
        <v>0</v>
      </c>
      <c r="R40" s="1383">
        <f t="shared" si="28"/>
        <v>0</v>
      </c>
      <c r="S40" s="1590">
        <f t="shared" si="9"/>
        <v>0</v>
      </c>
      <c r="T40" s="1060">
        <f t="shared" si="7"/>
        <v>0</v>
      </c>
      <c r="U40" s="1049">
        <f>'AT2 Lainat, alv'!E67</f>
        <v>0</v>
      </c>
      <c r="V40" s="989"/>
      <c r="W40" s="53"/>
      <c r="X40" s="437"/>
      <c r="Y40" s="1147"/>
      <c r="Z40" s="439"/>
      <c r="AA40" s="439"/>
      <c r="AB40" s="439"/>
      <c r="AC40" s="439"/>
      <c r="AD40" s="1144"/>
      <c r="AE40" s="1144"/>
      <c r="AF40" s="1144"/>
      <c r="AG40" s="439"/>
      <c r="AH40" s="439"/>
      <c r="AI40" s="439"/>
      <c r="AJ40" s="439"/>
      <c r="AK40" s="439"/>
      <c r="AL40" s="439"/>
      <c r="AM40" s="439"/>
      <c r="AN40" s="439"/>
      <c r="AO40" s="439"/>
      <c r="AP40" s="439"/>
      <c r="AQ40" s="439"/>
      <c r="AR40" s="439"/>
      <c r="AS40" s="439"/>
      <c r="AT40" s="439"/>
      <c r="AU40" s="439"/>
      <c r="AV40" s="439"/>
      <c r="AW40" s="439"/>
      <c r="BC40" s="40"/>
    </row>
    <row r="41" spans="2:68" ht="12" customHeight="1" x14ac:dyDescent="0.2">
      <c r="B41" s="1589">
        <f t="shared" si="5"/>
        <v>19</v>
      </c>
      <c r="C41" s="2414" t="s">
        <v>746</v>
      </c>
      <c r="D41" s="2415"/>
      <c r="E41" s="2416"/>
      <c r="F41" s="529"/>
      <c r="G41" s="1383">
        <f>$U41/12</f>
        <v>0</v>
      </c>
      <c r="H41" s="1383">
        <f t="shared" si="28"/>
        <v>0</v>
      </c>
      <c r="I41" s="1383">
        <f t="shared" si="28"/>
        <v>0</v>
      </c>
      <c r="J41" s="1383">
        <f t="shared" si="28"/>
        <v>0</v>
      </c>
      <c r="K41" s="1383">
        <f t="shared" si="28"/>
        <v>0</v>
      </c>
      <c r="L41" s="1383">
        <f t="shared" si="28"/>
        <v>0</v>
      </c>
      <c r="M41" s="1383">
        <f t="shared" si="28"/>
        <v>0</v>
      </c>
      <c r="N41" s="1383">
        <f t="shared" si="28"/>
        <v>0</v>
      </c>
      <c r="O41" s="1383">
        <f t="shared" si="28"/>
        <v>0</v>
      </c>
      <c r="P41" s="1383">
        <f t="shared" si="28"/>
        <v>0</v>
      </c>
      <c r="Q41" s="1383">
        <f t="shared" si="28"/>
        <v>0</v>
      </c>
      <c r="R41" s="1383">
        <f t="shared" si="28"/>
        <v>0</v>
      </c>
      <c r="S41" s="1590">
        <f t="shared" si="9"/>
        <v>0</v>
      </c>
      <c r="T41" s="1060">
        <f t="shared" si="7"/>
        <v>0</v>
      </c>
      <c r="U41" s="1049">
        <f>'2. T7 LOANS'!H48</f>
        <v>0</v>
      </c>
      <c r="V41" s="989"/>
      <c r="W41" s="53"/>
      <c r="X41" s="131"/>
      <c r="Y41" s="131"/>
      <c r="Z41" s="131"/>
      <c r="AA41" s="131"/>
      <c r="AB41" s="131"/>
      <c r="AC41" s="131"/>
      <c r="AG41" s="131"/>
      <c r="AH41" s="131"/>
      <c r="AI41" s="131"/>
      <c r="AJ41" s="131"/>
      <c r="AN41" s="131"/>
      <c r="AO41" s="131"/>
      <c r="AP41" s="131"/>
      <c r="AQ41" s="131"/>
      <c r="BC41" s="40"/>
    </row>
    <row r="42" spans="2:68" ht="12" customHeight="1" thickBot="1" x14ac:dyDescent="0.25">
      <c r="B42" s="1589">
        <f t="shared" si="5"/>
        <v>20</v>
      </c>
      <c r="C42" s="2414" t="s">
        <v>747</v>
      </c>
      <c r="D42" s="2423"/>
      <c r="E42" s="2424"/>
      <c r="F42" s="533"/>
      <c r="G42" s="1383">
        <f>$U42/12</f>
        <v>0</v>
      </c>
      <c r="H42" s="1383">
        <f t="shared" si="28"/>
        <v>0</v>
      </c>
      <c r="I42" s="1383">
        <f t="shared" si="28"/>
        <v>0</v>
      </c>
      <c r="J42" s="1383">
        <f t="shared" si="28"/>
        <v>0</v>
      </c>
      <c r="K42" s="1383">
        <f t="shared" si="28"/>
        <v>0</v>
      </c>
      <c r="L42" s="1383">
        <f t="shared" si="28"/>
        <v>0</v>
      </c>
      <c r="M42" s="1383">
        <f t="shared" si="28"/>
        <v>0</v>
      </c>
      <c r="N42" s="1383">
        <f t="shared" si="28"/>
        <v>0</v>
      </c>
      <c r="O42" s="1383">
        <f t="shared" si="28"/>
        <v>0</v>
      </c>
      <c r="P42" s="1383">
        <f t="shared" si="28"/>
        <v>0</v>
      </c>
      <c r="Q42" s="1383">
        <f t="shared" si="28"/>
        <v>0</v>
      </c>
      <c r="R42" s="1383">
        <f t="shared" si="28"/>
        <v>0</v>
      </c>
      <c r="S42" s="1590">
        <f t="shared" si="9"/>
        <v>0</v>
      </c>
      <c r="T42" s="1060">
        <f t="shared" si="7"/>
        <v>0</v>
      </c>
      <c r="U42" s="1049">
        <f>-'7. T2 RESULT BUDGET '!G27</f>
        <v>0</v>
      </c>
      <c r="V42" s="989"/>
      <c r="W42" s="53"/>
      <c r="X42" s="2385"/>
      <c r="Y42" s="2385"/>
      <c r="Z42" s="2428"/>
      <c r="AA42" s="2428"/>
      <c r="AB42" s="2428"/>
      <c r="AC42" s="691"/>
      <c r="AG42" s="2428"/>
      <c r="AH42" s="2428"/>
      <c r="AI42" s="2428"/>
      <c r="AJ42" s="691"/>
      <c r="AN42" s="2428"/>
      <c r="AO42" s="2428"/>
      <c r="AP42" s="2428"/>
      <c r="AQ42" s="691"/>
      <c r="BC42" s="40"/>
    </row>
    <row r="43" spans="2:68" ht="12" customHeight="1" thickBot="1" x14ac:dyDescent="0.25">
      <c r="B43" s="1589">
        <f t="shared" si="5"/>
        <v>21</v>
      </c>
      <c r="C43" s="2414" t="s">
        <v>862</v>
      </c>
      <c r="D43" s="2423"/>
      <c r="E43" s="2424"/>
      <c r="F43" s="533"/>
      <c r="G43" s="1383">
        <f>'1. T1 INVESTMENT PLAN'!E17+'1. T1 INVESTMENT PLAN'!E24+'1. T1 INVESTMENT PLAN'!E30+IF('1. T1 INVESTMENT PLAN'!E36=0,'1. T1 INVESTMENT PLAN'!E35,0)+IF('1. T1 INVESTMENT PLAN'!E33=0,'1. T1 INVESTMENT PLAN'!E32,0)</f>
        <v>0</v>
      </c>
      <c r="H43" s="1383"/>
      <c r="I43" s="1383"/>
      <c r="J43" s="1383"/>
      <c r="K43" s="1383"/>
      <c r="L43" s="1383"/>
      <c r="M43" s="1383"/>
      <c r="N43" s="1383"/>
      <c r="O43" s="1383"/>
      <c r="P43" s="1383"/>
      <c r="Q43" s="1383"/>
      <c r="R43" s="1383"/>
      <c r="S43" s="1590">
        <f t="shared" si="9"/>
        <v>0</v>
      </c>
      <c r="T43" s="1061" t="s">
        <v>0</v>
      </c>
      <c r="U43" s="1052"/>
      <c r="V43" s="989"/>
      <c r="W43" s="53"/>
      <c r="X43" s="2385"/>
      <c r="Y43" s="2385"/>
      <c r="Z43" s="2428"/>
      <c r="AA43" s="2428"/>
      <c r="AB43" s="2428"/>
      <c r="AC43" s="691"/>
      <c r="AG43" s="2428"/>
      <c r="AH43" s="2428"/>
      <c r="AI43" s="2428"/>
      <c r="AJ43" s="691"/>
      <c r="AN43" s="2428"/>
      <c r="AO43" s="2428"/>
      <c r="AP43" s="2428"/>
      <c r="AQ43" s="691"/>
      <c r="AZ43" s="2487"/>
      <c r="BA43" s="2487"/>
      <c r="BB43" s="2487"/>
      <c r="BC43" s="328"/>
      <c r="BD43" s="1555" t="str">
        <f t="shared" ref="BD43:BO43" si="29">G10</f>
        <v>JAN</v>
      </c>
      <c r="BE43" s="1555" t="str">
        <f t="shared" si="29"/>
        <v>FEB</v>
      </c>
      <c r="BF43" s="1555" t="str">
        <f t="shared" si="29"/>
        <v>MARS</v>
      </c>
      <c r="BG43" s="1555" t="str">
        <f t="shared" si="29"/>
        <v>APR</v>
      </c>
      <c r="BH43" s="1555" t="str">
        <f t="shared" si="29"/>
        <v>MAY</v>
      </c>
      <c r="BI43" s="1555" t="str">
        <f t="shared" si="29"/>
        <v>JUNE</v>
      </c>
      <c r="BJ43" s="1555" t="str">
        <f t="shared" si="29"/>
        <v>JULY</v>
      </c>
      <c r="BK43" s="1555" t="str">
        <f t="shared" si="29"/>
        <v>AUG</v>
      </c>
      <c r="BL43" s="1555" t="str">
        <f t="shared" si="29"/>
        <v>SEP</v>
      </c>
      <c r="BM43" s="1555" t="str">
        <f t="shared" si="29"/>
        <v>OCT</v>
      </c>
      <c r="BN43" s="1555" t="str">
        <f t="shared" si="29"/>
        <v>NOV</v>
      </c>
      <c r="BO43" s="1555" t="str">
        <f t="shared" si="29"/>
        <v>DEC</v>
      </c>
      <c r="BP43" s="1556" t="s">
        <v>71</v>
      </c>
    </row>
    <row r="44" spans="2:68" ht="12" customHeight="1" x14ac:dyDescent="0.2">
      <c r="B44" s="1589">
        <f t="shared" si="5"/>
        <v>22</v>
      </c>
      <c r="C44" s="2414" t="s">
        <v>859</v>
      </c>
      <c r="D44" s="2423"/>
      <c r="E44" s="2424"/>
      <c r="F44" s="534"/>
      <c r="G44" s="1383">
        <f>$U44/12</f>
        <v>0</v>
      </c>
      <c r="H44" s="1383">
        <f t="shared" ref="H44:R44" si="30">$U44/12</f>
        <v>0</v>
      </c>
      <c r="I44" s="1383">
        <f t="shared" si="30"/>
        <v>0</v>
      </c>
      <c r="J44" s="1383">
        <f t="shared" si="30"/>
        <v>0</v>
      </c>
      <c r="K44" s="1383">
        <f t="shared" si="30"/>
        <v>0</v>
      </c>
      <c r="L44" s="1383">
        <f t="shared" si="30"/>
        <v>0</v>
      </c>
      <c r="M44" s="1383">
        <f t="shared" si="30"/>
        <v>0</v>
      </c>
      <c r="N44" s="1383">
        <f t="shared" si="30"/>
        <v>0</v>
      </c>
      <c r="O44" s="1383">
        <f t="shared" si="30"/>
        <v>0</v>
      </c>
      <c r="P44" s="1383">
        <f t="shared" si="30"/>
        <v>0</v>
      </c>
      <c r="Q44" s="1383">
        <f t="shared" si="30"/>
        <v>0</v>
      </c>
      <c r="R44" s="1383">
        <f t="shared" si="30"/>
        <v>0</v>
      </c>
      <c r="S44" s="1590">
        <f t="shared" si="9"/>
        <v>0</v>
      </c>
      <c r="T44" s="1060">
        <f t="shared" si="7"/>
        <v>0</v>
      </c>
      <c r="U44" s="1049">
        <f>'3. E1 OPERATING COSTS'!D128</f>
        <v>0</v>
      </c>
      <c r="V44" s="989"/>
      <c r="W44" s="53"/>
      <c r="X44" s="2385"/>
      <c r="Y44" s="2385"/>
      <c r="Z44" s="2428"/>
      <c r="AA44" s="2428"/>
      <c r="AB44" s="2428"/>
      <c r="AC44" s="691"/>
      <c r="AG44" s="2428"/>
      <c r="AH44" s="2428"/>
      <c r="AI44" s="2428"/>
      <c r="AJ44" s="691"/>
      <c r="AN44" s="2428"/>
      <c r="AO44" s="2428"/>
      <c r="AP44" s="2428"/>
      <c r="AQ44" s="691"/>
      <c r="AZ44" s="2488" t="str">
        <f>C58</f>
        <v xml:space="preserve"> INCOME - EXPENSES</v>
      </c>
      <c r="BA44" s="2489"/>
      <c r="BB44" s="2489"/>
      <c r="BC44" s="2490"/>
      <c r="BD44" s="642">
        <f t="shared" ref="BD44:BO45" si="31">G58</f>
        <v>0</v>
      </c>
      <c r="BE44" s="642">
        <f t="shared" si="31"/>
        <v>0</v>
      </c>
      <c r="BF44" s="642">
        <f t="shared" si="31"/>
        <v>0</v>
      </c>
      <c r="BG44" s="642">
        <f t="shared" si="31"/>
        <v>0</v>
      </c>
      <c r="BH44" s="642">
        <f t="shared" si="31"/>
        <v>0</v>
      </c>
      <c r="BI44" s="642">
        <f t="shared" si="31"/>
        <v>0</v>
      </c>
      <c r="BJ44" s="642">
        <f t="shared" si="31"/>
        <v>0</v>
      </c>
      <c r="BK44" s="642">
        <f t="shared" si="31"/>
        <v>0</v>
      </c>
      <c r="BL44" s="642">
        <f t="shared" si="31"/>
        <v>0</v>
      </c>
      <c r="BM44" s="642">
        <f t="shared" si="31"/>
        <v>0</v>
      </c>
      <c r="BN44" s="642">
        <f t="shared" si="31"/>
        <v>0</v>
      </c>
      <c r="BO44" s="642">
        <f t="shared" si="31"/>
        <v>0</v>
      </c>
      <c r="BP44" s="643">
        <f>SUM(BD44:BO44)</f>
        <v>0</v>
      </c>
    </row>
    <row r="45" spans="2:68" ht="12" customHeight="1" x14ac:dyDescent="0.2">
      <c r="B45" s="1589">
        <f t="shared" si="5"/>
        <v>23</v>
      </c>
      <c r="C45" s="2420" t="s">
        <v>750</v>
      </c>
      <c r="D45" s="2421"/>
      <c r="E45" s="2422"/>
      <c r="F45" s="533"/>
      <c r="G45" s="1383">
        <v>0</v>
      </c>
      <c r="H45" s="1383"/>
      <c r="I45" s="1383"/>
      <c r="J45" s="1383"/>
      <c r="K45" s="1383"/>
      <c r="L45" s="1383"/>
      <c r="M45" s="1383"/>
      <c r="N45" s="1383"/>
      <c r="O45" s="1383"/>
      <c r="P45" s="1383"/>
      <c r="Q45" s="1383">
        <v>0</v>
      </c>
      <c r="R45" s="1383">
        <v>0</v>
      </c>
      <c r="S45" s="1590">
        <f t="shared" si="9"/>
        <v>0</v>
      </c>
      <c r="T45" s="1054" t="s">
        <v>0</v>
      </c>
      <c r="U45" s="989">
        <v>0</v>
      </c>
      <c r="V45" s="989"/>
      <c r="W45" s="53"/>
      <c r="X45" s="2385"/>
      <c r="Y45" s="2385"/>
      <c r="Z45" s="2428"/>
      <c r="AA45" s="2428"/>
      <c r="AB45" s="2428"/>
      <c r="AC45" s="691"/>
      <c r="AG45" s="2428"/>
      <c r="AH45" s="2428"/>
      <c r="AI45" s="2428"/>
      <c r="AJ45" s="691"/>
      <c r="AN45" s="2428"/>
      <c r="AO45" s="2428"/>
      <c r="AP45" s="2428"/>
      <c r="AQ45" s="691"/>
      <c r="AZ45" s="2482" t="str">
        <f>C59</f>
        <v xml:space="preserve"> CASH AT THE END OF THE MONTH </v>
      </c>
      <c r="BA45" s="2483"/>
      <c r="BB45" s="2483"/>
      <c r="BC45" s="2484"/>
      <c r="BD45" s="642">
        <f t="shared" si="31"/>
        <v>0</v>
      </c>
      <c r="BE45" s="642">
        <f t="shared" si="31"/>
        <v>0</v>
      </c>
      <c r="BF45" s="642">
        <f t="shared" si="31"/>
        <v>0</v>
      </c>
      <c r="BG45" s="642">
        <f t="shared" si="31"/>
        <v>0</v>
      </c>
      <c r="BH45" s="642">
        <f t="shared" si="31"/>
        <v>0</v>
      </c>
      <c r="BI45" s="642">
        <f t="shared" si="31"/>
        <v>0</v>
      </c>
      <c r="BJ45" s="642">
        <f t="shared" si="31"/>
        <v>0</v>
      </c>
      <c r="BK45" s="642">
        <f t="shared" si="31"/>
        <v>0</v>
      </c>
      <c r="BL45" s="642">
        <f t="shared" si="31"/>
        <v>0</v>
      </c>
      <c r="BM45" s="642">
        <f t="shared" si="31"/>
        <v>0</v>
      </c>
      <c r="BN45" s="642">
        <f t="shared" si="31"/>
        <v>0</v>
      </c>
      <c r="BO45" s="1649">
        <f t="shared" si="31"/>
        <v>0</v>
      </c>
      <c r="BP45" s="644"/>
    </row>
    <row r="46" spans="2:68" ht="12" customHeight="1" thickBot="1" x14ac:dyDescent="0.25">
      <c r="B46" s="1589">
        <f t="shared" si="5"/>
        <v>24</v>
      </c>
      <c r="C46" s="2420"/>
      <c r="D46" s="2421"/>
      <c r="E46" s="2422"/>
      <c r="F46" s="533"/>
      <c r="G46" s="1383">
        <v>0</v>
      </c>
      <c r="H46" s="1383"/>
      <c r="I46" s="1383"/>
      <c r="J46" s="1383">
        <v>0</v>
      </c>
      <c r="K46" s="1383"/>
      <c r="L46" s="1383"/>
      <c r="M46" s="1383"/>
      <c r="N46" s="1383"/>
      <c r="O46" s="1383"/>
      <c r="P46" s="1383"/>
      <c r="Q46" s="1383"/>
      <c r="R46" s="1383">
        <v>0</v>
      </c>
      <c r="S46" s="1593">
        <f t="shared" si="9"/>
        <v>0</v>
      </c>
      <c r="T46" s="1055" t="s">
        <v>0</v>
      </c>
      <c r="W46" s="53"/>
      <c r="X46" s="164"/>
      <c r="Y46" s="164"/>
      <c r="Z46" s="1081"/>
      <c r="AA46" s="1081"/>
      <c r="AB46" s="164"/>
      <c r="AC46" s="164"/>
      <c r="AD46" s="164"/>
      <c r="AE46" s="164"/>
      <c r="AF46" s="164"/>
      <c r="AG46" s="164"/>
      <c r="AH46" s="164"/>
      <c r="AI46" s="164"/>
      <c r="AJ46" s="164"/>
      <c r="AK46" s="164"/>
      <c r="AL46" s="164"/>
      <c r="AM46" s="164"/>
      <c r="AN46" s="164"/>
      <c r="AO46" s="164"/>
      <c r="AP46" s="164"/>
      <c r="AQ46" s="164"/>
    </row>
    <row r="47" spans="2:68" ht="13.5" thickTop="1" x14ac:dyDescent="0.2">
      <c r="B47" s="1605"/>
      <c r="C47" s="1606" t="s">
        <v>759</v>
      </c>
      <c r="D47" s="1607"/>
      <c r="E47" s="1608"/>
      <c r="F47" s="1609"/>
      <c r="G47" s="1610">
        <f>SUM(G23:G46)</f>
        <v>0</v>
      </c>
      <c r="H47" s="1610">
        <f t="shared" ref="H47:R47" si="32">SUM(H23:H46)</f>
        <v>0</v>
      </c>
      <c r="I47" s="1610">
        <f t="shared" si="32"/>
        <v>0</v>
      </c>
      <c r="J47" s="1610">
        <f t="shared" si="32"/>
        <v>0</v>
      </c>
      <c r="K47" s="1610">
        <f t="shared" si="32"/>
        <v>0</v>
      </c>
      <c r="L47" s="1610">
        <f t="shared" si="32"/>
        <v>0</v>
      </c>
      <c r="M47" s="1610">
        <f t="shared" si="32"/>
        <v>0</v>
      </c>
      <c r="N47" s="1610">
        <f t="shared" si="32"/>
        <v>0</v>
      </c>
      <c r="O47" s="1610">
        <f t="shared" si="32"/>
        <v>0</v>
      </c>
      <c r="P47" s="1610">
        <f t="shared" si="32"/>
        <v>0</v>
      </c>
      <c r="Q47" s="1610">
        <f t="shared" si="32"/>
        <v>0</v>
      </c>
      <c r="R47" s="1610">
        <f t="shared" si="32"/>
        <v>0</v>
      </c>
      <c r="S47" s="1611">
        <f>SUM(G47:R47)</f>
        <v>0</v>
      </c>
      <c r="T47" s="225"/>
      <c r="U47" s="2425" t="str">
        <f>U18</f>
        <v xml:space="preserve">Target </v>
      </c>
      <c r="V47" s="1091"/>
      <c r="W47" s="53"/>
      <c r="X47" s="4"/>
      <c r="Y47" s="4"/>
      <c r="Z47" s="4"/>
      <c r="AA47" s="4"/>
      <c r="AB47" s="4"/>
      <c r="AC47" s="4"/>
      <c r="AD47" s="4"/>
      <c r="AE47" s="4"/>
      <c r="AF47" s="4"/>
      <c r="AG47" s="4"/>
      <c r="AH47" s="4"/>
      <c r="AI47" s="4"/>
      <c r="AJ47" s="4"/>
      <c r="AK47" s="4"/>
      <c r="AL47" s="4"/>
      <c r="AM47" s="4"/>
      <c r="AN47" s="4"/>
      <c r="AO47" s="4"/>
    </row>
    <row r="48" spans="2:68" ht="4.3499999999999996" customHeight="1" x14ac:dyDescent="0.2">
      <c r="B48" s="1599"/>
      <c r="C48" s="1600"/>
      <c r="D48" s="1069"/>
      <c r="E48" s="1069"/>
      <c r="F48" s="1601"/>
      <c r="G48" s="1602"/>
      <c r="H48" s="1602"/>
      <c r="I48" s="1602"/>
      <c r="J48" s="1602"/>
      <c r="K48" s="1602"/>
      <c r="L48" s="1602"/>
      <c r="M48" s="1602"/>
      <c r="N48" s="1602"/>
      <c r="O48" s="1602"/>
      <c r="P48" s="1602"/>
      <c r="Q48" s="1602"/>
      <c r="R48" s="1602"/>
      <c r="S48" s="499"/>
      <c r="T48" s="225"/>
      <c r="U48" s="2426"/>
      <c r="V48" s="1091"/>
      <c r="W48" s="53"/>
      <c r="X48" s="4"/>
      <c r="Y48" s="4"/>
      <c r="Z48" s="4"/>
      <c r="AA48" s="4"/>
      <c r="AB48" s="4"/>
      <c r="AC48" s="4"/>
      <c r="AD48" s="4"/>
      <c r="AE48" s="4"/>
      <c r="AF48" s="4"/>
      <c r="AG48" s="4"/>
      <c r="AH48" s="4"/>
      <c r="AI48" s="4"/>
      <c r="AJ48" s="4"/>
      <c r="AK48" s="4"/>
      <c r="AL48" s="4"/>
      <c r="AM48" s="4"/>
      <c r="AN48" s="4"/>
      <c r="AO48" s="4"/>
    </row>
    <row r="49" spans="2:68" ht="15" customHeight="1" thickBot="1" x14ac:dyDescent="0.25">
      <c r="B49" s="1833"/>
      <c r="C49" s="1832" t="s">
        <v>751</v>
      </c>
      <c r="D49" s="1627"/>
      <c r="E49" s="1627"/>
      <c r="F49" s="1836">
        <v>0</v>
      </c>
      <c r="G49" s="1691" t="str">
        <f t="shared" ref="G49:R49" si="33">G22</f>
        <v>JAN</v>
      </c>
      <c r="H49" s="1691" t="str">
        <f t="shared" si="33"/>
        <v>FEB</v>
      </c>
      <c r="I49" s="1691" t="str">
        <f t="shared" si="33"/>
        <v>MARS</v>
      </c>
      <c r="J49" s="1691" t="str">
        <f t="shared" si="33"/>
        <v>APR</v>
      </c>
      <c r="K49" s="1691" t="str">
        <f t="shared" si="33"/>
        <v>MAY</v>
      </c>
      <c r="L49" s="1691" t="str">
        <f t="shared" si="33"/>
        <v>JUNE</v>
      </c>
      <c r="M49" s="1691" t="str">
        <f t="shared" si="33"/>
        <v>JULY</v>
      </c>
      <c r="N49" s="1691" t="str">
        <f t="shared" si="33"/>
        <v>AUG</v>
      </c>
      <c r="O49" s="1691" t="str">
        <f t="shared" si="33"/>
        <v>SEP</v>
      </c>
      <c r="P49" s="1691" t="str">
        <f t="shared" si="33"/>
        <v>OCT</v>
      </c>
      <c r="Q49" s="1691" t="str">
        <f t="shared" si="33"/>
        <v>NOV</v>
      </c>
      <c r="R49" s="1691" t="str">
        <f t="shared" si="33"/>
        <v>DEC</v>
      </c>
      <c r="S49" s="1690" t="str">
        <f>S10</f>
        <v>TOTAL</v>
      </c>
      <c r="T49" s="1474" t="str">
        <f>T22</f>
        <v>Difference</v>
      </c>
      <c r="U49" s="2427"/>
      <c r="V49" s="1091"/>
      <c r="W49" s="53"/>
      <c r="X49" s="4"/>
      <c r="Y49" s="4"/>
      <c r="Z49" s="4"/>
      <c r="AA49" s="4"/>
      <c r="AB49" s="4"/>
      <c r="AC49" s="4"/>
      <c r="AD49" s="4"/>
      <c r="AE49" s="4"/>
      <c r="AF49" s="4"/>
      <c r="AG49" s="4"/>
      <c r="AH49" s="4"/>
      <c r="AI49" s="4"/>
      <c r="AJ49" s="4"/>
      <c r="AK49" s="4"/>
      <c r="AL49" s="4"/>
      <c r="AM49" s="4"/>
      <c r="AN49" s="4"/>
      <c r="AO49" s="4"/>
      <c r="AZ49" s="154"/>
      <c r="BA49" s="154"/>
      <c r="BB49" s="156"/>
      <c r="BC49" s="157"/>
      <c r="BD49" s="55"/>
      <c r="BE49" s="55"/>
      <c r="BF49" s="55"/>
      <c r="BG49" s="107"/>
      <c r="BH49" s="55"/>
      <c r="BI49" s="55"/>
      <c r="BJ49" s="55"/>
      <c r="BK49" s="55"/>
      <c r="BL49" s="55"/>
      <c r="BM49" s="55"/>
      <c r="BN49" s="155"/>
      <c r="BP49" s="153">
        <f>'1. T1 INVESTMENT PLAN'!I66</f>
        <v>0</v>
      </c>
    </row>
    <row r="50" spans="2:68" ht="12" customHeight="1" x14ac:dyDescent="0.2">
      <c r="B50" s="1628">
        <v>25</v>
      </c>
      <c r="C50" s="2457" t="s">
        <v>877</v>
      </c>
      <c r="D50" s="2458"/>
      <c r="E50" s="2459"/>
      <c r="F50" s="531"/>
      <c r="G50" s="1384">
        <f t="shared" ref="G50:R50" si="34">$U50/12</f>
        <v>0</v>
      </c>
      <c r="H50" s="1384">
        <f t="shared" si="34"/>
        <v>0</v>
      </c>
      <c r="I50" s="1384">
        <f t="shared" si="34"/>
        <v>0</v>
      </c>
      <c r="J50" s="1384">
        <f t="shared" si="34"/>
        <v>0</v>
      </c>
      <c r="K50" s="1384">
        <f t="shared" si="34"/>
        <v>0</v>
      </c>
      <c r="L50" s="1384">
        <f t="shared" si="34"/>
        <v>0</v>
      </c>
      <c r="M50" s="1384">
        <f t="shared" si="34"/>
        <v>0</v>
      </c>
      <c r="N50" s="1384">
        <f t="shared" si="34"/>
        <v>0</v>
      </c>
      <c r="O50" s="1384">
        <f t="shared" si="34"/>
        <v>0</v>
      </c>
      <c r="P50" s="1384">
        <f t="shared" si="34"/>
        <v>0</v>
      </c>
      <c r="Q50" s="1384">
        <f t="shared" si="34"/>
        <v>0</v>
      </c>
      <c r="R50" s="1384">
        <f t="shared" si="34"/>
        <v>0</v>
      </c>
      <c r="S50" s="640">
        <f t="shared" ref="S50:S55" si="35">SUM(G50:R50)</f>
        <v>0</v>
      </c>
      <c r="T50" s="1062">
        <f t="shared" ref="T50:T55" si="36">U50-S50</f>
        <v>0</v>
      </c>
      <c r="U50" s="1049">
        <f>'2. T7 LOANS'!G38+'2. T7 LOANS'!H38</f>
        <v>0</v>
      </c>
      <c r="V50" s="989"/>
      <c r="W50" s="53"/>
      <c r="X50" s="164"/>
      <c r="Y50" s="164"/>
      <c r="Z50" s="164"/>
      <c r="AA50" s="164"/>
      <c r="AB50" s="164"/>
      <c r="AC50" s="164"/>
      <c r="AD50" s="164"/>
      <c r="AE50" s="164"/>
      <c r="AF50" s="164"/>
      <c r="AG50" s="164"/>
      <c r="AH50" s="164"/>
      <c r="AI50" s="164"/>
      <c r="AJ50" s="164"/>
      <c r="AK50" s="164"/>
      <c r="AL50" s="164"/>
      <c r="AM50" s="164"/>
      <c r="AN50" s="164"/>
      <c r="AO50" s="164"/>
      <c r="AP50" s="53"/>
      <c r="AQ50" s="53"/>
      <c r="AZ50" s="154" t="str">
        <f>'1. T1 INVESTMENT PLAN'!B67</f>
        <v>BP6 Financial Projection</v>
      </c>
      <c r="BB50" s="106"/>
      <c r="BC50" s="127"/>
      <c r="BD50" s="104"/>
      <c r="BE50" s="104"/>
      <c r="BF50" s="104"/>
      <c r="BG50" s="108"/>
      <c r="BH50" s="104"/>
      <c r="BI50" s="104"/>
      <c r="BJ50" s="104"/>
      <c r="BK50" s="104"/>
      <c r="BL50" s="104"/>
      <c r="BM50" s="104"/>
      <c r="BN50" s="104"/>
      <c r="BP50" s="406" t="str">
        <f>'1. T1 INVESTMENT PLAN'!I67</f>
        <v>Enontekiö, Kittilä, Kolari, Muonio, Pello</v>
      </c>
    </row>
    <row r="51" spans="2:68" ht="12" customHeight="1" x14ac:dyDescent="0.2">
      <c r="B51" s="1628">
        <f>B50+1</f>
        <v>26</v>
      </c>
      <c r="C51" s="2414" t="s">
        <v>878</v>
      </c>
      <c r="D51" s="2415"/>
      <c r="E51" s="2416"/>
      <c r="F51" s="531"/>
      <c r="G51" s="1384">
        <f>U51</f>
        <v>0</v>
      </c>
      <c r="H51" s="1384"/>
      <c r="I51" s="1384"/>
      <c r="J51" s="1384">
        <v>0</v>
      </c>
      <c r="K51" s="1384">
        <v>0</v>
      </c>
      <c r="L51" s="1384"/>
      <c r="M51" s="1384"/>
      <c r="N51" s="1384"/>
      <c r="O51" s="1384"/>
      <c r="P51" s="1384">
        <v>0</v>
      </c>
      <c r="Q51" s="1384"/>
      <c r="R51" s="1384">
        <v>0</v>
      </c>
      <c r="S51" s="640">
        <f t="shared" si="35"/>
        <v>0</v>
      </c>
      <c r="T51" s="1062">
        <f t="shared" si="36"/>
        <v>0</v>
      </c>
      <c r="U51" s="1049">
        <f>'2. T7 LOANS'!F48</f>
        <v>0</v>
      </c>
      <c r="V51" s="989"/>
      <c r="W51" s="53"/>
      <c r="X51" s="164"/>
      <c r="Y51" s="164"/>
      <c r="Z51" s="164"/>
      <c r="AA51" s="164"/>
      <c r="AB51" s="164"/>
      <c r="AC51" s="164"/>
      <c r="AD51" s="164"/>
      <c r="AE51" s="164"/>
      <c r="AF51" s="164"/>
      <c r="AG51" s="164"/>
      <c r="AH51" s="164"/>
      <c r="AI51" s="164"/>
      <c r="AJ51" s="164"/>
      <c r="AK51" s="164"/>
      <c r="AL51" s="164"/>
      <c r="AM51" s="164"/>
      <c r="AN51" s="164"/>
      <c r="AO51" s="164"/>
      <c r="AP51" s="53"/>
      <c r="AQ51" s="53"/>
    </row>
    <row r="52" spans="2:68" ht="12" customHeight="1" x14ac:dyDescent="0.2">
      <c r="B52" s="1628">
        <f>B51+1</f>
        <v>27</v>
      </c>
      <c r="C52" s="2414" t="s">
        <v>753</v>
      </c>
      <c r="D52" s="2415"/>
      <c r="E52" s="2416"/>
      <c r="F52" s="529"/>
      <c r="G52" s="1383">
        <f>$U52/12</f>
        <v>0</v>
      </c>
      <c r="H52" s="1383">
        <f t="shared" ref="H52:Q52" si="37">$U52/12</f>
        <v>0</v>
      </c>
      <c r="I52" s="1383">
        <f t="shared" si="37"/>
        <v>0</v>
      </c>
      <c r="J52" s="1383">
        <f t="shared" si="37"/>
        <v>0</v>
      </c>
      <c r="K52" s="1383">
        <f t="shared" si="37"/>
        <v>0</v>
      </c>
      <c r="L52" s="1383">
        <f t="shared" si="37"/>
        <v>0</v>
      </c>
      <c r="M52" s="1383">
        <f t="shared" si="37"/>
        <v>0</v>
      </c>
      <c r="N52" s="1383">
        <f t="shared" si="37"/>
        <v>0</v>
      </c>
      <c r="O52" s="1383">
        <f t="shared" si="37"/>
        <v>0</v>
      </c>
      <c r="P52" s="1383">
        <f t="shared" si="37"/>
        <v>0</v>
      </c>
      <c r="Q52" s="1383">
        <f t="shared" si="37"/>
        <v>0</v>
      </c>
      <c r="R52" s="1383">
        <f>$U52/12</f>
        <v>0</v>
      </c>
      <c r="S52" s="640">
        <f t="shared" si="35"/>
        <v>0</v>
      </c>
      <c r="T52" s="1062">
        <f t="shared" si="36"/>
        <v>0</v>
      </c>
      <c r="U52" s="1049">
        <f>'2. T7 LOANS'!G32</f>
        <v>0</v>
      </c>
      <c r="V52" s="989"/>
      <c r="W52" s="53"/>
      <c r="X52" s="164"/>
      <c r="Y52" s="164"/>
      <c r="Z52" s="164"/>
      <c r="AA52" s="164"/>
      <c r="AB52" s="164"/>
      <c r="AC52" s="164"/>
      <c r="AD52" s="164"/>
      <c r="AE52" s="164"/>
      <c r="AF52" s="164"/>
      <c r="AG52" s="164"/>
      <c r="AH52" s="164"/>
      <c r="AI52" s="164"/>
      <c r="AJ52" s="164"/>
      <c r="AK52" s="164"/>
      <c r="AL52" s="164"/>
      <c r="AM52" s="164"/>
      <c r="AN52" s="164"/>
      <c r="AO52" s="164"/>
      <c r="AP52" s="53"/>
      <c r="AQ52" s="53"/>
    </row>
    <row r="53" spans="2:68" ht="12" customHeight="1" x14ac:dyDescent="0.2">
      <c r="B53" s="1628">
        <f>B52+1</f>
        <v>28</v>
      </c>
      <c r="C53" s="2414" t="s">
        <v>754</v>
      </c>
      <c r="D53" s="2415"/>
      <c r="E53" s="2416"/>
      <c r="F53" s="529"/>
      <c r="G53" s="1383">
        <v>0</v>
      </c>
      <c r="H53" s="1383">
        <v>0</v>
      </c>
      <c r="I53" s="1383">
        <v>0</v>
      </c>
      <c r="J53" s="1383">
        <v>0</v>
      </c>
      <c r="K53" s="1383">
        <v>0</v>
      </c>
      <c r="L53" s="1383">
        <v>0</v>
      </c>
      <c r="M53" s="1383">
        <v>0</v>
      </c>
      <c r="N53" s="1383">
        <v>0</v>
      </c>
      <c r="O53" s="1383">
        <v>0</v>
      </c>
      <c r="P53" s="1383">
        <v>0</v>
      </c>
      <c r="Q53" s="1383">
        <v>0</v>
      </c>
      <c r="R53" s="1383">
        <v>0</v>
      </c>
      <c r="S53" s="640">
        <f t="shared" si="35"/>
        <v>0</v>
      </c>
      <c r="T53" s="1063" t="s">
        <v>0</v>
      </c>
      <c r="U53" s="1052"/>
      <c r="V53" s="989"/>
      <c r="X53" s="4"/>
      <c r="Y53" s="4"/>
      <c r="Z53" s="4"/>
      <c r="AA53" s="4"/>
      <c r="AB53" s="4"/>
      <c r="AC53" s="4"/>
      <c r="AD53" s="4"/>
      <c r="AE53" s="4"/>
      <c r="AF53" s="4"/>
      <c r="AG53" s="4"/>
      <c r="AH53" s="4"/>
      <c r="AI53" s="4"/>
      <c r="AJ53" s="4"/>
      <c r="AK53" s="4"/>
      <c r="AL53" s="4"/>
      <c r="AM53" s="4"/>
      <c r="AN53" s="4"/>
      <c r="AO53" s="4"/>
    </row>
    <row r="54" spans="2:68" ht="12" customHeight="1" x14ac:dyDescent="0.2">
      <c r="B54" s="1648">
        <v>29</v>
      </c>
      <c r="C54" s="2417"/>
      <c r="D54" s="2418"/>
      <c r="E54" s="2419"/>
      <c r="F54" s="1647"/>
      <c r="G54" s="1590"/>
      <c r="H54" s="1590"/>
      <c r="I54" s="1590"/>
      <c r="J54" s="1590"/>
      <c r="K54" s="1590"/>
      <c r="L54" s="1590"/>
      <c r="M54" s="1590"/>
      <c r="N54" s="1590"/>
      <c r="O54" s="1590"/>
      <c r="P54" s="1590"/>
      <c r="Q54" s="1590"/>
      <c r="R54" s="1590"/>
      <c r="S54" s="640">
        <f t="shared" si="35"/>
        <v>0</v>
      </c>
      <c r="T54" s="1062">
        <f t="shared" si="36"/>
        <v>0</v>
      </c>
      <c r="U54" s="993"/>
      <c r="V54" s="1093"/>
      <c r="X54" s="4"/>
      <c r="Y54" s="4"/>
      <c r="Z54" s="4"/>
      <c r="AA54" s="4"/>
      <c r="AB54" s="4"/>
      <c r="AC54" s="4"/>
      <c r="AD54" s="4"/>
      <c r="AE54" s="4"/>
      <c r="AF54" s="4"/>
      <c r="AG54" s="4"/>
      <c r="AH54" s="4"/>
      <c r="AI54" s="4"/>
      <c r="AJ54" s="4"/>
      <c r="AK54" s="4"/>
      <c r="AL54" s="4"/>
      <c r="AM54" s="4"/>
      <c r="AN54" s="4"/>
      <c r="AO54" s="4"/>
    </row>
    <row r="55" spans="2:68" ht="12" customHeight="1" thickBot="1" x14ac:dyDescent="0.25">
      <c r="B55" s="1648">
        <v>30</v>
      </c>
      <c r="C55" s="2417"/>
      <c r="D55" s="2485"/>
      <c r="E55" s="2486"/>
      <c r="F55" s="1647"/>
      <c r="G55" s="1646"/>
      <c r="H55" s="1646">
        <v>0</v>
      </c>
      <c r="I55" s="1646"/>
      <c r="J55" s="1646"/>
      <c r="K55" s="1646"/>
      <c r="L55" s="1646">
        <v>0</v>
      </c>
      <c r="M55" s="1646"/>
      <c r="N55" s="1646"/>
      <c r="O55" s="1646"/>
      <c r="P55" s="1646"/>
      <c r="Q55" s="1646"/>
      <c r="R55" s="1646"/>
      <c r="S55" s="640">
        <f t="shared" si="35"/>
        <v>0</v>
      </c>
      <c r="T55" s="1062">
        <f t="shared" si="36"/>
        <v>0</v>
      </c>
      <c r="U55" s="1337"/>
      <c r="V55" s="1093"/>
      <c r="X55" s="4"/>
      <c r="Y55" s="4"/>
      <c r="Z55" s="4"/>
      <c r="AA55" s="4"/>
      <c r="AB55" s="4"/>
      <c r="AC55" s="4"/>
      <c r="AD55" s="4"/>
      <c r="AE55" s="4"/>
      <c r="AF55" s="4"/>
      <c r="AG55" s="4"/>
      <c r="AH55" s="4"/>
      <c r="AI55" s="4"/>
      <c r="AJ55" s="4"/>
      <c r="AK55" s="4"/>
      <c r="AL55" s="4"/>
      <c r="AM55" s="4"/>
      <c r="AN55" s="4"/>
      <c r="AO55" s="4"/>
    </row>
    <row r="56" spans="2:68" ht="12.75" customHeight="1" thickTop="1" x14ac:dyDescent="0.2">
      <c r="B56" s="1629"/>
      <c r="C56" s="2479" t="s">
        <v>866</v>
      </c>
      <c r="D56" s="2480"/>
      <c r="E56" s="2481"/>
      <c r="F56" s="1609"/>
      <c r="G56" s="1630">
        <f>-G50+G51-G52-G53+G54+G55</f>
        <v>0</v>
      </c>
      <c r="H56" s="1630">
        <f t="shared" ref="H56:R56" si="38">-H50+H51-H52-H53+H54+H55</f>
        <v>0</v>
      </c>
      <c r="I56" s="1630">
        <f t="shared" si="38"/>
        <v>0</v>
      </c>
      <c r="J56" s="1630">
        <f t="shared" si="38"/>
        <v>0</v>
      </c>
      <c r="K56" s="1630">
        <f t="shared" si="38"/>
        <v>0</v>
      </c>
      <c r="L56" s="1630">
        <f t="shared" si="38"/>
        <v>0</v>
      </c>
      <c r="M56" s="1630">
        <f t="shared" si="38"/>
        <v>0</v>
      </c>
      <c r="N56" s="1630">
        <f t="shared" si="38"/>
        <v>0</v>
      </c>
      <c r="O56" s="1630">
        <f t="shared" si="38"/>
        <v>0</v>
      </c>
      <c r="P56" s="1630">
        <f t="shared" si="38"/>
        <v>0</v>
      </c>
      <c r="Q56" s="1630">
        <f t="shared" si="38"/>
        <v>0</v>
      </c>
      <c r="R56" s="1630">
        <f t="shared" si="38"/>
        <v>0</v>
      </c>
      <c r="S56" s="1631">
        <f>-S50+S51-S52-S53+S54+S55</f>
        <v>0</v>
      </c>
      <c r="U56" s="231"/>
      <c r="V56" s="231"/>
      <c r="X56" s="4"/>
      <c r="Y56" s="4"/>
      <c r="Z56" s="4"/>
      <c r="AA56" s="4"/>
      <c r="AB56" s="4"/>
      <c r="AC56" s="4"/>
      <c r="AD56" s="4"/>
      <c r="AE56" s="4"/>
      <c r="AF56" s="4"/>
      <c r="AG56" s="4"/>
      <c r="AH56" s="4"/>
      <c r="AI56" s="4"/>
      <c r="AJ56" s="4"/>
      <c r="AK56" s="4"/>
      <c r="AL56" s="4"/>
      <c r="AM56" s="4"/>
      <c r="AN56" s="4"/>
      <c r="AO56" s="4"/>
    </row>
    <row r="57" spans="2:68" ht="4.3499999999999996" customHeight="1" x14ac:dyDescent="0.2">
      <c r="B57" s="535"/>
      <c r="C57" s="535"/>
      <c r="D57" s="535"/>
      <c r="E57" s="535"/>
      <c r="F57" s="536"/>
      <c r="G57" s="637"/>
      <c r="H57" s="637"/>
      <c r="I57" s="637"/>
      <c r="J57" s="637"/>
      <c r="K57" s="637"/>
      <c r="L57" s="637"/>
      <c r="M57" s="637"/>
      <c r="N57" s="637"/>
      <c r="O57" s="637"/>
      <c r="P57" s="637"/>
      <c r="Q57" s="637"/>
      <c r="R57" s="637"/>
      <c r="S57" s="638"/>
      <c r="U57" s="231"/>
      <c r="V57" s="231"/>
      <c r="X57" s="4"/>
      <c r="Y57" s="4"/>
      <c r="Z57" s="4"/>
      <c r="AA57" s="4"/>
      <c r="AB57" s="4"/>
      <c r="AC57" s="4"/>
      <c r="AD57" s="4"/>
      <c r="AE57" s="4"/>
      <c r="AF57" s="4"/>
      <c r="AG57" s="4"/>
      <c r="AH57" s="4"/>
      <c r="AI57" s="4"/>
      <c r="AJ57" s="4"/>
      <c r="AK57" s="4"/>
      <c r="AL57" s="4"/>
      <c r="AM57" s="4"/>
      <c r="AN57" s="4"/>
      <c r="AO57" s="4"/>
    </row>
    <row r="58" spans="2:68" x14ac:dyDescent="0.2">
      <c r="B58" s="1632">
        <v>31</v>
      </c>
      <c r="C58" s="2476" t="s">
        <v>760</v>
      </c>
      <c r="D58" s="2477"/>
      <c r="E58" s="2477"/>
      <c r="F58" s="2478"/>
      <c r="G58" s="1633">
        <f t="shared" ref="G58:R58" si="39">G20-G47+G56</f>
        <v>0</v>
      </c>
      <c r="H58" s="1633">
        <f t="shared" si="39"/>
        <v>0</v>
      </c>
      <c r="I58" s="1633">
        <f t="shared" si="39"/>
        <v>0</v>
      </c>
      <c r="J58" s="1633">
        <f t="shared" si="39"/>
        <v>0</v>
      </c>
      <c r="K58" s="1633">
        <f t="shared" si="39"/>
        <v>0</v>
      </c>
      <c r="L58" s="1633">
        <f t="shared" si="39"/>
        <v>0</v>
      </c>
      <c r="M58" s="1633">
        <f t="shared" si="39"/>
        <v>0</v>
      </c>
      <c r="N58" s="1633">
        <f t="shared" si="39"/>
        <v>0</v>
      </c>
      <c r="O58" s="1633">
        <f t="shared" si="39"/>
        <v>0</v>
      </c>
      <c r="P58" s="1633">
        <f t="shared" si="39"/>
        <v>0</v>
      </c>
      <c r="Q58" s="1633">
        <f t="shared" si="39"/>
        <v>0</v>
      </c>
      <c r="R58" s="1634">
        <f t="shared" si="39"/>
        <v>0</v>
      </c>
      <c r="S58" s="1633">
        <f>SUM(G58:R58)</f>
        <v>0</v>
      </c>
      <c r="U58" s="231"/>
      <c r="V58" s="231"/>
      <c r="X58" s="4"/>
      <c r="Y58" s="4"/>
      <c r="Z58" s="4"/>
      <c r="AA58" s="4"/>
      <c r="AB58" s="4"/>
      <c r="AC58" s="4"/>
      <c r="AD58" s="4"/>
      <c r="AE58" s="4"/>
      <c r="AF58" s="4"/>
      <c r="AG58" s="4"/>
      <c r="AH58" s="4"/>
      <c r="AI58" s="4" t="s">
        <v>188</v>
      </c>
      <c r="AJ58" s="4"/>
      <c r="AK58" s="4"/>
      <c r="AL58" s="4"/>
      <c r="AM58" s="4"/>
      <c r="AN58" s="4"/>
      <c r="AO58" s="4"/>
    </row>
    <row r="59" spans="2:68" x14ac:dyDescent="0.2">
      <c r="B59" s="1635">
        <v>32</v>
      </c>
      <c r="C59" s="2411" t="s">
        <v>761</v>
      </c>
      <c r="D59" s="2412"/>
      <c r="E59" s="2412"/>
      <c r="F59" s="2413"/>
      <c r="G59" s="1633">
        <f t="shared" ref="G59:R59" si="40">G11+G58+G12</f>
        <v>0</v>
      </c>
      <c r="H59" s="1633">
        <f t="shared" si="40"/>
        <v>0</v>
      </c>
      <c r="I59" s="1633">
        <f t="shared" si="40"/>
        <v>0</v>
      </c>
      <c r="J59" s="1633">
        <f t="shared" si="40"/>
        <v>0</v>
      </c>
      <c r="K59" s="1633">
        <f t="shared" si="40"/>
        <v>0</v>
      </c>
      <c r="L59" s="1633">
        <f t="shared" si="40"/>
        <v>0</v>
      </c>
      <c r="M59" s="1633">
        <f t="shared" si="40"/>
        <v>0</v>
      </c>
      <c r="N59" s="1633">
        <f t="shared" si="40"/>
        <v>0</v>
      </c>
      <c r="O59" s="1633">
        <f t="shared" si="40"/>
        <v>0</v>
      </c>
      <c r="P59" s="1633">
        <f t="shared" si="40"/>
        <v>0</v>
      </c>
      <c r="Q59" s="1633">
        <f t="shared" si="40"/>
        <v>0</v>
      </c>
      <c r="R59" s="1633">
        <f t="shared" si="40"/>
        <v>0</v>
      </c>
      <c r="S59" s="1636"/>
      <c r="X59" s="4"/>
      <c r="Y59" s="4"/>
      <c r="Z59" s="4"/>
      <c r="AA59" s="4"/>
      <c r="AB59" s="4"/>
      <c r="AC59" s="4"/>
      <c r="AD59" s="4"/>
      <c r="AE59" s="4"/>
      <c r="AF59" s="4"/>
      <c r="AG59" s="4"/>
      <c r="AH59" s="4"/>
      <c r="AI59" s="4"/>
      <c r="AJ59" s="4"/>
      <c r="AK59" s="4"/>
      <c r="AL59" s="4"/>
      <c r="AM59" s="4"/>
      <c r="AN59" s="4"/>
      <c r="AO59" s="4"/>
    </row>
    <row r="60" spans="2:68" ht="4.3499999999999996" customHeight="1" x14ac:dyDescent="0.2">
      <c r="B60" s="154"/>
      <c r="C60" s="154"/>
      <c r="D60" s="52"/>
      <c r="E60" s="52"/>
      <c r="F60" s="87"/>
      <c r="G60" s="55"/>
      <c r="H60" s="55"/>
      <c r="I60" s="55"/>
      <c r="J60" s="55"/>
      <c r="K60" s="55"/>
      <c r="L60" s="55"/>
      <c r="M60" s="55"/>
      <c r="N60" s="55"/>
      <c r="O60" s="55"/>
      <c r="P60" s="55"/>
      <c r="Q60" s="155"/>
      <c r="R60" s="154"/>
      <c r="S60" s="105">
        <v>0</v>
      </c>
    </row>
    <row r="61" spans="2:68" x14ac:dyDescent="0.2">
      <c r="B61" s="52"/>
      <c r="C61" s="52"/>
      <c r="D61" s="52"/>
      <c r="E61" s="52"/>
      <c r="F61" s="87"/>
      <c r="S61" s="153">
        <f>'Front Page'!F6</f>
        <v>0</v>
      </c>
      <c r="AP61" s="85"/>
      <c r="AQ61" s="85"/>
    </row>
    <row r="62" spans="2:68" s="53" customFormat="1" ht="24" customHeight="1" x14ac:dyDescent="0.2">
      <c r="B62" s="1685" t="str">
        <f>'7. T2 RESULT BUDGET '!B36</f>
        <v>BP6 Financial Projection</v>
      </c>
      <c r="C62" s="1685"/>
      <c r="D62" s="1685"/>
      <c r="E62" s="1685"/>
      <c r="F62" s="1686"/>
      <c r="G62" s="1687"/>
      <c r="H62" s="1687"/>
      <c r="I62" s="1687"/>
      <c r="J62" s="1687"/>
      <c r="K62" s="1687"/>
      <c r="L62" s="1687"/>
      <c r="M62" s="1687"/>
      <c r="N62" s="1687"/>
      <c r="O62" s="1687"/>
      <c r="P62" s="1687"/>
      <c r="Q62" s="1687"/>
      <c r="R62" s="1687"/>
      <c r="S62" s="1688" t="str">
        <f>'7. T2 RESULT BUDGET '!G36</f>
        <v>Enontekiö, Kittilä, Kolari, Muonio, Pello</v>
      </c>
      <c r="U62" s="225"/>
      <c r="V62" s="225"/>
      <c r="X62" s="50"/>
      <c r="AP62" s="1335"/>
      <c r="AQ62" s="1335"/>
    </row>
    <row r="63" spans="2:68" ht="20.25" x14ac:dyDescent="0.3">
      <c r="B63" s="88" t="str">
        <f>B6</f>
        <v>T5 CASH BUDGET</v>
      </c>
      <c r="C63" s="99"/>
      <c r="D63" s="100"/>
      <c r="G63" s="1682">
        <v>2</v>
      </c>
      <c r="H63" s="2443" t="str">
        <f>H6</f>
        <v>FORECAST YEAR</v>
      </c>
      <c r="I63" s="2443"/>
      <c r="J63" s="2443"/>
      <c r="K63" s="1681">
        <f>'1. T1 INVESTMENT PLAN'!F16</f>
        <v>2028</v>
      </c>
      <c r="M63" s="159"/>
      <c r="O63" s="2450"/>
      <c r="P63" s="2450"/>
      <c r="Q63" s="2450"/>
      <c r="R63" s="99"/>
      <c r="S63" s="99"/>
    </row>
    <row r="64" spans="2:68" ht="8.25" customHeight="1" x14ac:dyDescent="0.3">
      <c r="B64" s="160"/>
      <c r="C64" s="99"/>
      <c r="D64" s="100"/>
      <c r="E64" s="100"/>
      <c r="F64" s="128"/>
      <c r="G64" s="128"/>
      <c r="H64" s="158"/>
      <c r="I64" s="101"/>
      <c r="J64" s="2466"/>
      <c r="K64" s="2466"/>
      <c r="L64" s="2466"/>
      <c r="M64" s="2466"/>
      <c r="O64" s="2467"/>
      <c r="P64" s="2467"/>
      <c r="Q64" s="2467"/>
      <c r="R64" s="99"/>
      <c r="S64" s="99"/>
      <c r="U64" s="225">
        <v>0</v>
      </c>
    </row>
    <row r="65" spans="2:66" ht="14.25" x14ac:dyDescent="0.2">
      <c r="B65" s="2466">
        <f>'1. T1 INVESTMENT PLAN'!B7</f>
        <v>0</v>
      </c>
      <c r="C65" s="2466"/>
      <c r="D65" s="2466"/>
      <c r="E65" s="2466"/>
      <c r="G65" s="102"/>
      <c r="H65" s="102"/>
      <c r="I65" s="102"/>
      <c r="J65" s="102"/>
      <c r="K65" s="102"/>
      <c r="L65" s="102"/>
      <c r="M65" s="102"/>
      <c r="O65" s="2451"/>
      <c r="P65" s="2451"/>
      <c r="Q65" s="2451"/>
      <c r="R65" s="102"/>
      <c r="S65" s="103"/>
      <c r="U65" s="2173"/>
      <c r="V65" s="2173"/>
      <c r="W65" s="2173"/>
      <c r="X65" s="2173"/>
    </row>
    <row r="66" spans="2:66" ht="11.25" customHeight="1" x14ac:dyDescent="0.2">
      <c r="B66" s="102"/>
      <c r="C66" s="102"/>
      <c r="G66" s="102"/>
      <c r="H66" s="102"/>
      <c r="I66" s="102"/>
      <c r="J66" s="102"/>
      <c r="K66" s="102"/>
      <c r="L66" s="102"/>
      <c r="M66" s="102"/>
      <c r="N66" s="1585"/>
      <c r="O66" s="1585"/>
      <c r="P66" s="1585"/>
      <c r="Q66" s="102"/>
      <c r="R66" s="102"/>
      <c r="S66" s="103"/>
    </row>
    <row r="67" spans="2:66" ht="16.5" thickBot="1" x14ac:dyDescent="0.3">
      <c r="B67" s="1831"/>
      <c r="C67" s="2463" t="str">
        <f>C10</f>
        <v>OPERATING INCOME</v>
      </c>
      <c r="D67" s="2463"/>
      <c r="E67" s="2463"/>
      <c r="F67" s="1836"/>
      <c r="G67" s="1828" t="s">
        <v>762</v>
      </c>
      <c r="H67" s="1828" t="s">
        <v>763</v>
      </c>
      <c r="I67" s="1828" t="s">
        <v>764</v>
      </c>
      <c r="J67" s="1828" t="s">
        <v>765</v>
      </c>
      <c r="K67" s="1828" t="s">
        <v>766</v>
      </c>
      <c r="L67" s="1828" t="s">
        <v>767</v>
      </c>
      <c r="M67" s="1828" t="s">
        <v>768</v>
      </c>
      <c r="N67" s="1828" t="s">
        <v>769</v>
      </c>
      <c r="O67" s="1828" t="s">
        <v>770</v>
      </c>
      <c r="P67" s="1828" t="s">
        <v>771</v>
      </c>
      <c r="Q67" s="1828" t="s">
        <v>772</v>
      </c>
      <c r="R67" s="1828" t="s">
        <v>773</v>
      </c>
      <c r="S67" s="1587" t="str">
        <f>S10</f>
        <v>TOTAL</v>
      </c>
      <c r="X67" s="2491" t="s">
        <v>292</v>
      </c>
      <c r="Y67" s="2491"/>
      <c r="Z67" s="2491"/>
      <c r="AA67" s="1059"/>
      <c r="AB67" s="1059"/>
      <c r="AC67" s="1059"/>
      <c r="AD67" s="1059"/>
      <c r="AE67" s="1059"/>
      <c r="AF67" s="1059"/>
      <c r="BA67" s="2475" t="str">
        <f>B6</f>
        <v>T5 CASH BUDGET</v>
      </c>
      <c r="BB67" s="2475"/>
      <c r="BC67" s="2475"/>
      <c r="BF67" s="338" t="str">
        <f>H63</f>
        <v>FORECAST YEAR</v>
      </c>
      <c r="BG67" s="1681">
        <f>K63</f>
        <v>2028</v>
      </c>
      <c r="BK67" s="24"/>
    </row>
    <row r="68" spans="2:66" ht="15.75" x14ac:dyDescent="0.25">
      <c r="B68" s="2468">
        <v>1</v>
      </c>
      <c r="C68" s="2473" t="s">
        <v>757</v>
      </c>
      <c r="D68" s="2474"/>
      <c r="E68" s="2474"/>
      <c r="F68" s="2474"/>
      <c r="G68" s="1684">
        <f>R59</f>
        <v>0</v>
      </c>
      <c r="H68" s="1640">
        <f t="shared" ref="H68:R68" si="41">G116</f>
        <v>0</v>
      </c>
      <c r="I68" s="639">
        <f t="shared" si="41"/>
        <v>0</v>
      </c>
      <c r="J68" s="639">
        <f t="shared" si="41"/>
        <v>0</v>
      </c>
      <c r="K68" s="639">
        <f t="shared" si="41"/>
        <v>0</v>
      </c>
      <c r="L68" s="639">
        <f t="shared" si="41"/>
        <v>0</v>
      </c>
      <c r="M68" s="639">
        <f t="shared" si="41"/>
        <v>0</v>
      </c>
      <c r="N68" s="639">
        <f t="shared" si="41"/>
        <v>0</v>
      </c>
      <c r="O68" s="639">
        <f t="shared" si="41"/>
        <v>0</v>
      </c>
      <c r="P68" s="639">
        <f t="shared" si="41"/>
        <v>0</v>
      </c>
      <c r="Q68" s="639">
        <f t="shared" si="41"/>
        <v>0</v>
      </c>
      <c r="R68" s="639">
        <f t="shared" si="41"/>
        <v>0</v>
      </c>
      <c r="S68" s="639"/>
      <c r="X68" s="1059"/>
      <c r="Y68" s="1059"/>
      <c r="Z68" s="1059"/>
      <c r="AA68" s="1059"/>
      <c r="AB68" s="1059"/>
      <c r="AC68" s="1059"/>
      <c r="AD68" s="1059"/>
      <c r="AE68" s="1059"/>
      <c r="AF68" s="1059"/>
      <c r="BA68" s="88"/>
      <c r="BB68" s="88"/>
      <c r="BC68" s="88"/>
      <c r="BE68" s="24"/>
      <c r="BK68" s="24"/>
    </row>
    <row r="69" spans="2:66" x14ac:dyDescent="0.2">
      <c r="B69" s="2469"/>
      <c r="C69" s="1612" t="str">
        <f>C12</f>
        <v xml:space="preserve"> Accounts receivables from the previous financial year</v>
      </c>
      <c r="D69" s="1613"/>
      <c r="E69" s="1613"/>
      <c r="F69" s="1614"/>
      <c r="G69" s="633">
        <f>'AT Kassa'!C45</f>
        <v>0</v>
      </c>
      <c r="H69" s="633">
        <f>'AT Kassa'!D45</f>
        <v>0</v>
      </c>
      <c r="I69" s="633">
        <f>'AT Kassa'!E45</f>
        <v>0</v>
      </c>
      <c r="J69" s="633">
        <f>'AT Kassa'!F45</f>
        <v>0</v>
      </c>
      <c r="K69" s="633">
        <f>'AT Kassa'!G45</f>
        <v>0</v>
      </c>
      <c r="L69" s="633">
        <f>'AT Kassa'!H45</f>
        <v>0</v>
      </c>
      <c r="M69" s="640"/>
      <c r="N69" s="640"/>
      <c r="O69" s="640"/>
      <c r="P69" s="640"/>
      <c r="Q69" s="640"/>
      <c r="R69" s="640"/>
      <c r="S69" s="1588">
        <f>SUM(G69:R69)</f>
        <v>0</v>
      </c>
      <c r="U69" s="225">
        <v>0</v>
      </c>
      <c r="X69" s="1059"/>
      <c r="Y69" s="1059"/>
      <c r="Z69" s="1059"/>
      <c r="AA69" s="1059"/>
      <c r="AB69" s="1059"/>
      <c r="AC69" s="1059"/>
      <c r="AD69" s="1059"/>
      <c r="AE69" s="1059"/>
      <c r="AF69" s="1059"/>
      <c r="BA69" s="109"/>
      <c r="BC69" s="40"/>
    </row>
    <row r="70" spans="2:66" ht="15.75" x14ac:dyDescent="0.25">
      <c r="B70" s="1589">
        <v>2</v>
      </c>
      <c r="C70" s="2414" t="str">
        <f>C13</f>
        <v xml:space="preserve"> Cash sales and advance payment share-%</v>
      </c>
      <c r="D70" s="2416"/>
      <c r="E70" s="1617">
        <f>E13</f>
        <v>0.5</v>
      </c>
      <c r="F70" s="1568">
        <v>25.5</v>
      </c>
      <c r="G70" s="634">
        <f t="shared" ref="G70:Q70" si="42">G71*$S70</f>
        <v>0</v>
      </c>
      <c r="H70" s="634">
        <f t="shared" si="42"/>
        <v>0</v>
      </c>
      <c r="I70" s="634">
        <f t="shared" si="42"/>
        <v>0</v>
      </c>
      <c r="J70" s="634">
        <f t="shared" si="42"/>
        <v>0</v>
      </c>
      <c r="K70" s="634">
        <f t="shared" si="42"/>
        <v>0</v>
      </c>
      <c r="L70" s="634">
        <f t="shared" si="42"/>
        <v>0</v>
      </c>
      <c r="M70" s="634">
        <f t="shared" si="42"/>
        <v>0</v>
      </c>
      <c r="N70" s="634">
        <f t="shared" si="42"/>
        <v>0</v>
      </c>
      <c r="O70" s="634">
        <f t="shared" si="42"/>
        <v>0</v>
      </c>
      <c r="P70" s="634">
        <f t="shared" si="42"/>
        <v>0</v>
      </c>
      <c r="Q70" s="634">
        <f t="shared" si="42"/>
        <v>0</v>
      </c>
      <c r="R70" s="634">
        <f>R71*$S70</f>
        <v>0</v>
      </c>
      <c r="S70" s="1590">
        <f>E70*('4. E2 TURNOVER'!F10+'4. E2 TURNOVER'!F13)</f>
        <v>0</v>
      </c>
      <c r="X70" s="1059"/>
      <c r="Y70" s="1059"/>
      <c r="Z70" s="1059"/>
      <c r="AA70" s="1059"/>
      <c r="AB70" s="1059"/>
      <c r="AC70" s="1059"/>
      <c r="AD70" s="1059"/>
      <c r="AE70" s="1059"/>
      <c r="AF70" s="1059"/>
      <c r="BA70" s="2">
        <f>'1. T1 INVESTMENT PLAN'!B7</f>
        <v>0</v>
      </c>
      <c r="BB70" s="162"/>
      <c r="BC70" s="1637"/>
      <c r="BD70" s="162"/>
      <c r="BG70" s="24"/>
      <c r="BH70" s="24"/>
      <c r="BI70" s="24"/>
      <c r="BJ70" s="24"/>
      <c r="BL70" s="24"/>
      <c r="BM70" s="24"/>
      <c r="BN70" s="162"/>
    </row>
    <row r="71" spans="2:66" x14ac:dyDescent="0.2">
      <c r="B71" s="528"/>
      <c r="C71" s="1618"/>
      <c r="D71" s="2423" t="str">
        <f>D14</f>
        <v>Monthly sales in percents</v>
      </c>
      <c r="E71" s="2423"/>
      <c r="F71" s="2424"/>
      <c r="G71" s="635">
        <v>0.09</v>
      </c>
      <c r="H71" s="635">
        <v>0.09</v>
      </c>
      <c r="I71" s="635">
        <v>0.09</v>
      </c>
      <c r="J71" s="635">
        <v>0.09</v>
      </c>
      <c r="K71" s="635">
        <v>0.08</v>
      </c>
      <c r="L71" s="635">
        <v>0.08</v>
      </c>
      <c r="M71" s="635">
        <v>0.08</v>
      </c>
      <c r="N71" s="635">
        <v>0.08</v>
      </c>
      <c r="O71" s="635">
        <v>0.08</v>
      </c>
      <c r="P71" s="635">
        <v>0.08</v>
      </c>
      <c r="Q71" s="635">
        <v>0.08</v>
      </c>
      <c r="R71" s="635">
        <v>0.08</v>
      </c>
      <c r="S71" s="1591">
        <f>SUM(G71:R71)</f>
        <v>0.99999999999999978</v>
      </c>
      <c r="T71" s="201" t="str">
        <f>IF(E70=0," ",IF(S71=100%," ","VIRHE!"))</f>
        <v xml:space="preserve"> </v>
      </c>
      <c r="X71" s="1059"/>
      <c r="Y71" s="1059"/>
      <c r="Z71" s="1059"/>
      <c r="AA71" s="1059"/>
      <c r="AB71" s="1059"/>
      <c r="AC71" s="1059"/>
      <c r="AD71" s="1059"/>
      <c r="AE71" s="1059"/>
      <c r="AF71" s="1059"/>
      <c r="BC71" s="40"/>
    </row>
    <row r="72" spans="2:66" x14ac:dyDescent="0.2">
      <c r="B72" s="528">
        <v>3</v>
      </c>
      <c r="C72" s="2414" t="str">
        <f>C15</f>
        <v xml:space="preserve"> Invoiced sales</v>
      </c>
      <c r="D72" s="2423"/>
      <c r="E72" s="2424"/>
      <c r="F72" s="1620">
        <v>25.5</v>
      </c>
      <c r="G72" s="634">
        <f>G73*$S72</f>
        <v>0</v>
      </c>
      <c r="H72" s="634">
        <f>H73*$S72</f>
        <v>0</v>
      </c>
      <c r="I72" s="634">
        <f t="shared" ref="I72:R72" si="43">I73*$S72</f>
        <v>0</v>
      </c>
      <c r="J72" s="634">
        <f t="shared" si="43"/>
        <v>0</v>
      </c>
      <c r="K72" s="634">
        <f t="shared" si="43"/>
        <v>0</v>
      </c>
      <c r="L72" s="634">
        <f t="shared" si="43"/>
        <v>0</v>
      </c>
      <c r="M72" s="634">
        <f t="shared" si="43"/>
        <v>0</v>
      </c>
      <c r="N72" s="634">
        <f t="shared" si="43"/>
        <v>0</v>
      </c>
      <c r="O72" s="634">
        <f t="shared" si="43"/>
        <v>0</v>
      </c>
      <c r="P72" s="634">
        <f t="shared" si="43"/>
        <v>0</v>
      </c>
      <c r="Q72" s="634">
        <f t="shared" si="43"/>
        <v>0</v>
      </c>
      <c r="R72" s="634">
        <f t="shared" si="43"/>
        <v>0</v>
      </c>
      <c r="S72" s="1590">
        <f>('4. E2 TURNOVER'!F10+'4. E2 TURNOVER'!F13)-S70</f>
        <v>0</v>
      </c>
      <c r="U72" s="231"/>
      <c r="V72" s="231"/>
      <c r="X72" s="1059"/>
      <c r="Y72" s="1059"/>
      <c r="Z72" s="1059"/>
      <c r="AA72" s="1059"/>
      <c r="AB72" s="1059"/>
      <c r="AC72" s="1059"/>
      <c r="AD72" s="1059"/>
      <c r="AE72" s="1059"/>
      <c r="AF72" s="1059"/>
      <c r="BC72" s="40"/>
    </row>
    <row r="73" spans="2:66" x14ac:dyDescent="0.2">
      <c r="B73" s="528"/>
      <c r="C73" s="1618"/>
      <c r="D73" s="2423" t="str">
        <f>D16</f>
        <v>Monthly sales in percents</v>
      </c>
      <c r="E73" s="2423"/>
      <c r="F73" s="2424"/>
      <c r="G73" s="635">
        <v>0.09</v>
      </c>
      <c r="H73" s="635">
        <v>0.09</v>
      </c>
      <c r="I73" s="635">
        <v>0.09</v>
      </c>
      <c r="J73" s="635">
        <v>0.09</v>
      </c>
      <c r="K73" s="635">
        <v>0.08</v>
      </c>
      <c r="L73" s="635">
        <v>0.08</v>
      </c>
      <c r="M73" s="635">
        <v>0.08</v>
      </c>
      <c r="N73" s="635">
        <v>0.08</v>
      </c>
      <c r="O73" s="635">
        <v>0.08</v>
      </c>
      <c r="P73" s="635">
        <v>0.08</v>
      </c>
      <c r="Q73" s="635">
        <v>0.08</v>
      </c>
      <c r="R73" s="635">
        <v>0.08</v>
      </c>
      <c r="S73" s="1591">
        <f>SUM(G73:R73)</f>
        <v>0.99999999999999978</v>
      </c>
      <c r="T73" s="201" t="str">
        <f>IF(E70=100%," ",IF(S73=100%," ","VIRHE!"))</f>
        <v xml:space="preserve"> </v>
      </c>
      <c r="X73" s="1059"/>
      <c r="Y73" s="1059"/>
      <c r="Z73" s="1059"/>
      <c r="AA73" s="1059"/>
      <c r="AB73" s="1059"/>
      <c r="AC73" s="1059"/>
      <c r="AD73" s="1059"/>
      <c r="AE73" s="1059"/>
      <c r="AF73" s="1059"/>
      <c r="BC73" s="40"/>
    </row>
    <row r="74" spans="2:66" ht="13.5" thickBot="1" x14ac:dyDescent="0.25">
      <c r="B74" s="528"/>
      <c r="C74" s="1618"/>
      <c r="D74" s="1619" t="str">
        <f>D17</f>
        <v>Payment term </v>
      </c>
      <c r="E74" s="1621">
        <f>E17</f>
        <v>14</v>
      </c>
      <c r="F74" s="1622" t="s">
        <v>72</v>
      </c>
      <c r="G74" s="634">
        <f>'AT Kassa'!C67</f>
        <v>0</v>
      </c>
      <c r="H74" s="634">
        <f>'AT Kassa'!D67</f>
        <v>0</v>
      </c>
      <c r="I74" s="634">
        <f>'AT Kassa'!E67</f>
        <v>0</v>
      </c>
      <c r="J74" s="634">
        <f>'AT Kassa'!F67</f>
        <v>0</v>
      </c>
      <c r="K74" s="634">
        <f>'AT Kassa'!G67</f>
        <v>0</v>
      </c>
      <c r="L74" s="634">
        <f>'AT Kassa'!H67</f>
        <v>0</v>
      </c>
      <c r="M74" s="634">
        <f>'AT Kassa'!I67</f>
        <v>0</v>
      </c>
      <c r="N74" s="634">
        <f>'AT Kassa'!J67</f>
        <v>0</v>
      </c>
      <c r="O74" s="634">
        <f>'AT Kassa'!K67</f>
        <v>0</v>
      </c>
      <c r="P74" s="634">
        <f>'AT Kassa'!L67</f>
        <v>0</v>
      </c>
      <c r="Q74" s="634">
        <f>'AT Kassa'!M67</f>
        <v>0</v>
      </c>
      <c r="R74" s="634">
        <f>'AT Kassa'!N67</f>
        <v>0</v>
      </c>
      <c r="S74" s="1590">
        <f>SUM(G74:R74)</f>
        <v>0</v>
      </c>
      <c r="X74" s="131"/>
      <c r="Y74" s="131"/>
      <c r="Z74" s="131"/>
      <c r="AA74" s="131"/>
      <c r="AB74" s="131"/>
      <c r="AC74" s="131"/>
      <c r="AD74" s="131"/>
      <c r="AE74" s="131"/>
      <c r="AF74" s="131"/>
      <c r="BC74" s="40"/>
    </row>
    <row r="75" spans="2:66" x14ac:dyDescent="0.2">
      <c r="B75" s="528">
        <v>4</v>
      </c>
      <c r="C75" s="2420" t="str">
        <f>C18</f>
        <v xml:space="preserve"> Other income incl. VAT</v>
      </c>
      <c r="D75" s="2421"/>
      <c r="E75" s="2422"/>
      <c r="F75" s="1620">
        <v>25.5</v>
      </c>
      <c r="G75" s="636">
        <f>-'5. T4 FINANCING PLAN'!$G$58*'8. T5 CASH BUDGET'!G72</f>
        <v>0</v>
      </c>
      <c r="H75" s="636">
        <f>-'5. T4 FINANCING PLAN'!$G$58*'8. T5 CASH BUDGET'!H72</f>
        <v>0</v>
      </c>
      <c r="I75" s="636">
        <f>-'5. T4 FINANCING PLAN'!$G$58*'8. T5 CASH BUDGET'!I72</f>
        <v>0</v>
      </c>
      <c r="J75" s="636">
        <f>-'5. T4 FINANCING PLAN'!$G$58*'8. T5 CASH BUDGET'!J72</f>
        <v>0</v>
      </c>
      <c r="K75" s="636">
        <f>-'5. T4 FINANCING PLAN'!$G$58*'8. T5 CASH BUDGET'!K72</f>
        <v>0</v>
      </c>
      <c r="L75" s="636">
        <f>-'5. T4 FINANCING PLAN'!$G$58*'8. T5 CASH BUDGET'!L72</f>
        <v>0</v>
      </c>
      <c r="M75" s="636">
        <f>-'5. T4 FINANCING PLAN'!$G$58*'8. T5 CASH BUDGET'!M72</f>
        <v>0</v>
      </c>
      <c r="N75" s="636">
        <f>-'5. T4 FINANCING PLAN'!$G$58*'8. T5 CASH BUDGET'!N72</f>
        <v>0</v>
      </c>
      <c r="O75" s="636">
        <f>-'5. T4 FINANCING PLAN'!$G$58*'8. T5 CASH BUDGET'!O72</f>
        <v>0</v>
      </c>
      <c r="P75" s="636">
        <f>-'5. T4 FINANCING PLAN'!$G$58*'8. T5 CASH BUDGET'!P72</f>
        <v>0</v>
      </c>
      <c r="Q75" s="636">
        <f>-'5. T4 FINANCING PLAN'!$G$58*'8. T5 CASH BUDGET'!Q72</f>
        <v>0</v>
      </c>
      <c r="R75" s="636">
        <f>-'5. T4 FINANCING PLAN'!$G$58*'8. T5 CASH BUDGET'!R72</f>
        <v>0</v>
      </c>
      <c r="S75" s="1590">
        <f>SUM(G75:R75)</f>
        <v>0</v>
      </c>
      <c r="U75" s="2444" t="s">
        <v>776</v>
      </c>
      <c r="V75" s="1091"/>
      <c r="X75" s="131"/>
      <c r="Y75" s="131"/>
      <c r="Z75" s="131"/>
      <c r="AA75" s="131"/>
      <c r="AB75" s="131"/>
      <c r="AC75" s="131"/>
      <c r="AD75" s="131"/>
      <c r="AE75" s="131"/>
      <c r="AF75" s="131"/>
      <c r="BC75" s="40"/>
    </row>
    <row r="76" spans="2:66" ht="13.5" thickBot="1" x14ac:dyDescent="0.25">
      <c r="B76" s="1592">
        <v>5</v>
      </c>
      <c r="C76" s="2460" t="str">
        <f>C19</f>
        <v xml:space="preserve"> Other income VAT 0 % (subsides, insurance compensations, etc.)</v>
      </c>
      <c r="D76" s="2461"/>
      <c r="E76" s="2462"/>
      <c r="F76" s="1623"/>
      <c r="G76" s="1692">
        <f>'3. E1 OPERATING COSTS'!$F$30/12</f>
        <v>0</v>
      </c>
      <c r="H76" s="1692">
        <f>'3. E1 OPERATING COSTS'!$F$30/12</f>
        <v>0</v>
      </c>
      <c r="I76" s="1692">
        <f>'3. E1 OPERATING COSTS'!$F$30/12</f>
        <v>0</v>
      </c>
      <c r="J76" s="1692">
        <f>'3. E1 OPERATING COSTS'!$F$30/12</f>
        <v>0</v>
      </c>
      <c r="K76" s="1692">
        <f>'3. E1 OPERATING COSTS'!$F$30/12</f>
        <v>0</v>
      </c>
      <c r="L76" s="1692">
        <f>'3. E1 OPERATING COSTS'!$F$30/12</f>
        <v>0</v>
      </c>
      <c r="M76" s="1692">
        <f>'3. E1 OPERATING COSTS'!$F$30/12+'1. T1 INVESTMENT PLAN'!F61</f>
        <v>0</v>
      </c>
      <c r="N76" s="1692">
        <f>'3. E1 OPERATING COSTS'!$F$30/12</f>
        <v>0</v>
      </c>
      <c r="O76" s="1692">
        <f>'3. E1 OPERATING COSTS'!$F$30/12</f>
        <v>0</v>
      </c>
      <c r="P76" s="1692">
        <f>'3. E1 OPERATING COSTS'!$F$30/12</f>
        <v>0</v>
      </c>
      <c r="Q76" s="1692">
        <f>'3. E1 OPERATING COSTS'!$F$30/12</f>
        <v>0</v>
      </c>
      <c r="R76" s="1692">
        <f>'3. E1 OPERATING COSTS'!$F$30/12</f>
        <v>0</v>
      </c>
      <c r="S76" s="1593">
        <f>SUM(G76:R76)</f>
        <v>0</v>
      </c>
      <c r="U76" s="2445"/>
      <c r="V76" s="1091"/>
      <c r="W76" s="53"/>
      <c r="X76" s="152"/>
      <c r="Y76" s="152"/>
      <c r="Z76" s="152"/>
      <c r="AA76" s="152"/>
      <c r="AB76" s="152"/>
      <c r="AC76" s="152"/>
      <c r="AD76" s="152"/>
      <c r="AE76" s="152"/>
      <c r="AF76" s="152"/>
      <c r="BC76" s="40"/>
    </row>
    <row r="77" spans="2:66" ht="18" customHeight="1" thickTop="1" x14ac:dyDescent="0.2">
      <c r="B77" s="1594"/>
      <c r="C77" s="2452" t="str">
        <f>C20</f>
        <v>TOTAL OPERATING INCOME</v>
      </c>
      <c r="D77" s="2453"/>
      <c r="E77" s="2454"/>
      <c r="F77" s="1595"/>
      <c r="G77" s="1596">
        <f t="shared" ref="G77:R77" si="44">G70+G74+G76+G75</f>
        <v>0</v>
      </c>
      <c r="H77" s="1596">
        <f t="shared" si="44"/>
        <v>0</v>
      </c>
      <c r="I77" s="1596">
        <f t="shared" si="44"/>
        <v>0</v>
      </c>
      <c r="J77" s="1596">
        <f t="shared" si="44"/>
        <v>0</v>
      </c>
      <c r="K77" s="1596">
        <f t="shared" si="44"/>
        <v>0</v>
      </c>
      <c r="L77" s="1596">
        <f t="shared" si="44"/>
        <v>0</v>
      </c>
      <c r="M77" s="1596">
        <f t="shared" si="44"/>
        <v>0</v>
      </c>
      <c r="N77" s="1596">
        <f t="shared" si="44"/>
        <v>0</v>
      </c>
      <c r="O77" s="1596">
        <f t="shared" si="44"/>
        <v>0</v>
      </c>
      <c r="P77" s="1596">
        <f t="shared" si="44"/>
        <v>0</v>
      </c>
      <c r="Q77" s="1596">
        <f t="shared" si="44"/>
        <v>0</v>
      </c>
      <c r="R77" s="1596">
        <f t="shared" si="44"/>
        <v>0</v>
      </c>
      <c r="S77" s="1597">
        <f>SUM(G77:R77)</f>
        <v>0</v>
      </c>
      <c r="U77" s="2445"/>
      <c r="V77" s="1091"/>
      <c r="W77" s="53"/>
      <c r="X77" s="2393"/>
      <c r="Y77" s="2393"/>
      <c r="Z77" s="2393"/>
      <c r="AA77" s="2393"/>
      <c r="AB77" s="2393"/>
      <c r="AC77" s="2393"/>
      <c r="AD77" s="2393"/>
      <c r="AE77" s="2393"/>
      <c r="AF77" s="2393"/>
      <c r="BC77" s="40"/>
    </row>
    <row r="78" spans="2:66" ht="3.75" customHeight="1" x14ac:dyDescent="0.2">
      <c r="B78" s="309"/>
      <c r="C78" s="1827" t="s">
        <v>188</v>
      </c>
      <c r="D78" s="641"/>
      <c r="E78" s="641"/>
      <c r="F78" s="310"/>
      <c r="G78" s="311"/>
      <c r="H78" s="311"/>
      <c r="I78" s="311"/>
      <c r="J78" s="311"/>
      <c r="K78" s="311"/>
      <c r="L78" s="311"/>
      <c r="M78" s="311"/>
      <c r="N78" s="311"/>
      <c r="O78" s="311"/>
      <c r="P78" s="311"/>
      <c r="Q78" s="311"/>
      <c r="R78" s="311"/>
      <c r="S78" s="235" t="s">
        <v>0</v>
      </c>
      <c r="U78" s="1213"/>
      <c r="V78" s="1091"/>
      <c r="W78" s="53"/>
      <c r="X78" s="152"/>
      <c r="Y78" s="152"/>
      <c r="Z78" s="152"/>
      <c r="AA78" s="152"/>
      <c r="AB78" s="152"/>
      <c r="AC78" s="152"/>
      <c r="BC78" s="40"/>
    </row>
    <row r="79" spans="2:66" ht="16.5" customHeight="1" thickBot="1" x14ac:dyDescent="0.25">
      <c r="B79" s="1831"/>
      <c r="C79" s="2463" t="str">
        <f>C22</f>
        <v>EXPENSES</v>
      </c>
      <c r="D79" s="2463"/>
      <c r="E79" s="2497"/>
      <c r="F79" s="1835" t="str">
        <f>F22</f>
        <v>VAT-%</v>
      </c>
      <c r="G79" s="1586" t="str">
        <f>G67</f>
        <v>JAN</v>
      </c>
      <c r="H79" s="1586" t="str">
        <f t="shared" ref="H79:S79" si="45">+H67</f>
        <v>FEB</v>
      </c>
      <c r="I79" s="1586" t="str">
        <f t="shared" si="45"/>
        <v>MARS</v>
      </c>
      <c r="J79" s="1586" t="str">
        <f t="shared" si="45"/>
        <v>APR</v>
      </c>
      <c r="K79" s="1586" t="str">
        <f t="shared" si="45"/>
        <v>MAY</v>
      </c>
      <c r="L79" s="1586" t="str">
        <f t="shared" si="45"/>
        <v>JUNE</v>
      </c>
      <c r="M79" s="1586" t="str">
        <f t="shared" si="45"/>
        <v>JULY</v>
      </c>
      <c r="N79" s="1586" t="str">
        <f t="shared" si="45"/>
        <v>AUG</v>
      </c>
      <c r="O79" s="1586" t="str">
        <f t="shared" si="45"/>
        <v>SEP</v>
      </c>
      <c r="P79" s="1586" t="str">
        <f t="shared" si="45"/>
        <v>OCT</v>
      </c>
      <c r="Q79" s="1586" t="str">
        <f t="shared" si="45"/>
        <v>NOV</v>
      </c>
      <c r="R79" s="1586" t="str">
        <f t="shared" si="45"/>
        <v>DEC</v>
      </c>
      <c r="S79" s="1690" t="str">
        <f t="shared" si="45"/>
        <v>TOTAL</v>
      </c>
      <c r="T79" s="1199" t="str">
        <f>T22</f>
        <v>Difference</v>
      </c>
      <c r="U79" s="1214" t="str">
        <f>U22</f>
        <v>Inc. VAT</v>
      </c>
      <c r="V79" s="1091"/>
      <c r="W79" s="53"/>
      <c r="X79" s="438"/>
      <c r="Y79" s="438"/>
      <c r="Z79" s="437"/>
      <c r="AA79" s="437"/>
      <c r="AB79" s="437"/>
      <c r="AC79" s="2498"/>
      <c r="AD79" s="72"/>
      <c r="AE79" s="72"/>
      <c r="AF79" s="72"/>
      <c r="BC79" s="40"/>
    </row>
    <row r="80" spans="2:66" x14ac:dyDescent="0.2">
      <c r="B80" s="2503">
        <v>6</v>
      </c>
      <c r="C80" s="2492" t="str">
        <f>C23</f>
        <v xml:space="preserve"> Materials and supplies</v>
      </c>
      <c r="D80" s="2493"/>
      <c r="E80" s="2494"/>
      <c r="F80" s="1834">
        <v>25.5</v>
      </c>
      <c r="G80" s="1569">
        <f>IF(($S70+$S72)*$U80=0,0,(G70+G72)/($S70+$S72)*'8. T5 CASH BUDGET'!$U80)</f>
        <v>0</v>
      </c>
      <c r="H80" s="1569">
        <f>IF(($S70+$S72)*$U80=0,0,(H70+H72)/($S70+$S72)*'8. T5 CASH BUDGET'!$U80)</f>
        <v>0</v>
      </c>
      <c r="I80" s="1569">
        <f>IF(($S70+$S72)*$U80=0,0,(I70+I72)/($S70+$S72)*'8. T5 CASH BUDGET'!$U80)</f>
        <v>0</v>
      </c>
      <c r="J80" s="1569">
        <f>IF(($S70+$S72)*$U80=0,0,(J70+J72)/($S70+$S72)*'8. T5 CASH BUDGET'!$U80)</f>
        <v>0</v>
      </c>
      <c r="K80" s="1569">
        <f>IF(($S70+$S72)*$U80=0,0,(K70+K72)/($S70+$S72)*'8. T5 CASH BUDGET'!$U80)</f>
        <v>0</v>
      </c>
      <c r="L80" s="1569">
        <f>IF(($S70+$S72)*$U80=0,0,(L70+L72)/($S70+$S72)*'8. T5 CASH BUDGET'!$U80)</f>
        <v>0</v>
      </c>
      <c r="M80" s="1569">
        <f>IF(($S70+$S72)*$U80=0,0,(M70+M72)/($S70+$S72)*'8. T5 CASH BUDGET'!$U80)</f>
        <v>0</v>
      </c>
      <c r="N80" s="1569">
        <f>IF(($S70+$S72)*$U80=0,0,(N70+N72)/($S70+$S72)*'8. T5 CASH BUDGET'!$U80)</f>
        <v>0</v>
      </c>
      <c r="O80" s="1569">
        <f>IF(($S70+$S72)*$U80=0,0,(O70+O72)/($S70+$S72)*'8. T5 CASH BUDGET'!$U80)</f>
        <v>0</v>
      </c>
      <c r="P80" s="1569">
        <f>IF(($S70+$S72)*$U80=0,0,(P70+P72)/($S70+$S72)*'8. T5 CASH BUDGET'!$U80)</f>
        <v>0</v>
      </c>
      <c r="Q80" s="1569">
        <f>IF(($S70+$S72)*$U80=0,0,(Q70+Q72)/($S70+$S72)*'8. T5 CASH BUDGET'!$U80)</f>
        <v>0</v>
      </c>
      <c r="R80" s="1569">
        <f>IF(($S70+$S72)*$U80=0,0,(R70+R72)/($S70+$S72)*'8. T5 CASH BUDGET'!$U80)</f>
        <v>0</v>
      </c>
      <c r="S80" s="1817">
        <f>SUM(G80:R80)</f>
        <v>0</v>
      </c>
      <c r="T80" s="1060">
        <f>U80-S80</f>
        <v>0</v>
      </c>
      <c r="U80" s="1049">
        <f>-'7. T2 RESULT BUDGET '!I15-'7. T2 RESULT BUDGET '!I15*'8. T5 CASH BUDGET'!F80/100</f>
        <v>0</v>
      </c>
      <c r="V80" s="989"/>
      <c r="W80" s="53"/>
      <c r="X80" s="438"/>
      <c r="Y80" s="438"/>
      <c r="Z80" s="437"/>
      <c r="AA80" s="437"/>
      <c r="AB80" s="437"/>
      <c r="AC80" s="2498"/>
      <c r="AD80" s="72"/>
      <c r="AE80" s="72"/>
      <c r="AF80" s="72"/>
      <c r="BC80" s="40"/>
    </row>
    <row r="81" spans="2:67" x14ac:dyDescent="0.2">
      <c r="B81" s="2465"/>
      <c r="C81" s="1624" t="str">
        <f>C24</f>
        <v xml:space="preserve"> Accounts payable from the previous financial year</v>
      </c>
      <c r="D81" s="1625"/>
      <c r="E81" s="1568">
        <f>'5. T4 FINANCING PLAN'!H56</f>
        <v>14</v>
      </c>
      <c r="F81" s="532"/>
      <c r="G81" s="633">
        <f>'AT Kassa'!Q42</f>
        <v>0</v>
      </c>
      <c r="H81" s="633">
        <f>'AT Kassa'!R42</f>
        <v>0</v>
      </c>
      <c r="I81" s="633">
        <f>'AT Kassa'!S42</f>
        <v>0</v>
      </c>
      <c r="J81" s="1570"/>
      <c r="K81" s="1570"/>
      <c r="L81" s="1570"/>
      <c r="M81" s="1570"/>
      <c r="N81" s="1570"/>
      <c r="O81" s="1570"/>
      <c r="P81" s="1570"/>
      <c r="Q81" s="1570"/>
      <c r="R81" s="1570"/>
      <c r="S81" s="1590">
        <f>SUM(G81:R81)</f>
        <v>0</v>
      </c>
      <c r="T81" s="1598"/>
      <c r="U81" s="1052"/>
      <c r="V81" s="989"/>
      <c r="W81" s="53"/>
      <c r="X81" s="438"/>
      <c r="Y81" s="438"/>
      <c r="Z81" s="437"/>
      <c r="AA81" s="437"/>
      <c r="AB81" s="437"/>
      <c r="AC81" s="1670"/>
      <c r="AD81" s="72"/>
      <c r="AE81" s="72"/>
      <c r="AF81" s="72"/>
      <c r="BC81" s="40"/>
    </row>
    <row r="82" spans="2:67" x14ac:dyDescent="0.2">
      <c r="B82" s="1589">
        <f>B80+1</f>
        <v>7</v>
      </c>
      <c r="C82" s="2414" t="s">
        <v>738</v>
      </c>
      <c r="D82" s="2415"/>
      <c r="E82" s="2416"/>
      <c r="F82" s="530">
        <v>25.5</v>
      </c>
      <c r="G82" s="1383">
        <f>'1. T1 INVESTMENT PLAN'!E139</f>
        <v>0</v>
      </c>
      <c r="H82" s="1383"/>
      <c r="I82" s="1383">
        <v>0</v>
      </c>
      <c r="J82" s="1383">
        <v>0</v>
      </c>
      <c r="K82" s="1383"/>
      <c r="L82" s="1383"/>
      <c r="M82" s="1383">
        <v>0</v>
      </c>
      <c r="N82" s="1383">
        <v>0</v>
      </c>
      <c r="O82" s="1383"/>
      <c r="P82" s="1383"/>
      <c r="Q82" s="1383"/>
      <c r="R82" s="1383"/>
      <c r="S82" s="640">
        <f>SUM(G82:R82)</f>
        <v>0</v>
      </c>
      <c r="T82" s="1583" t="s">
        <v>0</v>
      </c>
      <c r="U82" s="1584"/>
      <c r="V82" s="989"/>
      <c r="W82" s="53"/>
      <c r="X82" s="437"/>
      <c r="Y82" s="437"/>
      <c r="Z82" s="2495"/>
      <c r="AA82" s="2495"/>
      <c r="AB82" s="1675"/>
      <c r="AC82" s="1675"/>
      <c r="AD82" s="1673"/>
      <c r="AE82" s="1673"/>
      <c r="AF82" s="1676"/>
      <c r="BC82" s="40"/>
    </row>
    <row r="83" spans="2:67" x14ac:dyDescent="0.2">
      <c r="B83" s="1589">
        <f t="shared" ref="B83:B103" si="46">B82+1</f>
        <v>8</v>
      </c>
      <c r="C83" s="1615" t="s">
        <v>739</v>
      </c>
      <c r="D83" s="1626"/>
      <c r="E83" s="1616"/>
      <c r="F83" s="530">
        <v>25.5</v>
      </c>
      <c r="G83" s="1383">
        <f t="shared" ref="G83:R83" si="47">$U83/12</f>
        <v>0</v>
      </c>
      <c r="H83" s="1383">
        <f t="shared" si="47"/>
        <v>0</v>
      </c>
      <c r="I83" s="1383">
        <f t="shared" si="47"/>
        <v>0</v>
      </c>
      <c r="J83" s="1383">
        <f t="shared" si="47"/>
        <v>0</v>
      </c>
      <c r="K83" s="1383">
        <f t="shared" si="47"/>
        <v>0</v>
      </c>
      <c r="L83" s="1383">
        <f t="shared" si="47"/>
        <v>0</v>
      </c>
      <c r="M83" s="1383">
        <f t="shared" si="47"/>
        <v>0</v>
      </c>
      <c r="N83" s="1383">
        <f t="shared" si="47"/>
        <v>0</v>
      </c>
      <c r="O83" s="1383">
        <f t="shared" si="47"/>
        <v>0</v>
      </c>
      <c r="P83" s="1383">
        <f t="shared" si="47"/>
        <v>0</v>
      </c>
      <c r="Q83" s="1383">
        <f t="shared" si="47"/>
        <v>0</v>
      </c>
      <c r="R83" s="1383">
        <f t="shared" si="47"/>
        <v>0</v>
      </c>
      <c r="S83" s="1590">
        <f>SUM(G83:R83)</f>
        <v>0</v>
      </c>
      <c r="T83" s="1060">
        <f>U83-S83</f>
        <v>0</v>
      </c>
      <c r="U83" s="1049">
        <f>-'7. T2 RESULT BUDGET '!I16-'7. T2 RESULT BUDGET '!I16*'8. T5 CASH BUDGET'!F83/100</f>
        <v>0</v>
      </c>
      <c r="V83" s="989"/>
      <c r="W83" s="53"/>
      <c r="X83" s="2496"/>
      <c r="Y83" s="2496"/>
      <c r="Z83" s="439"/>
      <c r="AA83" s="439"/>
      <c r="AB83" s="439"/>
      <c r="AC83" s="1671"/>
      <c r="AD83" s="1674"/>
      <c r="AE83" s="1674"/>
      <c r="AF83" s="1672"/>
      <c r="BC83" s="40"/>
    </row>
    <row r="84" spans="2:67" x14ac:dyDescent="0.2">
      <c r="B84" s="1589">
        <f t="shared" si="46"/>
        <v>9</v>
      </c>
      <c r="C84" s="2414" t="s">
        <v>740</v>
      </c>
      <c r="D84" s="2415"/>
      <c r="E84" s="2416"/>
      <c r="F84" s="530">
        <v>25.5</v>
      </c>
      <c r="G84" s="1383">
        <f>'1. T1 INVESTMENT PLAN'!F20+'1. T1 INVESTMENT PLAN'!F27+IF('1. T1 INVESTMENT PLAN'!F33=0,0,'1. T1 INVESTMENT PLAN'!F32)+IF('1. T1 INVESTMENT PLAN'!F36&gt;0,'1. T1 INVESTMENT PLAN'!F35,0)</f>
        <v>0</v>
      </c>
      <c r="H84" s="1383">
        <v>0</v>
      </c>
      <c r="I84" s="1383">
        <v>0</v>
      </c>
      <c r="J84" s="1383">
        <v>0</v>
      </c>
      <c r="K84" s="1383">
        <v>0</v>
      </c>
      <c r="L84" s="1383">
        <v>0</v>
      </c>
      <c r="M84" s="1383">
        <v>0</v>
      </c>
      <c r="N84" s="1383">
        <v>0</v>
      </c>
      <c r="O84" s="1383">
        <v>0</v>
      </c>
      <c r="P84" s="1383">
        <v>0</v>
      </c>
      <c r="Q84" s="1383">
        <v>0</v>
      </c>
      <c r="R84" s="1383"/>
      <c r="S84" s="1590">
        <f t="shared" ref="S84:S103" si="48">SUM(G84:R84)</f>
        <v>0</v>
      </c>
      <c r="T84" s="1061" t="s">
        <v>0</v>
      </c>
      <c r="U84" s="1050"/>
      <c r="V84" s="989"/>
      <c r="W84" s="53"/>
      <c r="X84" s="2496"/>
      <c r="Y84" s="2496"/>
      <c r="Z84" s="439"/>
      <c r="AA84" s="439"/>
      <c r="AB84" s="439"/>
      <c r="AC84" s="1671"/>
      <c r="AD84" s="1674"/>
      <c r="AE84" s="1144"/>
      <c r="AF84" s="1672"/>
      <c r="BC84" s="40"/>
    </row>
    <row r="85" spans="2:67" x14ac:dyDescent="0.2">
      <c r="B85" s="1589">
        <f t="shared" si="46"/>
        <v>10</v>
      </c>
      <c r="C85" s="2438" t="s">
        <v>741</v>
      </c>
      <c r="D85" s="2439"/>
      <c r="E85" s="2440"/>
      <c r="F85" s="530">
        <f>F28</f>
        <v>25.5</v>
      </c>
      <c r="G85" s="1383">
        <f t="shared" ref="G85:R87" si="49">$U85/12</f>
        <v>0</v>
      </c>
      <c r="H85" s="1383">
        <f t="shared" si="49"/>
        <v>0</v>
      </c>
      <c r="I85" s="1383">
        <f t="shared" si="49"/>
        <v>0</v>
      </c>
      <c r="J85" s="1383">
        <f t="shared" si="49"/>
        <v>0</v>
      </c>
      <c r="K85" s="1383">
        <f t="shared" si="49"/>
        <v>0</v>
      </c>
      <c r="L85" s="1383">
        <f t="shared" si="49"/>
        <v>0</v>
      </c>
      <c r="M85" s="1383">
        <f t="shared" si="49"/>
        <v>0</v>
      </c>
      <c r="N85" s="1383">
        <f t="shared" si="49"/>
        <v>0</v>
      </c>
      <c r="O85" s="1383">
        <f t="shared" si="49"/>
        <v>0</v>
      </c>
      <c r="P85" s="1383">
        <f t="shared" si="49"/>
        <v>0</v>
      </c>
      <c r="Q85" s="1383">
        <f t="shared" si="49"/>
        <v>0</v>
      </c>
      <c r="R85" s="1383">
        <f t="shared" si="49"/>
        <v>0</v>
      </c>
      <c r="S85" s="1590">
        <f t="shared" si="48"/>
        <v>0</v>
      </c>
      <c r="T85" s="1060">
        <f>U85-S85</f>
        <v>0</v>
      </c>
      <c r="U85" s="1049">
        <f>'3. E1 OPERATING COSTS'!F53+'3. E1 OPERATING COSTS'!F53*'8. T5 CASH BUDGET'!F85/100</f>
        <v>0</v>
      </c>
      <c r="V85" s="989"/>
      <c r="W85" s="53"/>
      <c r="X85" s="1143"/>
      <c r="Y85" s="437"/>
      <c r="Z85" s="439"/>
      <c r="AA85" s="439"/>
      <c r="AB85" s="439"/>
      <c r="AC85" s="439"/>
      <c r="AD85" s="1144"/>
      <c r="AE85" s="1144"/>
      <c r="AF85" s="1145"/>
      <c r="BC85" s="40"/>
    </row>
    <row r="86" spans="2:67" x14ac:dyDescent="0.2">
      <c r="B86" s="1589">
        <f t="shared" si="46"/>
        <v>11</v>
      </c>
      <c r="C86" s="2432" t="s">
        <v>911</v>
      </c>
      <c r="D86" s="2415"/>
      <c r="E86" s="2416"/>
      <c r="F86" s="530">
        <v>25.5</v>
      </c>
      <c r="G86" s="1383">
        <f t="shared" si="49"/>
        <v>0</v>
      </c>
      <c r="H86" s="1383">
        <f t="shared" si="49"/>
        <v>0</v>
      </c>
      <c r="I86" s="1383">
        <f t="shared" si="49"/>
        <v>0</v>
      </c>
      <c r="J86" s="1383">
        <f t="shared" si="49"/>
        <v>0</v>
      </c>
      <c r="K86" s="1383">
        <f t="shared" si="49"/>
        <v>0</v>
      </c>
      <c r="L86" s="1383">
        <f t="shared" si="49"/>
        <v>0</v>
      </c>
      <c r="M86" s="1383">
        <f t="shared" si="49"/>
        <v>0</v>
      </c>
      <c r="N86" s="1383">
        <f t="shared" si="49"/>
        <v>0</v>
      </c>
      <c r="O86" s="1383">
        <f t="shared" si="49"/>
        <v>0</v>
      </c>
      <c r="P86" s="1383">
        <f t="shared" si="49"/>
        <v>0</v>
      </c>
      <c r="Q86" s="1383">
        <f t="shared" si="49"/>
        <v>0</v>
      </c>
      <c r="R86" s="1383">
        <f t="shared" si="49"/>
        <v>0</v>
      </c>
      <c r="S86" s="1590">
        <f t="shared" si="48"/>
        <v>0</v>
      </c>
      <c r="T86" s="1060">
        <f>U86-S86</f>
        <v>0</v>
      </c>
      <c r="U86" s="1049">
        <f>'3. E1 OPERATING COSTS'!F65+'3. E1 OPERATING COSTS'!F65*'8. T5 CASH BUDGET'!F86/100+'3. E1 OPERATING COSTS'!F77+'3. E1 OPERATING COSTS'!F77*'8. T5 CASH BUDGET'!F86/100</f>
        <v>0</v>
      </c>
      <c r="V86" s="989"/>
      <c r="W86" s="53"/>
      <c r="X86" s="1143"/>
      <c r="Y86" s="437"/>
      <c r="Z86" s="439"/>
      <c r="AA86" s="439"/>
      <c r="AB86" s="439"/>
      <c r="AC86" s="439"/>
      <c r="AD86" s="1144"/>
      <c r="AE86" s="1144"/>
      <c r="AF86" s="1145"/>
      <c r="BC86" s="40"/>
      <c r="BO86" s="40"/>
    </row>
    <row r="87" spans="2:67" x14ac:dyDescent="0.2">
      <c r="B87" s="1589">
        <f t="shared" si="46"/>
        <v>12</v>
      </c>
      <c r="C87" s="2414" t="s">
        <v>742</v>
      </c>
      <c r="D87" s="2415"/>
      <c r="E87" s="2416"/>
      <c r="F87" s="531"/>
      <c r="G87" s="1383">
        <f>$U87/12</f>
        <v>0</v>
      </c>
      <c r="H87" s="1383">
        <f t="shared" si="49"/>
        <v>0</v>
      </c>
      <c r="I87" s="1383">
        <f t="shared" si="49"/>
        <v>0</v>
      </c>
      <c r="J87" s="1383">
        <f t="shared" si="49"/>
        <v>0</v>
      </c>
      <c r="K87" s="1383">
        <f t="shared" si="49"/>
        <v>0</v>
      </c>
      <c r="L87" s="1383">
        <f t="shared" si="49"/>
        <v>0</v>
      </c>
      <c r="M87" s="1383">
        <f t="shared" si="49"/>
        <v>0</v>
      </c>
      <c r="N87" s="1383">
        <f t="shared" si="49"/>
        <v>0</v>
      </c>
      <c r="O87" s="1383">
        <f t="shared" si="49"/>
        <v>0</v>
      </c>
      <c r="P87" s="1383">
        <f t="shared" si="49"/>
        <v>0</v>
      </c>
      <c r="Q87" s="1383">
        <f t="shared" si="49"/>
        <v>0</v>
      </c>
      <c r="R87" s="1383">
        <f t="shared" si="49"/>
        <v>0</v>
      </c>
      <c r="S87" s="1590">
        <f t="shared" si="48"/>
        <v>0</v>
      </c>
      <c r="T87" s="1060">
        <f>U87-S87</f>
        <v>0</v>
      </c>
      <c r="U87" s="1051">
        <f>'AT2 Lainat, alv'!G62</f>
        <v>0</v>
      </c>
      <c r="V87" s="1092"/>
      <c r="W87" s="53"/>
      <c r="X87" s="1143"/>
      <c r="Y87" s="437"/>
      <c r="Z87" s="439"/>
      <c r="AA87" s="439"/>
      <c r="AB87" s="439"/>
      <c r="AC87" s="439"/>
      <c r="AD87" s="1144"/>
      <c r="AE87" s="1144"/>
      <c r="AF87" s="1145"/>
      <c r="BC87" s="40"/>
    </row>
    <row r="88" spans="2:67" x14ac:dyDescent="0.2">
      <c r="B88" s="1589">
        <f t="shared" si="46"/>
        <v>13</v>
      </c>
      <c r="C88" s="2431" t="s">
        <v>886</v>
      </c>
      <c r="D88" s="2415"/>
      <c r="E88" s="2416"/>
      <c r="F88" s="531"/>
      <c r="G88" s="634">
        <f>'AT1 Avustus, alv'!W27</f>
        <v>0</v>
      </c>
      <c r="H88" s="634">
        <f>'AT1 Avustus, alv'!X27</f>
        <v>0</v>
      </c>
      <c r="I88" s="634">
        <f>'AT1 Avustus, alv'!M57</f>
        <v>0</v>
      </c>
      <c r="J88" s="634">
        <f>'AT1 Avustus, alv'!N57</f>
        <v>0</v>
      </c>
      <c r="K88" s="634">
        <f>'AT1 Avustus, alv'!O57</f>
        <v>0</v>
      </c>
      <c r="L88" s="634">
        <f>'AT1 Avustus, alv'!P57</f>
        <v>0</v>
      </c>
      <c r="M88" s="634">
        <f>'AT1 Avustus, alv'!Q57</f>
        <v>0</v>
      </c>
      <c r="N88" s="634">
        <f>'AT1 Avustus, alv'!R57</f>
        <v>0</v>
      </c>
      <c r="O88" s="634">
        <f>'AT1 Avustus, alv'!S57</f>
        <v>0</v>
      </c>
      <c r="P88" s="634">
        <f>'AT1 Avustus, alv'!T57</f>
        <v>0</v>
      </c>
      <c r="Q88" s="634">
        <f>'AT1 Avustus, alv'!U57</f>
        <v>0</v>
      </c>
      <c r="R88" s="634">
        <f>'AT1 Avustus, alv'!V57</f>
        <v>0</v>
      </c>
      <c r="S88" s="1590">
        <f t="shared" si="48"/>
        <v>0</v>
      </c>
      <c r="T88" s="1054" t="s">
        <v>0</v>
      </c>
      <c r="U88" s="1052"/>
      <c r="V88" s="989"/>
      <c r="W88" s="53"/>
      <c r="X88" s="1143"/>
      <c r="Y88" s="437"/>
      <c r="Z88" s="439"/>
      <c r="AA88" s="439"/>
      <c r="AB88" s="439"/>
      <c r="AC88" s="439"/>
      <c r="AD88" s="1144"/>
      <c r="AE88" s="1144"/>
      <c r="AF88" s="1145"/>
      <c r="BC88" s="40"/>
    </row>
    <row r="89" spans="2:67" x14ac:dyDescent="0.2">
      <c r="B89" s="2501">
        <f t="shared" si="46"/>
        <v>14</v>
      </c>
      <c r="C89" s="2433" t="s">
        <v>917</v>
      </c>
      <c r="D89" s="2423"/>
      <c r="E89" s="2424"/>
      <c r="F89" s="1604"/>
      <c r="G89" s="2127">
        <f>U89/'3. E1 OPERATING COSTS'!F15</f>
        <v>0</v>
      </c>
      <c r="H89" s="2127">
        <f>G89</f>
        <v>0</v>
      </c>
      <c r="I89" s="2127">
        <f t="shared" ref="I89:R89" si="50">H89</f>
        <v>0</v>
      </c>
      <c r="J89" s="2127">
        <f t="shared" si="50"/>
        <v>0</v>
      </c>
      <c r="K89" s="2127">
        <f t="shared" si="50"/>
        <v>0</v>
      </c>
      <c r="L89" s="2127">
        <f t="shared" si="50"/>
        <v>0</v>
      </c>
      <c r="M89" s="636">
        <f>1.5*L89</f>
        <v>0</v>
      </c>
      <c r="N89" s="2127">
        <f>L89</f>
        <v>0</v>
      </c>
      <c r="O89" s="2127">
        <f t="shared" si="50"/>
        <v>0</v>
      </c>
      <c r="P89" s="2127">
        <f t="shared" si="50"/>
        <v>0</v>
      </c>
      <c r="Q89" s="2127">
        <f t="shared" si="50"/>
        <v>0</v>
      </c>
      <c r="R89" s="2127">
        <f t="shared" si="50"/>
        <v>0</v>
      </c>
      <c r="S89" s="1590">
        <f t="shared" si="48"/>
        <v>0</v>
      </c>
      <c r="T89" s="816">
        <f>U89-S89</f>
        <v>0</v>
      </c>
      <c r="U89" s="797">
        <f>AX27</f>
        <v>0</v>
      </c>
      <c r="V89" s="971"/>
      <c r="W89" s="53"/>
      <c r="X89" s="1143"/>
      <c r="Y89" s="437"/>
      <c r="Z89" s="439"/>
      <c r="AA89" s="439"/>
      <c r="AB89" s="439"/>
      <c r="AC89" s="439"/>
      <c r="AD89" s="1144"/>
      <c r="AE89" s="1144"/>
      <c r="AF89" s="1145"/>
      <c r="BC89" s="40"/>
    </row>
    <row r="90" spans="2:67" x14ac:dyDescent="0.2">
      <c r="B90" s="2465"/>
      <c r="C90" s="2433" t="s">
        <v>919</v>
      </c>
      <c r="D90" s="2423"/>
      <c r="E90" s="2424"/>
      <c r="F90" s="2121">
        <v>0.20730000000000001</v>
      </c>
      <c r="G90" s="634">
        <f>F33*R32</f>
        <v>0</v>
      </c>
      <c r="H90" s="634">
        <f>F90*G89</f>
        <v>0</v>
      </c>
      <c r="I90" s="634">
        <f>F90*H89</f>
        <v>0</v>
      </c>
      <c r="J90" s="634">
        <f>F90*I89</f>
        <v>0</v>
      </c>
      <c r="K90" s="634">
        <f>F90*J89</f>
        <v>0</v>
      </c>
      <c r="L90" s="634">
        <f>F90*K89</f>
        <v>0</v>
      </c>
      <c r="M90" s="634">
        <f>F90*L89</f>
        <v>0</v>
      </c>
      <c r="N90" s="634">
        <f>F90*M89</f>
        <v>0</v>
      </c>
      <c r="O90" s="634">
        <f>F90*N89</f>
        <v>0</v>
      </c>
      <c r="P90" s="634">
        <f>F90*O89</f>
        <v>0</v>
      </c>
      <c r="Q90" s="634">
        <f>F90*P89</f>
        <v>0</v>
      </c>
      <c r="R90" s="634">
        <f>F90*Q89</f>
        <v>0</v>
      </c>
      <c r="S90" s="1590">
        <f t="shared" si="48"/>
        <v>0</v>
      </c>
      <c r="T90" s="1055" t="s">
        <v>0</v>
      </c>
      <c r="U90" s="971"/>
      <c r="V90" s="971"/>
      <c r="W90" s="53"/>
      <c r="X90" s="1143"/>
      <c r="Y90" s="437"/>
      <c r="Z90" s="439"/>
      <c r="AA90" s="439"/>
      <c r="AB90" s="439"/>
      <c r="AC90" s="439"/>
      <c r="AD90" s="1144"/>
      <c r="AE90" s="1144"/>
      <c r="AF90" s="1145"/>
      <c r="BC90" s="40"/>
    </row>
    <row r="91" spans="2:67" ht="12" customHeight="1" x14ac:dyDescent="0.2">
      <c r="B91" s="1589">
        <v>15</v>
      </c>
      <c r="C91" s="2238" t="s">
        <v>931</v>
      </c>
      <c r="D91" s="2415"/>
      <c r="E91" s="2416"/>
      <c r="F91" s="1647"/>
      <c r="G91" s="2130"/>
      <c r="H91" s="2130"/>
      <c r="I91" s="2130"/>
      <c r="J91" s="2130"/>
      <c r="K91" s="2130"/>
      <c r="L91" s="2130"/>
      <c r="M91" s="2130"/>
      <c r="N91" s="2130"/>
      <c r="O91" s="2130"/>
      <c r="P91" s="2130"/>
      <c r="Q91" s="2130"/>
      <c r="R91" s="2130"/>
      <c r="S91" s="2130"/>
      <c r="V91" s="971"/>
      <c r="W91" s="53"/>
      <c r="X91" s="1143"/>
      <c r="Y91" s="437"/>
      <c r="Z91" s="439"/>
      <c r="AA91" s="439"/>
      <c r="AB91" s="439"/>
      <c r="AC91" s="439"/>
      <c r="AD91" s="1144"/>
      <c r="AE91" s="1144"/>
      <c r="AF91" s="1145"/>
      <c r="AG91" s="439"/>
      <c r="AH91" s="439"/>
      <c r="AI91" s="439"/>
      <c r="AJ91" s="439"/>
      <c r="AK91" s="1146"/>
      <c r="AL91" s="1146"/>
      <c r="AM91" s="1145"/>
      <c r="AN91" s="439"/>
      <c r="AO91" s="439"/>
      <c r="AP91" s="439"/>
      <c r="AQ91" s="439"/>
      <c r="AR91" s="1146"/>
      <c r="AS91" s="1146"/>
      <c r="AT91" s="1145"/>
      <c r="AU91" s="1146"/>
      <c r="AV91" s="1146"/>
      <c r="AW91" s="1146"/>
      <c r="BC91" s="40"/>
    </row>
    <row r="92" spans="2:67" x14ac:dyDescent="0.2">
      <c r="B92" s="2131" t="s">
        <v>924</v>
      </c>
      <c r="C92" s="2502" t="s">
        <v>927</v>
      </c>
      <c r="D92" s="2415"/>
      <c r="E92" s="2416"/>
      <c r="F92" s="529"/>
      <c r="G92" s="1383">
        <f>U92/'3. E1 OPERATING COSTS'!F21</f>
        <v>0</v>
      </c>
      <c r="H92" s="1383">
        <f>G92</f>
        <v>0</v>
      </c>
      <c r="I92" s="1383">
        <f t="shared" ref="I92:R92" si="51">H92</f>
        <v>0</v>
      </c>
      <c r="J92" s="1383">
        <f t="shared" si="51"/>
        <v>0</v>
      </c>
      <c r="K92" s="1383">
        <f t="shared" si="51"/>
        <v>0</v>
      </c>
      <c r="L92" s="1383">
        <f t="shared" si="51"/>
        <v>0</v>
      </c>
      <c r="M92" s="636">
        <f>1.5*L92</f>
        <v>0</v>
      </c>
      <c r="N92" s="1383">
        <f>L92</f>
        <v>0</v>
      </c>
      <c r="O92" s="1383">
        <f t="shared" si="51"/>
        <v>0</v>
      </c>
      <c r="P92" s="1383">
        <f t="shared" si="51"/>
        <v>0</v>
      </c>
      <c r="Q92" s="1383">
        <f t="shared" si="51"/>
        <v>0</v>
      </c>
      <c r="R92" s="1383">
        <f t="shared" si="51"/>
        <v>0</v>
      </c>
      <c r="S92" s="1590">
        <f t="shared" si="48"/>
        <v>0</v>
      </c>
      <c r="T92" s="2133">
        <f>U92-S92-S93</f>
        <v>0</v>
      </c>
      <c r="U92" s="797">
        <f>AY27</f>
        <v>0</v>
      </c>
      <c r="V92" s="971"/>
      <c r="W92" s="53"/>
      <c r="X92" s="1143"/>
      <c r="Y92" s="437"/>
      <c r="Z92" s="439"/>
      <c r="AA92" s="439"/>
      <c r="AB92" s="439"/>
      <c r="AC92" s="439"/>
      <c r="AD92" s="1144"/>
      <c r="AE92" s="1144"/>
      <c r="AF92" s="1145"/>
      <c r="BC92" s="40"/>
    </row>
    <row r="93" spans="2:67" ht="12" customHeight="1" x14ac:dyDescent="0.2">
      <c r="B93" s="2131" t="s">
        <v>925</v>
      </c>
      <c r="C93" s="2502" t="s">
        <v>929</v>
      </c>
      <c r="D93" s="2434"/>
      <c r="E93" s="2435"/>
      <c r="F93" s="529"/>
      <c r="G93" s="1383"/>
      <c r="H93" s="1383"/>
      <c r="I93" s="1383"/>
      <c r="J93" s="1383"/>
      <c r="K93" s="1383"/>
      <c r="L93" s="1383"/>
      <c r="M93" s="1383"/>
      <c r="N93" s="1383"/>
      <c r="O93" s="1383"/>
      <c r="P93" s="1383"/>
      <c r="Q93" s="1383"/>
      <c r="R93" s="1383"/>
      <c r="S93" s="1590">
        <f t="shared" si="48"/>
        <v>0</v>
      </c>
      <c r="T93" s="2129"/>
      <c r="U93" s="989"/>
      <c r="V93" s="971"/>
      <c r="W93" s="53"/>
      <c r="X93" s="1143"/>
      <c r="Y93" s="437"/>
      <c r="Z93" s="439"/>
      <c r="AA93" s="439"/>
      <c r="AB93" s="439"/>
      <c r="AC93" s="439"/>
      <c r="AD93" s="1144"/>
      <c r="AE93" s="1144"/>
      <c r="AF93" s="1145"/>
      <c r="AG93" s="439"/>
      <c r="AH93" s="439"/>
      <c r="AI93" s="439"/>
      <c r="AJ93" s="439"/>
      <c r="AK93" s="1146"/>
      <c r="AL93" s="1146"/>
      <c r="AM93" s="1145"/>
      <c r="AN93" s="439"/>
      <c r="AO93" s="439"/>
      <c r="AP93" s="439"/>
      <c r="AQ93" s="439"/>
      <c r="AR93" s="1146"/>
      <c r="AS93" s="1146"/>
      <c r="AT93" s="1145"/>
      <c r="AU93" s="1146"/>
      <c r="AV93" s="1146"/>
      <c r="AW93" s="1146"/>
      <c r="BC93" s="40"/>
    </row>
    <row r="94" spans="2:67" x14ac:dyDescent="0.2">
      <c r="B94" s="2131" t="s">
        <v>930</v>
      </c>
      <c r="C94" s="2433" t="s">
        <v>918</v>
      </c>
      <c r="D94" s="2434"/>
      <c r="E94" s="2435"/>
      <c r="F94" s="2122">
        <v>0.19</v>
      </c>
      <c r="G94" s="634">
        <f>F37*R35</f>
        <v>0</v>
      </c>
      <c r="H94" s="634">
        <f>F94*G92</f>
        <v>0</v>
      </c>
      <c r="I94" s="634">
        <f>F94*H92</f>
        <v>0</v>
      </c>
      <c r="J94" s="634">
        <f>F94*I92</f>
        <v>0</v>
      </c>
      <c r="K94" s="634">
        <f>F94*J92</f>
        <v>0</v>
      </c>
      <c r="L94" s="634">
        <f>F94*K92</f>
        <v>0</v>
      </c>
      <c r="M94" s="634">
        <f>F94*L92</f>
        <v>0</v>
      </c>
      <c r="N94" s="634">
        <f>F94*M92</f>
        <v>0</v>
      </c>
      <c r="O94" s="634">
        <f>F94*N92</f>
        <v>0</v>
      </c>
      <c r="P94" s="634">
        <f>F94*O92</f>
        <v>0</v>
      </c>
      <c r="Q94" s="634">
        <f>F94*P92</f>
        <v>0</v>
      </c>
      <c r="R94" s="634">
        <f>F94*Q92</f>
        <v>0</v>
      </c>
      <c r="S94" s="1590">
        <f t="shared" si="48"/>
        <v>0</v>
      </c>
      <c r="T94" s="1056" t="s">
        <v>0</v>
      </c>
      <c r="U94" s="1053"/>
      <c r="V94" s="971"/>
      <c r="W94" s="53"/>
      <c r="X94" s="1143"/>
      <c r="Y94" s="437"/>
      <c r="Z94" s="439"/>
      <c r="AA94" s="439"/>
      <c r="AB94" s="439"/>
      <c r="AC94" s="439"/>
      <c r="AD94" s="1144"/>
      <c r="AE94" s="1144"/>
      <c r="AF94" s="1145"/>
      <c r="BC94" s="40"/>
    </row>
    <row r="95" spans="2:67" x14ac:dyDescent="0.2">
      <c r="B95" s="1589">
        <v>16</v>
      </c>
      <c r="C95" s="2414" t="s">
        <v>743</v>
      </c>
      <c r="D95" s="2423"/>
      <c r="E95" s="2423"/>
      <c r="F95" s="541"/>
      <c r="G95" s="1383">
        <f>$U95/12</f>
        <v>0</v>
      </c>
      <c r="H95" s="1383">
        <f t="shared" ref="H95:R99" si="52">$U95/12</f>
        <v>0</v>
      </c>
      <c r="I95" s="1383">
        <f t="shared" si="52"/>
        <v>0</v>
      </c>
      <c r="J95" s="1383">
        <f t="shared" si="52"/>
        <v>0</v>
      </c>
      <c r="K95" s="1383">
        <f t="shared" si="52"/>
        <v>0</v>
      </c>
      <c r="L95" s="1383">
        <f t="shared" si="52"/>
        <v>0</v>
      </c>
      <c r="M95" s="1383">
        <f t="shared" si="52"/>
        <v>0</v>
      </c>
      <c r="N95" s="1383">
        <f t="shared" si="52"/>
        <v>0</v>
      </c>
      <c r="O95" s="1383">
        <f t="shared" si="52"/>
        <v>0</v>
      </c>
      <c r="P95" s="1383">
        <f t="shared" si="52"/>
        <v>0</v>
      </c>
      <c r="Q95" s="1383">
        <f t="shared" si="52"/>
        <v>0</v>
      </c>
      <c r="R95" s="1383">
        <f t="shared" si="52"/>
        <v>0</v>
      </c>
      <c r="S95" s="1590">
        <f t="shared" si="48"/>
        <v>0</v>
      </c>
      <c r="T95" s="1060">
        <f>U95-S95</f>
        <v>0</v>
      </c>
      <c r="U95" s="1049">
        <f>'3. E1 OPERATING COSTS'!F38+'3. E1 OPERATING COSTS'!F43+'3. E1 OPERATING COSTS'!F42</f>
        <v>0</v>
      </c>
      <c r="V95" s="989"/>
      <c r="W95" s="53"/>
      <c r="X95" s="1143"/>
      <c r="Y95" s="437"/>
      <c r="Z95" s="439"/>
      <c r="AA95" s="439"/>
      <c r="AB95" s="439"/>
      <c r="AC95" s="439"/>
      <c r="AD95" s="1144"/>
      <c r="AE95" s="1144"/>
      <c r="AF95" s="1145"/>
      <c r="BC95" s="40"/>
    </row>
    <row r="96" spans="2:67" x14ac:dyDescent="0.2">
      <c r="B96" s="1589">
        <f t="shared" si="46"/>
        <v>17</v>
      </c>
      <c r="C96" s="2438" t="s">
        <v>744</v>
      </c>
      <c r="D96" s="2439"/>
      <c r="E96" s="2440"/>
      <c r="F96" s="532"/>
      <c r="G96" s="1383">
        <f>$U96/12</f>
        <v>0</v>
      </c>
      <c r="H96" s="1383">
        <f t="shared" si="52"/>
        <v>0</v>
      </c>
      <c r="I96" s="1383">
        <f t="shared" si="52"/>
        <v>0</v>
      </c>
      <c r="J96" s="1383">
        <f t="shared" si="52"/>
        <v>0</v>
      </c>
      <c r="K96" s="1383">
        <f t="shared" si="52"/>
        <v>0</v>
      </c>
      <c r="L96" s="1383">
        <f t="shared" si="52"/>
        <v>0</v>
      </c>
      <c r="M96" s="1383">
        <f t="shared" si="52"/>
        <v>0</v>
      </c>
      <c r="N96" s="1383">
        <f t="shared" si="52"/>
        <v>0</v>
      </c>
      <c r="O96" s="1383">
        <f t="shared" si="52"/>
        <v>0</v>
      </c>
      <c r="P96" s="1383">
        <f t="shared" si="52"/>
        <v>0</v>
      </c>
      <c r="Q96" s="1383">
        <f t="shared" si="52"/>
        <v>0</v>
      </c>
      <c r="R96" s="1383">
        <f t="shared" si="52"/>
        <v>0</v>
      </c>
      <c r="S96" s="1590">
        <f t="shared" si="48"/>
        <v>0</v>
      </c>
      <c r="T96" s="1060">
        <f>U96-S96</f>
        <v>0</v>
      </c>
      <c r="U96" s="1049">
        <f>'3. E1 OPERATING COSTS'!F130</f>
        <v>0</v>
      </c>
      <c r="V96" s="989"/>
      <c r="W96" s="53"/>
      <c r="X96" s="1143"/>
      <c r="Y96" s="437"/>
      <c r="Z96" s="439"/>
      <c r="AA96" s="439"/>
      <c r="AB96" s="439"/>
      <c r="AC96" s="439"/>
      <c r="AD96" s="1144"/>
      <c r="AE96" s="1144"/>
      <c r="AF96" s="1145"/>
      <c r="BC96" s="40"/>
    </row>
    <row r="97" spans="2:68" x14ac:dyDescent="0.2">
      <c r="B97" s="1589">
        <f t="shared" si="46"/>
        <v>18</v>
      </c>
      <c r="C97" s="2414" t="s">
        <v>745</v>
      </c>
      <c r="D97" s="2415"/>
      <c r="E97" s="2416"/>
      <c r="F97" s="529"/>
      <c r="G97" s="1383">
        <f>$U97/12</f>
        <v>0</v>
      </c>
      <c r="H97" s="1383">
        <f t="shared" si="52"/>
        <v>0</v>
      </c>
      <c r="I97" s="1383">
        <f t="shared" si="52"/>
        <v>0</v>
      </c>
      <c r="J97" s="1383">
        <f t="shared" si="52"/>
        <v>0</v>
      </c>
      <c r="K97" s="1383">
        <f t="shared" si="52"/>
        <v>0</v>
      </c>
      <c r="L97" s="1383">
        <f t="shared" si="52"/>
        <v>0</v>
      </c>
      <c r="M97" s="1383">
        <f t="shared" si="52"/>
        <v>0</v>
      </c>
      <c r="N97" s="1383">
        <f t="shared" si="52"/>
        <v>0</v>
      </c>
      <c r="O97" s="1383">
        <f t="shared" si="52"/>
        <v>0</v>
      </c>
      <c r="P97" s="1383">
        <f t="shared" si="52"/>
        <v>0</v>
      </c>
      <c r="Q97" s="1383">
        <f t="shared" si="52"/>
        <v>0</v>
      </c>
      <c r="R97" s="1383">
        <f t="shared" si="52"/>
        <v>0</v>
      </c>
      <c r="S97" s="1590">
        <f t="shared" si="48"/>
        <v>0</v>
      </c>
      <c r="T97" s="1060">
        <f>U97-S97</f>
        <v>0</v>
      </c>
      <c r="U97" s="1049">
        <f>'AT2 Lainat, alv'!G67</f>
        <v>0</v>
      </c>
      <c r="V97" s="989"/>
      <c r="W97" s="53"/>
      <c r="X97" s="437"/>
      <c r="Y97" s="1147"/>
      <c r="Z97" s="439"/>
      <c r="AA97" s="439"/>
      <c r="AB97" s="439"/>
      <c r="AC97" s="439"/>
      <c r="AD97" s="1144"/>
      <c r="AE97" s="1144"/>
      <c r="AF97" s="1144"/>
      <c r="BC97" s="40"/>
    </row>
    <row r="98" spans="2:68" x14ac:dyDescent="0.2">
      <c r="B98" s="1589">
        <f t="shared" si="46"/>
        <v>19</v>
      </c>
      <c r="C98" s="2414" t="s">
        <v>746</v>
      </c>
      <c r="D98" s="2415"/>
      <c r="E98" s="2416"/>
      <c r="F98" s="529"/>
      <c r="G98" s="1383">
        <f>$U98/12</f>
        <v>0</v>
      </c>
      <c r="H98" s="1383">
        <f t="shared" si="52"/>
        <v>0</v>
      </c>
      <c r="I98" s="1383">
        <f t="shared" si="52"/>
        <v>0</v>
      </c>
      <c r="J98" s="1383">
        <f t="shared" si="52"/>
        <v>0</v>
      </c>
      <c r="K98" s="1383">
        <f t="shared" si="52"/>
        <v>0</v>
      </c>
      <c r="L98" s="1383">
        <f t="shared" si="52"/>
        <v>0</v>
      </c>
      <c r="M98" s="1383">
        <f t="shared" si="52"/>
        <v>0</v>
      </c>
      <c r="N98" s="1383">
        <f t="shared" si="52"/>
        <v>0</v>
      </c>
      <c r="O98" s="1383">
        <f t="shared" si="52"/>
        <v>0</v>
      </c>
      <c r="P98" s="1383">
        <f t="shared" si="52"/>
        <v>0</v>
      </c>
      <c r="Q98" s="1383">
        <f t="shared" si="52"/>
        <v>0</v>
      </c>
      <c r="R98" s="1383">
        <f t="shared" si="52"/>
        <v>0</v>
      </c>
      <c r="S98" s="1590">
        <f t="shared" si="48"/>
        <v>0</v>
      </c>
      <c r="T98" s="1060">
        <f>U98-S98</f>
        <v>0</v>
      </c>
      <c r="U98" s="1049">
        <f>'2. T7 LOANS'!K48</f>
        <v>0</v>
      </c>
      <c r="V98" s="989"/>
      <c r="W98" s="53"/>
      <c r="X98" s="131"/>
      <c r="Y98" s="131"/>
      <c r="Z98" s="131"/>
      <c r="AA98" s="131"/>
      <c r="AB98" s="131"/>
      <c r="AC98" s="131"/>
      <c r="BC98" s="40"/>
    </row>
    <row r="99" spans="2:68" x14ac:dyDescent="0.2">
      <c r="B99" s="1589">
        <f t="shared" si="46"/>
        <v>20</v>
      </c>
      <c r="C99" s="2414" t="s">
        <v>747</v>
      </c>
      <c r="D99" s="2423"/>
      <c r="E99" s="2424"/>
      <c r="F99" s="533"/>
      <c r="G99" s="1383">
        <f>$U99/12</f>
        <v>0</v>
      </c>
      <c r="H99" s="1383">
        <f t="shared" si="52"/>
        <v>0</v>
      </c>
      <c r="I99" s="1383">
        <f t="shared" si="52"/>
        <v>0</v>
      </c>
      <c r="J99" s="1383">
        <f t="shared" si="52"/>
        <v>0</v>
      </c>
      <c r="K99" s="1383">
        <f t="shared" si="52"/>
        <v>0</v>
      </c>
      <c r="L99" s="1383">
        <f t="shared" si="52"/>
        <v>0</v>
      </c>
      <c r="M99" s="1383">
        <f t="shared" si="52"/>
        <v>0</v>
      </c>
      <c r="N99" s="1383">
        <f t="shared" si="52"/>
        <v>0</v>
      </c>
      <c r="O99" s="1383">
        <f t="shared" si="52"/>
        <v>0</v>
      </c>
      <c r="P99" s="1383">
        <f t="shared" si="52"/>
        <v>0</v>
      </c>
      <c r="Q99" s="1383">
        <f t="shared" si="52"/>
        <v>0</v>
      </c>
      <c r="R99" s="1383">
        <f t="shared" si="52"/>
        <v>0</v>
      </c>
      <c r="S99" s="1590">
        <f t="shared" si="48"/>
        <v>0</v>
      </c>
      <c r="T99" s="1060">
        <f>U99-S99</f>
        <v>0</v>
      </c>
      <c r="U99" s="1049">
        <f>-'7. T2 RESULT BUDGET '!I27</f>
        <v>0</v>
      </c>
      <c r="V99" s="989"/>
      <c r="W99" s="53"/>
      <c r="X99" s="2385"/>
      <c r="Y99" s="2385"/>
      <c r="Z99" s="2428"/>
      <c r="AA99" s="2428"/>
      <c r="AB99" s="2428"/>
      <c r="AC99" s="691"/>
      <c r="BC99" s="40"/>
    </row>
    <row r="100" spans="2:68" x14ac:dyDescent="0.2">
      <c r="B100" s="1589">
        <f t="shared" si="46"/>
        <v>21</v>
      </c>
      <c r="C100" s="2414" t="s">
        <v>748</v>
      </c>
      <c r="D100" s="2423"/>
      <c r="E100" s="2424"/>
      <c r="F100" s="533"/>
      <c r="G100" s="1383">
        <f>'1. T1 INVESTMENT PLAN'!F17+'1. T1 INVESTMENT PLAN'!F24+'1. T1 INVESTMENT PLAN'!F30+IF('1. T1 INVESTMENT PLAN'!F36=0,'1. T1 INVESTMENT PLAN'!F35,0)+IF('1. T1 INVESTMENT PLAN'!F33=0,'1. T1 INVESTMENT PLAN'!F32,0)</f>
        <v>0</v>
      </c>
      <c r="H100" s="1383"/>
      <c r="I100" s="1383"/>
      <c r="J100" s="1383"/>
      <c r="K100" s="1383"/>
      <c r="L100" s="1383"/>
      <c r="M100" s="1383"/>
      <c r="N100" s="1383"/>
      <c r="O100" s="1383"/>
      <c r="P100" s="1383"/>
      <c r="Q100" s="1383"/>
      <c r="R100" s="1383"/>
      <c r="S100" s="1590">
        <f t="shared" si="48"/>
        <v>0</v>
      </c>
      <c r="T100" s="1061" t="s">
        <v>0</v>
      </c>
      <c r="U100" s="1052"/>
      <c r="V100" s="989"/>
      <c r="W100" s="53"/>
      <c r="X100" s="2385"/>
      <c r="Y100" s="2385"/>
      <c r="Z100" s="2428"/>
      <c r="AA100" s="2428"/>
      <c r="AB100" s="2428"/>
      <c r="AC100" s="691"/>
      <c r="BC100" s="40"/>
    </row>
    <row r="101" spans="2:68" x14ac:dyDescent="0.2">
      <c r="B101" s="1589">
        <f t="shared" si="46"/>
        <v>22</v>
      </c>
      <c r="C101" s="2414" t="s">
        <v>749</v>
      </c>
      <c r="D101" s="2423"/>
      <c r="E101" s="2424"/>
      <c r="F101" s="534"/>
      <c r="G101" s="1383">
        <f>$U101/12</f>
        <v>0</v>
      </c>
      <c r="H101" s="1383">
        <f t="shared" ref="H101:R101" si="53">$U101/12</f>
        <v>0</v>
      </c>
      <c r="I101" s="1383">
        <f t="shared" si="53"/>
        <v>0</v>
      </c>
      <c r="J101" s="1383">
        <f t="shared" si="53"/>
        <v>0</v>
      </c>
      <c r="K101" s="1383">
        <f t="shared" si="53"/>
        <v>0</v>
      </c>
      <c r="L101" s="1383">
        <f t="shared" si="53"/>
        <v>0</v>
      </c>
      <c r="M101" s="1383">
        <f t="shared" si="53"/>
        <v>0</v>
      </c>
      <c r="N101" s="1383">
        <f t="shared" si="53"/>
        <v>0</v>
      </c>
      <c r="O101" s="1383">
        <f t="shared" si="53"/>
        <v>0</v>
      </c>
      <c r="P101" s="1383">
        <f t="shared" si="53"/>
        <v>0</v>
      </c>
      <c r="Q101" s="1383">
        <f t="shared" si="53"/>
        <v>0</v>
      </c>
      <c r="R101" s="1383">
        <f t="shared" si="53"/>
        <v>0</v>
      </c>
      <c r="S101" s="1590">
        <f t="shared" si="48"/>
        <v>0</v>
      </c>
      <c r="T101" s="1060">
        <f>U101-S101</f>
        <v>0</v>
      </c>
      <c r="U101" s="1049">
        <f>'3. E1 OPERATING COSTS'!F128</f>
        <v>0</v>
      </c>
      <c r="V101" s="989"/>
      <c r="W101" s="53"/>
      <c r="X101" s="2385"/>
      <c r="Y101" s="2385"/>
      <c r="Z101" s="2428"/>
      <c r="AA101" s="2428"/>
      <c r="AB101" s="2428"/>
      <c r="AC101" s="691"/>
      <c r="BC101" s="40"/>
    </row>
    <row r="102" spans="2:68" x14ac:dyDescent="0.2">
      <c r="B102" s="1589">
        <f t="shared" si="46"/>
        <v>23</v>
      </c>
      <c r="C102" s="2420" t="s">
        <v>750</v>
      </c>
      <c r="D102" s="2421"/>
      <c r="E102" s="2422"/>
      <c r="F102" s="533"/>
      <c r="G102" s="1383">
        <v>0</v>
      </c>
      <c r="H102" s="1383"/>
      <c r="I102" s="1383"/>
      <c r="J102" s="1383"/>
      <c r="K102" s="1383"/>
      <c r="L102" s="1383"/>
      <c r="M102" s="1383"/>
      <c r="N102" s="1383"/>
      <c r="O102" s="1383"/>
      <c r="P102" s="1383"/>
      <c r="Q102" s="1383">
        <v>0</v>
      </c>
      <c r="R102" s="1383">
        <v>0</v>
      </c>
      <c r="S102" s="1590">
        <f t="shared" si="48"/>
        <v>0</v>
      </c>
      <c r="T102" s="1054" t="s">
        <v>0</v>
      </c>
      <c r="U102" s="989">
        <v>0</v>
      </c>
      <c r="V102" s="989"/>
      <c r="W102" s="53"/>
      <c r="X102" s="2385"/>
      <c r="Y102" s="2385"/>
      <c r="Z102" s="2428"/>
      <c r="AA102" s="2428"/>
      <c r="AB102" s="2428"/>
      <c r="AC102" s="691"/>
      <c r="BC102" s="40"/>
    </row>
    <row r="103" spans="2:68" ht="13.5" thickBot="1" x14ac:dyDescent="0.25">
      <c r="B103" s="1589">
        <f t="shared" si="46"/>
        <v>24</v>
      </c>
      <c r="C103" s="2420"/>
      <c r="D103" s="2421"/>
      <c r="E103" s="2422"/>
      <c r="F103" s="533"/>
      <c r="G103" s="1383">
        <v>0</v>
      </c>
      <c r="H103" s="1383"/>
      <c r="I103" s="1383"/>
      <c r="J103" s="1383">
        <v>0</v>
      </c>
      <c r="K103" s="1383"/>
      <c r="L103" s="1383"/>
      <c r="M103" s="1383"/>
      <c r="N103" s="1383"/>
      <c r="O103" s="1383"/>
      <c r="P103" s="1383"/>
      <c r="Q103" s="1383"/>
      <c r="R103" s="1383">
        <v>0</v>
      </c>
      <c r="S103" s="1593">
        <f t="shared" si="48"/>
        <v>0</v>
      </c>
      <c r="T103" s="1055" t="s">
        <v>0</v>
      </c>
      <c r="W103" s="53"/>
      <c r="X103" s="164"/>
      <c r="Y103" s="164"/>
      <c r="Z103" s="1081"/>
      <c r="AA103" s="1081"/>
      <c r="AB103" s="164"/>
      <c r="AC103" s="164"/>
      <c r="AD103" s="164"/>
      <c r="AE103" s="164"/>
      <c r="AF103" s="164"/>
    </row>
    <row r="104" spans="2:68" ht="13.5" thickTop="1" x14ac:dyDescent="0.2">
      <c r="B104" s="1605"/>
      <c r="C104" s="1606" t="str">
        <f>C47</f>
        <v>TOTAL EXPENSES</v>
      </c>
      <c r="D104" s="1607"/>
      <c r="E104" s="1608"/>
      <c r="F104" s="1609"/>
      <c r="G104" s="1610">
        <f t="shared" ref="G104:R104" si="54">SUM(G80:G103)</f>
        <v>0</v>
      </c>
      <c r="H104" s="1610">
        <f t="shared" si="54"/>
        <v>0</v>
      </c>
      <c r="I104" s="1610">
        <f t="shared" si="54"/>
        <v>0</v>
      </c>
      <c r="J104" s="1610">
        <f t="shared" si="54"/>
        <v>0</v>
      </c>
      <c r="K104" s="1610">
        <f t="shared" si="54"/>
        <v>0</v>
      </c>
      <c r="L104" s="1610">
        <f t="shared" si="54"/>
        <v>0</v>
      </c>
      <c r="M104" s="1610">
        <f t="shared" si="54"/>
        <v>0</v>
      </c>
      <c r="N104" s="1610">
        <f t="shared" si="54"/>
        <v>0</v>
      </c>
      <c r="O104" s="1610">
        <f t="shared" si="54"/>
        <v>0</v>
      </c>
      <c r="P104" s="1610">
        <f t="shared" si="54"/>
        <v>0</v>
      </c>
      <c r="Q104" s="1610">
        <f t="shared" si="54"/>
        <v>0</v>
      </c>
      <c r="R104" s="1610">
        <f t="shared" si="54"/>
        <v>0</v>
      </c>
      <c r="S104" s="1611">
        <f>SUM(G104:R104)</f>
        <v>0</v>
      </c>
      <c r="T104" s="225"/>
      <c r="U104" s="2425" t="str">
        <f>U75</f>
        <v xml:space="preserve">Target </v>
      </c>
      <c r="V104" s="1091"/>
      <c r="W104" s="53"/>
      <c r="X104" s="4"/>
      <c r="Y104" s="4"/>
      <c r="Z104" s="4"/>
      <c r="AA104" s="4"/>
      <c r="AB104" s="4"/>
      <c r="AC104" s="4"/>
      <c r="AD104" s="4"/>
      <c r="AE104" s="4"/>
      <c r="AF104" s="4"/>
    </row>
    <row r="105" spans="2:68" ht="3.75" customHeight="1" thickBot="1" x14ac:dyDescent="0.25">
      <c r="B105" s="1599"/>
      <c r="C105" s="1600"/>
      <c r="D105" s="1069"/>
      <c r="E105" s="1069"/>
      <c r="F105" s="1601"/>
      <c r="G105" s="1602"/>
      <c r="H105" s="1602"/>
      <c r="I105" s="1602"/>
      <c r="J105" s="1602"/>
      <c r="K105" s="1602"/>
      <c r="L105" s="1602"/>
      <c r="M105" s="1602"/>
      <c r="N105" s="1602"/>
      <c r="O105" s="1602"/>
      <c r="P105" s="1602"/>
      <c r="Q105" s="1602"/>
      <c r="R105" s="1602"/>
      <c r="S105" s="499"/>
      <c r="T105" s="225"/>
      <c r="U105" s="2426"/>
      <c r="V105" s="1091"/>
      <c r="W105" s="53"/>
      <c r="X105" s="4"/>
      <c r="Y105" s="4"/>
      <c r="Z105" s="4"/>
      <c r="AA105" s="4"/>
      <c r="AB105" s="4"/>
      <c r="AC105" s="4"/>
      <c r="AD105" s="4"/>
      <c r="AE105" s="4"/>
      <c r="AF105" s="4"/>
    </row>
    <row r="106" spans="2:68" ht="16.5" customHeight="1" thickBot="1" x14ac:dyDescent="0.25">
      <c r="B106" s="1833"/>
      <c r="C106" s="1832" t="str">
        <f>C49</f>
        <v>CAPITAL FINANCING: INCOME AND EXPENSES</v>
      </c>
      <c r="D106" s="1627"/>
      <c r="E106" s="1627"/>
      <c r="F106" s="1836">
        <v>0</v>
      </c>
      <c r="G106" s="1691" t="str">
        <f t="shared" ref="G106:R106" si="55">G79</f>
        <v>JAN</v>
      </c>
      <c r="H106" s="1691" t="str">
        <f t="shared" si="55"/>
        <v>FEB</v>
      </c>
      <c r="I106" s="1691" t="str">
        <f t="shared" si="55"/>
        <v>MARS</v>
      </c>
      <c r="J106" s="1691" t="str">
        <f t="shared" si="55"/>
        <v>APR</v>
      </c>
      <c r="K106" s="1691" t="str">
        <f t="shared" si="55"/>
        <v>MAY</v>
      </c>
      <c r="L106" s="1691" t="str">
        <f t="shared" si="55"/>
        <v>JUNE</v>
      </c>
      <c r="M106" s="1691" t="str">
        <f t="shared" si="55"/>
        <v>JULY</v>
      </c>
      <c r="N106" s="1691" t="str">
        <f t="shared" si="55"/>
        <v>AUG</v>
      </c>
      <c r="O106" s="1691" t="str">
        <f t="shared" si="55"/>
        <v>SEP</v>
      </c>
      <c r="P106" s="1691" t="str">
        <f t="shared" si="55"/>
        <v>OCT</v>
      </c>
      <c r="Q106" s="1691" t="str">
        <f t="shared" si="55"/>
        <v>NOV</v>
      </c>
      <c r="R106" s="1691" t="str">
        <f t="shared" si="55"/>
        <v>DEC</v>
      </c>
      <c r="S106" s="1603" t="str">
        <f>S10</f>
        <v>TOTAL</v>
      </c>
      <c r="T106" s="1199" t="str">
        <f>T22</f>
        <v>Difference</v>
      </c>
      <c r="U106" s="2427"/>
      <c r="V106" s="1091"/>
      <c r="W106" s="53"/>
      <c r="X106" s="4"/>
      <c r="Y106" s="4"/>
      <c r="Z106" s="4"/>
      <c r="AA106" s="4"/>
      <c r="AB106" s="4"/>
      <c r="AC106" s="4"/>
      <c r="AD106" s="4"/>
      <c r="AE106" s="4"/>
      <c r="AF106" s="4"/>
      <c r="AZ106" s="2487"/>
      <c r="BA106" s="2487"/>
      <c r="BB106" s="2487"/>
      <c r="BC106" s="328"/>
      <c r="BD106" s="1555" t="str">
        <f t="shared" ref="BD106:BO106" si="56">G67</f>
        <v>JAN</v>
      </c>
      <c r="BE106" s="1555" t="str">
        <f t="shared" si="56"/>
        <v>FEB</v>
      </c>
      <c r="BF106" s="1555" t="str">
        <f t="shared" si="56"/>
        <v>MARS</v>
      </c>
      <c r="BG106" s="1555" t="str">
        <f t="shared" si="56"/>
        <v>APR</v>
      </c>
      <c r="BH106" s="1555" t="str">
        <f t="shared" si="56"/>
        <v>MAY</v>
      </c>
      <c r="BI106" s="1555" t="str">
        <f t="shared" si="56"/>
        <v>JUNE</v>
      </c>
      <c r="BJ106" s="1555" t="str">
        <f t="shared" si="56"/>
        <v>JULY</v>
      </c>
      <c r="BK106" s="1555" t="str">
        <f t="shared" si="56"/>
        <v>AUG</v>
      </c>
      <c r="BL106" s="1555" t="str">
        <f t="shared" si="56"/>
        <v>SEP</v>
      </c>
      <c r="BM106" s="1555" t="str">
        <f t="shared" si="56"/>
        <v>OCT</v>
      </c>
      <c r="BN106" s="1555" t="str">
        <f t="shared" si="56"/>
        <v>NOV</v>
      </c>
      <c r="BO106" s="1555" t="str">
        <f t="shared" si="56"/>
        <v>DEC</v>
      </c>
      <c r="BP106" s="1556" t="s">
        <v>71</v>
      </c>
    </row>
    <row r="107" spans="2:68" x14ac:dyDescent="0.2">
      <c r="B107" s="1628">
        <v>27</v>
      </c>
      <c r="C107" s="2457" t="s">
        <v>752</v>
      </c>
      <c r="D107" s="2458"/>
      <c r="E107" s="2459"/>
      <c r="F107" s="531"/>
      <c r="G107" s="1384">
        <f t="shared" ref="G107:R107" si="57">$U107/12</f>
        <v>0</v>
      </c>
      <c r="H107" s="1384">
        <f t="shared" si="57"/>
        <v>0</v>
      </c>
      <c r="I107" s="1384">
        <f t="shared" si="57"/>
        <v>0</v>
      </c>
      <c r="J107" s="1384">
        <f t="shared" si="57"/>
        <v>0</v>
      </c>
      <c r="K107" s="1384">
        <f t="shared" si="57"/>
        <v>0</v>
      </c>
      <c r="L107" s="1384">
        <f t="shared" si="57"/>
        <v>0</v>
      </c>
      <c r="M107" s="1384">
        <f t="shared" si="57"/>
        <v>0</v>
      </c>
      <c r="N107" s="1384">
        <f t="shared" si="57"/>
        <v>0</v>
      </c>
      <c r="O107" s="1384">
        <f t="shared" si="57"/>
        <v>0</v>
      </c>
      <c r="P107" s="1384">
        <f t="shared" si="57"/>
        <v>0</v>
      </c>
      <c r="Q107" s="1384">
        <f t="shared" si="57"/>
        <v>0</v>
      </c>
      <c r="R107" s="1384">
        <f t="shared" si="57"/>
        <v>0</v>
      </c>
      <c r="S107" s="640">
        <f t="shared" ref="S107:S112" si="58">SUM(G107:R107)</f>
        <v>0</v>
      </c>
      <c r="T107" s="1062">
        <f>U107-S107</f>
        <v>0</v>
      </c>
      <c r="U107" s="1049">
        <f>'2. T7 LOANS'!J38+'2. T7 LOANS'!K38</f>
        <v>0</v>
      </c>
      <c r="V107" s="989"/>
      <c r="W107" s="53"/>
      <c r="X107" s="164"/>
      <c r="Y107" s="164"/>
      <c r="Z107" s="164"/>
      <c r="AA107" s="164"/>
      <c r="AB107" s="164"/>
      <c r="AC107" s="164"/>
      <c r="AD107" s="164"/>
      <c r="AE107" s="164"/>
      <c r="AF107" s="164"/>
      <c r="AZ107" s="2488" t="str">
        <f>C58</f>
        <v xml:space="preserve"> INCOME - EXPENSES</v>
      </c>
      <c r="BA107" s="2489"/>
      <c r="BB107" s="2489"/>
      <c r="BC107" s="2490"/>
      <c r="BD107" s="642">
        <f t="shared" ref="BD107:BO108" si="59">G115</f>
        <v>0</v>
      </c>
      <c r="BE107" s="642">
        <f t="shared" si="59"/>
        <v>0</v>
      </c>
      <c r="BF107" s="642">
        <f t="shared" si="59"/>
        <v>0</v>
      </c>
      <c r="BG107" s="642">
        <f t="shared" si="59"/>
        <v>0</v>
      </c>
      <c r="BH107" s="642">
        <f t="shared" si="59"/>
        <v>0</v>
      </c>
      <c r="BI107" s="642">
        <f t="shared" si="59"/>
        <v>0</v>
      </c>
      <c r="BJ107" s="642">
        <f t="shared" si="59"/>
        <v>0</v>
      </c>
      <c r="BK107" s="642">
        <f t="shared" si="59"/>
        <v>0</v>
      </c>
      <c r="BL107" s="642">
        <f t="shared" si="59"/>
        <v>0</v>
      </c>
      <c r="BM107" s="642">
        <f t="shared" si="59"/>
        <v>0</v>
      </c>
      <c r="BN107" s="642">
        <f t="shared" si="59"/>
        <v>0</v>
      </c>
      <c r="BO107" s="642">
        <f t="shared" si="59"/>
        <v>0</v>
      </c>
      <c r="BP107" s="643">
        <f>SUM(BD107:BO107)</f>
        <v>0</v>
      </c>
    </row>
    <row r="108" spans="2:68" x14ac:dyDescent="0.2">
      <c r="B108" s="1628">
        <f>B107+1</f>
        <v>28</v>
      </c>
      <c r="C108" s="2414" t="s">
        <v>865</v>
      </c>
      <c r="D108" s="2415"/>
      <c r="E108" s="2416"/>
      <c r="F108" s="531"/>
      <c r="G108" s="1384">
        <f>U108</f>
        <v>0</v>
      </c>
      <c r="H108" s="1384"/>
      <c r="I108" s="1384"/>
      <c r="J108" s="1384">
        <v>0</v>
      </c>
      <c r="K108" s="1384">
        <v>0</v>
      </c>
      <c r="L108" s="1384"/>
      <c r="M108" s="1384"/>
      <c r="N108" s="1384"/>
      <c r="O108" s="1384"/>
      <c r="P108" s="1384">
        <v>0</v>
      </c>
      <c r="Q108" s="1384"/>
      <c r="R108" s="1384">
        <v>0</v>
      </c>
      <c r="S108" s="640">
        <f t="shared" si="58"/>
        <v>0</v>
      </c>
      <c r="T108" s="1062">
        <f>U108-S108</f>
        <v>0</v>
      </c>
      <c r="U108" s="1049">
        <f>'2. T7 LOANS'!I48</f>
        <v>0</v>
      </c>
      <c r="V108" s="989"/>
      <c r="W108" s="53"/>
      <c r="X108" s="164"/>
      <c r="Y108" s="164"/>
      <c r="Z108" s="164"/>
      <c r="AA108" s="164"/>
      <c r="AB108" s="164"/>
      <c r="AC108" s="164"/>
      <c r="AD108" s="164"/>
      <c r="AE108" s="164"/>
      <c r="AF108" s="164"/>
      <c r="AZ108" s="2482" t="str">
        <f>C59</f>
        <v xml:space="preserve"> CASH AT THE END OF THE MONTH </v>
      </c>
      <c r="BA108" s="2483"/>
      <c r="BB108" s="2483"/>
      <c r="BC108" s="2484"/>
      <c r="BD108" s="642">
        <f t="shared" si="59"/>
        <v>0</v>
      </c>
      <c r="BE108" s="642">
        <f t="shared" si="59"/>
        <v>0</v>
      </c>
      <c r="BF108" s="642">
        <f t="shared" si="59"/>
        <v>0</v>
      </c>
      <c r="BG108" s="642">
        <f t="shared" si="59"/>
        <v>0</v>
      </c>
      <c r="BH108" s="642">
        <f t="shared" si="59"/>
        <v>0</v>
      </c>
      <c r="BI108" s="642">
        <f t="shared" si="59"/>
        <v>0</v>
      </c>
      <c r="BJ108" s="642">
        <f t="shared" si="59"/>
        <v>0</v>
      </c>
      <c r="BK108" s="642">
        <f t="shared" si="59"/>
        <v>0</v>
      </c>
      <c r="BL108" s="642">
        <f t="shared" si="59"/>
        <v>0</v>
      </c>
      <c r="BM108" s="642">
        <f t="shared" si="59"/>
        <v>0</v>
      </c>
      <c r="BN108" s="642">
        <f t="shared" si="59"/>
        <v>0</v>
      </c>
      <c r="BO108" s="642">
        <f t="shared" si="59"/>
        <v>0</v>
      </c>
      <c r="BP108" s="644"/>
    </row>
    <row r="109" spans="2:68" x14ac:dyDescent="0.2">
      <c r="B109" s="1628">
        <f>B108+1</f>
        <v>29</v>
      </c>
      <c r="C109" s="2414" t="s">
        <v>753</v>
      </c>
      <c r="D109" s="2415"/>
      <c r="E109" s="2416"/>
      <c r="F109" s="529"/>
      <c r="G109" s="1383">
        <f>$U109/12</f>
        <v>0</v>
      </c>
      <c r="H109" s="1383">
        <f t="shared" ref="H109:Q109" si="60">$U109/12</f>
        <v>0</v>
      </c>
      <c r="I109" s="1383">
        <f t="shared" si="60"/>
        <v>0</v>
      </c>
      <c r="J109" s="1383">
        <f t="shared" si="60"/>
        <v>0</v>
      </c>
      <c r="K109" s="1383">
        <f t="shared" si="60"/>
        <v>0</v>
      </c>
      <c r="L109" s="1383">
        <f t="shared" si="60"/>
        <v>0</v>
      </c>
      <c r="M109" s="1383">
        <f t="shared" si="60"/>
        <v>0</v>
      </c>
      <c r="N109" s="1383">
        <f t="shared" si="60"/>
        <v>0</v>
      </c>
      <c r="O109" s="1383">
        <f t="shared" si="60"/>
        <v>0</v>
      </c>
      <c r="P109" s="1383">
        <f t="shared" si="60"/>
        <v>0</v>
      </c>
      <c r="Q109" s="1383">
        <f t="shared" si="60"/>
        <v>0</v>
      </c>
      <c r="R109" s="1383">
        <f>$U109/12</f>
        <v>0</v>
      </c>
      <c r="S109" s="640">
        <f t="shared" si="58"/>
        <v>0</v>
      </c>
      <c r="T109" s="1062">
        <f>U109-S109</f>
        <v>0</v>
      </c>
      <c r="U109" s="1049">
        <f>'2. T7 LOANS'!J32</f>
        <v>0</v>
      </c>
      <c r="V109" s="989"/>
      <c r="W109" s="53"/>
      <c r="X109" s="164"/>
      <c r="Y109" s="164"/>
      <c r="Z109" s="164"/>
      <c r="AA109" s="164"/>
      <c r="AB109" s="164"/>
      <c r="AC109" s="164"/>
      <c r="AD109" s="164"/>
      <c r="AE109" s="164"/>
      <c r="AF109" s="164"/>
      <c r="AZ109" s="141"/>
      <c r="BA109" s="141"/>
      <c r="BB109" s="141"/>
      <c r="BC109" s="141"/>
      <c r="BD109" s="235"/>
      <c r="BE109" s="235"/>
      <c r="BF109" s="235"/>
      <c r="BG109" s="235"/>
      <c r="BH109" s="235"/>
      <c r="BI109" s="235"/>
      <c r="BJ109" s="235"/>
      <c r="BK109" s="235"/>
      <c r="BL109" s="235"/>
      <c r="BM109" s="235"/>
      <c r="BN109" s="235"/>
      <c r="BO109" s="235"/>
      <c r="BP109" s="329"/>
    </row>
    <row r="110" spans="2:68" x14ac:dyDescent="0.2">
      <c r="B110" s="1628">
        <f>B109+1</f>
        <v>30</v>
      </c>
      <c r="C110" s="2414" t="s">
        <v>754</v>
      </c>
      <c r="D110" s="2415"/>
      <c r="E110" s="2416"/>
      <c r="F110" s="529"/>
      <c r="G110" s="1383">
        <f>U110/3</f>
        <v>0</v>
      </c>
      <c r="H110" s="1383">
        <f>G110</f>
        <v>0</v>
      </c>
      <c r="I110" s="1383">
        <f>H110</f>
        <v>0</v>
      </c>
      <c r="J110" s="1383">
        <v>0</v>
      </c>
      <c r="K110" s="1383">
        <v>0</v>
      </c>
      <c r="L110" s="1383">
        <v>0</v>
      </c>
      <c r="M110" s="1383">
        <v>0</v>
      </c>
      <c r="N110" s="1383">
        <v>0</v>
      </c>
      <c r="O110" s="1383">
        <v>0</v>
      </c>
      <c r="P110" s="1383">
        <v>0</v>
      </c>
      <c r="Q110" s="1383">
        <v>0</v>
      </c>
      <c r="R110" s="1383">
        <v>0</v>
      </c>
      <c r="S110" s="640">
        <f t="shared" si="58"/>
        <v>0</v>
      </c>
      <c r="T110" s="1063" t="s">
        <v>0</v>
      </c>
      <c r="U110" s="1049">
        <f>'5. T4 FINANCING PLAN'!R48</f>
        <v>0</v>
      </c>
      <c r="V110" s="989"/>
      <c r="X110" s="4"/>
      <c r="Y110" s="4"/>
      <c r="Z110" s="4"/>
      <c r="AA110" s="4"/>
      <c r="AB110" s="4"/>
      <c r="AC110" s="4"/>
      <c r="AD110" s="4"/>
      <c r="AE110" s="4"/>
      <c r="AF110" s="4"/>
      <c r="AZ110" s="154"/>
      <c r="BA110" s="154"/>
      <c r="BB110" s="156"/>
      <c r="BC110" s="157"/>
      <c r="BD110" s="55"/>
      <c r="BE110" s="55"/>
      <c r="BF110" s="55"/>
      <c r="BG110" s="107"/>
      <c r="BH110" s="55"/>
      <c r="BI110" s="55"/>
      <c r="BJ110" s="55"/>
      <c r="BK110" s="55"/>
      <c r="BL110" s="55"/>
      <c r="BM110" s="55"/>
      <c r="BN110" s="155"/>
      <c r="BP110" s="153">
        <f>'Front Page'!F6</f>
        <v>0</v>
      </c>
    </row>
    <row r="111" spans="2:68" x14ac:dyDescent="0.2">
      <c r="B111" s="1628">
        <f>B110+1</f>
        <v>31</v>
      </c>
      <c r="C111" s="2414" t="s">
        <v>755</v>
      </c>
      <c r="D111" s="2423"/>
      <c r="E111" s="2424"/>
      <c r="F111" s="529"/>
      <c r="G111" s="1383">
        <f>U111</f>
        <v>0</v>
      </c>
      <c r="H111" s="1383"/>
      <c r="I111" s="1383"/>
      <c r="J111" s="1383"/>
      <c r="K111" s="1383"/>
      <c r="L111" s="1383"/>
      <c r="M111" s="1383"/>
      <c r="N111" s="1383"/>
      <c r="O111" s="1383"/>
      <c r="P111" s="1383"/>
      <c r="Q111" s="1383"/>
      <c r="R111" s="1383"/>
      <c r="S111" s="640">
        <f t="shared" si="58"/>
        <v>0</v>
      </c>
      <c r="T111" s="1062">
        <f>U111-S111</f>
        <v>0</v>
      </c>
      <c r="U111" s="1337">
        <f>'1. T1 INVESTMENT PLAN'!F48+'1. T1 INVESTMENT PLAN'!F49+'1. T1 INVESTMENT PLAN'!F52</f>
        <v>0</v>
      </c>
      <c r="V111" s="1093"/>
      <c r="X111" s="4"/>
      <c r="Y111" s="4"/>
      <c r="Z111" s="4"/>
      <c r="AA111" s="4"/>
      <c r="AB111" s="4"/>
      <c r="AC111" s="4"/>
      <c r="AD111" s="4"/>
      <c r="AE111" s="4"/>
      <c r="AF111" s="4"/>
      <c r="AZ111" s="154" t="str">
        <f>'1. T1 INVESTMENT PLAN'!B67</f>
        <v>BP6 Financial Projection</v>
      </c>
      <c r="BB111" s="106"/>
      <c r="BC111" s="127"/>
      <c r="BD111" s="104"/>
      <c r="BE111" s="104"/>
      <c r="BF111" s="104"/>
      <c r="BG111" s="108"/>
      <c r="BH111" s="104"/>
      <c r="BI111" s="104"/>
      <c r="BJ111" s="104"/>
      <c r="BK111" s="104"/>
      <c r="BL111" s="104"/>
      <c r="BM111" s="104"/>
      <c r="BN111" s="104"/>
      <c r="BP111" s="406" t="str">
        <f>'Front Page'!G8</f>
        <v>Enontekiö, Kittilä, Kolari, Muonio, Pello</v>
      </c>
    </row>
    <row r="112" spans="2:68" ht="13.5" thickBot="1" x14ac:dyDescent="0.25">
      <c r="B112" s="1628">
        <f>B111+1</f>
        <v>32</v>
      </c>
      <c r="C112" s="2414" t="s">
        <v>756</v>
      </c>
      <c r="D112" s="2415"/>
      <c r="E112" s="2416"/>
      <c r="F112" s="529"/>
      <c r="G112" s="1383">
        <f>U112</f>
        <v>0</v>
      </c>
      <c r="H112" s="1383">
        <v>0</v>
      </c>
      <c r="I112" s="1383"/>
      <c r="J112" s="1383"/>
      <c r="K112" s="1383"/>
      <c r="L112" s="1383">
        <v>0</v>
      </c>
      <c r="M112" s="1383"/>
      <c r="N112" s="1383"/>
      <c r="O112" s="1383"/>
      <c r="P112" s="1383"/>
      <c r="Q112" s="1383"/>
      <c r="R112" s="1383"/>
      <c r="S112" s="640">
        <f t="shared" si="58"/>
        <v>0</v>
      </c>
      <c r="T112" s="1062">
        <f>U112-S112</f>
        <v>0</v>
      </c>
      <c r="U112" s="1337">
        <f>'1. T1 INVESTMENT PLAN'!F51</f>
        <v>0</v>
      </c>
      <c r="V112" s="1093"/>
      <c r="X112" s="4"/>
      <c r="Y112" s="4"/>
      <c r="Z112" s="4"/>
      <c r="AA112" s="4"/>
      <c r="AB112" s="4"/>
      <c r="AC112" s="4"/>
      <c r="AD112" s="4"/>
      <c r="AE112" s="4"/>
      <c r="AF112" s="4"/>
    </row>
    <row r="113" spans="2:32" ht="13.5" thickTop="1" x14ac:dyDescent="0.2">
      <c r="B113" s="1629"/>
      <c r="C113" s="2479" t="str">
        <f>C56</f>
        <v xml:space="preserve"> CAPITAL FUNDING, NET</v>
      </c>
      <c r="D113" s="2480"/>
      <c r="E113" s="2481"/>
      <c r="F113" s="1609"/>
      <c r="G113" s="1630">
        <f>-G107+G108-G109-G110+G111+G112</f>
        <v>0</v>
      </c>
      <c r="H113" s="1630">
        <f t="shared" ref="H113:R113" si="61">-H107+H108-H109-H110+H111+H112</f>
        <v>0</v>
      </c>
      <c r="I113" s="1630">
        <f t="shared" si="61"/>
        <v>0</v>
      </c>
      <c r="J113" s="1630">
        <f t="shared" si="61"/>
        <v>0</v>
      </c>
      <c r="K113" s="1630">
        <f t="shared" si="61"/>
        <v>0</v>
      </c>
      <c r="L113" s="1630">
        <f t="shared" si="61"/>
        <v>0</v>
      </c>
      <c r="M113" s="1630">
        <f t="shared" si="61"/>
        <v>0</v>
      </c>
      <c r="N113" s="1630">
        <f t="shared" si="61"/>
        <v>0</v>
      </c>
      <c r="O113" s="1630">
        <f t="shared" si="61"/>
        <v>0</v>
      </c>
      <c r="P113" s="1630">
        <f t="shared" si="61"/>
        <v>0</v>
      </c>
      <c r="Q113" s="1630">
        <f t="shared" si="61"/>
        <v>0</v>
      </c>
      <c r="R113" s="1630">
        <f t="shared" si="61"/>
        <v>0</v>
      </c>
      <c r="S113" s="1631">
        <f>-S107+S108-S109-S110+S111+S112</f>
        <v>0</v>
      </c>
      <c r="U113" s="231"/>
      <c r="V113" s="231"/>
      <c r="X113" s="4"/>
      <c r="Y113" s="4"/>
      <c r="Z113" s="4"/>
      <c r="AA113" s="4"/>
      <c r="AB113" s="4"/>
      <c r="AC113" s="4"/>
      <c r="AD113" s="4"/>
      <c r="AE113" s="4"/>
      <c r="AF113" s="4"/>
    </row>
    <row r="114" spans="2:32" ht="3.75" customHeight="1" x14ac:dyDescent="0.2">
      <c r="B114" s="535"/>
      <c r="C114" s="535"/>
      <c r="D114" s="535"/>
      <c r="E114" s="535"/>
      <c r="F114" s="536"/>
      <c r="G114" s="637"/>
      <c r="H114" s="637"/>
      <c r="I114" s="637"/>
      <c r="J114" s="637"/>
      <c r="K114" s="637"/>
      <c r="L114" s="637"/>
      <c r="M114" s="637"/>
      <c r="N114" s="637"/>
      <c r="O114" s="637"/>
      <c r="P114" s="637"/>
      <c r="Q114" s="637"/>
      <c r="R114" s="637"/>
      <c r="S114" s="638"/>
      <c r="U114" s="231"/>
      <c r="V114" s="231"/>
      <c r="X114" s="4"/>
      <c r="Y114" s="4"/>
      <c r="Z114" s="4"/>
      <c r="AA114" s="4"/>
      <c r="AB114" s="4"/>
      <c r="AC114" s="4"/>
      <c r="AD114" s="4"/>
      <c r="AE114" s="4"/>
      <c r="AF114" s="4"/>
    </row>
    <row r="115" spans="2:32" x14ac:dyDescent="0.2">
      <c r="B115" s="1632">
        <v>33</v>
      </c>
      <c r="C115" s="2476" t="str">
        <f>C58</f>
        <v xml:space="preserve"> INCOME - EXPENSES</v>
      </c>
      <c r="D115" s="2477"/>
      <c r="E115" s="2477"/>
      <c r="F115" s="2478"/>
      <c r="G115" s="1633">
        <f t="shared" ref="G115:R115" si="62">G77-G104+G113</f>
        <v>0</v>
      </c>
      <c r="H115" s="1633">
        <f t="shared" si="62"/>
        <v>0</v>
      </c>
      <c r="I115" s="1633">
        <f t="shared" si="62"/>
        <v>0</v>
      </c>
      <c r="J115" s="1633">
        <f t="shared" si="62"/>
        <v>0</v>
      </c>
      <c r="K115" s="1633">
        <f t="shared" si="62"/>
        <v>0</v>
      </c>
      <c r="L115" s="1633">
        <f t="shared" si="62"/>
        <v>0</v>
      </c>
      <c r="M115" s="1633">
        <f t="shared" si="62"/>
        <v>0</v>
      </c>
      <c r="N115" s="1633">
        <f t="shared" si="62"/>
        <v>0</v>
      </c>
      <c r="O115" s="1633">
        <f t="shared" si="62"/>
        <v>0</v>
      </c>
      <c r="P115" s="1633">
        <f t="shared" si="62"/>
        <v>0</v>
      </c>
      <c r="Q115" s="1633">
        <f t="shared" si="62"/>
        <v>0</v>
      </c>
      <c r="R115" s="1634">
        <f t="shared" si="62"/>
        <v>0</v>
      </c>
      <c r="S115" s="1633">
        <f>SUM(G115:R115)</f>
        <v>0</v>
      </c>
      <c r="U115" s="231"/>
      <c r="V115" s="231"/>
      <c r="X115" s="4"/>
      <c r="Y115" s="4"/>
      <c r="Z115" s="4"/>
      <c r="AA115" s="4"/>
      <c r="AB115" s="4"/>
      <c r="AC115" s="4"/>
      <c r="AD115" s="4"/>
      <c r="AE115" s="4"/>
      <c r="AF115" s="4"/>
    </row>
    <row r="116" spans="2:32" x14ac:dyDescent="0.2">
      <c r="B116" s="1635">
        <v>34</v>
      </c>
      <c r="C116" s="2411" t="str">
        <f>C59</f>
        <v xml:space="preserve"> CASH AT THE END OF THE MONTH </v>
      </c>
      <c r="D116" s="2412"/>
      <c r="E116" s="2412"/>
      <c r="F116" s="2413"/>
      <c r="G116" s="1633">
        <f>G68+G115+G69</f>
        <v>0</v>
      </c>
      <c r="H116" s="1633">
        <f t="shared" ref="H116:R116" si="63">H68+H115+H69</f>
        <v>0</v>
      </c>
      <c r="I116" s="1633">
        <f t="shared" si="63"/>
        <v>0</v>
      </c>
      <c r="J116" s="1633">
        <f t="shared" si="63"/>
        <v>0</v>
      </c>
      <c r="K116" s="1633">
        <f t="shared" si="63"/>
        <v>0</v>
      </c>
      <c r="L116" s="1633">
        <f t="shared" si="63"/>
        <v>0</v>
      </c>
      <c r="M116" s="1633">
        <f t="shared" si="63"/>
        <v>0</v>
      </c>
      <c r="N116" s="1633">
        <f t="shared" si="63"/>
        <v>0</v>
      </c>
      <c r="O116" s="1633">
        <f t="shared" si="63"/>
        <v>0</v>
      </c>
      <c r="P116" s="1633">
        <f t="shared" si="63"/>
        <v>0</v>
      </c>
      <c r="Q116" s="1633">
        <f t="shared" si="63"/>
        <v>0</v>
      </c>
      <c r="R116" s="1633">
        <f t="shared" si="63"/>
        <v>0</v>
      </c>
      <c r="S116" s="1636"/>
      <c r="X116" s="4"/>
      <c r="Y116" s="4"/>
      <c r="Z116" s="4"/>
      <c r="AA116" s="4"/>
      <c r="AB116" s="4"/>
      <c r="AC116" s="4"/>
      <c r="AD116" s="4"/>
      <c r="AE116" s="4"/>
      <c r="AF116" s="4"/>
    </row>
    <row r="117" spans="2:32" ht="3.75" customHeight="1" x14ac:dyDescent="0.2">
      <c r="B117" s="154"/>
      <c r="C117" s="154"/>
      <c r="D117" s="52"/>
      <c r="E117" s="52"/>
      <c r="F117" s="87"/>
      <c r="G117" s="55"/>
      <c r="H117" s="55"/>
      <c r="I117" s="55"/>
      <c r="J117" s="55"/>
      <c r="K117" s="55"/>
      <c r="L117" s="55"/>
      <c r="M117" s="55"/>
      <c r="N117" s="55"/>
      <c r="O117" s="55"/>
      <c r="P117" s="55"/>
      <c r="Q117" s="155"/>
      <c r="R117" s="154"/>
      <c r="S117" s="105">
        <v>0</v>
      </c>
    </row>
    <row r="118" spans="2:32" x14ac:dyDescent="0.2">
      <c r="B118" s="52" t="str">
        <f>B62</f>
        <v>BP6 Financial Projection</v>
      </c>
      <c r="C118" s="52"/>
      <c r="D118" s="52"/>
      <c r="E118" s="52"/>
      <c r="F118" s="87"/>
      <c r="S118" s="153">
        <f>'Front Page'!F6</f>
        <v>0</v>
      </c>
    </row>
    <row r="119" spans="2:32" x14ac:dyDescent="0.2">
      <c r="B119" s="50"/>
      <c r="C119" s="50"/>
      <c r="D119" s="50"/>
      <c r="E119" s="50"/>
      <c r="F119" s="72"/>
      <c r="G119" s="53"/>
      <c r="H119" s="53"/>
      <c r="I119" s="53"/>
      <c r="J119" s="53"/>
      <c r="K119" s="53"/>
      <c r="L119" s="53"/>
      <c r="M119" s="53"/>
      <c r="N119" s="53"/>
      <c r="O119" s="53"/>
      <c r="P119" s="53"/>
      <c r="Q119" s="53"/>
      <c r="R119" s="53"/>
      <c r="S119" s="1335" t="str">
        <f>'Front Page'!G8</f>
        <v>Enontekiö, Kittilä, Kolari, Muonio, Pello</v>
      </c>
      <c r="T119" s="53"/>
      <c r="W119" s="53"/>
      <c r="X119" s="50"/>
      <c r="Y119" s="53"/>
      <c r="Z119" s="53"/>
      <c r="AA119" s="53"/>
      <c r="AB119" s="53"/>
      <c r="AC119" s="53"/>
      <c r="AD119" s="53"/>
      <c r="AE119" s="53"/>
      <c r="AF119" s="53"/>
    </row>
    <row r="120" spans="2:32" x14ac:dyDescent="0.2">
      <c r="B120" s="2149"/>
      <c r="C120" s="2149"/>
      <c r="D120" s="52"/>
      <c r="E120" s="52"/>
      <c r="F120" s="87"/>
    </row>
    <row r="155" spans="33:49" ht="20.100000000000001" customHeight="1" x14ac:dyDescent="0.2">
      <c r="AG155">
        <v>1</v>
      </c>
      <c r="AH155">
        <v>1</v>
      </c>
      <c r="AO155">
        <v>1</v>
      </c>
      <c r="AP155">
        <v>1</v>
      </c>
      <c r="AR155">
        <v>1</v>
      </c>
      <c r="AS155">
        <v>1</v>
      </c>
      <c r="AT155">
        <v>1</v>
      </c>
      <c r="AU155">
        <v>1</v>
      </c>
      <c r="AV155">
        <v>1</v>
      </c>
      <c r="AW155">
        <v>1</v>
      </c>
    </row>
    <row r="156" spans="33:49" ht="20.100000000000001" customHeight="1" x14ac:dyDescent="0.2"/>
    <row r="157" spans="33:49" ht="20.100000000000001" customHeight="1" x14ac:dyDescent="0.2"/>
  </sheetData>
  <sheetProtection algorithmName="SHA-512" hashValue="DPn+MC2Fe9HD6lQA/tgtviNZ//ppejRS45yIW88Ma6ere7pppWb5vi7ZxJnsQjloR8OO3ts9JqDsEYi1d1epDQ==" saltValue="RVweoN5DegNlq49iMlqP+Q==" spinCount="100000" sheet="1" objects="1" scenarios="1"/>
  <mergeCells count="152">
    <mergeCell ref="AZ108:BC108"/>
    <mergeCell ref="B65:E65"/>
    <mergeCell ref="B8:F8"/>
    <mergeCell ref="C116:F116"/>
    <mergeCell ref="B120:C120"/>
    <mergeCell ref="BA67:BC67"/>
    <mergeCell ref="AZ106:BB106"/>
    <mergeCell ref="AZ107:BC107"/>
    <mergeCell ref="C110:E110"/>
    <mergeCell ref="C111:E111"/>
    <mergeCell ref="C112:E112"/>
    <mergeCell ref="C113:E113"/>
    <mergeCell ref="C115:F115"/>
    <mergeCell ref="C103:E103"/>
    <mergeCell ref="C95:E95"/>
    <mergeCell ref="C96:E96"/>
    <mergeCell ref="C97:E97"/>
    <mergeCell ref="C98:E98"/>
    <mergeCell ref="C88:E88"/>
    <mergeCell ref="C89:E89"/>
    <mergeCell ref="C35:E35"/>
    <mergeCell ref="C36:E36"/>
    <mergeCell ref="C93:E93"/>
    <mergeCell ref="C107:E107"/>
    <mergeCell ref="C108:E108"/>
    <mergeCell ref="C109:E109"/>
    <mergeCell ref="X99:Y102"/>
    <mergeCell ref="Z99:Z102"/>
    <mergeCell ref="AX22:AY22"/>
    <mergeCell ref="B32:B33"/>
    <mergeCell ref="B89:B90"/>
    <mergeCell ref="C91:E91"/>
    <mergeCell ref="AA99:AA102"/>
    <mergeCell ref="AB99:AB102"/>
    <mergeCell ref="C100:E100"/>
    <mergeCell ref="C101:E101"/>
    <mergeCell ref="C102:E102"/>
    <mergeCell ref="C99:E99"/>
    <mergeCell ref="U104:U106"/>
    <mergeCell ref="X84:Y84"/>
    <mergeCell ref="C85:E85"/>
    <mergeCell ref="C86:E86"/>
    <mergeCell ref="C87:E87"/>
    <mergeCell ref="C90:E90"/>
    <mergeCell ref="C92:E92"/>
    <mergeCell ref="C94:E94"/>
    <mergeCell ref="C84:E84"/>
    <mergeCell ref="B80:B81"/>
    <mergeCell ref="C80:E80"/>
    <mergeCell ref="C82:E82"/>
    <mergeCell ref="Z82:AA82"/>
    <mergeCell ref="X83:Y83"/>
    <mergeCell ref="C76:E76"/>
    <mergeCell ref="C77:E77"/>
    <mergeCell ref="X77:AF77"/>
    <mergeCell ref="C79:E79"/>
    <mergeCell ref="AC79:AC80"/>
    <mergeCell ref="C70:D70"/>
    <mergeCell ref="D71:F71"/>
    <mergeCell ref="C72:E72"/>
    <mergeCell ref="D73:F73"/>
    <mergeCell ref="C75:E75"/>
    <mergeCell ref="U75:U77"/>
    <mergeCell ref="U65:X65"/>
    <mergeCell ref="C67:E67"/>
    <mergeCell ref="X67:Z67"/>
    <mergeCell ref="B68:B69"/>
    <mergeCell ref="C68:F68"/>
    <mergeCell ref="O63:Q63"/>
    <mergeCell ref="J64:M64"/>
    <mergeCell ref="O64:Q64"/>
    <mergeCell ref="O65:Q65"/>
    <mergeCell ref="H63:J63"/>
    <mergeCell ref="BA7:BC7"/>
    <mergeCell ref="C51:E51"/>
    <mergeCell ref="C58:F58"/>
    <mergeCell ref="C56:E56"/>
    <mergeCell ref="AZ45:BC45"/>
    <mergeCell ref="X42:Y45"/>
    <mergeCell ref="C55:E55"/>
    <mergeCell ref="Z42:Z45"/>
    <mergeCell ref="AZ43:BB43"/>
    <mergeCell ref="AZ44:BC44"/>
    <mergeCell ref="U8:X8"/>
    <mergeCell ref="C46:E46"/>
    <mergeCell ref="C52:E52"/>
    <mergeCell ref="C44:E44"/>
    <mergeCell ref="X10:Z10"/>
    <mergeCell ref="C50:E50"/>
    <mergeCell ref="C32:E32"/>
    <mergeCell ref="B4:C4"/>
    <mergeCell ref="C43:E43"/>
    <mergeCell ref="O6:Q6"/>
    <mergeCell ref="O8:Q8"/>
    <mergeCell ref="C20:E20"/>
    <mergeCell ref="C22:E22"/>
    <mergeCell ref="C23:E23"/>
    <mergeCell ref="C19:E19"/>
    <mergeCell ref="C18:E18"/>
    <mergeCell ref="C10:E10"/>
    <mergeCell ref="D16:F16"/>
    <mergeCell ref="B23:B24"/>
    <mergeCell ref="J7:M7"/>
    <mergeCell ref="O7:Q7"/>
    <mergeCell ref="B11:B12"/>
    <mergeCell ref="C39:E39"/>
    <mergeCell ref="C41:E41"/>
    <mergeCell ref="C11:F11"/>
    <mergeCell ref="C13:D13"/>
    <mergeCell ref="D14:F14"/>
    <mergeCell ref="C15:E15"/>
    <mergeCell ref="C34:E34"/>
    <mergeCell ref="C40:E40"/>
    <mergeCell ref="C38:E38"/>
    <mergeCell ref="AU20:AW20"/>
    <mergeCell ref="AN25:AO25"/>
    <mergeCell ref="AN42:AN45"/>
    <mergeCell ref="H6:J6"/>
    <mergeCell ref="AG10:AI10"/>
    <mergeCell ref="U18:U20"/>
    <mergeCell ref="AO42:AO45"/>
    <mergeCell ref="AP42:AP45"/>
    <mergeCell ref="AC22:AC23"/>
    <mergeCell ref="AJ22:AJ23"/>
    <mergeCell ref="AQ22:AQ23"/>
    <mergeCell ref="X20:AF20"/>
    <mergeCell ref="AG20:AM20"/>
    <mergeCell ref="AN20:AT20"/>
    <mergeCell ref="C59:F59"/>
    <mergeCell ref="C53:E53"/>
    <mergeCell ref="C54:E54"/>
    <mergeCell ref="C45:E45"/>
    <mergeCell ref="C42:E42"/>
    <mergeCell ref="U47:U49"/>
    <mergeCell ref="C24:E24"/>
    <mergeCell ref="AI42:AI45"/>
    <mergeCell ref="AB42:AB45"/>
    <mergeCell ref="X26:Y26"/>
    <mergeCell ref="C31:E31"/>
    <mergeCell ref="C29:E29"/>
    <mergeCell ref="C30:E30"/>
    <mergeCell ref="C33:E33"/>
    <mergeCell ref="C37:E37"/>
    <mergeCell ref="X27:Y27"/>
    <mergeCell ref="AG42:AG45"/>
    <mergeCell ref="AH42:AH45"/>
    <mergeCell ref="AA42:AA45"/>
    <mergeCell ref="AG25:AH25"/>
    <mergeCell ref="C27:E27"/>
    <mergeCell ref="C25:E25"/>
    <mergeCell ref="Z25:AA25"/>
    <mergeCell ref="C28:E28"/>
  </mergeCells>
  <conditionalFormatting sqref="G59:R59">
    <cfRule type="cellIs" dxfId="39" priority="1" operator="lessThan">
      <formula>0</formula>
    </cfRule>
  </conditionalFormatting>
  <conditionalFormatting sqref="G116:R116">
    <cfRule type="cellIs" dxfId="38" priority="2" operator="lessThan">
      <formula>0</formula>
    </cfRule>
  </conditionalFormatting>
  <printOptions horizontalCentered="1" verticalCentered="1"/>
  <pageMargins left="0.25" right="0.25" top="0.75" bottom="0.75" header="0.3" footer="0.3"/>
  <pageSetup paperSize="9" scale="71" pageOrder="overThenDown" orientation="landscape" verticalDpi="4" r:id="rId1"/>
  <rowBreaks count="1" manualBreakCount="1">
    <brk id="62" min="1" max="68" man="1"/>
  </rowBreaks>
  <colBreaks count="1" manualBreakCount="1">
    <brk id="19" min="5" max="87"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C96-DF3B-4D5E-A977-40CAADCAFD09}">
  <sheetPr>
    <tabColor theme="1"/>
  </sheetPr>
  <dimension ref="B2:X337"/>
  <sheetViews>
    <sheetView showGridLines="0" showZeros="0" zoomScaleNormal="100" workbookViewId="0">
      <selection activeCell="O20" sqref="O20"/>
    </sheetView>
  </sheetViews>
  <sheetFormatPr defaultRowHeight="12.75" x14ac:dyDescent="0.2"/>
  <cols>
    <col min="2" max="2" width="3.42578125" customWidth="1"/>
    <col min="3" max="3" width="19.7109375" customWidth="1"/>
    <col min="4" max="4" width="7.28515625" customWidth="1"/>
    <col min="5" max="5" width="5.85546875" customWidth="1"/>
    <col min="6" max="6" width="6.42578125" customWidth="1"/>
    <col min="7" max="18" width="7.28515625" customWidth="1"/>
  </cols>
  <sheetData>
    <row r="2" spans="2:18" ht="15" x14ac:dyDescent="0.2">
      <c r="B2" s="1349"/>
      <c r="C2" s="685"/>
      <c r="D2" s="619"/>
      <c r="E2" s="619"/>
      <c r="F2" s="619"/>
      <c r="G2" s="619"/>
      <c r="H2" s="2"/>
      <c r="I2" s="2"/>
      <c r="J2" s="2"/>
      <c r="K2" s="349"/>
      <c r="L2" s="2287" t="s">
        <v>447</v>
      </c>
      <c r="M2" s="2287"/>
      <c r="N2" s="129"/>
      <c r="O2" s="129"/>
      <c r="P2" s="129"/>
      <c r="Q2" s="129"/>
      <c r="R2" s="129"/>
    </row>
    <row r="3" spans="2:18" x14ac:dyDescent="0.2">
      <c r="B3" s="619" t="s">
        <v>446</v>
      </c>
      <c r="C3" s="619"/>
      <c r="D3" s="619"/>
      <c r="E3" s="619"/>
      <c r="F3" s="619"/>
      <c r="G3" s="619"/>
      <c r="H3" s="129"/>
      <c r="I3" s="129"/>
      <c r="J3" s="236"/>
      <c r="K3" s="349"/>
      <c r="L3" s="2510">
        <f>'1. T1 INVESTMENT PLAN'!F4</f>
        <v>0</v>
      </c>
      <c r="M3" s="2510"/>
      <c r="N3" s="129"/>
      <c r="O3" s="129"/>
      <c r="P3" s="129"/>
      <c r="Q3" s="129"/>
      <c r="R3" s="129"/>
    </row>
    <row r="4" spans="2:18" x14ac:dyDescent="0.2">
      <c r="B4" s="619"/>
      <c r="C4" s="619"/>
      <c r="D4" s="619"/>
      <c r="E4" s="619"/>
      <c r="F4" s="619"/>
      <c r="G4" s="619"/>
      <c r="H4" s="129"/>
      <c r="I4" s="129"/>
      <c r="J4" s="236"/>
      <c r="K4" s="349"/>
      <c r="L4" s="1350"/>
      <c r="M4" s="1350"/>
      <c r="N4" s="129"/>
      <c r="O4" s="129"/>
      <c r="P4" s="129"/>
      <c r="Q4" s="129"/>
      <c r="R4" s="129"/>
    </row>
    <row r="5" spans="2:18" x14ac:dyDescent="0.2">
      <c r="B5" s="433"/>
      <c r="C5" s="349"/>
      <c r="D5" s="349"/>
      <c r="E5" s="349"/>
      <c r="F5" s="349"/>
      <c r="G5" s="349"/>
      <c r="H5" s="2511"/>
      <c r="I5" s="2512"/>
      <c r="J5" s="433"/>
      <c r="K5" s="434"/>
      <c r="L5" s="129"/>
      <c r="M5" s="129"/>
      <c r="N5" s="129"/>
      <c r="O5" s="129"/>
      <c r="P5" s="129"/>
      <c r="Q5" s="129"/>
      <c r="R5" s="129"/>
    </row>
    <row r="6" spans="2:18" x14ac:dyDescent="0.2">
      <c r="B6" s="1351" t="s">
        <v>448</v>
      </c>
      <c r="C6" s="1344"/>
      <c r="D6" s="1344"/>
      <c r="E6" s="1344"/>
      <c r="F6" s="1344"/>
      <c r="G6" s="1344"/>
      <c r="H6" s="1344"/>
      <c r="I6" s="1344"/>
      <c r="J6" s="1344"/>
      <c r="K6" s="1344"/>
      <c r="L6" s="2513" t="s">
        <v>449</v>
      </c>
      <c r="M6" s="2513"/>
      <c r="N6" s="2513"/>
      <c r="O6" s="2513"/>
      <c r="P6" s="2513"/>
      <c r="Q6" s="2513"/>
      <c r="R6" s="2513"/>
    </row>
    <row r="7" spans="2:18"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x14ac:dyDescent="0.2">
      <c r="B8" s="1352" t="s">
        <v>810</v>
      </c>
      <c r="C8" s="1347"/>
      <c r="D8" s="1347"/>
      <c r="E8" s="1347"/>
      <c r="F8" s="1347"/>
      <c r="G8" s="1347"/>
      <c r="H8" s="1347"/>
      <c r="I8" s="1345"/>
      <c r="J8" s="1345"/>
      <c r="K8" s="1345"/>
      <c r="L8" s="2513" t="s">
        <v>450</v>
      </c>
      <c r="M8" s="2513"/>
      <c r="N8" s="2513"/>
      <c r="O8" s="2513"/>
      <c r="P8" s="2513"/>
      <c r="Q8" s="2513"/>
      <c r="R8" s="2513"/>
    </row>
    <row r="9" spans="2:18" x14ac:dyDescent="0.2">
      <c r="B9" s="2526">
        <f>'1. T1 INVESTMENT PLAN'!B9</f>
        <v>0</v>
      </c>
      <c r="C9" s="2526"/>
      <c r="D9" s="2526"/>
      <c r="E9" s="2526"/>
      <c r="F9" s="2526"/>
      <c r="G9" s="2526"/>
      <c r="H9" s="2526"/>
      <c r="I9" s="645"/>
      <c r="J9" s="645"/>
      <c r="K9" s="645"/>
      <c r="L9" s="2514">
        <f>'1. T1 INVESTMENT PLAN'!F9</f>
        <v>0</v>
      </c>
      <c r="M9" s="2514"/>
      <c r="N9" s="2514"/>
      <c r="O9" s="2514"/>
      <c r="P9" s="2514"/>
      <c r="Q9" s="2514"/>
      <c r="R9" s="2514"/>
    </row>
    <row r="10" spans="2:18" x14ac:dyDescent="0.2">
      <c r="B10" s="1351" t="s">
        <v>811</v>
      </c>
      <c r="C10" s="1348"/>
      <c r="D10" s="1348"/>
      <c r="E10" s="1348"/>
      <c r="F10" s="1348"/>
      <c r="G10" s="1348"/>
      <c r="H10" s="1348"/>
      <c r="I10" s="1346"/>
      <c r="J10" s="1346"/>
      <c r="K10" s="1346"/>
      <c r="L10" s="2513" t="s">
        <v>451</v>
      </c>
      <c r="M10" s="2513"/>
      <c r="N10" s="2513"/>
      <c r="O10" s="2513"/>
      <c r="P10" s="2513"/>
      <c r="Q10" s="2513"/>
      <c r="R10" s="2513"/>
    </row>
    <row r="11" spans="2:18" x14ac:dyDescent="0.2">
      <c r="B11" s="2515">
        <f>'1. T1 INVESTMENT PLAN'!B11</f>
        <v>0</v>
      </c>
      <c r="C11" s="2515"/>
      <c r="D11" s="2515"/>
      <c r="E11" s="2515"/>
      <c r="F11" s="2515"/>
      <c r="G11" s="2515"/>
      <c r="H11" s="2515"/>
      <c r="I11" s="440"/>
      <c r="J11" s="440"/>
      <c r="K11" s="440"/>
      <c r="L11" s="2514">
        <f>'1. T1 INVESTMENT PLAN'!F11</f>
        <v>0</v>
      </c>
      <c r="M11" s="2514"/>
      <c r="N11" s="2514"/>
      <c r="O11" s="2514"/>
      <c r="P11" s="2514"/>
      <c r="Q11" s="2514"/>
      <c r="R11" s="2514"/>
    </row>
    <row r="12" spans="2:18" x14ac:dyDescent="0.2">
      <c r="B12" s="2515">
        <f>'1. T1 INVESTMENT PLAN'!B12</f>
        <v>0</v>
      </c>
      <c r="C12" s="2515"/>
      <c r="D12" s="2515"/>
      <c r="E12" s="2515"/>
      <c r="F12" s="2515"/>
      <c r="G12" s="2515"/>
      <c r="H12" s="2515"/>
      <c r="I12" s="440"/>
      <c r="J12" s="440"/>
      <c r="K12" s="440"/>
      <c r="L12" s="2513" t="s">
        <v>812</v>
      </c>
      <c r="M12" s="2513"/>
      <c r="N12" s="2513"/>
      <c r="O12" s="2513"/>
      <c r="P12" s="2513"/>
      <c r="Q12" s="2513"/>
      <c r="R12" s="2513"/>
    </row>
    <row r="13" spans="2:18" x14ac:dyDescent="0.2">
      <c r="B13" s="2515">
        <f>'1. T1 INVESTMENT PLAN'!B13</f>
        <v>0</v>
      </c>
      <c r="C13" s="2515"/>
      <c r="D13" s="2515"/>
      <c r="E13" s="2515"/>
      <c r="F13" s="2515"/>
      <c r="G13" s="2515"/>
      <c r="H13" s="2515"/>
      <c r="I13" s="440"/>
      <c r="J13" s="440"/>
      <c r="K13" s="440"/>
      <c r="L13" s="2514">
        <f>'1. T1 INVESTMENT PLAN'!F13</f>
        <v>0</v>
      </c>
      <c r="M13" s="2514"/>
      <c r="N13" s="2514"/>
      <c r="O13" s="2514"/>
      <c r="P13" s="2514"/>
      <c r="Q13" s="2514"/>
      <c r="R13" s="2514"/>
    </row>
    <row r="14" spans="2:18" x14ac:dyDescent="0.2">
      <c r="B14" s="433"/>
      <c r="C14" s="349"/>
      <c r="D14" s="349"/>
      <c r="E14" s="349"/>
      <c r="F14" s="349"/>
      <c r="G14" s="349"/>
      <c r="H14" s="349"/>
      <c r="I14" s="349"/>
      <c r="J14" s="349"/>
      <c r="K14" s="349"/>
      <c r="L14" s="129"/>
      <c r="M14" s="129"/>
      <c r="N14" s="129"/>
      <c r="O14" s="129"/>
      <c r="P14" s="129"/>
      <c r="Q14" s="129"/>
      <c r="R14" s="129"/>
    </row>
    <row r="15" spans="2:18" x14ac:dyDescent="0.2">
      <c r="B15" s="2516" t="s">
        <v>815</v>
      </c>
      <c r="C15" s="2517"/>
      <c r="D15" s="2517"/>
      <c r="E15" s="2517"/>
      <c r="F15" s="2517"/>
      <c r="G15" s="1870" t="s">
        <v>361</v>
      </c>
      <c r="H15" s="1870" t="s">
        <v>361</v>
      </c>
      <c r="I15" s="1870" t="s">
        <v>361</v>
      </c>
      <c r="J15" s="1870" t="s">
        <v>361</v>
      </c>
      <c r="K15" s="2520" t="s">
        <v>369</v>
      </c>
      <c r="L15" s="2522" t="s">
        <v>368</v>
      </c>
      <c r="M15" s="2522"/>
      <c r="N15" s="2522"/>
      <c r="O15" s="2522"/>
      <c r="P15" s="2522"/>
      <c r="Q15" s="2522"/>
      <c r="R15" s="2523"/>
    </row>
    <row r="16" spans="2:18" x14ac:dyDescent="0.2">
      <c r="B16" s="2518"/>
      <c r="C16" s="2519"/>
      <c r="D16" s="2519"/>
      <c r="E16" s="2519"/>
      <c r="F16" s="2519"/>
      <c r="G16" s="1871">
        <f>'1. T1 INVESTMENT PLAN'!E16</f>
        <v>2027</v>
      </c>
      <c r="H16" s="1871">
        <f>'1. T1 INVESTMENT PLAN'!F16</f>
        <v>2028</v>
      </c>
      <c r="I16" s="1871">
        <f>'1. T1 INVESTMENT PLAN'!G16</f>
        <v>2029</v>
      </c>
      <c r="J16" s="1871">
        <f>'1. T1 INVESTMENT PLAN'!H16</f>
        <v>2030</v>
      </c>
      <c r="K16" s="2521"/>
      <c r="L16" s="2524"/>
      <c r="M16" s="2524"/>
      <c r="N16" s="2524"/>
      <c r="O16" s="2524"/>
      <c r="P16" s="2524"/>
      <c r="Q16" s="2524"/>
      <c r="R16" s="2525"/>
    </row>
    <row r="17" spans="2:18" x14ac:dyDescent="0.2">
      <c r="B17" s="1847" t="s">
        <v>2</v>
      </c>
      <c r="C17" s="2531" t="s">
        <v>907</v>
      </c>
      <c r="D17" s="2532"/>
      <c r="E17" s="2532"/>
      <c r="F17" s="2532"/>
      <c r="G17" s="1868">
        <f>'1. T1 INVESTMENT PLAN'!E17/1000</f>
        <v>0</v>
      </c>
      <c r="H17" s="1868">
        <f>'1. T1 INVESTMENT PLAN'!F17/1000</f>
        <v>0</v>
      </c>
      <c r="I17" s="1868">
        <f>'1. T1 INVESTMENT PLAN'!G17/1000</f>
        <v>0</v>
      </c>
      <c r="J17" s="1868">
        <f>'1. T1 INVESTMENT PLAN'!H17/1000</f>
        <v>0</v>
      </c>
      <c r="K17" s="1868">
        <f>'1. T1 INVESTMENT PLAN'!I17/1000</f>
        <v>0</v>
      </c>
      <c r="L17" s="1266"/>
      <c r="M17" s="1266"/>
      <c r="N17" s="1266"/>
      <c r="O17" s="1266"/>
      <c r="P17" s="1266"/>
      <c r="Q17" s="1266"/>
      <c r="R17" s="1848"/>
    </row>
    <row r="18" spans="2:18" x14ac:dyDescent="0.2">
      <c r="B18" s="1847"/>
      <c r="C18" s="2529" t="s">
        <v>896</v>
      </c>
      <c r="D18" s="2530"/>
      <c r="E18" s="2530"/>
      <c r="F18" s="2530"/>
      <c r="G18" s="1859">
        <f>'1. T1 INVESTMENT PLAN'!E19</f>
        <v>0</v>
      </c>
      <c r="H18" s="1859">
        <f>'1. T1 INVESTMENT PLAN'!F19</f>
        <v>0</v>
      </c>
      <c r="I18" s="1859">
        <f>'1. T1 INVESTMENT PLAN'!G19</f>
        <v>0</v>
      </c>
      <c r="J18" s="1859">
        <f>'1. T1 INVESTMENT PLAN'!H19</f>
        <v>0</v>
      </c>
      <c r="K18" s="1860"/>
      <c r="L18" s="1266"/>
      <c r="M18" s="1266"/>
      <c r="N18" s="1266"/>
      <c r="O18" s="1266"/>
      <c r="P18" s="1266"/>
      <c r="Q18" s="1266"/>
      <c r="R18" s="1848"/>
    </row>
    <row r="19" spans="2:18" x14ac:dyDescent="0.2">
      <c r="B19" s="1847" t="s">
        <v>3</v>
      </c>
      <c r="C19" s="2527" t="s">
        <v>359</v>
      </c>
      <c r="D19" s="2528"/>
      <c r="E19" s="2528"/>
      <c r="F19" s="2528"/>
      <c r="G19" s="1858">
        <f>'1. T1 INVESTMENT PLAN'!E20/1000</f>
        <v>0</v>
      </c>
      <c r="H19" s="1858">
        <f>'1. T1 INVESTMENT PLAN'!F20/1000</f>
        <v>0</v>
      </c>
      <c r="I19" s="1858">
        <f>'1. T1 INVESTMENT PLAN'!G20/1000</f>
        <v>0</v>
      </c>
      <c r="J19" s="1858">
        <f>'1. T1 INVESTMENT PLAN'!H20/1000</f>
        <v>0</v>
      </c>
      <c r="K19" s="1858">
        <f>'1. T1 INVESTMENT PLAN'!I20/1000</f>
        <v>0</v>
      </c>
      <c r="L19" s="1266">
        <f>'1. T1 INVESTMENT PLAN'!K20</f>
        <v>0</v>
      </c>
      <c r="M19" s="1266"/>
      <c r="N19" s="1266"/>
      <c r="O19" s="1266"/>
      <c r="P19" s="1266"/>
      <c r="Q19" s="1266"/>
      <c r="R19" s="1848"/>
    </row>
    <row r="20" spans="2:18" x14ac:dyDescent="0.2">
      <c r="B20" s="1847"/>
      <c r="C20" s="2529" t="str">
        <f>PRINT!C18</f>
        <v>• grant percentage</v>
      </c>
      <c r="D20" s="2530"/>
      <c r="E20" s="2530"/>
      <c r="F20" s="2530"/>
      <c r="G20" s="1859">
        <f>'1. T1 INVESTMENT PLAN'!E23</f>
        <v>0</v>
      </c>
      <c r="H20" s="1859">
        <f>'1. T1 INVESTMENT PLAN'!F23</f>
        <v>0</v>
      </c>
      <c r="I20" s="1859">
        <f>'1. T1 INVESTMENT PLAN'!G23</f>
        <v>0</v>
      </c>
      <c r="J20" s="1859">
        <f>'1. T1 INVESTMENT PLAN'!H23</f>
        <v>0</v>
      </c>
      <c r="K20" s="1860"/>
      <c r="L20" s="1266"/>
      <c r="M20" s="1266"/>
      <c r="N20" s="1266"/>
      <c r="O20" s="1266"/>
      <c r="P20" s="1266"/>
      <c r="Q20" s="1266"/>
      <c r="R20" s="1848"/>
    </row>
    <row r="21" spans="2:18" x14ac:dyDescent="0.2">
      <c r="B21" s="1847" t="s">
        <v>4</v>
      </c>
      <c r="C21" s="2527" t="s">
        <v>906</v>
      </c>
      <c r="D21" s="2528"/>
      <c r="E21" s="2528"/>
      <c r="F21" s="2528"/>
      <c r="G21" s="1858">
        <f>'1. T1 INVESTMENT PLAN'!E24/1000</f>
        <v>0</v>
      </c>
      <c r="H21" s="1858">
        <f>'1. T1 INVESTMENT PLAN'!F24/1000</f>
        <v>0</v>
      </c>
      <c r="I21" s="1858">
        <f>'1. T1 INVESTMENT PLAN'!G24/1000</f>
        <v>0</v>
      </c>
      <c r="J21" s="1858">
        <f>'1. T1 INVESTMENT PLAN'!H24/1000</f>
        <v>0</v>
      </c>
      <c r="K21" s="1858">
        <f>'1. T1 INVESTMENT PLAN'!I24/1000</f>
        <v>0</v>
      </c>
      <c r="L21" s="1266">
        <f>'1. T1 INVESTMENT PLAN'!K24</f>
        <v>0</v>
      </c>
      <c r="M21" s="1266"/>
      <c r="N21" s="1266"/>
      <c r="O21" s="1266"/>
      <c r="P21" s="1266"/>
      <c r="Q21" s="1266"/>
      <c r="R21" s="1848"/>
    </row>
    <row r="22" spans="2:18" x14ac:dyDescent="0.2">
      <c r="B22" s="1847"/>
      <c r="C22" s="2529" t="str">
        <f>C20</f>
        <v>• grant percentage</v>
      </c>
      <c r="D22" s="2530"/>
      <c r="E22" s="2530"/>
      <c r="F22" s="2530"/>
      <c r="G22" s="1859">
        <f>'1. T1 INVESTMENT PLAN'!E26</f>
        <v>0</v>
      </c>
      <c r="H22" s="1859">
        <f>'1. T1 INVESTMENT PLAN'!F26</f>
        <v>0</v>
      </c>
      <c r="I22" s="1859">
        <f>'1. T1 INVESTMENT PLAN'!G26</f>
        <v>0</v>
      </c>
      <c r="J22" s="1859">
        <f>'1. T1 INVESTMENT PLAN'!H26</f>
        <v>0</v>
      </c>
      <c r="K22" s="1860"/>
      <c r="L22" s="1266"/>
      <c r="M22" s="1266"/>
      <c r="N22" s="1266"/>
      <c r="O22" s="1266"/>
      <c r="P22" s="1266"/>
      <c r="Q22" s="1266"/>
      <c r="R22" s="1848"/>
    </row>
    <row r="23" spans="2:18" x14ac:dyDescent="0.2">
      <c r="B23" s="1847" t="s">
        <v>5</v>
      </c>
      <c r="C23" s="2527" t="s">
        <v>905</v>
      </c>
      <c r="D23" s="2528"/>
      <c r="E23" s="2528"/>
      <c r="F23" s="2528"/>
      <c r="G23" s="1858">
        <f>'1. T1 INVESTMENT PLAN'!E27/1000</f>
        <v>0</v>
      </c>
      <c r="H23" s="1858">
        <f>'1. T1 INVESTMENT PLAN'!F27/1000</f>
        <v>0</v>
      </c>
      <c r="I23" s="1858">
        <f>'1. T1 INVESTMENT PLAN'!G27/1000</f>
        <v>0</v>
      </c>
      <c r="J23" s="1858">
        <f>'1. T1 INVESTMENT PLAN'!H27/1000</f>
        <v>0</v>
      </c>
      <c r="K23" s="1858">
        <f>'1. T1 INVESTMENT PLAN'!I27/1000</f>
        <v>0</v>
      </c>
      <c r="L23" s="1266">
        <f>'1. T1 INVESTMENT PLAN'!K27</f>
        <v>0</v>
      </c>
      <c r="M23" s="1266"/>
      <c r="N23" s="1266"/>
      <c r="O23" s="1266"/>
      <c r="P23" s="1266"/>
      <c r="Q23" s="1266"/>
      <c r="R23" s="1848"/>
    </row>
    <row r="24" spans="2:18" x14ac:dyDescent="0.2">
      <c r="B24" s="1847"/>
      <c r="C24" s="2529" t="str">
        <f>C22</f>
        <v>• grant percentage</v>
      </c>
      <c r="D24" s="2530"/>
      <c r="E24" s="2530"/>
      <c r="F24" s="2530"/>
      <c r="G24" s="1859">
        <f>'1. T1 INVESTMENT PLAN'!E29</f>
        <v>0</v>
      </c>
      <c r="H24" s="1859">
        <f>'1. T1 INVESTMENT PLAN'!F29</f>
        <v>0</v>
      </c>
      <c r="I24" s="1859">
        <f>'1. T1 INVESTMENT PLAN'!G29</f>
        <v>0</v>
      </c>
      <c r="J24" s="1859">
        <f>'1. T1 INVESTMENT PLAN'!H29</f>
        <v>0</v>
      </c>
      <c r="K24" s="1860"/>
      <c r="L24" s="1266"/>
      <c r="M24" s="1266"/>
      <c r="N24" s="1266"/>
      <c r="O24" s="1266"/>
      <c r="P24" s="1266"/>
      <c r="Q24" s="1266"/>
      <c r="R24" s="1848"/>
    </row>
    <row r="25" spans="2:18" x14ac:dyDescent="0.2">
      <c r="B25" s="1847" t="s">
        <v>6</v>
      </c>
      <c r="C25" s="2527" t="s">
        <v>904</v>
      </c>
      <c r="D25" s="2528"/>
      <c r="E25" s="2528"/>
      <c r="F25" s="2528"/>
      <c r="G25" s="1858">
        <f>'1. T1 INVESTMENT PLAN'!E30/1000</f>
        <v>0</v>
      </c>
      <c r="H25" s="1858">
        <f>'1. T1 INVESTMENT PLAN'!F30/1000</f>
        <v>0</v>
      </c>
      <c r="I25" s="1858">
        <f>'1. T1 INVESTMENT PLAN'!G30/1000</f>
        <v>0</v>
      </c>
      <c r="J25" s="1858">
        <f>'1. T1 INVESTMENT PLAN'!H30/1000</f>
        <v>0</v>
      </c>
      <c r="K25" s="1858">
        <f>'1. T1 INVESTMENT PLAN'!I30/1000</f>
        <v>0</v>
      </c>
      <c r="L25" s="1266">
        <f>'1. T1 INVESTMENT PLAN'!K30</f>
        <v>0</v>
      </c>
      <c r="M25" s="1266"/>
      <c r="N25" s="1266"/>
      <c r="O25" s="1266"/>
      <c r="P25" s="1266"/>
      <c r="Q25" s="1266"/>
      <c r="R25" s="1848"/>
    </row>
    <row r="26" spans="2:18" x14ac:dyDescent="0.2">
      <c r="B26" s="1847"/>
      <c r="C26" s="2534" t="str">
        <f>C24</f>
        <v>• grant percentage</v>
      </c>
      <c r="D26" s="2534"/>
      <c r="E26" s="2534"/>
      <c r="F26" s="2529"/>
      <c r="G26" s="1859">
        <f>'1. T1 INVESTMENT PLAN'!E31</f>
        <v>0</v>
      </c>
      <c r="H26" s="1859">
        <f>'1. T1 INVESTMENT PLAN'!F31</f>
        <v>0</v>
      </c>
      <c r="I26" s="1859">
        <f>'1. T1 INVESTMENT PLAN'!G31</f>
        <v>0</v>
      </c>
      <c r="J26" s="1859">
        <f>'1. T1 INVESTMENT PLAN'!H31</f>
        <v>0</v>
      </c>
      <c r="K26" s="1861"/>
      <c r="L26" s="1266"/>
      <c r="M26" s="1266"/>
      <c r="N26" s="1266"/>
      <c r="O26" s="1266"/>
      <c r="P26" s="1266"/>
      <c r="Q26" s="1266"/>
      <c r="R26" s="1848"/>
    </row>
    <row r="27" spans="2:18" x14ac:dyDescent="0.2">
      <c r="B27" s="1847" t="s">
        <v>7</v>
      </c>
      <c r="C27" s="2527" t="s">
        <v>903</v>
      </c>
      <c r="D27" s="2528"/>
      <c r="E27" s="2528"/>
      <c r="F27" s="2528"/>
      <c r="G27" s="1858">
        <f>'1. T1 INVESTMENT PLAN'!E32/1000</f>
        <v>0</v>
      </c>
      <c r="H27" s="1858">
        <f>'1. T1 INVESTMENT PLAN'!F32/1000</f>
        <v>0</v>
      </c>
      <c r="I27" s="1858">
        <f>'1. T1 INVESTMENT PLAN'!G32/1000</f>
        <v>0</v>
      </c>
      <c r="J27" s="1858">
        <f>'1. T1 INVESTMENT PLAN'!H32/1000</f>
        <v>0</v>
      </c>
      <c r="K27" s="1858">
        <f>'1. T1 INVESTMENT PLAN'!I32/1000</f>
        <v>0</v>
      </c>
      <c r="L27" s="1266">
        <f>'1. T1 INVESTMENT PLAN'!K32</f>
        <v>0</v>
      </c>
      <c r="M27" s="1266"/>
      <c r="N27" s="1266"/>
      <c r="O27" s="1266"/>
      <c r="P27" s="1266"/>
      <c r="Q27" s="1266"/>
      <c r="R27" s="1848"/>
    </row>
    <row r="28" spans="2:18" x14ac:dyDescent="0.2">
      <c r="B28" s="1847"/>
      <c r="C28" s="2529" t="str">
        <f>C18</f>
        <v>• grant percentage</v>
      </c>
      <c r="D28" s="2530"/>
      <c r="E28" s="2530"/>
      <c r="F28" s="2530"/>
      <c r="G28" s="1859">
        <f>'1. T1 INVESTMENT PLAN'!E34</f>
        <v>0</v>
      </c>
      <c r="H28" s="1859">
        <f>'1. T1 INVESTMENT PLAN'!F34</f>
        <v>0</v>
      </c>
      <c r="I28" s="1859">
        <f>'1. T1 INVESTMENT PLAN'!G34</f>
        <v>0</v>
      </c>
      <c r="J28" s="1859">
        <f>'1. T1 INVESTMENT PLAN'!H34</f>
        <v>0</v>
      </c>
      <c r="K28" s="1860"/>
      <c r="L28" s="1266"/>
      <c r="M28" s="1266"/>
      <c r="N28" s="1266"/>
      <c r="O28" s="1266"/>
      <c r="P28" s="1266"/>
      <c r="Q28" s="1266"/>
      <c r="R28" s="1848"/>
    </row>
    <row r="29" spans="2:18" x14ac:dyDescent="0.2">
      <c r="B29" s="1847" t="s">
        <v>8</v>
      </c>
      <c r="C29" s="2527" t="s">
        <v>360</v>
      </c>
      <c r="D29" s="2528"/>
      <c r="E29" s="2528"/>
      <c r="F29" s="2528"/>
      <c r="G29" s="1858">
        <f>'1. T1 INVESTMENT PLAN'!E35/1000</f>
        <v>0</v>
      </c>
      <c r="H29" s="1858">
        <f>'1. T1 INVESTMENT PLAN'!F35/1000</f>
        <v>0</v>
      </c>
      <c r="I29" s="1858">
        <f>'1. T1 INVESTMENT PLAN'!G35/1000</f>
        <v>0</v>
      </c>
      <c r="J29" s="1858">
        <f>'1. T1 INVESTMENT PLAN'!H35/1000</f>
        <v>0</v>
      </c>
      <c r="K29" s="1858">
        <f>'1. T1 INVESTMENT PLAN'!I35/1000</f>
        <v>0</v>
      </c>
      <c r="L29" s="1266">
        <f>'1. T1 INVESTMENT PLAN'!K35</f>
        <v>0</v>
      </c>
      <c r="M29" s="1266"/>
      <c r="N29" s="1266"/>
      <c r="O29" s="1266"/>
      <c r="P29" s="1266"/>
      <c r="Q29" s="1266"/>
      <c r="R29" s="1848"/>
    </row>
    <row r="30" spans="2:18" x14ac:dyDescent="0.2">
      <c r="B30" s="1847"/>
      <c r="C30" s="2529" t="str">
        <f>C18</f>
        <v>• grant percentage</v>
      </c>
      <c r="D30" s="2530"/>
      <c r="E30" s="2530"/>
      <c r="F30" s="2530"/>
      <c r="G30" s="1859">
        <f>'1. T1 INVESTMENT PLAN'!E37</f>
        <v>0</v>
      </c>
      <c r="H30" s="1859">
        <f>'1. T1 INVESTMENT PLAN'!F37</f>
        <v>0</v>
      </c>
      <c r="I30" s="1859">
        <f>'1. T1 INVESTMENT PLAN'!G37</f>
        <v>0</v>
      </c>
      <c r="J30" s="1859">
        <f>'1. T1 INVESTMENT PLAN'!H37</f>
        <v>0</v>
      </c>
      <c r="K30" s="1860"/>
      <c r="L30" s="1266"/>
      <c r="M30" s="1266"/>
      <c r="N30" s="1266"/>
      <c r="O30" s="1266"/>
      <c r="P30" s="1266"/>
      <c r="Q30" s="1266"/>
      <c r="R30" s="1848"/>
    </row>
    <row r="31" spans="2:18" x14ac:dyDescent="0.2">
      <c r="B31" s="1847" t="s">
        <v>9</v>
      </c>
      <c r="C31" s="2527" t="s">
        <v>386</v>
      </c>
      <c r="D31" s="2528"/>
      <c r="E31" s="2528"/>
      <c r="F31" s="2528"/>
      <c r="G31" s="1858">
        <f>'1. T1 INVESTMENT PLAN'!E38/1000</f>
        <v>0</v>
      </c>
      <c r="H31" s="1858">
        <f>'1. T1 INVESTMENT PLAN'!F38/1000</f>
        <v>0</v>
      </c>
      <c r="I31" s="1858">
        <f>'1. T1 INVESTMENT PLAN'!G38/1000</f>
        <v>0</v>
      </c>
      <c r="J31" s="1858">
        <f>'1. T1 INVESTMENT PLAN'!H38/1000</f>
        <v>0</v>
      </c>
      <c r="K31" s="1858">
        <f>'1. T1 INVESTMENT PLAN'!I38/1000</f>
        <v>0</v>
      </c>
      <c r="L31" s="1266">
        <f>'1. T1 INVESTMENT PLAN'!K38</f>
        <v>0</v>
      </c>
      <c r="M31" s="1266"/>
      <c r="N31" s="1266"/>
      <c r="O31" s="1266"/>
      <c r="P31" s="1266"/>
      <c r="Q31" s="1266"/>
      <c r="R31" s="1848"/>
    </row>
    <row r="32" spans="2:18" x14ac:dyDescent="0.2">
      <c r="B32" s="1847" t="s">
        <v>10</v>
      </c>
      <c r="C32" s="2545" t="s">
        <v>902</v>
      </c>
      <c r="D32" s="2528"/>
      <c r="E32" s="2528"/>
      <c r="F32" s="2528"/>
      <c r="G32" s="1858">
        <f>'1. T1 INVESTMENT PLAN'!E39/1000</f>
        <v>0</v>
      </c>
      <c r="H32" s="1858">
        <f>'1. T1 INVESTMENT PLAN'!F39/1000</f>
        <v>0</v>
      </c>
      <c r="I32" s="1858">
        <f>'1. T1 INVESTMENT PLAN'!G39/1000</f>
        <v>0</v>
      </c>
      <c r="J32" s="1858">
        <f>'1. T1 INVESTMENT PLAN'!H39/1000</f>
        <v>0</v>
      </c>
      <c r="K32" s="1858">
        <f>'1. T1 INVESTMENT PLAN'!I39/1000</f>
        <v>0</v>
      </c>
      <c r="L32" s="1266">
        <f>'1. T1 INVESTMENT PLAN'!K40</f>
        <v>0</v>
      </c>
      <c r="M32" s="1266"/>
      <c r="N32" s="1266"/>
      <c r="O32" s="1266"/>
      <c r="P32" s="1266"/>
      <c r="Q32" s="1266"/>
      <c r="R32" s="1848"/>
    </row>
    <row r="33" spans="2:18" x14ac:dyDescent="0.2">
      <c r="B33" s="1847" t="s">
        <v>11</v>
      </c>
      <c r="C33" s="2527" t="s">
        <v>477</v>
      </c>
      <c r="D33" s="2528"/>
      <c r="E33" s="2528"/>
      <c r="F33" s="2528"/>
      <c r="G33" s="1858">
        <f>'1. T1 INVESTMENT PLAN'!E40/1000</f>
        <v>0</v>
      </c>
      <c r="H33" s="1861"/>
      <c r="I33" s="1861"/>
      <c r="J33" s="1861"/>
      <c r="K33" s="1858">
        <f>'1. T1 INVESTMENT PLAN'!I41/1000</f>
        <v>0</v>
      </c>
      <c r="L33" s="1266"/>
      <c r="M33" s="1266"/>
      <c r="N33" s="1266"/>
      <c r="O33" s="1266"/>
      <c r="P33" s="1266"/>
      <c r="Q33" s="1266"/>
      <c r="R33" s="1848"/>
    </row>
    <row r="34" spans="2:18" ht="18" customHeight="1" x14ac:dyDescent="0.2">
      <c r="B34" s="1849" t="s">
        <v>74</v>
      </c>
      <c r="C34" s="2546" t="s">
        <v>814</v>
      </c>
      <c r="D34" s="2547"/>
      <c r="E34" s="2547"/>
      <c r="F34" s="2547"/>
      <c r="G34" s="1862">
        <f>'1. T1 INVESTMENT PLAN'!E42/1000</f>
        <v>0</v>
      </c>
      <c r="H34" s="1862">
        <f>'1. T1 INVESTMENT PLAN'!F42/1000</f>
        <v>0</v>
      </c>
      <c r="I34" s="1862">
        <f>'1. T1 INVESTMENT PLAN'!G42/1000</f>
        <v>0</v>
      </c>
      <c r="J34" s="1862">
        <f>'1. T1 INVESTMENT PLAN'!H42/1000</f>
        <v>0</v>
      </c>
      <c r="K34" s="1862">
        <f>'1. T1 INVESTMENT PLAN'!I42/1000</f>
        <v>0</v>
      </c>
      <c r="L34" s="1850">
        <f>'1. T1 INVESTMENT PLAN'!K42</f>
        <v>0</v>
      </c>
      <c r="M34" s="1850"/>
      <c r="N34" s="1850"/>
      <c r="O34" s="1850"/>
      <c r="P34" s="1850"/>
      <c r="Q34" s="1850"/>
      <c r="R34" s="1851"/>
    </row>
    <row r="35" spans="2:18" x14ac:dyDescent="0.2">
      <c r="B35" s="2548" t="s">
        <v>362</v>
      </c>
      <c r="C35" s="2549"/>
      <c r="D35" s="2549"/>
      <c r="E35" s="2549"/>
      <c r="F35" s="2549"/>
      <c r="G35" s="1863" t="s">
        <v>361</v>
      </c>
      <c r="H35" s="1863" t="s">
        <v>361</v>
      </c>
      <c r="I35" s="1863" t="s">
        <v>361</v>
      </c>
      <c r="J35" s="1863" t="s">
        <v>361</v>
      </c>
      <c r="K35" s="2533" t="s">
        <v>369</v>
      </c>
      <c r="L35" s="2535" t="s">
        <v>368</v>
      </c>
      <c r="M35" s="2535"/>
      <c r="N35" s="2535"/>
      <c r="O35" s="2535"/>
      <c r="P35" s="2535"/>
      <c r="Q35" s="2535"/>
      <c r="R35" s="2536"/>
    </row>
    <row r="36" spans="2:18" x14ac:dyDescent="0.2">
      <c r="B36" s="2550"/>
      <c r="C36" s="2551"/>
      <c r="D36" s="2551"/>
      <c r="E36" s="2551"/>
      <c r="F36" s="2551"/>
      <c r="G36" s="1863">
        <f>G16</f>
        <v>2027</v>
      </c>
      <c r="H36" s="1863">
        <f>H16</f>
        <v>2028</v>
      </c>
      <c r="I36" s="1863">
        <f>I16</f>
        <v>2029</v>
      </c>
      <c r="J36" s="1864">
        <f>J16</f>
        <v>2030</v>
      </c>
      <c r="K36" s="2533"/>
      <c r="L36" s="2537"/>
      <c r="M36" s="2537"/>
      <c r="N36" s="2537"/>
      <c r="O36" s="2537"/>
      <c r="P36" s="2537"/>
      <c r="Q36" s="2537"/>
      <c r="R36" s="2538"/>
    </row>
    <row r="37" spans="2:18" x14ac:dyDescent="0.2">
      <c r="B37" s="2539" t="s">
        <v>363</v>
      </c>
      <c r="C37" s="2540"/>
      <c r="D37" s="645"/>
      <c r="E37" s="645"/>
      <c r="F37" s="645"/>
      <c r="G37" s="1865"/>
      <c r="H37" s="1865"/>
      <c r="I37" s="1865"/>
      <c r="J37" s="1865"/>
      <c r="K37" s="1858" t="s">
        <v>0</v>
      </c>
      <c r="L37" s="1267"/>
      <c r="M37" s="1267"/>
      <c r="N37" s="1267"/>
      <c r="O37" s="1267"/>
      <c r="P37" s="1267"/>
      <c r="Q37" s="1267"/>
      <c r="R37" s="1852"/>
    </row>
    <row r="38" spans="2:18" x14ac:dyDescent="0.2">
      <c r="B38" s="1847" t="s">
        <v>75</v>
      </c>
      <c r="C38" s="1949" t="s">
        <v>897</v>
      </c>
      <c r="D38" s="1949"/>
      <c r="E38" s="1949"/>
      <c r="F38" s="1950"/>
      <c r="G38" s="1866"/>
      <c r="H38" s="1866"/>
      <c r="I38" s="1866"/>
      <c r="J38" s="1866"/>
      <c r="K38" s="1866"/>
      <c r="L38" s="1267"/>
      <c r="M38" s="1267"/>
      <c r="N38" s="1267"/>
      <c r="O38" s="1267"/>
      <c r="P38" s="1267"/>
      <c r="Q38" s="1267"/>
      <c r="R38" s="1852"/>
    </row>
    <row r="39" spans="2:18" x14ac:dyDescent="0.2">
      <c r="B39" s="1847"/>
      <c r="C39" s="1951" t="s">
        <v>898</v>
      </c>
      <c r="D39" s="1951"/>
      <c r="E39" s="1951"/>
      <c r="F39" s="1952"/>
      <c r="G39" s="1866">
        <f>'1. T1 INVESTMENT PLAN'!E48/1000</f>
        <v>0</v>
      </c>
      <c r="H39" s="1866">
        <f>'1. T1 INVESTMENT PLAN'!F48/1000</f>
        <v>0</v>
      </c>
      <c r="I39" s="1866">
        <f>'1. T1 INVESTMENT PLAN'!G48/1000</f>
        <v>0</v>
      </c>
      <c r="J39" s="1866">
        <f>'1. T1 INVESTMENT PLAN'!H48/1000</f>
        <v>0</v>
      </c>
      <c r="K39" s="1866">
        <f>'1. T1 INVESTMENT PLAN'!I48/1000</f>
        <v>0</v>
      </c>
      <c r="L39" s="1267"/>
      <c r="M39" s="1267"/>
      <c r="N39" s="1267"/>
      <c r="O39" s="1267"/>
      <c r="P39" s="1267"/>
      <c r="Q39" s="1267"/>
      <c r="R39" s="1852"/>
    </row>
    <row r="40" spans="2:18" x14ac:dyDescent="0.2">
      <c r="B40" s="1847"/>
      <c r="C40" s="1951" t="s">
        <v>899</v>
      </c>
      <c r="D40" s="1951"/>
      <c r="E40" s="1951"/>
      <c r="F40" s="1952"/>
      <c r="G40" s="1866">
        <f>'1. T1 INVESTMENT PLAN'!E49/1000</f>
        <v>0</v>
      </c>
      <c r="H40" s="1866">
        <f>'1. T1 INVESTMENT PLAN'!F49/1000</f>
        <v>0</v>
      </c>
      <c r="I40" s="1866">
        <f>'1. T1 INVESTMENT PLAN'!G49/1000</f>
        <v>0</v>
      </c>
      <c r="J40" s="1866">
        <f>'1. T1 INVESTMENT PLAN'!H49/1000</f>
        <v>0</v>
      </c>
      <c r="K40" s="1866">
        <f>'1. T1 INVESTMENT PLAN'!I49/1000</f>
        <v>0</v>
      </c>
      <c r="L40" s="1267"/>
      <c r="M40" s="1267"/>
      <c r="N40" s="1267"/>
      <c r="O40" s="1267"/>
      <c r="P40" s="1267"/>
      <c r="Q40" s="1267"/>
      <c r="R40" s="1852"/>
    </row>
    <row r="41" spans="2:18" x14ac:dyDescent="0.2">
      <c r="B41" s="1847" t="s">
        <v>236</v>
      </c>
      <c r="C41" s="1900" t="s">
        <v>900</v>
      </c>
      <c r="D41" s="1900"/>
      <c r="E41" s="1900"/>
      <c r="F41" s="1901"/>
      <c r="G41" s="1866">
        <f>'1. T1 INVESTMENT PLAN'!E50/1000</f>
        <v>0</v>
      </c>
      <c r="H41" s="1866">
        <f>'1. T1 INVESTMENT PLAN'!F50/1000</f>
        <v>0</v>
      </c>
      <c r="I41" s="1866">
        <f>'1. T1 INVESTMENT PLAN'!G50/1000</f>
        <v>0</v>
      </c>
      <c r="J41" s="1866">
        <f>'1. T1 INVESTMENT PLAN'!H50/1000</f>
        <v>0</v>
      </c>
      <c r="K41" s="1866">
        <f>'1. T1 INVESTMENT PLAN'!I50/1000</f>
        <v>0</v>
      </c>
      <c r="L41" s="1267"/>
      <c r="M41" s="1267"/>
      <c r="N41" s="1267"/>
      <c r="O41" s="1267"/>
      <c r="P41" s="1267"/>
      <c r="Q41" s="1267"/>
      <c r="R41" s="1852"/>
    </row>
    <row r="42" spans="2:18" x14ac:dyDescent="0.2">
      <c r="B42" s="1847" t="s">
        <v>76</v>
      </c>
      <c r="C42" s="1900" t="s">
        <v>868</v>
      </c>
      <c r="D42" s="1900"/>
      <c r="E42" s="1900"/>
      <c r="F42" s="1901"/>
      <c r="G42" s="1866">
        <f>'1. T1 INVESTMENT PLAN'!E51/1000</f>
        <v>0</v>
      </c>
      <c r="H42" s="1866">
        <f>'1. T1 INVESTMENT PLAN'!F51/1000</f>
        <v>0</v>
      </c>
      <c r="I42" s="1866">
        <f>'1. T1 INVESTMENT PLAN'!G51/1000</f>
        <v>0</v>
      </c>
      <c r="J42" s="1866">
        <f>'1. T1 INVESTMENT PLAN'!H51/1000</f>
        <v>0</v>
      </c>
      <c r="K42" s="1866">
        <f>'1. T1 INVESTMENT PLAN'!I51/1000</f>
        <v>0</v>
      </c>
      <c r="L42" s="1267"/>
      <c r="M42" s="1267"/>
      <c r="N42" s="1267"/>
      <c r="O42" s="1267"/>
      <c r="P42" s="1267"/>
      <c r="Q42" s="1267"/>
      <c r="R42" s="1852"/>
    </row>
    <row r="43" spans="2:18" x14ac:dyDescent="0.2">
      <c r="B43" s="1847" t="s">
        <v>77</v>
      </c>
      <c r="C43" s="1951" t="s">
        <v>901</v>
      </c>
      <c r="D43" s="1951"/>
      <c r="E43" s="1951"/>
      <c r="F43" s="1952"/>
      <c r="G43" s="1866">
        <f>'1. T1 INVESTMENT PLAN'!E52/1000</f>
        <v>0</v>
      </c>
      <c r="H43" s="1866">
        <f>'1. T1 INVESTMENT PLAN'!F52/1000</f>
        <v>0</v>
      </c>
      <c r="I43" s="1866">
        <f>'1. T1 INVESTMENT PLAN'!G52/1000</f>
        <v>0</v>
      </c>
      <c r="J43" s="1866">
        <f>'1. T1 INVESTMENT PLAN'!H52/1000</f>
        <v>0</v>
      </c>
      <c r="K43" s="1866">
        <f>'1. T1 INVESTMENT PLAN'!I52/1000</f>
        <v>0</v>
      </c>
      <c r="L43" s="1267"/>
      <c r="M43" s="1267"/>
      <c r="N43" s="1267"/>
      <c r="O43" s="1267"/>
      <c r="P43" s="1267"/>
      <c r="Q43" s="1267"/>
      <c r="R43" s="1852"/>
    </row>
    <row r="44" spans="2:18" x14ac:dyDescent="0.2">
      <c r="B44" s="2541" t="s">
        <v>364</v>
      </c>
      <c r="C44" s="2542"/>
      <c r="D44" s="1159"/>
      <c r="E44" s="1159"/>
      <c r="F44" s="1159"/>
      <c r="G44" s="1975"/>
      <c r="H44" s="1975"/>
      <c r="I44" s="1975"/>
      <c r="J44" s="1975"/>
      <c r="K44" s="1976"/>
      <c r="L44" s="1845"/>
      <c r="M44" s="1689"/>
      <c r="N44" s="1689"/>
      <c r="O44" s="2543"/>
      <c r="P44" s="2543"/>
      <c r="Q44" s="1267"/>
      <c r="R44" s="1852"/>
    </row>
    <row r="45" spans="2:18" x14ac:dyDescent="0.2">
      <c r="B45" s="1847" t="s">
        <v>78</v>
      </c>
      <c r="C45" s="1953" t="str">
        <f>'1. T1 INVESTMENT PLAN'!C55</f>
        <v>Bank, Finnvera, hire purchase financing etc.</v>
      </c>
      <c r="D45" s="1953"/>
      <c r="E45" s="1953"/>
      <c r="F45" s="1954"/>
      <c r="G45" s="1866">
        <f>'1. T1 INVESTMENT PLAN'!E55/1000</f>
        <v>0</v>
      </c>
      <c r="H45" s="1866">
        <f>'1. T1 INVESTMENT PLAN'!F55/1000</f>
        <v>0</v>
      </c>
      <c r="I45" s="1866">
        <f>'1. T1 INVESTMENT PLAN'!G55/1000</f>
        <v>0</v>
      </c>
      <c r="J45" s="1866">
        <f>'1. T1 INVESTMENT PLAN'!H55/1000</f>
        <v>0</v>
      </c>
      <c r="K45" s="1866">
        <f>'1. T1 INVESTMENT PLAN'!I55/1000</f>
        <v>0</v>
      </c>
      <c r="L45" s="1843"/>
      <c r="M45" s="1271"/>
      <c r="N45" s="1844"/>
      <c r="O45" s="2544"/>
      <c r="P45" s="2544"/>
      <c r="Q45" s="1267"/>
      <c r="R45" s="1852"/>
    </row>
    <row r="46" spans="2:18" x14ac:dyDescent="0.2">
      <c r="B46" s="1847" t="s">
        <v>79</v>
      </c>
      <c r="C46" s="1951">
        <f>'1. T1 INVESTMENT PLAN'!C56</f>
        <v>0</v>
      </c>
      <c r="D46" s="1951"/>
      <c r="E46" s="1951"/>
      <c r="F46" s="1952"/>
      <c r="G46" s="1866">
        <f>'1. T1 INVESTMENT PLAN'!E56/1000</f>
        <v>0</v>
      </c>
      <c r="H46" s="1866">
        <f>'1. T1 INVESTMENT PLAN'!F56/1000</f>
        <v>0</v>
      </c>
      <c r="I46" s="1866">
        <f>'1. T1 INVESTMENT PLAN'!G56/1000</f>
        <v>0</v>
      </c>
      <c r="J46" s="1866">
        <f>'1. T1 INVESTMENT PLAN'!H56/1000</f>
        <v>0</v>
      </c>
      <c r="K46" s="1866">
        <f>'1. T1 INVESTMENT PLAN'!I56/1000</f>
        <v>0</v>
      </c>
      <c r="L46" s="1843"/>
      <c r="M46" s="1271"/>
      <c r="N46" s="1844"/>
      <c r="O46" s="2544"/>
      <c r="P46" s="2544"/>
      <c r="Q46" s="1267"/>
      <c r="R46" s="1852"/>
    </row>
    <row r="47" spans="2:18" x14ac:dyDescent="0.2">
      <c r="B47" s="1847" t="s">
        <v>80</v>
      </c>
      <c r="C47" s="1951">
        <f>'1. T1 INVESTMENT PLAN'!C57</f>
        <v>0</v>
      </c>
      <c r="D47" s="1951"/>
      <c r="E47" s="1951"/>
      <c r="F47" s="1952"/>
      <c r="G47" s="1866">
        <f>'1. T1 INVESTMENT PLAN'!E57/1000</f>
        <v>0</v>
      </c>
      <c r="H47" s="1866">
        <f>'1. T1 INVESTMENT PLAN'!F57/1000</f>
        <v>0</v>
      </c>
      <c r="I47" s="1866">
        <f>'1. T1 INVESTMENT PLAN'!G57/1000</f>
        <v>0</v>
      </c>
      <c r="J47" s="1866">
        <f>'1. T1 INVESTMENT PLAN'!H57/1000</f>
        <v>0</v>
      </c>
      <c r="K47" s="1866">
        <f>'1. T1 INVESTMENT PLAN'!I57/1000</f>
        <v>0</v>
      </c>
      <c r="L47" s="1843"/>
      <c r="M47" s="1271"/>
      <c r="N47" s="1844"/>
      <c r="O47" s="2544"/>
      <c r="P47" s="2544"/>
      <c r="Q47" s="1267"/>
      <c r="R47" s="1852"/>
    </row>
    <row r="48" spans="2:18" hidden="1" x14ac:dyDescent="0.2">
      <c r="B48" s="1847" t="s">
        <v>81</v>
      </c>
      <c r="C48" s="1951" t="s">
        <v>365</v>
      </c>
      <c r="D48" s="1951"/>
      <c r="E48" s="1951"/>
      <c r="F48" s="1952"/>
      <c r="G48" s="1866">
        <f>'1. T1 INVESTMENT PLAN'!E58/1000</f>
        <v>0</v>
      </c>
      <c r="H48" s="1866">
        <f>'1. T1 INVESTMENT PLAN'!F58/1000</f>
        <v>0</v>
      </c>
      <c r="I48" s="1866">
        <f>'1. T1 INVESTMENT PLAN'!G58/1000</f>
        <v>0</v>
      </c>
      <c r="J48" s="1866">
        <f>'1. T1 INVESTMENT PLAN'!H58/1000</f>
        <v>0</v>
      </c>
      <c r="K48" s="1866">
        <f>'1. T1 INVESTMENT PLAN'!I58/1000</f>
        <v>0</v>
      </c>
      <c r="L48" s="1843"/>
      <c r="M48" s="1271"/>
      <c r="N48" s="1844"/>
      <c r="O48" s="2544"/>
      <c r="P48" s="2544"/>
      <c r="Q48" s="1267"/>
      <c r="R48" s="1852"/>
    </row>
    <row r="49" spans="2:18" hidden="1" x14ac:dyDescent="0.2">
      <c r="B49" s="1847" t="s">
        <v>30</v>
      </c>
      <c r="C49" s="1951" t="s">
        <v>366</v>
      </c>
      <c r="D49" s="1951"/>
      <c r="E49" s="1951"/>
      <c r="F49" s="1952"/>
      <c r="G49" s="1866">
        <f>'1. T1 INVESTMENT PLAN'!E59/1000</f>
        <v>0</v>
      </c>
      <c r="H49" s="1866">
        <f>'1. T1 INVESTMENT PLAN'!F59/1000</f>
        <v>0</v>
      </c>
      <c r="I49" s="1866">
        <f>'1. T1 INVESTMENT PLAN'!G59/1000</f>
        <v>0</v>
      </c>
      <c r="J49" s="1866">
        <f>'1. T1 INVESTMENT PLAN'!H59/1000</f>
        <v>0</v>
      </c>
      <c r="K49" s="1866">
        <f>'1. T1 INVESTMENT PLAN'!I59/1000</f>
        <v>0</v>
      </c>
      <c r="L49" s="1267"/>
      <c r="M49" s="1267"/>
      <c r="N49" s="1269"/>
      <c r="O49" s="1270"/>
      <c r="P49" s="1271"/>
      <c r="Q49" s="1267"/>
      <c r="R49" s="1852"/>
    </row>
    <row r="50" spans="2:18" x14ac:dyDescent="0.2">
      <c r="B50" s="1847" t="s">
        <v>81</v>
      </c>
      <c r="C50" s="1900" t="s">
        <v>367</v>
      </c>
      <c r="D50" s="1900"/>
      <c r="E50" s="1900"/>
      <c r="F50" s="1901"/>
      <c r="G50" s="1866">
        <f>'1. T1 INVESTMENT PLAN'!E60/1000</f>
        <v>0</v>
      </c>
      <c r="H50" s="1866">
        <f>'1. T1 INVESTMENT PLAN'!F60/1000</f>
        <v>0</v>
      </c>
      <c r="I50" s="1866">
        <f>'1. T1 INVESTMENT PLAN'!G60/1000</f>
        <v>0</v>
      </c>
      <c r="J50" s="1866">
        <f>'1. T1 INVESTMENT PLAN'!H60/1000</f>
        <v>0</v>
      </c>
      <c r="K50" s="1866">
        <f>'1. T1 INVESTMENT PLAN'!I60/1000</f>
        <v>0</v>
      </c>
      <c r="L50" s="1267"/>
      <c r="M50" s="1267"/>
      <c r="N50" s="1267"/>
      <c r="O50" s="1267"/>
      <c r="P50" s="1267"/>
      <c r="Q50" s="1267"/>
      <c r="R50" s="1852"/>
    </row>
    <row r="51" spans="2:18" x14ac:dyDescent="0.2">
      <c r="B51" s="1847" t="s">
        <v>30</v>
      </c>
      <c r="C51" s="1900" t="s">
        <v>794</v>
      </c>
      <c r="D51" s="1900"/>
      <c r="E51" s="1900"/>
      <c r="F51" s="1901"/>
      <c r="G51" s="1866">
        <f>'1. T1 INVESTMENT PLAN'!E61/1000</f>
        <v>0</v>
      </c>
      <c r="H51" s="1866">
        <f>'1. T1 INVESTMENT PLAN'!F61/1000</f>
        <v>0</v>
      </c>
      <c r="I51" s="1866">
        <f>'1. T1 INVESTMENT PLAN'!G61/1000</f>
        <v>0</v>
      </c>
      <c r="J51" s="1866">
        <f>'1. T1 INVESTMENT PLAN'!H61/1000</f>
        <v>0</v>
      </c>
      <c r="K51" s="1866">
        <f>'1. T1 INVESTMENT PLAN'!I61/1000</f>
        <v>0</v>
      </c>
      <c r="L51" s="1267"/>
      <c r="M51" s="1267"/>
      <c r="N51" s="1267"/>
      <c r="O51" s="1267"/>
      <c r="P51" s="1267"/>
      <c r="Q51" s="1267"/>
      <c r="R51" s="1852"/>
    </row>
    <row r="52" spans="2:18" ht="18" customHeight="1" x14ac:dyDescent="0.2">
      <c r="B52" s="1849" t="s">
        <v>254</v>
      </c>
      <c r="C52" s="1853" t="s">
        <v>816</v>
      </c>
      <c r="D52" s="1854"/>
      <c r="E52" s="1854"/>
      <c r="F52" s="1854"/>
      <c r="G52" s="1867">
        <f>'1. T1 INVESTMENT PLAN'!E62/1000</f>
        <v>0</v>
      </c>
      <c r="H52" s="1867">
        <f>'1. T1 INVESTMENT PLAN'!F62/1000</f>
        <v>0</v>
      </c>
      <c r="I52" s="1867">
        <f>'1. T1 INVESTMENT PLAN'!G62/1000</f>
        <v>0</v>
      </c>
      <c r="J52" s="1867">
        <f>'1. T1 INVESTMENT PLAN'!H62/1000</f>
        <v>0</v>
      </c>
      <c r="K52" s="1867">
        <f>'1. T1 INVESTMENT PLAN'!I62/1000</f>
        <v>0</v>
      </c>
      <c r="L52" s="1855"/>
      <c r="M52" s="1855"/>
      <c r="N52" s="1855"/>
      <c r="O52" s="1855"/>
      <c r="P52" s="1855"/>
      <c r="Q52" s="1855"/>
      <c r="R52" s="1856"/>
    </row>
    <row r="53" spans="2:18" x14ac:dyDescent="0.2">
      <c r="B53" s="129"/>
      <c r="C53" s="129"/>
      <c r="D53" s="129"/>
      <c r="E53" s="129"/>
      <c r="F53" s="129"/>
      <c r="G53" s="129"/>
      <c r="H53" s="129"/>
      <c r="I53" s="129"/>
      <c r="J53" s="129"/>
      <c r="K53" s="129"/>
      <c r="L53" s="129"/>
      <c r="M53" s="129"/>
      <c r="N53" s="129"/>
      <c r="O53" s="129"/>
      <c r="P53" s="129"/>
      <c r="Q53" s="129"/>
      <c r="R53" s="129"/>
    </row>
    <row r="54" spans="2:18" x14ac:dyDescent="0.2">
      <c r="B54" s="2552" t="s">
        <v>370</v>
      </c>
      <c r="C54" s="2553"/>
      <c r="D54" s="2553"/>
      <c r="E54" s="2553"/>
      <c r="F54" s="1286"/>
      <c r="G54" s="2554"/>
      <c r="H54" s="2554"/>
      <c r="I54" s="2554"/>
      <c r="J54" s="2554"/>
      <c r="K54" s="2555" t="s">
        <v>361</v>
      </c>
      <c r="L54" s="2555"/>
      <c r="M54" s="2555" t="s">
        <v>361</v>
      </c>
      <c r="N54" s="2555"/>
      <c r="O54" s="2555" t="s">
        <v>361</v>
      </c>
      <c r="P54" s="2555"/>
      <c r="Q54" s="2555" t="s">
        <v>361</v>
      </c>
      <c r="R54" s="2555"/>
    </row>
    <row r="55" spans="2:18" x14ac:dyDescent="0.2">
      <c r="B55" s="2552"/>
      <c r="C55" s="2553"/>
      <c r="D55" s="2553"/>
      <c r="E55" s="2553"/>
      <c r="F55" s="1286"/>
      <c r="G55" s="2554"/>
      <c r="H55" s="2554"/>
      <c r="I55" s="2554"/>
      <c r="J55" s="2554"/>
      <c r="K55" s="2558">
        <f>G36</f>
        <v>2027</v>
      </c>
      <c r="L55" s="2558"/>
      <c r="M55" s="2558">
        <f>H36</f>
        <v>2028</v>
      </c>
      <c r="N55" s="2558"/>
      <c r="O55" s="2558">
        <f>I36</f>
        <v>2029</v>
      </c>
      <c r="P55" s="2558"/>
      <c r="Q55" s="2559">
        <f>J36</f>
        <v>2030</v>
      </c>
      <c r="R55" s="2558"/>
    </row>
    <row r="56" spans="2:18" x14ac:dyDescent="0.2">
      <c r="B56" s="2552"/>
      <c r="C56" s="2553"/>
      <c r="D56" s="2553"/>
      <c r="E56" s="2553"/>
      <c r="F56" s="1897"/>
      <c r="G56" s="1898"/>
      <c r="H56" s="1899"/>
      <c r="I56" s="1898"/>
      <c r="J56" s="1899"/>
      <c r="K56" s="1895" t="s">
        <v>230</v>
      </c>
      <c r="L56" s="1896" t="s">
        <v>13</v>
      </c>
      <c r="M56" s="1895" t="s">
        <v>230</v>
      </c>
      <c r="N56" s="1896" t="s">
        <v>13</v>
      </c>
      <c r="O56" s="1895" t="s">
        <v>230</v>
      </c>
      <c r="P56" s="1896" t="s">
        <v>13</v>
      </c>
      <c r="Q56" s="1895" t="s">
        <v>230</v>
      </c>
      <c r="R56" s="1896" t="s">
        <v>13</v>
      </c>
    </row>
    <row r="57" spans="2:18" x14ac:dyDescent="0.2">
      <c r="B57" s="1956"/>
      <c r="C57" s="1957" t="s">
        <v>817</v>
      </c>
      <c r="D57" s="1958"/>
      <c r="E57" s="1958"/>
      <c r="F57" s="1958"/>
      <c r="G57" s="2556"/>
      <c r="H57" s="2556"/>
      <c r="I57" s="2556"/>
      <c r="J57" s="2556"/>
      <c r="K57" s="2556">
        <f>'3. E1 OPERATING COSTS'!D10</f>
        <v>12</v>
      </c>
      <c r="L57" s="2556"/>
      <c r="M57" s="2556" t="str">
        <f>'3. E1 OPERATING COSTS'!F10</f>
        <v>12</v>
      </c>
      <c r="N57" s="2556"/>
      <c r="O57" s="2556" t="str">
        <f>'3. E1 OPERATING COSTS'!H10</f>
        <v>12</v>
      </c>
      <c r="P57" s="2556"/>
      <c r="Q57" s="2556" t="str">
        <f>'3. E1 OPERATING COSTS'!J10</f>
        <v>12</v>
      </c>
      <c r="R57" s="2557"/>
    </row>
    <row r="58" spans="2:18" ht="15.95" customHeight="1" x14ac:dyDescent="0.2">
      <c r="B58" s="1857" t="s">
        <v>2</v>
      </c>
      <c r="C58" s="1853" t="s">
        <v>371</v>
      </c>
      <c r="D58" s="1853"/>
      <c r="E58" s="1853"/>
      <c r="F58" s="1853"/>
      <c r="G58" s="1877"/>
      <c r="H58" s="1878"/>
      <c r="I58" s="1879"/>
      <c r="J58" s="1880"/>
      <c r="K58" s="1872">
        <f>'7. T2 RESULT BUDGET '!G11/1000</f>
        <v>0</v>
      </c>
      <c r="L58" s="1873">
        <v>0</v>
      </c>
      <c r="M58" s="1872">
        <f>'7. T2 RESULT BUDGET '!I11/1000</f>
        <v>0</v>
      </c>
      <c r="N58" s="1873">
        <v>0</v>
      </c>
      <c r="O58" s="1872">
        <f>'7. T2 RESULT BUDGET '!K11/1000</f>
        <v>0</v>
      </c>
      <c r="P58" s="1873">
        <v>0</v>
      </c>
      <c r="Q58" s="1872">
        <f>'7. T2 RESULT BUDGET '!M11/1000</f>
        <v>0</v>
      </c>
      <c r="R58" s="1873">
        <v>0</v>
      </c>
    </row>
    <row r="59" spans="2:18" x14ac:dyDescent="0.2">
      <c r="B59" s="1857" t="s">
        <v>3</v>
      </c>
      <c r="C59" s="1881" t="s">
        <v>718</v>
      </c>
      <c r="D59" s="1881"/>
      <c r="E59" s="1881"/>
      <c r="F59" s="1881"/>
      <c r="G59" s="1882"/>
      <c r="H59" s="1883"/>
      <c r="I59" s="1884"/>
      <c r="J59" s="1885"/>
      <c r="K59" s="1866">
        <f>'7. T2 RESULT BUDGET '!G12/1000</f>
        <v>0</v>
      </c>
      <c r="L59" s="1874"/>
      <c r="M59" s="1866">
        <f>'7. T2 RESULT BUDGET '!I12/1000</f>
        <v>0</v>
      </c>
      <c r="N59" s="1874"/>
      <c r="O59" s="1866">
        <f>'7. T2 RESULT BUDGET '!K12/1000</f>
        <v>0</v>
      </c>
      <c r="P59" s="1874"/>
      <c r="Q59" s="1866">
        <f>'7. T2 RESULT BUDGET '!M12/1000</f>
        <v>0</v>
      </c>
      <c r="R59" s="1874"/>
    </row>
    <row r="60" spans="2:18" x14ac:dyDescent="0.2">
      <c r="B60" s="1857" t="s">
        <v>4</v>
      </c>
      <c r="C60" s="1881" t="s">
        <v>372</v>
      </c>
      <c r="D60" s="1881"/>
      <c r="E60" s="1881"/>
      <c r="F60" s="1881"/>
      <c r="G60" s="1882"/>
      <c r="H60" s="1883"/>
      <c r="I60" s="1884"/>
      <c r="J60" s="1885"/>
      <c r="K60" s="1866">
        <f>'7. T2 RESULT BUDGET '!G13/1000</f>
        <v>0</v>
      </c>
      <c r="L60" s="1874"/>
      <c r="M60" s="1866">
        <f>'7. T2 RESULT BUDGET '!I13/1000</f>
        <v>0</v>
      </c>
      <c r="N60" s="1874"/>
      <c r="O60" s="1866">
        <f>'7. T2 RESULT BUDGET '!K13/1000</f>
        <v>0</v>
      </c>
      <c r="P60" s="1874"/>
      <c r="Q60" s="1866">
        <f>'7. T2 RESULT BUDGET '!M13/1000</f>
        <v>0</v>
      </c>
      <c r="R60" s="1874"/>
    </row>
    <row r="61" spans="2:18" ht="15.95" customHeight="1" x14ac:dyDescent="0.2">
      <c r="B61" s="1857" t="s">
        <v>5</v>
      </c>
      <c r="C61" s="2509" t="s">
        <v>719</v>
      </c>
      <c r="D61" s="2509"/>
      <c r="E61" s="1887"/>
      <c r="F61" s="1887"/>
      <c r="G61" s="1888"/>
      <c r="H61" s="1889"/>
      <c r="I61" s="1890"/>
      <c r="J61" s="1891"/>
      <c r="K61" s="1867">
        <f>'7. T2 RESULT BUDGET '!G14/1000</f>
        <v>0</v>
      </c>
      <c r="L61" s="1875">
        <v>100</v>
      </c>
      <c r="M61" s="1867">
        <f>'7. T2 RESULT BUDGET '!I14/1000</f>
        <v>0</v>
      </c>
      <c r="N61" s="1875">
        <v>100</v>
      </c>
      <c r="O61" s="1867">
        <f>'7. T2 RESULT BUDGET '!K14/1000</f>
        <v>0</v>
      </c>
      <c r="P61" s="1875">
        <v>100</v>
      </c>
      <c r="Q61" s="1867">
        <f>'7. T2 RESULT BUDGET '!M14/1000</f>
        <v>0</v>
      </c>
      <c r="R61" s="1875">
        <v>100</v>
      </c>
    </row>
    <row r="62" spans="2:18" x14ac:dyDescent="0.2">
      <c r="B62" s="1857" t="s">
        <v>6</v>
      </c>
      <c r="C62" s="1881" t="s">
        <v>720</v>
      </c>
      <c r="D62" s="1881"/>
      <c r="E62" s="1881"/>
      <c r="F62" s="1881"/>
      <c r="G62" s="1882"/>
      <c r="H62" s="1883"/>
      <c r="I62" s="1884"/>
      <c r="J62" s="1885"/>
      <c r="K62" s="1866">
        <f>'7. T2 RESULT BUDGET '!G15/1000</f>
        <v>0</v>
      </c>
      <c r="L62" s="1859">
        <f>'7. T2 RESULT BUDGET '!H15</f>
        <v>0</v>
      </c>
      <c r="M62" s="1866">
        <f>'7. T2 RESULT BUDGET '!I15/1000</f>
        <v>0</v>
      </c>
      <c r="N62" s="1859">
        <f>'7. T2 RESULT BUDGET '!J15</f>
        <v>0</v>
      </c>
      <c r="O62" s="1866">
        <f>'7. T2 RESULT BUDGET '!K15/1000</f>
        <v>0</v>
      </c>
      <c r="P62" s="1859">
        <f>'7. T2 RESULT BUDGET '!L15</f>
        <v>0</v>
      </c>
      <c r="Q62" s="1866">
        <f>'7. T2 RESULT BUDGET '!M15/1000</f>
        <v>0</v>
      </c>
      <c r="R62" s="1859">
        <f>'7. T2 RESULT BUDGET '!N15</f>
        <v>0</v>
      </c>
    </row>
    <row r="63" spans="2:18" x14ac:dyDescent="0.2">
      <c r="B63" s="1857" t="s">
        <v>7</v>
      </c>
      <c r="C63" s="1881" t="s">
        <v>784</v>
      </c>
      <c r="D63" s="1881"/>
      <c r="E63" s="1881"/>
      <c r="F63" s="1881"/>
      <c r="G63" s="1882"/>
      <c r="H63" s="1883"/>
      <c r="I63" s="1884"/>
      <c r="J63" s="1885"/>
      <c r="K63" s="1866">
        <f>'7. T2 RESULT BUDGET '!G16/1000</f>
        <v>0</v>
      </c>
      <c r="L63" s="1859">
        <f>'7. T2 RESULT BUDGET '!H16</f>
        <v>0</v>
      </c>
      <c r="M63" s="1866">
        <f>'7. T2 RESULT BUDGET '!I16/1000</f>
        <v>0</v>
      </c>
      <c r="N63" s="1859">
        <f>'7. T2 RESULT BUDGET '!J16</f>
        <v>0</v>
      </c>
      <c r="O63" s="1866">
        <f>'7. T2 RESULT BUDGET '!K16/1000</f>
        <v>0</v>
      </c>
      <c r="P63" s="1859">
        <f>'7. T2 RESULT BUDGET '!L16</f>
        <v>0</v>
      </c>
      <c r="Q63" s="1866">
        <f>'7. T2 RESULT BUDGET '!M16/1000</f>
        <v>0</v>
      </c>
      <c r="R63" s="1859">
        <f>'7. T2 RESULT BUDGET '!N16</f>
        <v>0</v>
      </c>
    </row>
    <row r="64" spans="2:18" x14ac:dyDescent="0.2">
      <c r="B64" s="1857" t="s">
        <v>8</v>
      </c>
      <c r="C64" s="1881" t="s">
        <v>373</v>
      </c>
      <c r="D64" s="1881"/>
      <c r="E64" s="1881"/>
      <c r="F64" s="1881"/>
      <c r="G64" s="1882"/>
      <c r="H64" s="1883"/>
      <c r="I64" s="1884"/>
      <c r="J64" s="1885"/>
      <c r="K64" s="1866">
        <f>'7. T2 RESULT BUDGET '!G17/1000</f>
        <v>0</v>
      </c>
      <c r="L64" s="1859">
        <f>'7. T2 RESULT BUDGET '!H17</f>
        <v>0</v>
      </c>
      <c r="M64" s="1866">
        <f>'7. T2 RESULT BUDGET '!I17/1000</f>
        <v>0</v>
      </c>
      <c r="N64" s="1859">
        <f>'7. T2 RESULT BUDGET '!J17</f>
        <v>0</v>
      </c>
      <c r="O64" s="1866">
        <f>'7. T2 RESULT BUDGET '!K17/1000</f>
        <v>0</v>
      </c>
      <c r="P64" s="1859">
        <f>'7. T2 RESULT BUDGET '!L17</f>
        <v>0</v>
      </c>
      <c r="Q64" s="1866">
        <f>'7. T2 RESULT BUDGET '!M17/1000</f>
        <v>0</v>
      </c>
      <c r="R64" s="1859">
        <f>'7. T2 RESULT BUDGET '!N17</f>
        <v>0</v>
      </c>
    </row>
    <row r="65" spans="2:18" x14ac:dyDescent="0.2">
      <c r="B65" s="1857" t="s">
        <v>9</v>
      </c>
      <c r="C65" s="1892" t="s">
        <v>721</v>
      </c>
      <c r="D65" s="1892"/>
      <c r="E65" s="1892"/>
      <c r="F65" s="1892"/>
      <c r="G65" s="1882"/>
      <c r="H65" s="1883"/>
      <c r="I65" s="1884"/>
      <c r="J65" s="1885"/>
      <c r="K65" s="1866">
        <f>'7. T2 RESULT BUDGET '!G18/1000</f>
        <v>0</v>
      </c>
      <c r="L65" s="1859">
        <f>'7. T2 RESULT BUDGET '!H18</f>
        <v>0</v>
      </c>
      <c r="M65" s="1866">
        <f>'7. T2 RESULT BUDGET '!I18/1000</f>
        <v>0</v>
      </c>
      <c r="N65" s="1859">
        <f>'7. T2 RESULT BUDGET '!J18</f>
        <v>0</v>
      </c>
      <c r="O65" s="1866">
        <f>'7. T2 RESULT BUDGET '!K18/1000</f>
        <v>0</v>
      </c>
      <c r="P65" s="1859">
        <f>'7. T2 RESULT BUDGET '!L18</f>
        <v>0</v>
      </c>
      <c r="Q65" s="1866">
        <f>'7. T2 RESULT BUDGET '!M18/1000</f>
        <v>0</v>
      </c>
      <c r="R65" s="1859">
        <f>'7. T2 RESULT BUDGET '!N18</f>
        <v>0</v>
      </c>
    </row>
    <row r="66" spans="2:18" x14ac:dyDescent="0.2">
      <c r="B66" s="1857" t="s">
        <v>10</v>
      </c>
      <c r="C66" s="1892" t="s">
        <v>908</v>
      </c>
      <c r="D66" s="1892"/>
      <c r="E66" s="1892"/>
      <c r="F66" s="1892"/>
      <c r="G66" s="1882"/>
      <c r="H66" s="1883"/>
      <c r="I66" s="1884"/>
      <c r="J66" s="1885"/>
      <c r="K66" s="1866">
        <f>'7. T2 RESULT BUDGET '!G19/1000</f>
        <v>0</v>
      </c>
      <c r="L66" s="1859">
        <f>'7. T2 RESULT BUDGET '!H19</f>
        <v>0</v>
      </c>
      <c r="M66" s="1866">
        <f>'7. T2 RESULT BUDGET '!I19/1000</f>
        <v>0</v>
      </c>
      <c r="N66" s="1859">
        <f>'7. T2 RESULT BUDGET '!J19</f>
        <v>0</v>
      </c>
      <c r="O66" s="1866">
        <f>'7. T2 RESULT BUDGET '!K19/1000</f>
        <v>0</v>
      </c>
      <c r="P66" s="1859">
        <f>'7. T2 RESULT BUDGET '!L19</f>
        <v>0</v>
      </c>
      <c r="Q66" s="1866">
        <f>'7. T2 RESULT BUDGET '!M19/1000</f>
        <v>0</v>
      </c>
      <c r="R66" s="1859">
        <f>'7. T2 RESULT BUDGET '!N19</f>
        <v>0</v>
      </c>
    </row>
    <row r="67" spans="2:18" ht="15.95" customHeight="1" x14ac:dyDescent="0.2">
      <c r="B67" s="1857" t="s">
        <v>11</v>
      </c>
      <c r="C67" s="1886" t="s">
        <v>818</v>
      </c>
      <c r="D67" s="1886"/>
      <c r="E67" s="1886"/>
      <c r="F67" s="1886"/>
      <c r="G67" s="1888"/>
      <c r="H67" s="1893"/>
      <c r="I67" s="1890"/>
      <c r="J67" s="1894"/>
      <c r="K67" s="1867">
        <f>'7. T2 RESULT BUDGET '!G20/1000</f>
        <v>0</v>
      </c>
      <c r="L67" s="1876">
        <f>'7. T2 RESULT BUDGET '!H20</f>
        <v>0</v>
      </c>
      <c r="M67" s="1867">
        <f>'7. T2 RESULT BUDGET '!I20/1000</f>
        <v>0</v>
      </c>
      <c r="N67" s="1876">
        <f>'7. T2 RESULT BUDGET '!J20</f>
        <v>0</v>
      </c>
      <c r="O67" s="1867">
        <f>'7. T2 RESULT BUDGET '!K20/1000</f>
        <v>0</v>
      </c>
      <c r="P67" s="1876">
        <f>'7. T2 RESULT BUDGET '!L20</f>
        <v>0</v>
      </c>
      <c r="Q67" s="1867">
        <f>'7. T2 RESULT BUDGET '!M20/1000</f>
        <v>0</v>
      </c>
      <c r="R67" s="1876">
        <f>'7. T2 RESULT BUDGET '!N20</f>
        <v>0</v>
      </c>
    </row>
    <row r="68" spans="2:18" x14ac:dyDescent="0.2">
      <c r="B68" s="1857" t="s">
        <v>74</v>
      </c>
      <c r="C68" s="1892" t="s">
        <v>821</v>
      </c>
      <c r="D68" s="1892"/>
      <c r="E68" s="1892"/>
      <c r="F68" s="1892"/>
      <c r="G68" s="1882"/>
      <c r="H68" s="1883"/>
      <c r="I68" s="1884"/>
      <c r="J68" s="1885"/>
      <c r="K68" s="1866">
        <f>'7. T2 RESULT BUDGET '!G21/1000</f>
        <v>0</v>
      </c>
      <c r="L68" s="1859">
        <f>'7. T2 RESULT BUDGET '!H21</f>
        <v>0</v>
      </c>
      <c r="M68" s="1866">
        <f>'7. T2 RESULT BUDGET '!I21/1000</f>
        <v>0</v>
      </c>
      <c r="N68" s="1859">
        <f>'7. T2 RESULT BUDGET '!J21</f>
        <v>0</v>
      </c>
      <c r="O68" s="1866">
        <f>'7. T2 RESULT BUDGET '!K21/1000</f>
        <v>0</v>
      </c>
      <c r="P68" s="1859">
        <f>'7. T2 RESULT BUDGET '!L21</f>
        <v>0</v>
      </c>
      <c r="Q68" s="1866">
        <f>'7. T2 RESULT BUDGET '!M21/1000</f>
        <v>0</v>
      </c>
      <c r="R68" s="1859">
        <f>'7. T2 RESULT BUDGET '!N21</f>
        <v>0</v>
      </c>
    </row>
    <row r="69" spans="2:18" ht="15.95" customHeight="1" x14ac:dyDescent="0.2">
      <c r="B69" s="1857" t="s">
        <v>75</v>
      </c>
      <c r="C69" s="1886" t="s">
        <v>819</v>
      </c>
      <c r="D69" s="1886"/>
      <c r="E69" s="1886"/>
      <c r="F69" s="1886"/>
      <c r="G69" s="1888"/>
      <c r="H69" s="1893"/>
      <c r="I69" s="1890"/>
      <c r="J69" s="1894"/>
      <c r="K69" s="1867">
        <f>'7. T2 RESULT BUDGET '!G22/1000</f>
        <v>0</v>
      </c>
      <c r="L69" s="1876">
        <f>'7. T2 RESULT BUDGET '!H22</f>
        <v>0</v>
      </c>
      <c r="M69" s="1867">
        <f>'7. T2 RESULT BUDGET '!I22/1000</f>
        <v>0</v>
      </c>
      <c r="N69" s="1876">
        <f>'7. T2 RESULT BUDGET '!J22</f>
        <v>0</v>
      </c>
      <c r="O69" s="1867">
        <f>'7. T2 RESULT BUDGET '!K22/1000</f>
        <v>0</v>
      </c>
      <c r="P69" s="1876">
        <f>'7. T2 RESULT BUDGET '!L22</f>
        <v>0</v>
      </c>
      <c r="Q69" s="1867">
        <f>'7. T2 RESULT BUDGET '!M22/1000</f>
        <v>0</v>
      </c>
      <c r="R69" s="1876">
        <f>'7. T2 RESULT BUDGET '!N22</f>
        <v>0</v>
      </c>
    </row>
    <row r="70" spans="2:18" x14ac:dyDescent="0.2">
      <c r="B70" s="1857" t="s">
        <v>236</v>
      </c>
      <c r="C70" s="1892" t="s">
        <v>822</v>
      </c>
      <c r="D70" s="1892"/>
      <c r="E70" s="1892"/>
      <c r="F70" s="1892"/>
      <c r="G70" s="1882"/>
      <c r="H70" s="1883"/>
      <c r="I70" s="1884"/>
      <c r="J70" s="1885"/>
      <c r="K70" s="1866">
        <f>'7. T2 RESULT BUDGET '!G23/1000</f>
        <v>0</v>
      </c>
      <c r="L70" s="1859">
        <f>'7. T2 RESULT BUDGET '!H23</f>
        <v>0</v>
      </c>
      <c r="M70" s="1866">
        <f>'7. T2 RESULT BUDGET '!I23/1000</f>
        <v>0</v>
      </c>
      <c r="N70" s="1859">
        <f>'7. T2 RESULT BUDGET '!J23</f>
        <v>0</v>
      </c>
      <c r="O70" s="1866">
        <f>'7. T2 RESULT BUDGET '!K23/1000</f>
        <v>0</v>
      </c>
      <c r="P70" s="1859">
        <f>'7. T2 RESULT BUDGET '!L23</f>
        <v>0</v>
      </c>
      <c r="Q70" s="1866">
        <f>'7. T2 RESULT BUDGET '!M23/1000</f>
        <v>0</v>
      </c>
      <c r="R70" s="1859">
        <f>'7. T2 RESULT BUDGET '!N23</f>
        <v>0</v>
      </c>
    </row>
    <row r="71" spans="2:18" x14ac:dyDescent="0.2">
      <c r="B71" s="1857" t="s">
        <v>76</v>
      </c>
      <c r="C71" s="1881" t="s">
        <v>823</v>
      </c>
      <c r="D71" s="1881"/>
      <c r="E71" s="1881"/>
      <c r="F71" s="1881"/>
      <c r="G71" s="1882"/>
      <c r="H71" s="1883"/>
      <c r="I71" s="1884"/>
      <c r="J71" s="1885"/>
      <c r="K71" s="1866">
        <f>'7. T2 RESULT BUDGET '!G24/1000</f>
        <v>0</v>
      </c>
      <c r="L71" s="1859">
        <f>'7. T2 RESULT BUDGET '!H24</f>
        <v>0</v>
      </c>
      <c r="M71" s="1866">
        <f>'7. T2 RESULT BUDGET '!I24/1000</f>
        <v>0</v>
      </c>
      <c r="N71" s="1859">
        <f>'7. T2 RESULT BUDGET '!J24</f>
        <v>0</v>
      </c>
      <c r="O71" s="1866">
        <f>'7. T2 RESULT BUDGET '!K24/1000</f>
        <v>0</v>
      </c>
      <c r="P71" s="1859">
        <f>'7. T2 RESULT BUDGET '!L24</f>
        <v>0</v>
      </c>
      <c r="Q71" s="1866">
        <f>'7. T2 RESULT BUDGET '!M24/1000</f>
        <v>0</v>
      </c>
      <c r="R71" s="1859">
        <f>'7. T2 RESULT BUDGET '!N24</f>
        <v>0</v>
      </c>
    </row>
    <row r="72" spans="2:18" x14ac:dyDescent="0.2">
      <c r="B72" s="1857" t="s">
        <v>77</v>
      </c>
      <c r="C72" s="1881" t="s">
        <v>374</v>
      </c>
      <c r="D72" s="1881"/>
      <c r="E72" s="1881"/>
      <c r="F72" s="1881"/>
      <c r="G72" s="1882"/>
      <c r="H72" s="1883"/>
      <c r="I72" s="1884"/>
      <c r="J72" s="1885"/>
      <c r="K72" s="1866">
        <f>'7. T2 RESULT BUDGET '!G25/1000</f>
        <v>0</v>
      </c>
      <c r="L72" s="1859">
        <f>'7. T2 RESULT BUDGET '!H25</f>
        <v>0</v>
      </c>
      <c r="M72" s="1866">
        <f>'7. T2 RESULT BUDGET '!I25/1000</f>
        <v>0</v>
      </c>
      <c r="N72" s="1859">
        <f>'7. T2 RESULT BUDGET '!J25</f>
        <v>0</v>
      </c>
      <c r="O72" s="1866">
        <f>'7. T2 RESULT BUDGET '!K25/1000</f>
        <v>0</v>
      </c>
      <c r="P72" s="1859">
        <f>'7. T2 RESULT BUDGET '!L25</f>
        <v>0</v>
      </c>
      <c r="Q72" s="1866">
        <f>'7. T2 RESULT BUDGET '!M25/1000</f>
        <v>0</v>
      </c>
      <c r="R72" s="1859">
        <f>'7. T2 RESULT BUDGET '!N25</f>
        <v>0</v>
      </c>
    </row>
    <row r="73" spans="2:18" ht="15.95" customHeight="1" x14ac:dyDescent="0.2">
      <c r="B73" s="1857" t="s">
        <v>78</v>
      </c>
      <c r="C73" s="1886" t="s">
        <v>378</v>
      </c>
      <c r="D73" s="1886"/>
      <c r="E73" s="1886"/>
      <c r="F73" s="1886"/>
      <c r="G73" s="1888"/>
      <c r="H73" s="1893"/>
      <c r="I73" s="1890"/>
      <c r="J73" s="1894"/>
      <c r="K73" s="1867">
        <f>'7. T2 RESULT BUDGET '!G26/1000</f>
        <v>0</v>
      </c>
      <c r="L73" s="1876">
        <f>'7. T2 RESULT BUDGET '!H26</f>
        <v>0</v>
      </c>
      <c r="M73" s="1867">
        <f>'7. T2 RESULT BUDGET '!I26/1000</f>
        <v>0</v>
      </c>
      <c r="N73" s="1876">
        <f>'7. T2 RESULT BUDGET '!J26</f>
        <v>0</v>
      </c>
      <c r="O73" s="1867">
        <f>'7. T2 RESULT BUDGET '!K26/1000</f>
        <v>0</v>
      </c>
      <c r="P73" s="1876">
        <f>'7. T2 RESULT BUDGET '!L26</f>
        <v>0</v>
      </c>
      <c r="Q73" s="1867">
        <f>'7. T2 RESULT BUDGET '!M26/1000</f>
        <v>0</v>
      </c>
      <c r="R73" s="1876">
        <f>'7. T2 RESULT BUDGET '!N26</f>
        <v>0</v>
      </c>
    </row>
    <row r="74" spans="2:18" x14ac:dyDescent="0.2">
      <c r="B74" s="1857" t="s">
        <v>79</v>
      </c>
      <c r="C74" s="1881" t="s">
        <v>820</v>
      </c>
      <c r="D74" s="1881"/>
      <c r="E74" s="1881"/>
      <c r="F74" s="1881"/>
      <c r="G74" s="1882"/>
      <c r="H74" s="1883"/>
      <c r="I74" s="1884"/>
      <c r="J74" s="1885"/>
      <c r="K74" s="1866">
        <f>'7. T2 RESULT BUDGET '!G27/1000</f>
        <v>0</v>
      </c>
      <c r="L74" s="1859">
        <f>'7. T2 RESULT BUDGET '!H27</f>
        <v>0</v>
      </c>
      <c r="M74" s="1866">
        <f>'7. T2 RESULT BUDGET '!I27/1000</f>
        <v>0</v>
      </c>
      <c r="N74" s="1859">
        <f>'7. T2 RESULT BUDGET '!J27</f>
        <v>0</v>
      </c>
      <c r="O74" s="1866">
        <f>'7. T2 RESULT BUDGET '!K27/1000</f>
        <v>0</v>
      </c>
      <c r="P74" s="1859">
        <f>'7. T2 RESULT BUDGET '!L27</f>
        <v>0</v>
      </c>
      <c r="Q74" s="1866">
        <f>'7. T2 RESULT BUDGET '!M27/1000</f>
        <v>0</v>
      </c>
      <c r="R74" s="1859">
        <f>'7. T2 RESULT BUDGET '!N27</f>
        <v>0</v>
      </c>
    </row>
    <row r="75" spans="2:18" x14ac:dyDescent="0.2">
      <c r="B75" s="1857" t="s">
        <v>80</v>
      </c>
      <c r="C75" s="1881" t="s">
        <v>375</v>
      </c>
      <c r="D75" s="1881"/>
      <c r="E75" s="1881"/>
      <c r="F75" s="1881"/>
      <c r="G75" s="1882"/>
      <c r="H75" s="1883"/>
      <c r="I75" s="1884"/>
      <c r="J75" s="1885"/>
      <c r="K75" s="1866">
        <f>'7. T2 RESULT BUDGET '!G29/1000</f>
        <v>0</v>
      </c>
      <c r="L75" s="1859">
        <f>'7. T2 RESULT BUDGET '!H28</f>
        <v>0</v>
      </c>
      <c r="M75" s="1866">
        <f>'7. T2 RESULT BUDGET '!I29/1000</f>
        <v>0</v>
      </c>
      <c r="N75" s="1859">
        <f>'7. T2 RESULT BUDGET '!J28</f>
        <v>0</v>
      </c>
      <c r="O75" s="1866">
        <f>'7. T2 RESULT BUDGET '!K29/1000</f>
        <v>0</v>
      </c>
      <c r="P75" s="1859">
        <f>'7. T2 RESULT BUDGET '!L28</f>
        <v>0</v>
      </c>
      <c r="Q75" s="1866">
        <f>'7. T2 RESULT BUDGET '!M29/1000</f>
        <v>0</v>
      </c>
      <c r="R75" s="1859">
        <f>'7. T2 RESULT BUDGET '!N28</f>
        <v>0</v>
      </c>
    </row>
    <row r="76" spans="2:18" x14ac:dyDescent="0.2">
      <c r="B76" s="1857" t="s">
        <v>81</v>
      </c>
      <c r="C76" s="1881" t="s">
        <v>376</v>
      </c>
      <c r="D76" s="1881"/>
      <c r="E76" s="1881"/>
      <c r="F76" s="1881"/>
      <c r="G76" s="1882"/>
      <c r="H76" s="1883"/>
      <c r="I76" s="1884"/>
      <c r="J76" s="1885"/>
      <c r="K76" s="1866">
        <f>'7. T2 RESULT BUDGET '!G30/1000</f>
        <v>0</v>
      </c>
      <c r="L76" s="1859">
        <f>'7. T2 RESULT BUDGET '!H29</f>
        <v>0</v>
      </c>
      <c r="M76" s="1866">
        <f>'7. T2 RESULT BUDGET '!I30/1000</f>
        <v>0</v>
      </c>
      <c r="N76" s="1859">
        <f>'7. T2 RESULT BUDGET '!J29</f>
        <v>0</v>
      </c>
      <c r="O76" s="1866">
        <f>'7. T2 RESULT BUDGET '!K30/1000</f>
        <v>0</v>
      </c>
      <c r="P76" s="1859">
        <f>'7. T2 RESULT BUDGET '!L29</f>
        <v>0</v>
      </c>
      <c r="Q76" s="1866">
        <f>'7. T2 RESULT BUDGET '!M30/1000</f>
        <v>0</v>
      </c>
      <c r="R76" s="1859">
        <f>'7. T2 RESULT BUDGET '!N29</f>
        <v>0</v>
      </c>
    </row>
    <row r="77" spans="2:18" ht="18" customHeight="1" x14ac:dyDescent="0.2">
      <c r="B77" s="1857" t="s">
        <v>30</v>
      </c>
      <c r="C77" s="1886" t="s">
        <v>377</v>
      </c>
      <c r="D77" s="1886"/>
      <c r="E77" s="1886"/>
      <c r="F77" s="1886"/>
      <c r="G77" s="1888"/>
      <c r="H77" s="1893"/>
      <c r="I77" s="1890"/>
      <c r="J77" s="1894"/>
      <c r="K77" s="1867">
        <f>'7. T2 RESULT BUDGET '!G31/1000</f>
        <v>0</v>
      </c>
      <c r="L77" s="1876">
        <f>'7. T2 RESULT BUDGET '!H31</f>
        <v>0</v>
      </c>
      <c r="M77" s="1867">
        <f>'7. T2 RESULT BUDGET '!I31/1000</f>
        <v>0</v>
      </c>
      <c r="N77" s="1876">
        <f>'7. T2 RESULT BUDGET '!J31</f>
        <v>0</v>
      </c>
      <c r="O77" s="1867">
        <f>'7. T2 RESULT BUDGET '!K31/1000</f>
        <v>0</v>
      </c>
      <c r="P77" s="1876">
        <f>'7. T2 RESULT BUDGET '!L31</f>
        <v>0</v>
      </c>
      <c r="Q77" s="1867">
        <f>'7. T2 RESULT BUDGET '!M31/1000</f>
        <v>0</v>
      </c>
      <c r="R77" s="1876">
        <f>'7. T2 RESULT BUDGET '!N31</f>
        <v>0</v>
      </c>
    </row>
    <row r="78" spans="2:18" ht="17.100000000000001" customHeight="1" x14ac:dyDescent="0.2">
      <c r="B78" s="1955"/>
      <c r="C78" s="1982" t="s">
        <v>909</v>
      </c>
      <c r="D78" s="1881"/>
      <c r="E78" s="1881"/>
      <c r="F78" s="1881"/>
      <c r="G78" s="2563"/>
      <c r="H78" s="2563"/>
      <c r="I78" s="2564"/>
      <c r="J78" s="2564"/>
      <c r="K78" s="2565">
        <f>'7. T2 RESULT BUDGET '!G33</f>
        <v>1</v>
      </c>
      <c r="L78" s="2565"/>
      <c r="M78" s="2565">
        <f>'7. T2 RESULT BUDGET '!I33</f>
        <v>1</v>
      </c>
      <c r="N78" s="2565"/>
      <c r="O78" s="2565">
        <f>'7. T2 RESULT BUDGET '!K33</f>
        <v>1</v>
      </c>
      <c r="P78" s="2565"/>
      <c r="Q78" s="2565">
        <f>'7. T2 RESULT BUDGET '!M33</f>
        <v>1</v>
      </c>
      <c r="R78" s="2565"/>
    </row>
    <row r="79" spans="2:18" ht="17.100000000000001" customHeight="1" x14ac:dyDescent="0.2">
      <c r="B79" s="130"/>
      <c r="C79" s="1982" t="s">
        <v>910</v>
      </c>
      <c r="D79" s="1881"/>
      <c r="E79" s="1881"/>
      <c r="F79" s="1881"/>
      <c r="G79" s="2560"/>
      <c r="H79" s="2560"/>
      <c r="I79" s="2561"/>
      <c r="J79" s="2561"/>
      <c r="K79" s="2562">
        <f>'5. T4 FINANCING PLAN'!Q14</f>
        <v>0</v>
      </c>
      <c r="L79" s="2562"/>
      <c r="M79" s="2562">
        <f>'5. T4 FINANCING PLAN'!R14</f>
        <v>0</v>
      </c>
      <c r="N79" s="2562"/>
      <c r="O79" s="2562">
        <f>'5. T4 FINANCING PLAN'!S14</f>
        <v>0</v>
      </c>
      <c r="P79" s="2562"/>
      <c r="Q79" s="2562">
        <f>'5. T4 FINANCING PLAN'!T14</f>
        <v>0</v>
      </c>
      <c r="R79" s="2562"/>
    </row>
    <row r="80" spans="2:18" ht="17.100000000000001" customHeight="1" x14ac:dyDescent="0.2">
      <c r="B80" s="130"/>
      <c r="C80" s="1982" t="s">
        <v>915</v>
      </c>
      <c r="D80" s="1881"/>
      <c r="E80" s="1881"/>
      <c r="F80" s="1881"/>
      <c r="G80" s="2085"/>
      <c r="H80" s="2085"/>
      <c r="I80" s="2086"/>
      <c r="J80" s="2086"/>
      <c r="K80" s="2669">
        <v>0</v>
      </c>
      <c r="L80" s="2669"/>
      <c r="M80" s="2669">
        <v>0</v>
      </c>
      <c r="N80" s="2669"/>
      <c r="O80" s="2669">
        <v>0</v>
      </c>
      <c r="P80" s="2669"/>
      <c r="Q80" s="2669">
        <v>0</v>
      </c>
      <c r="R80" s="2669"/>
    </row>
    <row r="81" spans="2:18" ht="18.75" customHeight="1" x14ac:dyDescent="0.2">
      <c r="B81" s="236" t="s">
        <v>459</v>
      </c>
      <c r="C81" s="438"/>
      <c r="D81" s="438"/>
      <c r="E81" s="438"/>
      <c r="F81" s="438"/>
      <c r="G81" s="439"/>
      <c r="H81" s="439"/>
      <c r="I81" s="439"/>
      <c r="J81" s="439"/>
      <c r="K81" s="439"/>
      <c r="L81" s="439"/>
      <c r="M81" s="439"/>
      <c r="N81" s="439"/>
      <c r="O81" s="439"/>
      <c r="P81" s="439"/>
      <c r="Q81" s="439"/>
      <c r="R81" s="686"/>
    </row>
    <row r="82" spans="2:18" x14ac:dyDescent="0.2">
      <c r="B82" s="2571" t="str">
        <f>'Front Page'!G8</f>
        <v>Enontekiö, Kittilä, Kolari, Muonio, Pello</v>
      </c>
      <c r="C82" s="2571"/>
      <c r="D82" s="2571"/>
      <c r="E82" s="2571"/>
      <c r="F82" s="2571"/>
      <c r="G82" s="2571"/>
      <c r="H82" s="2571"/>
      <c r="I82" s="2571"/>
      <c r="J82" s="2571"/>
      <c r="K82" s="2571"/>
      <c r="L82" s="2571"/>
      <c r="M82" s="2571"/>
      <c r="N82" s="688"/>
      <c r="O82" s="688"/>
      <c r="P82" s="688"/>
      <c r="Q82" s="441"/>
      <c r="R82" s="85" t="str">
        <f>'1. T1 INVESTMENT PLAN'!B67</f>
        <v>BP6 Financial Projection</v>
      </c>
    </row>
    <row r="83" spans="2:18" ht="15" x14ac:dyDescent="0.2">
      <c r="B83" s="2572" t="s">
        <v>453</v>
      </c>
      <c r="C83" s="2572"/>
      <c r="D83" s="2572"/>
      <c r="E83" s="2572"/>
      <c r="F83" s="2572"/>
      <c r="G83" s="2572"/>
      <c r="H83" s="2572"/>
      <c r="I83" s="2572"/>
      <c r="J83" s="2572"/>
      <c r="K83" s="129"/>
      <c r="M83" s="2573"/>
      <c r="N83" s="2574"/>
      <c r="O83" s="129"/>
      <c r="P83" s="129"/>
      <c r="Q83" s="129"/>
      <c r="R83" s="129"/>
    </row>
    <row r="84" spans="2:18" ht="15" x14ac:dyDescent="0.2">
      <c r="B84" s="1356"/>
      <c r="C84" s="1356"/>
      <c r="D84" s="618"/>
      <c r="E84" s="618"/>
      <c r="F84" s="1357"/>
      <c r="G84" s="645"/>
      <c r="H84" s="645"/>
      <c r="I84" s="645"/>
      <c r="J84" s="645"/>
      <c r="K84" s="645"/>
      <c r="M84" s="2575"/>
      <c r="N84" s="2575"/>
      <c r="O84" s="129"/>
      <c r="P84" s="129"/>
      <c r="Q84" s="129"/>
      <c r="R84" s="129"/>
    </row>
    <row r="85" spans="2:18" ht="2.1" customHeight="1" x14ac:dyDescent="0.2">
      <c r="B85" s="2576">
        <f>B7</f>
        <v>0</v>
      </c>
      <c r="C85" s="2576"/>
      <c r="D85" s="2576"/>
      <c r="E85" s="2576"/>
      <c r="F85" s="2576"/>
      <c r="G85" s="2576"/>
      <c r="H85" s="2576"/>
      <c r="I85" s="2576"/>
      <c r="J85" s="2576"/>
      <c r="K85" s="2576"/>
      <c r="L85" s="2576"/>
      <c r="M85" s="781"/>
      <c r="N85" s="781"/>
      <c r="O85" s="129"/>
      <c r="P85" s="129"/>
      <c r="Q85" s="129"/>
      <c r="R85" s="129"/>
    </row>
    <row r="86" spans="2:18" ht="2.1" customHeight="1" x14ac:dyDescent="0.2">
      <c r="B86" s="129"/>
      <c r="C86" s="129"/>
      <c r="D86" s="129"/>
      <c r="E86" s="129"/>
      <c r="F86" s="129"/>
      <c r="G86" s="129"/>
      <c r="H86" s="129"/>
      <c r="I86" s="129"/>
      <c r="J86" s="129"/>
      <c r="K86" s="129"/>
      <c r="L86" s="129"/>
      <c r="M86" s="129"/>
      <c r="N86" s="129"/>
      <c r="O86" s="129"/>
      <c r="P86" s="129"/>
      <c r="Q86" s="129"/>
      <c r="R86" s="129"/>
    </row>
    <row r="87" spans="2:18" x14ac:dyDescent="0.2">
      <c r="B87" s="2551" t="s">
        <v>379</v>
      </c>
      <c r="C87" s="2551"/>
      <c r="D87" s="2551"/>
      <c r="E87" s="2551"/>
      <c r="F87" s="2551"/>
      <c r="G87" s="2551"/>
      <c r="H87" s="2551"/>
      <c r="I87" s="2551"/>
      <c r="J87" s="2551"/>
      <c r="K87" s="2566" t="str">
        <f>K54</f>
        <v>YEAR</v>
      </c>
      <c r="L87" s="2566"/>
      <c r="M87" s="2566" t="str">
        <f>M54</f>
        <v>YEAR</v>
      </c>
      <c r="N87" s="2566"/>
      <c r="O87" s="2566" t="str">
        <f>O54</f>
        <v>YEAR</v>
      </c>
      <c r="P87" s="2566"/>
      <c r="Q87" s="2566" t="str">
        <f>Q54</f>
        <v>YEAR</v>
      </c>
      <c r="R87" s="2567"/>
    </row>
    <row r="88" spans="2:18" x14ac:dyDescent="0.2">
      <c r="B88" s="2551"/>
      <c r="C88" s="2551"/>
      <c r="D88" s="2551"/>
      <c r="E88" s="2551"/>
      <c r="F88" s="2551"/>
      <c r="G88" s="2551"/>
      <c r="H88" s="2551"/>
      <c r="I88" s="2551"/>
      <c r="J88" s="2551"/>
      <c r="K88" s="2568">
        <f>'6. T3 BALANCE SHEET '!G11</f>
        <v>2027</v>
      </c>
      <c r="L88" s="2569"/>
      <c r="M88" s="2568">
        <f>'6. T3 BALANCE SHEET '!H11</f>
        <v>2028</v>
      </c>
      <c r="N88" s="2569"/>
      <c r="O88" s="2568">
        <f>'6. T3 BALANCE SHEET '!I11</f>
        <v>2029</v>
      </c>
      <c r="P88" s="2569"/>
      <c r="Q88" s="2568">
        <f>'6. T3 BALANCE SHEET '!J11</f>
        <v>2030</v>
      </c>
      <c r="R88" s="2570"/>
    </row>
    <row r="89" spans="2:18" x14ac:dyDescent="0.2">
      <c r="B89" s="1966" t="s">
        <v>113</v>
      </c>
      <c r="C89" s="1903" t="s">
        <v>380</v>
      </c>
      <c r="D89" s="1903"/>
      <c r="E89" s="1903"/>
      <c r="F89" s="1903"/>
      <c r="G89" s="2577"/>
      <c r="H89" s="2577"/>
      <c r="I89" s="2577"/>
      <c r="J89" s="2578"/>
      <c r="K89" s="2579">
        <f>'6. T3 BALANCE SHEET '!G13/1000</f>
        <v>0</v>
      </c>
      <c r="L89" s="2579"/>
      <c r="M89" s="2579">
        <f>'6. T3 BALANCE SHEET '!H13/1000</f>
        <v>0</v>
      </c>
      <c r="N89" s="2579"/>
      <c r="O89" s="2579">
        <f>'6. T3 BALANCE SHEET '!I13/1000</f>
        <v>0</v>
      </c>
      <c r="P89" s="2579"/>
      <c r="Q89" s="2579">
        <f>'6. T3 BALANCE SHEET '!J13/1000</f>
        <v>0</v>
      </c>
      <c r="R89" s="2579"/>
    </row>
    <row r="90" spans="2:18" x14ac:dyDescent="0.2">
      <c r="B90" s="1847" t="s">
        <v>237</v>
      </c>
      <c r="C90" s="1903" t="s">
        <v>360</v>
      </c>
      <c r="D90" s="1903"/>
      <c r="E90" s="1903"/>
      <c r="F90" s="1903"/>
      <c r="G90" s="2577"/>
      <c r="H90" s="2577"/>
      <c r="I90" s="2577"/>
      <c r="J90" s="2578"/>
      <c r="K90" s="2579">
        <f>'6. T3 BALANCE SHEET '!G14/1000</f>
        <v>0</v>
      </c>
      <c r="L90" s="2579"/>
      <c r="M90" s="2579">
        <f>'6. T3 BALANCE SHEET '!H14/1000</f>
        <v>0</v>
      </c>
      <c r="N90" s="2579"/>
      <c r="O90" s="2579">
        <f>'6. T3 BALANCE SHEET '!I14/1000</f>
        <v>0</v>
      </c>
      <c r="P90" s="2579"/>
      <c r="Q90" s="2579">
        <f>'6. T3 BALANCE SHEET '!J14/1000</f>
        <v>0</v>
      </c>
      <c r="R90" s="2579"/>
    </row>
    <row r="91" spans="2:18" x14ac:dyDescent="0.2">
      <c r="B91" s="1847" t="s">
        <v>238</v>
      </c>
      <c r="C91" s="1903" t="s">
        <v>381</v>
      </c>
      <c r="D91" s="1903"/>
      <c r="E91" s="1903"/>
      <c r="F91" s="1903"/>
      <c r="G91" s="2577"/>
      <c r="H91" s="2577"/>
      <c r="I91" s="2577"/>
      <c r="J91" s="2578"/>
      <c r="K91" s="2579">
        <f>'6. T3 BALANCE SHEET '!G18/1000</f>
        <v>0</v>
      </c>
      <c r="L91" s="2579"/>
      <c r="M91" s="2579">
        <f>'6. T3 BALANCE SHEET '!H18/1000</f>
        <v>0</v>
      </c>
      <c r="N91" s="2579"/>
      <c r="O91" s="2579">
        <f>'6. T3 BALANCE SHEET '!I18/1000</f>
        <v>0</v>
      </c>
      <c r="P91" s="2579"/>
      <c r="Q91" s="2579">
        <f>'6. T3 BALANCE SHEET '!J18/1000</f>
        <v>0</v>
      </c>
      <c r="R91" s="2579"/>
    </row>
    <row r="92" spans="2:18" x14ac:dyDescent="0.2">
      <c r="B92" s="1847"/>
      <c r="C92" s="1900" t="s">
        <v>382</v>
      </c>
      <c r="D92" s="1900"/>
      <c r="E92" s="1900"/>
      <c r="F92" s="1900"/>
      <c r="G92" s="2580"/>
      <c r="H92" s="2580"/>
      <c r="I92" s="2580"/>
      <c r="J92" s="2581"/>
      <c r="K92" s="2565">
        <f>'6. T3 BALANCE SHEET '!G19/1000</f>
        <v>0</v>
      </c>
      <c r="L92" s="2565"/>
      <c r="M92" s="2565">
        <f>'6. T3 BALANCE SHEET '!H19/1000</f>
        <v>0</v>
      </c>
      <c r="N92" s="2565"/>
      <c r="O92" s="2565">
        <f>'6. T3 BALANCE SHEET '!I19/1000</f>
        <v>0</v>
      </c>
      <c r="P92" s="2565"/>
      <c r="Q92" s="2565">
        <f>'6. T3 BALANCE SHEET '!J19/1000</f>
        <v>0</v>
      </c>
      <c r="R92" s="2565"/>
    </row>
    <row r="93" spans="2:18" x14ac:dyDescent="0.2">
      <c r="B93" s="1847"/>
      <c r="C93" s="1900" t="s">
        <v>383</v>
      </c>
      <c r="D93" s="1900"/>
      <c r="E93" s="1900"/>
      <c r="F93" s="1900"/>
      <c r="G93" s="2580"/>
      <c r="H93" s="2580"/>
      <c r="I93" s="2580"/>
      <c r="J93" s="2581"/>
      <c r="K93" s="2565">
        <f>'6. T3 BALANCE SHEET '!G22/1000</f>
        <v>0</v>
      </c>
      <c r="L93" s="2565"/>
      <c r="M93" s="2565">
        <f>'6. T3 BALANCE SHEET '!H22/1000</f>
        <v>0</v>
      </c>
      <c r="N93" s="2565"/>
      <c r="O93" s="2565">
        <f>'6. T3 BALANCE SHEET '!I22/1000</f>
        <v>0</v>
      </c>
      <c r="P93" s="2565"/>
      <c r="Q93" s="2565">
        <f>'6. T3 BALANCE SHEET '!J22/1000</f>
        <v>0</v>
      </c>
      <c r="R93" s="2565"/>
    </row>
    <row r="94" spans="2:18" x14ac:dyDescent="0.2">
      <c r="B94" s="1847"/>
      <c r="C94" s="1900" t="s">
        <v>384</v>
      </c>
      <c r="D94" s="1900"/>
      <c r="E94" s="1900"/>
      <c r="F94" s="1900"/>
      <c r="G94" s="2580"/>
      <c r="H94" s="2580"/>
      <c r="I94" s="2580"/>
      <c r="J94" s="2581"/>
      <c r="K94" s="2565">
        <f>'6. T3 BALANCE SHEET '!G26/1000</f>
        <v>0</v>
      </c>
      <c r="L94" s="2565"/>
      <c r="M94" s="2565">
        <f>'6. T3 BALANCE SHEET '!H26/1000</f>
        <v>0</v>
      </c>
      <c r="N94" s="2565"/>
      <c r="O94" s="2565">
        <f>'6. T3 BALANCE SHEET '!I26/1000</f>
        <v>0</v>
      </c>
      <c r="P94" s="2565"/>
      <c r="Q94" s="2565">
        <f>'6. T3 BALANCE SHEET '!J26/1000</f>
        <v>0</v>
      </c>
      <c r="R94" s="2565"/>
    </row>
    <row r="95" spans="2:18" x14ac:dyDescent="0.2">
      <c r="B95" s="1847"/>
      <c r="C95" s="1900" t="s">
        <v>385</v>
      </c>
      <c r="D95" s="1900"/>
      <c r="E95" s="1900"/>
      <c r="F95" s="1900"/>
      <c r="G95" s="2580"/>
      <c r="H95" s="2580"/>
      <c r="I95" s="2580"/>
      <c r="J95" s="2581"/>
      <c r="K95" s="2565">
        <f>'6. T3 BALANCE SHEET '!G30/1000</f>
        <v>0</v>
      </c>
      <c r="L95" s="2565"/>
      <c r="M95" s="2565">
        <f>'6. T3 BALANCE SHEET '!H30/1000</f>
        <v>0</v>
      </c>
      <c r="N95" s="2565"/>
      <c r="O95" s="2565">
        <f>'6. T3 BALANCE SHEET '!I30/1000</f>
        <v>0</v>
      </c>
      <c r="P95" s="2565"/>
      <c r="Q95" s="2565">
        <f>'6. T3 BALANCE SHEET '!J30/1000</f>
        <v>0</v>
      </c>
      <c r="R95" s="2565"/>
    </row>
    <row r="96" spans="2:18" x14ac:dyDescent="0.2">
      <c r="B96" s="1847" t="s">
        <v>239</v>
      </c>
      <c r="C96" s="1903" t="s">
        <v>386</v>
      </c>
      <c r="D96" s="1903"/>
      <c r="E96" s="1903"/>
      <c r="F96" s="1903"/>
      <c r="G96" s="2577"/>
      <c r="H96" s="2577"/>
      <c r="I96" s="2577"/>
      <c r="J96" s="2578"/>
      <c r="K96" s="2579">
        <f>'6. T3 BALANCE SHEET '!G34/1000</f>
        <v>0</v>
      </c>
      <c r="L96" s="2579"/>
      <c r="M96" s="2579">
        <f>'6. T3 BALANCE SHEET '!H34/1000</f>
        <v>0</v>
      </c>
      <c r="N96" s="2579"/>
      <c r="O96" s="2579">
        <f>'6. T3 BALANCE SHEET '!I34/1000</f>
        <v>0</v>
      </c>
      <c r="P96" s="2579"/>
      <c r="Q96" s="2579">
        <f>'6. T3 BALANCE SHEET '!J34/1000</f>
        <v>0</v>
      </c>
      <c r="R96" s="2579"/>
    </row>
    <row r="97" spans="2:18" x14ac:dyDescent="0.2">
      <c r="B97" s="1963" t="s">
        <v>111</v>
      </c>
      <c r="C97" s="1903" t="s">
        <v>387</v>
      </c>
      <c r="D97" s="1903"/>
      <c r="E97" s="1903"/>
      <c r="F97" s="1903"/>
      <c r="G97" s="2577"/>
      <c r="H97" s="2577"/>
      <c r="I97" s="2577"/>
      <c r="J97" s="2578"/>
      <c r="K97" s="2579">
        <f>'6. T3 BALANCE SHEET '!G38/1000</f>
        <v>0</v>
      </c>
      <c r="L97" s="2579"/>
      <c r="M97" s="2579">
        <f>'6. T3 BALANCE SHEET '!H38/1000</f>
        <v>0</v>
      </c>
      <c r="N97" s="2579"/>
      <c r="O97" s="2579">
        <f>'6. T3 BALANCE SHEET '!I38/1000</f>
        <v>0</v>
      </c>
      <c r="P97" s="2579"/>
      <c r="Q97" s="2579">
        <f>'6. T3 BALANCE SHEET '!J38/1000</f>
        <v>0</v>
      </c>
      <c r="R97" s="2579"/>
    </row>
    <row r="98" spans="2:18" x14ac:dyDescent="0.2">
      <c r="B98" s="1963" t="s">
        <v>240</v>
      </c>
      <c r="C98" s="1968" t="s">
        <v>700</v>
      </c>
      <c r="D98" s="1903"/>
      <c r="E98" s="1903"/>
      <c r="F98" s="1903"/>
      <c r="G98" s="2577"/>
      <c r="H98" s="2577"/>
      <c r="I98" s="2577"/>
      <c r="J98" s="2578"/>
      <c r="K98" s="2579">
        <f>'6. T3 BALANCE SHEET '!G39/1000</f>
        <v>0</v>
      </c>
      <c r="L98" s="2579"/>
      <c r="M98" s="2579">
        <f>'6. T3 BALANCE SHEET '!H39/1000</f>
        <v>0</v>
      </c>
      <c r="N98" s="2579"/>
      <c r="O98" s="2579">
        <f>'6. T3 BALANCE SHEET '!I39/1000</f>
        <v>0</v>
      </c>
      <c r="P98" s="2579"/>
      <c r="Q98" s="2579">
        <f>'6. T3 BALANCE SHEET '!J39/1000</f>
        <v>0</v>
      </c>
      <c r="R98" s="2579"/>
    </row>
    <row r="99" spans="2:18" x14ac:dyDescent="0.2">
      <c r="B99" s="1967"/>
      <c r="C99" s="2582" t="s">
        <v>701</v>
      </c>
      <c r="D99" s="2582"/>
      <c r="E99" s="2582"/>
      <c r="F99" s="2582"/>
      <c r="G99" s="2582"/>
      <c r="H99" s="2582"/>
      <c r="I99" s="2582"/>
      <c r="J99" s="2583"/>
      <c r="K99" s="2584">
        <f>'6. T3 BALANCE SHEET '!G40</f>
        <v>0</v>
      </c>
      <c r="L99" s="2584"/>
      <c r="M99" s="2584">
        <f>'6. T3 BALANCE SHEET '!H40</f>
        <v>0</v>
      </c>
      <c r="N99" s="2584"/>
      <c r="O99" s="2584">
        <f>'6. T3 BALANCE SHEET '!I40</f>
        <v>0</v>
      </c>
      <c r="P99" s="2584"/>
      <c r="Q99" s="2584">
        <f>'6. T3 BALANCE SHEET '!J40</f>
        <v>0</v>
      </c>
      <c r="R99" s="2584"/>
    </row>
    <row r="100" spans="2:18" x14ac:dyDescent="0.2">
      <c r="B100" s="1847" t="s">
        <v>238</v>
      </c>
      <c r="C100" s="1903" t="s">
        <v>388</v>
      </c>
      <c r="D100" s="1903"/>
      <c r="E100" s="1903"/>
      <c r="F100" s="1903"/>
      <c r="G100" s="2577"/>
      <c r="H100" s="2577"/>
      <c r="I100" s="2577"/>
      <c r="J100" s="2578"/>
      <c r="K100" s="2579">
        <f>'6. T3 BALANCE SHEET '!G41/1000</f>
        <v>0</v>
      </c>
      <c r="L100" s="2579"/>
      <c r="M100" s="2579">
        <f>'6. T3 BALANCE SHEET '!H41/1000</f>
        <v>0</v>
      </c>
      <c r="N100" s="2579"/>
      <c r="O100" s="2579">
        <f>'6. T3 BALANCE SHEET '!I41/1000</f>
        <v>0</v>
      </c>
      <c r="P100" s="2579"/>
      <c r="Q100" s="2579">
        <f>'6. T3 BALANCE SHEET '!J41/1000</f>
        <v>0</v>
      </c>
      <c r="R100" s="2579"/>
    </row>
    <row r="101" spans="2:18" x14ac:dyDescent="0.2">
      <c r="B101" s="1847" t="s">
        <v>0</v>
      </c>
      <c r="C101" s="1900" t="s">
        <v>461</v>
      </c>
      <c r="D101" s="1900"/>
      <c r="E101" s="1900"/>
      <c r="F101" s="1900"/>
      <c r="G101" s="2580"/>
      <c r="H101" s="2580"/>
      <c r="I101" s="2580"/>
      <c r="J101" s="2581"/>
      <c r="K101" s="2565">
        <f>'6. T3 BALANCE SHEET '!G42/1000</f>
        <v>0</v>
      </c>
      <c r="L101" s="2565"/>
      <c r="M101" s="2565">
        <f>'6. T3 BALANCE SHEET '!H42/1000</f>
        <v>0</v>
      </c>
      <c r="N101" s="2565"/>
      <c r="O101" s="2565">
        <f>'6. T3 BALANCE SHEET '!I42/1000</f>
        <v>0</v>
      </c>
      <c r="P101" s="2565"/>
      <c r="Q101" s="2565">
        <f>'6. T3 BALANCE SHEET '!J42/1000</f>
        <v>0</v>
      </c>
      <c r="R101" s="2565"/>
    </row>
    <row r="102" spans="2:18" x14ac:dyDescent="0.2">
      <c r="B102" s="1847"/>
      <c r="C102" s="2582" t="s">
        <v>702</v>
      </c>
      <c r="D102" s="2582"/>
      <c r="E102" s="1965"/>
      <c r="F102" s="1965"/>
      <c r="G102" s="2589"/>
      <c r="H102" s="2589"/>
      <c r="I102" s="2589"/>
      <c r="J102" s="2590"/>
      <c r="K102" s="2586">
        <f>'6. T3 BALANCE SHEET '!G43</f>
        <v>14</v>
      </c>
      <c r="L102" s="2586"/>
      <c r="M102" s="2586">
        <f>'6. T3 BALANCE SHEET '!H43</f>
        <v>14</v>
      </c>
      <c r="N102" s="2586"/>
      <c r="O102" s="2586">
        <f>'6. T3 BALANCE SHEET '!I43</f>
        <v>14</v>
      </c>
      <c r="P102" s="2586"/>
      <c r="Q102" s="2586">
        <f>'6. T3 BALANCE SHEET '!J43</f>
        <v>14</v>
      </c>
      <c r="R102" s="2586"/>
    </row>
    <row r="103" spans="2:18" x14ac:dyDescent="0.2">
      <c r="B103" s="1847" t="s">
        <v>0</v>
      </c>
      <c r="C103" s="2587" t="s">
        <v>457</v>
      </c>
      <c r="D103" s="2587"/>
      <c r="E103" s="2587"/>
      <c r="F103" s="2587"/>
      <c r="G103" s="2587"/>
      <c r="H103" s="2587"/>
      <c r="I103" s="2587"/>
      <c r="J103" s="2588"/>
      <c r="K103" s="2565">
        <f>'6. T3 BALANCE SHEET '!G44/1000</f>
        <v>0</v>
      </c>
      <c r="L103" s="2565"/>
      <c r="M103" s="2565">
        <f>'6. T3 BALANCE SHEET '!H44/1000</f>
        <v>0</v>
      </c>
      <c r="N103" s="2565"/>
      <c r="O103" s="2565">
        <f>'6. T3 BALANCE SHEET '!I44/1000</f>
        <v>0</v>
      </c>
      <c r="P103" s="2565"/>
      <c r="Q103" s="2565">
        <f>'6. T3 BALANCE SHEET '!J44/1000</f>
        <v>0</v>
      </c>
      <c r="R103" s="2565"/>
    </row>
    <row r="104" spans="2:18" x14ac:dyDescent="0.2">
      <c r="B104" s="1847" t="s">
        <v>0</v>
      </c>
      <c r="C104" s="1900" t="s">
        <v>389</v>
      </c>
      <c r="D104" s="1900"/>
      <c r="E104" s="1900"/>
      <c r="F104" s="1900"/>
      <c r="G104" s="2563"/>
      <c r="H104" s="2563"/>
      <c r="I104" s="2563"/>
      <c r="J104" s="2585"/>
      <c r="K104" s="2565">
        <f>'6. T3 BALANCE SHEET '!G46/1000</f>
        <v>0</v>
      </c>
      <c r="L104" s="2565"/>
      <c r="M104" s="2565">
        <f>'6. T3 BALANCE SHEET '!H46/1000</f>
        <v>0</v>
      </c>
      <c r="N104" s="2565"/>
      <c r="O104" s="2565">
        <f>'6. T3 BALANCE SHEET '!I46/1000</f>
        <v>0</v>
      </c>
      <c r="P104" s="2565"/>
      <c r="Q104" s="2565">
        <f>'6. T3 BALANCE SHEET '!J46/1000</f>
        <v>0</v>
      </c>
      <c r="R104" s="2565"/>
    </row>
    <row r="105" spans="2:18" x14ac:dyDescent="0.2">
      <c r="B105" s="1847"/>
      <c r="C105" s="1900" t="s">
        <v>705</v>
      </c>
      <c r="D105" s="1900"/>
      <c r="E105" s="1900"/>
      <c r="F105" s="1900"/>
      <c r="G105" s="2580"/>
      <c r="H105" s="2580"/>
      <c r="I105" s="2580"/>
      <c r="J105" s="2581"/>
      <c r="K105" s="2565">
        <f>'6. T3 BALANCE SHEET '!G47/1000</f>
        <v>0</v>
      </c>
      <c r="L105" s="2565"/>
      <c r="M105" s="2565">
        <f>'6. T3 BALANCE SHEET '!H47/1000</f>
        <v>0</v>
      </c>
      <c r="N105" s="2565"/>
      <c r="O105" s="2565">
        <f>'6. T3 BALANCE SHEET '!I47/1000</f>
        <v>0</v>
      </c>
      <c r="P105" s="2565"/>
      <c r="Q105" s="2565">
        <f>'6. T3 BALANCE SHEET '!J47/1000</f>
        <v>0</v>
      </c>
      <c r="R105" s="2565"/>
    </row>
    <row r="106" spans="2:18" x14ac:dyDescent="0.2">
      <c r="B106" s="1847" t="s">
        <v>239</v>
      </c>
      <c r="C106" s="1903" t="s">
        <v>390</v>
      </c>
      <c r="D106" s="1903"/>
      <c r="E106" s="1903"/>
      <c r="F106" s="1903"/>
      <c r="G106" s="2577"/>
      <c r="H106" s="2577"/>
      <c r="I106" s="2577"/>
      <c r="J106" s="2578"/>
      <c r="K106" s="2579">
        <f>'6. T3 BALANCE SHEET '!G48/1000</f>
        <v>0</v>
      </c>
      <c r="L106" s="2579"/>
      <c r="M106" s="2579">
        <f>'6. T3 BALANCE SHEET '!H48/1000</f>
        <v>0</v>
      </c>
      <c r="N106" s="2579"/>
      <c r="O106" s="2579">
        <f>'6. T3 BALANCE SHEET '!I48/1000</f>
        <v>0</v>
      </c>
      <c r="P106" s="2579"/>
      <c r="Q106" s="2579">
        <f>'6. T3 BALANCE SHEET '!J48/1000</f>
        <v>0</v>
      </c>
      <c r="R106" s="2579"/>
    </row>
    <row r="107" spans="2:18" x14ac:dyDescent="0.2">
      <c r="B107" s="1964" t="s">
        <v>241</v>
      </c>
      <c r="C107" s="1903" t="s">
        <v>391</v>
      </c>
      <c r="D107" s="1903"/>
      <c r="E107" s="1903"/>
      <c r="F107" s="1903"/>
      <c r="G107" s="2577"/>
      <c r="H107" s="2577"/>
      <c r="I107" s="2577"/>
      <c r="J107" s="2578"/>
      <c r="K107" s="2579">
        <f>'6. T3 BALANCE SHEET '!G49/1000</f>
        <v>0</v>
      </c>
      <c r="L107" s="2579"/>
      <c r="M107" s="2579">
        <f>'6. T3 BALANCE SHEET '!H49/1000</f>
        <v>0</v>
      </c>
      <c r="N107" s="2579"/>
      <c r="O107" s="2579">
        <f>'6. T3 BALANCE SHEET '!I49/1000</f>
        <v>0</v>
      </c>
      <c r="P107" s="2579"/>
      <c r="Q107" s="2579">
        <f>'6. T3 BALANCE SHEET '!J49/1000</f>
        <v>0</v>
      </c>
      <c r="R107" s="2579"/>
    </row>
    <row r="108" spans="2:18" ht="20.100000000000001" customHeight="1" x14ac:dyDescent="0.2">
      <c r="B108" s="1966"/>
      <c r="C108" s="645" t="s">
        <v>392</v>
      </c>
      <c r="D108" s="1846"/>
      <c r="E108" s="1846"/>
      <c r="F108" s="1846"/>
      <c r="G108" s="2591"/>
      <c r="H108" s="2592"/>
      <c r="I108" s="2591"/>
      <c r="J108" s="2592"/>
      <c r="K108" s="2593">
        <f>'6. T3 BALANCE SHEET '!G51/1000</f>
        <v>0</v>
      </c>
      <c r="L108" s="2593"/>
      <c r="M108" s="2593">
        <f>'6. T3 BALANCE SHEET '!H51/1000</f>
        <v>0</v>
      </c>
      <c r="N108" s="2593"/>
      <c r="O108" s="2593">
        <f>'6. T3 BALANCE SHEET '!I51/1000</f>
        <v>0</v>
      </c>
      <c r="P108" s="2593"/>
      <c r="Q108" s="2593">
        <f>'6. T3 BALANCE SHEET '!J51/1000</f>
        <v>0</v>
      </c>
      <c r="R108" s="2593"/>
    </row>
    <row r="109" spans="2:18" x14ac:dyDescent="0.2">
      <c r="B109" s="2594" t="s">
        <v>393</v>
      </c>
      <c r="C109" s="2594"/>
      <c r="D109" s="2594"/>
      <c r="E109" s="2594"/>
      <c r="F109" s="2594"/>
      <c r="G109" s="2594"/>
      <c r="H109" s="2594"/>
      <c r="I109" s="2594"/>
      <c r="J109" s="2594"/>
      <c r="K109" s="2566" t="str">
        <f>K87</f>
        <v>YEAR</v>
      </c>
      <c r="L109" s="2566"/>
      <c r="M109" s="2566" t="str">
        <f>M87</f>
        <v>YEAR</v>
      </c>
      <c r="N109" s="2566"/>
      <c r="O109" s="2566" t="str">
        <f>O87</f>
        <v>YEAR</v>
      </c>
      <c r="P109" s="2566"/>
      <c r="Q109" s="2566" t="str">
        <f>Q87</f>
        <v>YEAR</v>
      </c>
      <c r="R109" s="2566"/>
    </row>
    <row r="110" spans="2:18" x14ac:dyDescent="0.2">
      <c r="B110" s="2595"/>
      <c r="C110" s="2595"/>
      <c r="D110" s="2595"/>
      <c r="E110" s="2595"/>
      <c r="F110" s="2595"/>
      <c r="G110" s="2595"/>
      <c r="H110" s="2595"/>
      <c r="I110" s="2595"/>
      <c r="J110" s="2595"/>
      <c r="K110" s="2569">
        <f>K88</f>
        <v>2027</v>
      </c>
      <c r="L110" s="2569"/>
      <c r="M110" s="2569">
        <f>M88</f>
        <v>2028</v>
      </c>
      <c r="N110" s="2569"/>
      <c r="O110" s="2569">
        <f>O88</f>
        <v>2029</v>
      </c>
      <c r="P110" s="2569"/>
      <c r="Q110" s="2569">
        <f>Q88</f>
        <v>2030</v>
      </c>
      <c r="R110" s="2569"/>
    </row>
    <row r="111" spans="2:18" x14ac:dyDescent="0.2">
      <c r="B111" s="1966" t="s">
        <v>116</v>
      </c>
      <c r="C111" s="1903" t="s">
        <v>394</v>
      </c>
      <c r="D111" s="1903"/>
      <c r="E111" s="1903"/>
      <c r="F111" s="1903"/>
      <c r="G111" s="2577"/>
      <c r="H111" s="2577"/>
      <c r="I111" s="2598"/>
      <c r="J111" s="2599"/>
      <c r="K111" s="2579">
        <f>'6. T3 BALANCE SHEET '!G56/1000</f>
        <v>0</v>
      </c>
      <c r="L111" s="2579"/>
      <c r="M111" s="2579">
        <f>'6. T3 BALANCE SHEET '!H56/1000</f>
        <v>0</v>
      </c>
      <c r="N111" s="2579"/>
      <c r="O111" s="2579">
        <f>'6. T3 BALANCE SHEET '!I56/1000</f>
        <v>0</v>
      </c>
      <c r="P111" s="2579"/>
      <c r="Q111" s="2579">
        <f>'6. T3 BALANCE SHEET '!J56/1000</f>
        <v>0</v>
      </c>
      <c r="R111" s="2579"/>
    </row>
    <row r="112" spans="2:18" x14ac:dyDescent="0.2">
      <c r="B112" s="1847"/>
      <c r="C112" s="1900" t="s">
        <v>709</v>
      </c>
      <c r="D112" s="1900"/>
      <c r="E112" s="1900"/>
      <c r="F112" s="1900"/>
      <c r="G112" s="2580"/>
      <c r="H112" s="2580"/>
      <c r="I112" s="2596"/>
      <c r="J112" s="2597"/>
      <c r="K112" s="2565">
        <f>'6. T3 BALANCE SHEET '!G57/1000</f>
        <v>0</v>
      </c>
      <c r="L112" s="2565"/>
      <c r="M112" s="2565">
        <f>'6. T3 BALANCE SHEET '!H57/1000</f>
        <v>0</v>
      </c>
      <c r="N112" s="2565"/>
      <c r="O112" s="2565">
        <f>'6. T3 BALANCE SHEET '!I57/1000</f>
        <v>0</v>
      </c>
      <c r="P112" s="2565"/>
      <c r="Q112" s="2565">
        <f>'6. T3 BALANCE SHEET '!J57/1000</f>
        <v>0</v>
      </c>
      <c r="R112" s="2565"/>
    </row>
    <row r="113" spans="2:18" x14ac:dyDescent="0.2">
      <c r="B113" s="1847"/>
      <c r="C113" s="1900" t="s">
        <v>710</v>
      </c>
      <c r="D113" s="1900"/>
      <c r="E113" s="1900"/>
      <c r="F113" s="1900"/>
      <c r="G113" s="2580"/>
      <c r="H113" s="2580"/>
      <c r="I113" s="2596"/>
      <c r="J113" s="2597"/>
      <c r="K113" s="2565">
        <f>'6. T3 BALANCE SHEET '!G58/1000</f>
        <v>0</v>
      </c>
      <c r="L113" s="2565"/>
      <c r="M113" s="2565">
        <f>'6. T3 BALANCE SHEET '!H58/1000</f>
        <v>0</v>
      </c>
      <c r="N113" s="2565"/>
      <c r="O113" s="2565">
        <f>'6. T3 BALANCE SHEET '!I58/1000</f>
        <v>0</v>
      </c>
      <c r="P113" s="2565"/>
      <c r="Q113" s="2565">
        <f>'6. T3 BALANCE SHEET '!J58/1000</f>
        <v>0</v>
      </c>
      <c r="R113" s="2565"/>
    </row>
    <row r="114" spans="2:18" x14ac:dyDescent="0.2">
      <c r="B114" s="1847"/>
      <c r="C114" s="1900" t="s">
        <v>395</v>
      </c>
      <c r="D114" s="1900"/>
      <c r="E114" s="1900"/>
      <c r="F114" s="1900"/>
      <c r="G114" s="2580"/>
      <c r="H114" s="2580"/>
      <c r="I114" s="2596"/>
      <c r="J114" s="2597"/>
      <c r="K114" s="2565">
        <f>'6. T3 BALANCE SHEET '!G59/1000</f>
        <v>0</v>
      </c>
      <c r="L114" s="2565"/>
      <c r="M114" s="2565">
        <f>'6. T3 BALANCE SHEET '!H59/1000</f>
        <v>0</v>
      </c>
      <c r="N114" s="2565"/>
      <c r="O114" s="2565">
        <f>'6. T3 BALANCE SHEET '!I59/1000</f>
        <v>0</v>
      </c>
      <c r="P114" s="2565"/>
      <c r="Q114" s="2565">
        <f>'6. T3 BALANCE SHEET '!J59/1000</f>
        <v>0</v>
      </c>
      <c r="R114" s="2565"/>
    </row>
    <row r="115" spans="2:18" x14ac:dyDescent="0.2">
      <c r="B115" s="1847"/>
      <c r="C115" s="1900" t="s">
        <v>396</v>
      </c>
      <c r="D115" s="1900"/>
      <c r="E115" s="1900"/>
      <c r="F115" s="1900"/>
      <c r="G115" s="2580"/>
      <c r="H115" s="2580"/>
      <c r="I115" s="2596"/>
      <c r="J115" s="2597"/>
      <c r="K115" s="2565">
        <f>'6. T3 BALANCE SHEET '!G60/1000</f>
        <v>0</v>
      </c>
      <c r="L115" s="2565"/>
      <c r="M115" s="2565">
        <f>'6. T3 BALANCE SHEET '!H60/1000</f>
        <v>0</v>
      </c>
      <c r="N115" s="2565"/>
      <c r="O115" s="2565">
        <f>'6. T3 BALANCE SHEET '!I60/1000</f>
        <v>0</v>
      </c>
      <c r="P115" s="2565"/>
      <c r="Q115" s="2565">
        <f>'6. T3 BALANCE SHEET '!J60/1000</f>
        <v>0</v>
      </c>
      <c r="R115" s="2565"/>
    </row>
    <row r="116" spans="2:18" x14ac:dyDescent="0.2">
      <c r="B116" s="1847"/>
      <c r="C116" s="1900" t="s">
        <v>714</v>
      </c>
      <c r="D116" s="1900"/>
      <c r="E116" s="1900"/>
      <c r="F116" s="1900"/>
      <c r="G116" s="2580"/>
      <c r="H116" s="2580"/>
      <c r="I116" s="2596"/>
      <c r="J116" s="2597"/>
      <c r="K116" s="2565">
        <f>'6. T3 BALANCE SHEET '!G61/1000</f>
        <v>0</v>
      </c>
      <c r="L116" s="2565"/>
      <c r="M116" s="2565">
        <f>'6. T3 BALANCE SHEET '!H61/1000</f>
        <v>0</v>
      </c>
      <c r="N116" s="2565"/>
      <c r="O116" s="2565">
        <f>'6. T3 BALANCE SHEET '!I61/1000</f>
        <v>0</v>
      </c>
      <c r="P116" s="2565"/>
      <c r="Q116" s="2565">
        <f>'6. T3 BALANCE SHEET '!J61/1000</f>
        <v>0</v>
      </c>
      <c r="R116" s="2565"/>
    </row>
    <row r="117" spans="2:18" x14ac:dyDescent="0.2">
      <c r="B117" s="1963" t="s">
        <v>325</v>
      </c>
      <c r="C117" s="1903" t="s">
        <v>711</v>
      </c>
      <c r="D117" s="1903"/>
      <c r="E117" s="1903"/>
      <c r="F117" s="1903"/>
      <c r="G117" s="2577"/>
      <c r="H117" s="2577"/>
      <c r="I117" s="2598"/>
      <c r="J117" s="2599"/>
      <c r="K117" s="2579">
        <f>'6. T3 BALANCE SHEET '!G62/1000</f>
        <v>0</v>
      </c>
      <c r="L117" s="2579"/>
      <c r="M117" s="2579">
        <f>'6. T3 BALANCE SHEET '!H62/1000</f>
        <v>0</v>
      </c>
      <c r="N117" s="2579"/>
      <c r="O117" s="2579">
        <f>'6. T3 BALANCE SHEET '!I62/1000</f>
        <v>0</v>
      </c>
      <c r="P117" s="2579"/>
      <c r="Q117" s="2579">
        <f>'6. T3 BALANCE SHEET '!J62/1000</f>
        <v>0</v>
      </c>
      <c r="R117" s="2579"/>
    </row>
    <row r="118" spans="2:18" x14ac:dyDescent="0.2">
      <c r="B118" s="1963" t="s">
        <v>127</v>
      </c>
      <c r="C118" s="1903" t="s">
        <v>397</v>
      </c>
      <c r="D118" s="1903"/>
      <c r="E118" s="1903"/>
      <c r="F118" s="1903"/>
      <c r="G118" s="2577"/>
      <c r="H118" s="2577"/>
      <c r="I118" s="2598"/>
      <c r="J118" s="2599"/>
      <c r="K118" s="2579">
        <f>'6. T3 BALANCE SHEET '!G66/1000</f>
        <v>0</v>
      </c>
      <c r="L118" s="2579"/>
      <c r="M118" s="2579">
        <f>'6. T3 BALANCE SHEET '!H66/1000</f>
        <v>0</v>
      </c>
      <c r="N118" s="2579"/>
      <c r="O118" s="2579">
        <f>'6. T3 BALANCE SHEET '!I66/1000</f>
        <v>0</v>
      </c>
      <c r="P118" s="2579"/>
      <c r="Q118" s="2579">
        <f>'6. T3 BALANCE SHEET '!J66/1000</f>
        <v>0</v>
      </c>
      <c r="R118" s="2579"/>
    </row>
    <row r="119" spans="2:18" x14ac:dyDescent="0.2">
      <c r="B119" s="1963" t="s">
        <v>185</v>
      </c>
      <c r="C119" s="1903" t="s">
        <v>830</v>
      </c>
      <c r="D119" s="1903"/>
      <c r="E119" s="1903"/>
      <c r="F119" s="1903"/>
      <c r="G119" s="2577"/>
      <c r="H119" s="2577"/>
      <c r="I119" s="2598"/>
      <c r="J119" s="2599"/>
      <c r="K119" s="2579">
        <f>'6. T3 BALANCE SHEET '!G67/1000</f>
        <v>0</v>
      </c>
      <c r="L119" s="2579"/>
      <c r="M119" s="2579">
        <f>'6. T3 BALANCE SHEET '!H67/1000</f>
        <v>0</v>
      </c>
      <c r="N119" s="2579"/>
      <c r="O119" s="2579">
        <f>'6. T3 BALANCE SHEET '!I67/1000</f>
        <v>0</v>
      </c>
      <c r="P119" s="2579"/>
      <c r="Q119" s="2579">
        <f>'6. T3 BALANCE SHEET '!J67/1000</f>
        <v>0</v>
      </c>
      <c r="R119" s="2579"/>
    </row>
    <row r="120" spans="2:18" x14ac:dyDescent="0.2">
      <c r="B120" s="1847" t="s">
        <v>0</v>
      </c>
      <c r="C120" s="1900" t="s">
        <v>398</v>
      </c>
      <c r="D120" s="1900"/>
      <c r="E120" s="1900"/>
      <c r="F120" s="1900"/>
      <c r="G120" s="2580"/>
      <c r="H120" s="2580"/>
      <c r="I120" s="2596"/>
      <c r="J120" s="2597"/>
      <c r="K120" s="2565">
        <f>'6. T3 BALANCE SHEET '!G68/1000</f>
        <v>0</v>
      </c>
      <c r="L120" s="2565"/>
      <c r="M120" s="2565">
        <f>'6. T3 BALANCE SHEET '!H68/1000</f>
        <v>0</v>
      </c>
      <c r="N120" s="2565"/>
      <c r="O120" s="2565">
        <f>'6. T3 BALANCE SHEET '!I68/1000</f>
        <v>0</v>
      </c>
      <c r="P120" s="2565"/>
      <c r="Q120" s="2565">
        <f>'6. T3 BALANCE SHEET '!J68/1000</f>
        <v>0</v>
      </c>
      <c r="R120" s="2565"/>
    </row>
    <row r="121" spans="2:18" x14ac:dyDescent="0.2">
      <c r="B121" s="1847" t="s">
        <v>0</v>
      </c>
      <c r="C121" s="1951" t="s">
        <v>399</v>
      </c>
      <c r="D121" s="1951"/>
      <c r="E121" s="1951"/>
      <c r="F121" s="1951"/>
      <c r="G121" s="2580"/>
      <c r="H121" s="2580"/>
      <c r="I121" s="2596"/>
      <c r="J121" s="2597"/>
      <c r="K121" s="2565">
        <f>'6. T3 BALANCE SHEET '!G69/1000</f>
        <v>0</v>
      </c>
      <c r="L121" s="2565"/>
      <c r="M121" s="2565">
        <f>'6. T3 BALANCE SHEET '!H69/1000</f>
        <v>0</v>
      </c>
      <c r="N121" s="2565"/>
      <c r="O121" s="2565">
        <f>'6. T3 BALANCE SHEET '!I69/1000</f>
        <v>0</v>
      </c>
      <c r="P121" s="2565"/>
      <c r="Q121" s="2565">
        <f>'6. T3 BALANCE SHEET '!J69/1000</f>
        <v>0</v>
      </c>
      <c r="R121" s="2565"/>
    </row>
    <row r="122" spans="2:18" x14ac:dyDescent="0.2">
      <c r="B122" s="1847" t="s">
        <v>0</v>
      </c>
      <c r="C122" s="1900" t="s">
        <v>400</v>
      </c>
      <c r="D122" s="1900"/>
      <c r="E122" s="1900"/>
      <c r="F122" s="1900"/>
      <c r="G122" s="2580"/>
      <c r="H122" s="2580"/>
      <c r="I122" s="2596"/>
      <c r="J122" s="2597"/>
      <c r="K122" s="2565">
        <f>'6. T3 BALANCE SHEET '!G70/1000</f>
        <v>0</v>
      </c>
      <c r="L122" s="2565"/>
      <c r="M122" s="2565">
        <f>'6. T3 BALANCE SHEET '!H70/1000</f>
        <v>0</v>
      </c>
      <c r="N122" s="2565"/>
      <c r="O122" s="2565">
        <f>'6. T3 BALANCE SHEET '!I70/1000</f>
        <v>0</v>
      </c>
      <c r="P122" s="2565"/>
      <c r="Q122" s="2565">
        <f>'6. T3 BALANCE SHEET '!J70/1000</f>
        <v>0</v>
      </c>
      <c r="R122" s="2565"/>
    </row>
    <row r="123" spans="2:18" x14ac:dyDescent="0.2">
      <c r="B123" s="1847" t="s">
        <v>0</v>
      </c>
      <c r="C123" s="1900" t="s">
        <v>401</v>
      </c>
      <c r="D123" s="1900"/>
      <c r="E123" s="1900"/>
      <c r="F123" s="1900"/>
      <c r="G123" s="2580"/>
      <c r="H123" s="2580"/>
      <c r="I123" s="2596"/>
      <c r="J123" s="2597"/>
      <c r="K123" s="2565">
        <f>'6. T3 BALANCE SHEET '!G73/1000</f>
        <v>0</v>
      </c>
      <c r="L123" s="2565"/>
      <c r="M123" s="2565">
        <f>'6. T3 BALANCE SHEET '!H73/1000</f>
        <v>0</v>
      </c>
      <c r="N123" s="2565"/>
      <c r="O123" s="2565">
        <f>'6. T3 BALANCE SHEET '!I73/1000</f>
        <v>0</v>
      </c>
      <c r="P123" s="2565"/>
      <c r="Q123" s="2565">
        <f>'6. T3 BALANCE SHEET '!J73/1000</f>
        <v>0</v>
      </c>
      <c r="R123" s="2565"/>
    </row>
    <row r="124" spans="2:18" x14ac:dyDescent="0.2">
      <c r="B124" s="1963" t="s">
        <v>186</v>
      </c>
      <c r="C124" s="1886" t="s">
        <v>713</v>
      </c>
      <c r="D124" s="1886"/>
      <c r="E124" s="1886"/>
      <c r="F124" s="1886"/>
      <c r="G124" s="2580"/>
      <c r="H124" s="2580"/>
      <c r="I124" s="2596"/>
      <c r="J124" s="2597"/>
      <c r="K124" s="2579">
        <f>'6. T3 BALANCE SHEET '!G74/1000</f>
        <v>0</v>
      </c>
      <c r="L124" s="2579"/>
      <c r="M124" s="2579">
        <f>'6. T3 BALANCE SHEET '!H74/1000</f>
        <v>0</v>
      </c>
      <c r="N124" s="2579"/>
      <c r="O124" s="2579">
        <f>'6. T3 BALANCE SHEET '!I74/1000</f>
        <v>0</v>
      </c>
      <c r="P124" s="2579"/>
      <c r="Q124" s="2579">
        <f>'6. T3 BALANCE SHEET '!J74/1000</f>
        <v>0</v>
      </c>
      <c r="R124" s="2579"/>
    </row>
    <row r="125" spans="2:18" x14ac:dyDescent="0.2">
      <c r="B125" s="1847" t="s">
        <v>0</v>
      </c>
      <c r="C125" s="1900" t="s">
        <v>398</v>
      </c>
      <c r="D125" s="1900"/>
      <c r="E125" s="1900"/>
      <c r="F125" s="1900"/>
      <c r="G125" s="2580"/>
      <c r="H125" s="2580"/>
      <c r="I125" s="2596"/>
      <c r="J125" s="2597"/>
      <c r="K125" s="2565">
        <f>'6. T3 BALANCE SHEET '!G75/1000</f>
        <v>0</v>
      </c>
      <c r="L125" s="2565"/>
      <c r="M125" s="2565">
        <f>'6. T3 BALANCE SHEET '!H75/1000</f>
        <v>0</v>
      </c>
      <c r="N125" s="2565"/>
      <c r="O125" s="2565">
        <f>'6. T3 BALANCE SHEET '!I75/1000</f>
        <v>0</v>
      </c>
      <c r="P125" s="2565"/>
      <c r="Q125" s="2565">
        <f>'6. T3 BALANCE SHEET '!J75/1000</f>
        <v>0</v>
      </c>
      <c r="R125" s="2565"/>
    </row>
    <row r="126" spans="2:18" x14ac:dyDescent="0.2">
      <c r="B126" s="1847" t="s">
        <v>0</v>
      </c>
      <c r="C126" s="1900" t="s">
        <v>399</v>
      </c>
      <c r="D126" s="1900"/>
      <c r="E126" s="1900"/>
      <c r="F126" s="1900"/>
      <c r="G126" s="2580"/>
      <c r="H126" s="2580"/>
      <c r="I126" s="2596"/>
      <c r="J126" s="2597"/>
      <c r="K126" s="2565">
        <f>'6. T3 BALANCE SHEET '!G78/1000</f>
        <v>0</v>
      </c>
      <c r="L126" s="2565"/>
      <c r="M126" s="2565">
        <f>'6. T3 BALANCE SHEET '!H78/1000</f>
        <v>0</v>
      </c>
      <c r="N126" s="2565"/>
      <c r="O126" s="2565">
        <f>'6. T3 BALANCE SHEET '!I78/1000</f>
        <v>0</v>
      </c>
      <c r="P126" s="2565"/>
      <c r="Q126" s="2565">
        <f>'6. T3 BALANCE SHEET '!J78/1000</f>
        <v>0</v>
      </c>
      <c r="R126" s="2565"/>
    </row>
    <row r="127" spans="2:18" x14ac:dyDescent="0.2">
      <c r="B127" s="1847" t="s">
        <v>0</v>
      </c>
      <c r="C127" s="1900" t="s">
        <v>452</v>
      </c>
      <c r="D127" s="1900"/>
      <c r="E127" s="1900"/>
      <c r="F127" s="1900"/>
      <c r="G127" s="2580"/>
      <c r="H127" s="2580"/>
      <c r="I127" s="2596"/>
      <c r="J127" s="2597"/>
      <c r="K127" s="2565">
        <f>'6. T3 BALANCE SHEET '!G79/1000</f>
        <v>0</v>
      </c>
      <c r="L127" s="2565"/>
      <c r="M127" s="2565">
        <f>'6. T3 BALANCE SHEET '!H79/1000</f>
        <v>0</v>
      </c>
      <c r="N127" s="2565"/>
      <c r="O127" s="2565">
        <f>'6. T3 BALANCE SHEET '!I79/1000</f>
        <v>0</v>
      </c>
      <c r="P127" s="2565"/>
      <c r="Q127" s="2565">
        <f>'6. T3 BALANCE SHEET '!J79/1000</f>
        <v>0</v>
      </c>
      <c r="R127" s="2565"/>
    </row>
    <row r="128" spans="2:18" x14ac:dyDescent="0.2">
      <c r="B128" s="1847"/>
      <c r="C128" s="2600" t="s">
        <v>425</v>
      </c>
      <c r="D128" s="2601"/>
      <c r="E128" s="1961"/>
      <c r="F128" s="1961"/>
      <c r="G128" s="2602"/>
      <c r="H128" s="2602"/>
      <c r="I128" s="2603"/>
      <c r="J128" s="2604"/>
      <c r="K128" s="2605">
        <f>'6. T3 BALANCE SHEET '!G81</f>
        <v>14</v>
      </c>
      <c r="L128" s="2605"/>
      <c r="M128" s="2605">
        <f>'6. T3 BALANCE SHEET '!H81</f>
        <v>14</v>
      </c>
      <c r="N128" s="2605"/>
      <c r="O128" s="2605">
        <f>'6. T3 BALANCE SHEET '!I81</f>
        <v>14</v>
      </c>
      <c r="P128" s="2605"/>
      <c r="Q128" s="2605">
        <f>'6. T3 BALANCE SHEET '!J81</f>
        <v>14</v>
      </c>
      <c r="R128" s="2605"/>
    </row>
    <row r="129" spans="2:18" x14ac:dyDescent="0.2">
      <c r="B129" s="1847" t="s">
        <v>0</v>
      </c>
      <c r="C129" s="1900" t="s">
        <v>850</v>
      </c>
      <c r="D129" s="1900"/>
      <c r="E129" s="1900"/>
      <c r="F129" s="1900"/>
      <c r="G129" s="2580"/>
      <c r="H129" s="2580"/>
      <c r="I129" s="2596"/>
      <c r="J129" s="2597"/>
      <c r="K129" s="2565">
        <f>'6. T3 BALANCE SHEET '!G83/1000</f>
        <v>0</v>
      </c>
      <c r="L129" s="2565"/>
      <c r="M129" s="2565">
        <f>'6. T3 BALANCE SHEET '!H83/1000</f>
        <v>0</v>
      </c>
      <c r="N129" s="2565"/>
      <c r="O129" s="2565">
        <f>'6. T3 BALANCE SHEET '!I83/1000</f>
        <v>0</v>
      </c>
      <c r="P129" s="2565"/>
      <c r="Q129" s="2565">
        <f>'6. T3 BALANCE SHEET '!J83/1000</f>
        <v>0</v>
      </c>
      <c r="R129" s="2565"/>
    </row>
    <row r="130" spans="2:18" x14ac:dyDescent="0.2">
      <c r="B130" s="1847" t="s">
        <v>0</v>
      </c>
      <c r="C130" s="1900" t="s">
        <v>402</v>
      </c>
      <c r="D130" s="1900"/>
      <c r="E130" s="1900"/>
      <c r="F130" s="1900"/>
      <c r="G130" s="2580"/>
      <c r="H130" s="2580"/>
      <c r="I130" s="2596"/>
      <c r="J130" s="2597"/>
      <c r="K130" s="2565">
        <f>'6. T3 BALANCE SHEET '!G89/1000</f>
        <v>0</v>
      </c>
      <c r="L130" s="2565"/>
      <c r="M130" s="2565">
        <f>'6. T3 BALANCE SHEET '!H89/1000</f>
        <v>0</v>
      </c>
      <c r="N130" s="2565"/>
      <c r="O130" s="2565">
        <f>'6. T3 BALANCE SHEET '!I89/1000</f>
        <v>0</v>
      </c>
      <c r="P130" s="2565"/>
      <c r="Q130" s="2565">
        <f>'6. T3 BALANCE SHEET '!J89/1000</f>
        <v>0</v>
      </c>
      <c r="R130" s="2565"/>
    </row>
    <row r="131" spans="2:18" x14ac:dyDescent="0.2">
      <c r="B131" s="1964" t="s">
        <v>0</v>
      </c>
      <c r="C131" s="1900" t="s">
        <v>458</v>
      </c>
      <c r="D131" s="1900"/>
      <c r="E131" s="1900"/>
      <c r="F131" s="1900"/>
      <c r="G131" s="2580"/>
      <c r="H131" s="2580"/>
      <c r="I131" s="2596"/>
      <c r="J131" s="2597"/>
      <c r="K131" s="2565">
        <f>'6. T3 BALANCE SHEET '!G94/1000</f>
        <v>0</v>
      </c>
      <c r="L131" s="2565"/>
      <c r="M131" s="2565">
        <f>'6. T3 BALANCE SHEET '!H94/1000</f>
        <v>0</v>
      </c>
      <c r="N131" s="2565"/>
      <c r="O131" s="2565">
        <f>'6. T3 BALANCE SHEET '!I94/1000</f>
        <v>0</v>
      </c>
      <c r="P131" s="2565"/>
      <c r="Q131" s="2565">
        <f>'6. T3 BALANCE SHEET '!J94/1000</f>
        <v>0</v>
      </c>
      <c r="R131" s="2565"/>
    </row>
    <row r="132" spans="2:18" ht="20.100000000000001" customHeight="1" x14ac:dyDescent="0.2">
      <c r="B132" s="1959" t="s">
        <v>0</v>
      </c>
      <c r="C132" s="1886" t="s">
        <v>403</v>
      </c>
      <c r="D132" s="1962"/>
      <c r="E132" s="1962"/>
      <c r="F132" s="1962"/>
      <c r="G132" s="2577"/>
      <c r="H132" s="2577"/>
      <c r="I132" s="2598"/>
      <c r="J132" s="2599"/>
      <c r="K132" s="2579">
        <f>'6. T3 BALANCE SHEET '!G98/1000</f>
        <v>0</v>
      </c>
      <c r="L132" s="2579"/>
      <c r="M132" s="2579">
        <f>'6. T3 BALANCE SHEET '!H98/1000</f>
        <v>0</v>
      </c>
      <c r="N132" s="2579"/>
      <c r="O132" s="2579">
        <f>'6. T3 BALANCE SHEET '!I98/1000</f>
        <v>0</v>
      </c>
      <c r="P132" s="2579"/>
      <c r="Q132" s="2579">
        <f>'6. T3 BALANCE SHEET '!J98/1000</f>
        <v>0</v>
      </c>
      <c r="R132" s="2579"/>
    </row>
    <row r="133" spans="2:18" x14ac:dyDescent="0.2">
      <c r="B133" s="129"/>
      <c r="C133" s="129"/>
      <c r="D133" s="129"/>
      <c r="E133" s="129"/>
      <c r="F133" s="129"/>
      <c r="G133" s="129"/>
      <c r="H133" s="129"/>
      <c r="I133" s="129"/>
      <c r="J133" s="129"/>
      <c r="K133" s="129"/>
      <c r="L133" s="129"/>
      <c r="M133" s="129"/>
      <c r="N133" s="129"/>
      <c r="O133" s="129"/>
      <c r="P133" s="129"/>
      <c r="Q133" s="129"/>
      <c r="R133" s="129"/>
    </row>
    <row r="134" spans="2:18" x14ac:dyDescent="0.2">
      <c r="B134" s="2551" t="s">
        <v>851</v>
      </c>
      <c r="C134" s="2551"/>
      <c r="D134" s="2551"/>
      <c r="E134" s="2551"/>
      <c r="F134" s="2551"/>
      <c r="G134" s="2551"/>
      <c r="H134" s="2551"/>
      <c r="I134" s="2551"/>
      <c r="J134" s="2551"/>
      <c r="K134" s="2606" t="str">
        <f>K109</f>
        <v>YEAR</v>
      </c>
      <c r="L134" s="2606"/>
      <c r="M134" s="2606" t="str">
        <f>M109</f>
        <v>YEAR</v>
      </c>
      <c r="N134" s="2606"/>
      <c r="O134" s="2606" t="str">
        <f>O109</f>
        <v>YEAR</v>
      </c>
      <c r="P134" s="2606"/>
      <c r="Q134" s="2606" t="str">
        <f>Q109</f>
        <v>YEAR</v>
      </c>
      <c r="R134" s="2606"/>
    </row>
    <row r="135" spans="2:18" x14ac:dyDescent="0.2">
      <c r="B135" s="2551"/>
      <c r="C135" s="2551"/>
      <c r="D135" s="2551"/>
      <c r="E135" s="2551"/>
      <c r="F135" s="2551"/>
      <c r="G135" s="2551"/>
      <c r="H135" s="2551"/>
      <c r="I135" s="2551"/>
      <c r="J135" s="2551"/>
      <c r="K135" s="2607">
        <f>K110</f>
        <v>2027</v>
      </c>
      <c r="L135" s="2607"/>
      <c r="M135" s="2607">
        <f>M110</f>
        <v>2028</v>
      </c>
      <c r="N135" s="2607"/>
      <c r="O135" s="2607">
        <f>O110</f>
        <v>2029</v>
      </c>
      <c r="P135" s="2607"/>
      <c r="Q135" s="2607">
        <f>Q110</f>
        <v>2030</v>
      </c>
      <c r="R135" s="2607"/>
    </row>
    <row r="136" spans="2:18" x14ac:dyDescent="0.2">
      <c r="B136" s="1983" t="s">
        <v>409</v>
      </c>
      <c r="C136" s="1984"/>
      <c r="D136" s="1984"/>
      <c r="E136" s="1984"/>
      <c r="F136" s="1984"/>
      <c r="G136" s="1985"/>
      <c r="H136" s="1986"/>
      <c r="I136" s="1986"/>
      <c r="J136" s="1987"/>
      <c r="K136" s="2608"/>
      <c r="L136" s="2608"/>
      <c r="M136" s="2608"/>
      <c r="N136" s="2608"/>
      <c r="O136" s="2608"/>
      <c r="P136" s="2608"/>
      <c r="Q136" s="2608"/>
      <c r="R136" s="2608"/>
    </row>
    <row r="137" spans="2:18" x14ac:dyDescent="0.2">
      <c r="B137" s="1857" t="s">
        <v>2</v>
      </c>
      <c r="C137" s="2609" t="s">
        <v>404</v>
      </c>
      <c r="D137" s="2609"/>
      <c r="E137" s="2609"/>
      <c r="F137" s="2609"/>
      <c r="G137" s="2609"/>
      <c r="H137" s="1949"/>
      <c r="I137" s="1949"/>
      <c r="J137" s="1950"/>
      <c r="K137" s="2565">
        <f>'5. T4 FINANCING PLAN'!G15/1000</f>
        <v>0</v>
      </c>
      <c r="L137" s="2565"/>
      <c r="M137" s="2565">
        <f>'5. T4 FINANCING PLAN'!H15/1000</f>
        <v>0</v>
      </c>
      <c r="N137" s="2565"/>
      <c r="O137" s="2565">
        <f>'5. T4 FINANCING PLAN'!I15/1000</f>
        <v>0</v>
      </c>
      <c r="P137" s="2565"/>
      <c r="Q137" s="2565">
        <f>'5. T4 FINANCING PLAN'!J15/1000</f>
        <v>0</v>
      </c>
      <c r="R137" s="2565"/>
    </row>
    <row r="138" spans="2:18" x14ac:dyDescent="0.2">
      <c r="B138" s="1857" t="s">
        <v>3</v>
      </c>
      <c r="C138" s="2610" t="s">
        <v>405</v>
      </c>
      <c r="D138" s="2610"/>
      <c r="E138" s="2610"/>
      <c r="F138" s="2610"/>
      <c r="G138" s="2610"/>
      <c r="H138" s="1900"/>
      <c r="I138" s="1900"/>
      <c r="J138" s="1901"/>
      <c r="K138" s="2565">
        <f>'5. T4 FINANCING PLAN'!G16/1000</f>
        <v>0</v>
      </c>
      <c r="L138" s="2565"/>
      <c r="M138" s="2565">
        <f>'5. T4 FINANCING PLAN'!H16/1000</f>
        <v>0</v>
      </c>
      <c r="N138" s="2565"/>
      <c r="O138" s="2565">
        <f>'5. T4 FINANCING PLAN'!I16/1000</f>
        <v>0</v>
      </c>
      <c r="P138" s="2565"/>
      <c r="Q138" s="2565">
        <f>'5. T4 FINANCING PLAN'!J16/1000</f>
        <v>0</v>
      </c>
      <c r="R138" s="2565"/>
    </row>
    <row r="139" spans="2:18" x14ac:dyDescent="0.2">
      <c r="B139" s="1857" t="s">
        <v>4</v>
      </c>
      <c r="C139" s="2610" t="s">
        <v>406</v>
      </c>
      <c r="D139" s="2610"/>
      <c r="E139" s="2610"/>
      <c r="F139" s="2610"/>
      <c r="G139" s="2610"/>
      <c r="H139" s="1900"/>
      <c r="I139" s="1900"/>
      <c r="J139" s="1901"/>
      <c r="K139" s="2565">
        <f>'5. T4 FINANCING PLAN'!G17/1000</f>
        <v>0</v>
      </c>
      <c r="L139" s="2565"/>
      <c r="M139" s="2565">
        <f>'5. T4 FINANCING PLAN'!H17/1000</f>
        <v>0</v>
      </c>
      <c r="N139" s="2565"/>
      <c r="O139" s="2565">
        <f>'5. T4 FINANCING PLAN'!I17/1000</f>
        <v>0</v>
      </c>
      <c r="P139" s="2565"/>
      <c r="Q139" s="2565">
        <f>'5. T4 FINANCING PLAN'!J17/1000</f>
        <v>0</v>
      </c>
      <c r="R139" s="2565"/>
    </row>
    <row r="140" spans="2:18" x14ac:dyDescent="0.2">
      <c r="B140" s="1857" t="s">
        <v>5</v>
      </c>
      <c r="C140" s="2610" t="s">
        <v>632</v>
      </c>
      <c r="D140" s="2610"/>
      <c r="E140" s="2610"/>
      <c r="F140" s="2610"/>
      <c r="G140" s="2610"/>
      <c r="H140" s="1900"/>
      <c r="I140" s="1900"/>
      <c r="J140" s="1901"/>
      <c r="K140" s="2565">
        <f>'5. T4 FINANCING PLAN'!G18/1000</f>
        <v>0</v>
      </c>
      <c r="L140" s="2565"/>
      <c r="M140" s="2565">
        <f>'5. T4 FINANCING PLAN'!H18/1000</f>
        <v>0</v>
      </c>
      <c r="N140" s="2565"/>
      <c r="O140" s="2565">
        <f>'5. T4 FINANCING PLAN'!I18/1000</f>
        <v>0</v>
      </c>
      <c r="P140" s="2565"/>
      <c r="Q140" s="2565">
        <f>'5. T4 FINANCING PLAN'!J18/1000</f>
        <v>0</v>
      </c>
      <c r="R140" s="2565"/>
    </row>
    <row r="141" spans="2:18" x14ac:dyDescent="0.2">
      <c r="B141" s="1857" t="s">
        <v>6</v>
      </c>
      <c r="C141" s="2610" t="s">
        <v>407</v>
      </c>
      <c r="D141" s="2610"/>
      <c r="E141" s="2610"/>
      <c r="F141" s="2610"/>
      <c r="G141" s="2610"/>
      <c r="H141" s="1900"/>
      <c r="I141" s="1900"/>
      <c r="J141" s="1901"/>
      <c r="K141" s="2565">
        <f>'5. T4 FINANCING PLAN'!G19/1000</f>
        <v>0</v>
      </c>
      <c r="L141" s="2565"/>
      <c r="M141" s="2565">
        <f>'5. T4 FINANCING PLAN'!H19/1000</f>
        <v>0</v>
      </c>
      <c r="N141" s="2565"/>
      <c r="O141" s="2565">
        <f>'5. T4 FINANCING PLAN'!I19/1000</f>
        <v>0</v>
      </c>
      <c r="P141" s="2565"/>
      <c r="Q141" s="2565">
        <f>'5. T4 FINANCING PLAN'!J19/1000</f>
        <v>0</v>
      </c>
      <c r="R141" s="2565"/>
    </row>
    <row r="142" spans="2:18" x14ac:dyDescent="0.2">
      <c r="B142" s="1857" t="s">
        <v>7</v>
      </c>
      <c r="C142" s="2611" t="s">
        <v>852</v>
      </c>
      <c r="D142" s="2611"/>
      <c r="E142" s="2611"/>
      <c r="F142" s="2611"/>
      <c r="G142" s="2611"/>
      <c r="H142" s="2611"/>
      <c r="I142" s="2611"/>
      <c r="J142" s="2545"/>
      <c r="K142" s="2565">
        <f>'5. T4 FINANCING PLAN'!G20/1000</f>
        <v>0</v>
      </c>
      <c r="L142" s="2565"/>
      <c r="M142" s="2565">
        <f>'5. T4 FINANCING PLAN'!H20/1000</f>
        <v>0</v>
      </c>
      <c r="N142" s="2565"/>
      <c r="O142" s="2565">
        <f>'5. T4 FINANCING PLAN'!I20/1000</f>
        <v>0</v>
      </c>
      <c r="P142" s="2565"/>
      <c r="Q142" s="2565">
        <f>'5. T4 FINANCING PLAN'!J20/1000</f>
        <v>0</v>
      </c>
      <c r="R142" s="2565"/>
    </row>
    <row r="143" spans="2:18" ht="18" customHeight="1" x14ac:dyDescent="0.2">
      <c r="B143" s="1857" t="s">
        <v>8</v>
      </c>
      <c r="C143" s="1988" t="s">
        <v>408</v>
      </c>
      <c r="D143" s="1988"/>
      <c r="E143" s="1988"/>
      <c r="F143" s="1988"/>
      <c r="G143" s="1989"/>
      <c r="H143" s="1990"/>
      <c r="I143" s="1990"/>
      <c r="J143" s="1991"/>
      <c r="K143" s="2579">
        <f>'5. T4 FINANCING PLAN'!G21/1000</f>
        <v>0</v>
      </c>
      <c r="L143" s="2579"/>
      <c r="M143" s="2579">
        <f>'5. T4 FINANCING PLAN'!H21/1000</f>
        <v>0</v>
      </c>
      <c r="N143" s="2579"/>
      <c r="O143" s="2579">
        <f>'5. T4 FINANCING PLAN'!I21/1000</f>
        <v>0</v>
      </c>
      <c r="P143" s="2579"/>
      <c r="Q143" s="2579">
        <f>'5. T4 FINANCING PLAN'!J21/1000</f>
        <v>0</v>
      </c>
      <c r="R143" s="2579"/>
    </row>
    <row r="144" spans="2:18" x14ac:dyDescent="0.2">
      <c r="B144" s="1983" t="s">
        <v>410</v>
      </c>
      <c r="C144" s="1984"/>
      <c r="D144" s="1984"/>
      <c r="E144" s="1984"/>
      <c r="F144" s="1984"/>
      <c r="G144" s="1985"/>
      <c r="H144" s="1986"/>
      <c r="I144" s="1986"/>
      <c r="J144" s="1986"/>
      <c r="K144" s="2612"/>
      <c r="L144" s="2612"/>
      <c r="M144" s="2612"/>
      <c r="N144" s="2612"/>
      <c r="O144" s="2612"/>
      <c r="P144" s="2612"/>
      <c r="Q144" s="2612"/>
      <c r="R144" s="2613"/>
    </row>
    <row r="145" spans="2:18" x14ac:dyDescent="0.2">
      <c r="B145" s="1857" t="s">
        <v>9</v>
      </c>
      <c r="C145" s="2609" t="s">
        <v>386</v>
      </c>
      <c r="D145" s="2609"/>
      <c r="E145" s="2609"/>
      <c r="F145" s="2609"/>
      <c r="G145" s="2609"/>
      <c r="H145" s="1949"/>
      <c r="I145" s="1949"/>
      <c r="J145" s="1950"/>
      <c r="K145" s="2565">
        <f>('5. T4 FINANCING PLAN'!G24+'5. T4 FINANCING PLAN'!G25+'5. T4 FINANCING PLAN'!G26)/1000</f>
        <v>0</v>
      </c>
      <c r="L145" s="2565"/>
      <c r="M145" s="2565">
        <f>('5. T4 FINANCING PLAN'!H24+'5. T4 FINANCING PLAN'!H25+'5. T4 FINANCING PLAN'!H26)/1000</f>
        <v>0</v>
      </c>
      <c r="N145" s="2565"/>
      <c r="O145" s="2565">
        <f>('5. T4 FINANCING PLAN'!I24+'5. T4 FINANCING PLAN'!I25+'5. T4 FINANCING PLAN'!I26)/1000</f>
        <v>0</v>
      </c>
      <c r="P145" s="2565"/>
      <c r="Q145" s="2565">
        <f>('5. T4 FINANCING PLAN'!J24+'5. T4 FINANCING PLAN'!J25+'5. T4 FINANCING PLAN'!J26)/1000</f>
        <v>0</v>
      </c>
      <c r="R145" s="2565"/>
    </row>
    <row r="146" spans="2:18" x14ac:dyDescent="0.2">
      <c r="B146" s="1857" t="s">
        <v>10</v>
      </c>
      <c r="C146" s="2610" t="s">
        <v>390</v>
      </c>
      <c r="D146" s="2610"/>
      <c r="E146" s="2610"/>
      <c r="F146" s="2610"/>
      <c r="G146" s="2610"/>
      <c r="H146" s="1900"/>
      <c r="I146" s="1900"/>
      <c r="J146" s="1901"/>
      <c r="K146" s="2565">
        <f>('5. T4 FINANCING PLAN'!G27)/1000</f>
        <v>0</v>
      </c>
      <c r="L146" s="2565"/>
      <c r="M146" s="2565">
        <f>('5. T4 FINANCING PLAN'!H27)/1000</f>
        <v>0</v>
      </c>
      <c r="N146" s="2565"/>
      <c r="O146" s="2565">
        <f>('5. T4 FINANCING PLAN'!I27)/1000</f>
        <v>0</v>
      </c>
      <c r="P146" s="2565"/>
      <c r="Q146" s="2565">
        <f>('5. T4 FINANCING PLAN'!J27)/1000</f>
        <v>0</v>
      </c>
      <c r="R146" s="2565"/>
    </row>
    <row r="147" spans="2:18" x14ac:dyDescent="0.2">
      <c r="B147" s="1857" t="s">
        <v>11</v>
      </c>
      <c r="C147" s="2610" t="s">
        <v>411</v>
      </c>
      <c r="D147" s="2610"/>
      <c r="E147" s="2610"/>
      <c r="F147" s="2610"/>
      <c r="G147" s="2610"/>
      <c r="H147" s="1900"/>
      <c r="I147" s="1900"/>
      <c r="J147" s="1901"/>
      <c r="K147" s="2565">
        <f>('5. T4 FINANCING PLAN'!G28)/1000</f>
        <v>0</v>
      </c>
      <c r="L147" s="2565"/>
      <c r="M147" s="2565">
        <f>('5. T4 FINANCING PLAN'!H28)/1000</f>
        <v>0</v>
      </c>
      <c r="N147" s="2565"/>
      <c r="O147" s="2565">
        <f>('5. T4 FINANCING PLAN'!I28)/1000</f>
        <v>0</v>
      </c>
      <c r="P147" s="2565"/>
      <c r="Q147" s="2565">
        <f>('5. T4 FINANCING PLAN'!J28)/1000</f>
        <v>0</v>
      </c>
      <c r="R147" s="2565"/>
    </row>
    <row r="148" spans="2:18" x14ac:dyDescent="0.2">
      <c r="B148" s="1857" t="s">
        <v>74</v>
      </c>
      <c r="C148" s="2611" t="s">
        <v>412</v>
      </c>
      <c r="D148" s="2611"/>
      <c r="E148" s="2611"/>
      <c r="F148" s="2611"/>
      <c r="G148" s="2611"/>
      <c r="H148" s="2611"/>
      <c r="I148" s="2611"/>
      <c r="J148" s="2545"/>
      <c r="K148" s="2565">
        <f>('5. T4 FINANCING PLAN'!G29)/1000</f>
        <v>0</v>
      </c>
      <c r="L148" s="2565"/>
      <c r="M148" s="2565">
        <f>('5. T4 FINANCING PLAN'!H29)/1000</f>
        <v>0</v>
      </c>
      <c r="N148" s="2565"/>
      <c r="O148" s="2565">
        <f>('5. T4 FINANCING PLAN'!I29)/1000</f>
        <v>0</v>
      </c>
      <c r="P148" s="2565"/>
      <c r="Q148" s="2565">
        <f>('5. T4 FINANCING PLAN'!J29)/1000</f>
        <v>0</v>
      </c>
      <c r="R148" s="2565"/>
    </row>
    <row r="149" spans="2:18" x14ac:dyDescent="0.2">
      <c r="B149" s="1857" t="s">
        <v>75</v>
      </c>
      <c r="C149" s="2611" t="s">
        <v>853</v>
      </c>
      <c r="D149" s="2611"/>
      <c r="E149" s="2611"/>
      <c r="F149" s="2611"/>
      <c r="G149" s="1902"/>
      <c r="H149" s="1902"/>
      <c r="I149" s="1902"/>
      <c r="J149" s="1869"/>
      <c r="K149" s="2565">
        <f>('5. T4 FINANCING PLAN'!G30)/1000</f>
        <v>0</v>
      </c>
      <c r="L149" s="2565"/>
      <c r="M149" s="2565">
        <f>('5. T4 FINANCING PLAN'!H30)/1000</f>
        <v>0</v>
      </c>
      <c r="N149" s="2565"/>
      <c r="O149" s="2565">
        <f>('5. T4 FINANCING PLAN'!I30)/1000</f>
        <v>0</v>
      </c>
      <c r="P149" s="2565"/>
      <c r="Q149" s="2565">
        <f>('5. T4 FINANCING PLAN'!J30)/1000</f>
        <v>0</v>
      </c>
      <c r="R149" s="2565"/>
    </row>
    <row r="150" spans="2:18" ht="13.15" customHeight="1" x14ac:dyDescent="0.2">
      <c r="B150" s="1857" t="s">
        <v>236</v>
      </c>
      <c r="C150" s="2611" t="s">
        <v>413</v>
      </c>
      <c r="D150" s="2611"/>
      <c r="E150" s="2611"/>
      <c r="F150" s="2611"/>
      <c r="G150" s="2611"/>
      <c r="H150" s="2611"/>
      <c r="I150" s="2611"/>
      <c r="J150" s="2545"/>
      <c r="K150" s="2614">
        <f>('5. T4 FINANCING PLAN'!G31)/1000</f>
        <v>0</v>
      </c>
      <c r="L150" s="2614"/>
      <c r="M150" s="2565">
        <f>('5. T4 FINANCING PLAN'!H31)/1000</f>
        <v>0</v>
      </c>
      <c r="N150" s="2565"/>
      <c r="O150" s="2565">
        <f>('5. T4 FINANCING PLAN'!I31)/1000</f>
        <v>0</v>
      </c>
      <c r="P150" s="2565"/>
      <c r="Q150" s="2565">
        <f>('5. T4 FINANCING PLAN'!J31)/1000</f>
        <v>0</v>
      </c>
      <c r="R150" s="2565"/>
    </row>
    <row r="151" spans="2:18" x14ac:dyDescent="0.2">
      <c r="B151" s="1857" t="s">
        <v>76</v>
      </c>
      <c r="C151" s="2611" t="s">
        <v>414</v>
      </c>
      <c r="D151" s="2611"/>
      <c r="E151" s="2611"/>
      <c r="F151" s="2611"/>
      <c r="G151" s="1902"/>
      <c r="H151" s="1902"/>
      <c r="I151" s="1902"/>
      <c r="J151" s="1869"/>
      <c r="K151" s="2614">
        <f>('5. T4 FINANCING PLAN'!G32)/1000</f>
        <v>0</v>
      </c>
      <c r="L151" s="2614"/>
      <c r="M151" s="2565">
        <f>('5. T4 FINANCING PLAN'!H32)/1000</f>
        <v>0</v>
      </c>
      <c r="N151" s="2565"/>
      <c r="O151" s="2565">
        <f>('5. T4 FINANCING PLAN'!I32)/1000</f>
        <v>0</v>
      </c>
      <c r="P151" s="2565"/>
      <c r="Q151" s="2565">
        <f>('5. T4 FINANCING PLAN'!J32)/1000</f>
        <v>0</v>
      </c>
      <c r="R151" s="2565"/>
    </row>
    <row r="152" spans="2:18" x14ac:dyDescent="0.2">
      <c r="B152" s="1857" t="s">
        <v>77</v>
      </c>
      <c r="C152" s="2611" t="s">
        <v>415</v>
      </c>
      <c r="D152" s="2611"/>
      <c r="E152" s="2611"/>
      <c r="F152" s="1902"/>
      <c r="G152" s="1902"/>
      <c r="H152" s="1902"/>
      <c r="I152" s="1902"/>
      <c r="J152" s="1869"/>
      <c r="K152" s="2614">
        <f>('5. T4 FINANCING PLAN'!G33)/1000</f>
        <v>0</v>
      </c>
      <c r="L152" s="2614"/>
      <c r="M152" s="2565">
        <f>('5. T4 FINANCING PLAN'!H33)/1000</f>
        <v>0</v>
      </c>
      <c r="N152" s="2565"/>
      <c r="O152" s="2565">
        <f>('5. T4 FINANCING PLAN'!I33)/1000</f>
        <v>0</v>
      </c>
      <c r="P152" s="2565"/>
      <c r="Q152" s="2565">
        <f>('5. T4 FINANCING PLAN'!J33)/1000</f>
        <v>0</v>
      </c>
      <c r="R152" s="2565"/>
    </row>
    <row r="153" spans="2:18" x14ac:dyDescent="0.2">
      <c r="B153" s="1857" t="s">
        <v>78</v>
      </c>
      <c r="C153" s="2610" t="s">
        <v>642</v>
      </c>
      <c r="D153" s="2610"/>
      <c r="E153" s="2610"/>
      <c r="F153" s="2610"/>
      <c r="G153" s="2610"/>
      <c r="H153" s="1900"/>
      <c r="I153" s="1900"/>
      <c r="J153" s="1901"/>
      <c r="K153" s="2614">
        <f>('5. T4 FINANCING PLAN'!G34)/1000</f>
        <v>0</v>
      </c>
      <c r="L153" s="2614"/>
      <c r="M153" s="2565">
        <f>('5. T4 FINANCING PLAN'!H34)/1000</f>
        <v>0</v>
      </c>
      <c r="N153" s="2565"/>
      <c r="O153" s="2565">
        <f>('5. T4 FINANCING PLAN'!I34)/1000</f>
        <v>0</v>
      </c>
      <c r="P153" s="2565"/>
      <c r="Q153" s="2565">
        <f>('5. T4 FINANCING PLAN'!J34)/1000</f>
        <v>0</v>
      </c>
      <c r="R153" s="2565"/>
    </row>
    <row r="154" spans="2:18" x14ac:dyDescent="0.2">
      <c r="B154" s="1857" t="s">
        <v>79</v>
      </c>
      <c r="C154" s="2610" t="s">
        <v>802</v>
      </c>
      <c r="D154" s="2610"/>
      <c r="E154" s="2610"/>
      <c r="F154" s="2610"/>
      <c r="G154" s="2610"/>
      <c r="H154" s="1900"/>
      <c r="I154" s="1900"/>
      <c r="J154" s="1901"/>
      <c r="K154" s="2565">
        <f>('5. T4 FINANCING PLAN'!G35)/1000</f>
        <v>0</v>
      </c>
      <c r="L154" s="2565"/>
      <c r="M154" s="2565">
        <f>('5. T4 FINANCING PLAN'!H35)/1000</f>
        <v>0</v>
      </c>
      <c r="N154" s="2565"/>
      <c r="O154" s="2565">
        <f>('5. T4 FINANCING PLAN'!I35)/1000</f>
        <v>0</v>
      </c>
      <c r="P154" s="2565"/>
      <c r="Q154" s="2565">
        <f>('5. T4 FINANCING PLAN'!J35)/1000</f>
        <v>0</v>
      </c>
      <c r="R154" s="2565"/>
    </row>
    <row r="155" spans="2:18" x14ac:dyDescent="0.2">
      <c r="B155" s="1857" t="s">
        <v>80</v>
      </c>
      <c r="C155" s="1881" t="s">
        <v>643</v>
      </c>
      <c r="D155" s="1881"/>
      <c r="E155" s="1881"/>
      <c r="F155" s="1881"/>
      <c r="G155" s="1881"/>
      <c r="H155" s="1900"/>
      <c r="I155" s="1900"/>
      <c r="J155" s="1901"/>
      <c r="K155" s="2565">
        <f>('5. T4 FINANCING PLAN'!G36)/1000</f>
        <v>0</v>
      </c>
      <c r="L155" s="2565"/>
      <c r="M155" s="2565">
        <f>('5. T4 FINANCING PLAN'!H36)/1000</f>
        <v>0</v>
      </c>
      <c r="N155" s="2565"/>
      <c r="O155" s="2565">
        <f>('5. T4 FINANCING PLAN'!I36)/1000</f>
        <v>0</v>
      </c>
      <c r="P155" s="2565"/>
      <c r="Q155" s="2565">
        <f>('5. T4 FINANCING PLAN'!J36)/1000</f>
        <v>0</v>
      </c>
      <c r="R155" s="2565"/>
    </row>
    <row r="156" spans="2:18" x14ac:dyDescent="0.2">
      <c r="B156" s="1857" t="s">
        <v>81</v>
      </c>
      <c r="C156" s="2610" t="s">
        <v>644</v>
      </c>
      <c r="D156" s="2610"/>
      <c r="E156" s="2610"/>
      <c r="F156" s="2610"/>
      <c r="G156" s="2610"/>
      <c r="H156" s="1900"/>
      <c r="I156" s="1900"/>
      <c r="J156" s="1901"/>
      <c r="K156" s="2565">
        <f>('5. T4 FINANCING PLAN'!G37)/1000</f>
        <v>0</v>
      </c>
      <c r="L156" s="2565"/>
      <c r="M156" s="2565">
        <f>('5. T4 FINANCING PLAN'!H37)/1000</f>
        <v>0</v>
      </c>
      <c r="N156" s="2565"/>
      <c r="O156" s="2565">
        <f>('5. T4 FINANCING PLAN'!I37)/1000</f>
        <v>0</v>
      </c>
      <c r="P156" s="2565"/>
      <c r="Q156" s="2565">
        <f>('5. T4 FINANCING PLAN'!J37)/1000</f>
        <v>0</v>
      </c>
      <c r="R156" s="2565"/>
    </row>
    <row r="157" spans="2:18" x14ac:dyDescent="0.2">
      <c r="B157" s="1857" t="s">
        <v>30</v>
      </c>
      <c r="C157" s="1892" t="s">
        <v>416</v>
      </c>
      <c r="D157" s="1892"/>
      <c r="E157" s="1892"/>
      <c r="F157" s="1892"/>
      <c r="G157" s="1892"/>
      <c r="H157" s="1900"/>
      <c r="I157" s="1900"/>
      <c r="J157" s="1901"/>
      <c r="K157" s="2565">
        <f>('5. T4 FINANCING PLAN'!G38)/1000</f>
        <v>0</v>
      </c>
      <c r="L157" s="2565"/>
      <c r="M157" s="2565">
        <f>('5. T4 FINANCING PLAN'!H38)/1000</f>
        <v>0</v>
      </c>
      <c r="N157" s="2565"/>
      <c r="O157" s="2565">
        <f>('5. T4 FINANCING PLAN'!I38)/1000</f>
        <v>0</v>
      </c>
      <c r="P157" s="2565"/>
      <c r="Q157" s="2565">
        <f>('5. T4 FINANCING PLAN'!J38)/1000</f>
        <v>0</v>
      </c>
      <c r="R157" s="2565"/>
    </row>
    <row r="158" spans="2:18" x14ac:dyDescent="0.2">
      <c r="B158" s="1857" t="s">
        <v>254</v>
      </c>
      <c r="C158" s="2610" t="s">
        <v>646</v>
      </c>
      <c r="D158" s="2610"/>
      <c r="E158" s="2610"/>
      <c r="F158" s="2610"/>
      <c r="G158" s="2610"/>
      <c r="H158" s="1900"/>
      <c r="I158" s="1900"/>
      <c r="J158" s="1901"/>
      <c r="K158" s="2565">
        <f>('5. T4 FINANCING PLAN'!G39)/1000</f>
        <v>0</v>
      </c>
      <c r="L158" s="2565"/>
      <c r="M158" s="2565">
        <f>('5. T4 FINANCING PLAN'!H39)/1000</f>
        <v>0</v>
      </c>
      <c r="N158" s="2565"/>
      <c r="O158" s="2565">
        <f>('5. T4 FINANCING PLAN'!I39)/1000</f>
        <v>0</v>
      </c>
      <c r="P158" s="2565"/>
      <c r="Q158" s="2565">
        <f>('5. T4 FINANCING PLAN'!J39)/1000</f>
        <v>0</v>
      </c>
      <c r="R158" s="2565"/>
    </row>
    <row r="159" spans="2:18" x14ac:dyDescent="0.2">
      <c r="B159" s="1857" t="s">
        <v>255</v>
      </c>
      <c r="C159" s="2610" t="s">
        <v>386</v>
      </c>
      <c r="D159" s="2610"/>
      <c r="E159" s="2610"/>
      <c r="F159" s="2610"/>
      <c r="G159" s="2610"/>
      <c r="H159" s="1900"/>
      <c r="I159" s="1900"/>
      <c r="J159" s="1901"/>
      <c r="K159" s="2565">
        <f>('5. T4 FINANCING PLAN'!G40)/1000</f>
        <v>0</v>
      </c>
      <c r="L159" s="2565"/>
      <c r="M159" s="2565">
        <f>('5. T4 FINANCING PLAN'!H40)/1000</f>
        <v>0</v>
      </c>
      <c r="N159" s="2565"/>
      <c r="O159" s="2565">
        <f>('5. T4 FINANCING PLAN'!I40)/1000</f>
        <v>0</v>
      </c>
      <c r="P159" s="2565"/>
      <c r="Q159" s="2565">
        <f>('5. T4 FINANCING PLAN'!J40)/1000</f>
        <v>0</v>
      </c>
      <c r="R159" s="2565"/>
    </row>
    <row r="160" spans="2:18" ht="13.15" customHeight="1" x14ac:dyDescent="0.2">
      <c r="B160" s="1857" t="s">
        <v>259</v>
      </c>
      <c r="C160" s="1886" t="s">
        <v>408</v>
      </c>
      <c r="D160" s="1886"/>
      <c r="E160" s="1886"/>
      <c r="F160" s="1886"/>
      <c r="G160" s="1887"/>
      <c r="H160" s="1903"/>
      <c r="I160" s="1903"/>
      <c r="J160" s="1904"/>
      <c r="K160" s="2579">
        <f>('5. T4 FINANCING PLAN'!G41)/1000</f>
        <v>0</v>
      </c>
      <c r="L160" s="2579"/>
      <c r="M160" s="2579">
        <f>('5. T4 FINANCING PLAN'!H41)/1000</f>
        <v>0</v>
      </c>
      <c r="N160" s="2579"/>
      <c r="O160" s="2579">
        <f>('5. T4 FINANCING PLAN'!I41)/1000</f>
        <v>0</v>
      </c>
      <c r="P160" s="2579"/>
      <c r="Q160" s="2579">
        <f>('5. T4 FINANCING PLAN'!J41)/1000</f>
        <v>0</v>
      </c>
      <c r="R160" s="2579"/>
    </row>
    <row r="161" spans="2:18" x14ac:dyDescent="0.2">
      <c r="B161" s="1857" t="s">
        <v>262</v>
      </c>
      <c r="C161" s="1881" t="s">
        <v>417</v>
      </c>
      <c r="D161" s="1881"/>
      <c r="E161" s="1881"/>
      <c r="F161" s="1881"/>
      <c r="G161" s="1881"/>
      <c r="H161" s="1900"/>
      <c r="I161" s="1900"/>
      <c r="J161" s="1901"/>
      <c r="K161" s="2565">
        <f>('5. T4 FINANCING PLAN'!G42)/1000</f>
        <v>0</v>
      </c>
      <c r="L161" s="2565"/>
      <c r="M161" s="2565">
        <f>('5. T4 FINANCING PLAN'!H42)/1000</f>
        <v>0</v>
      </c>
      <c r="N161" s="2565"/>
      <c r="O161" s="2565">
        <f>('5. T4 FINANCING PLAN'!I42)/1000</f>
        <v>0</v>
      </c>
      <c r="P161" s="2565"/>
      <c r="Q161" s="2565">
        <f>('5. T4 FINANCING PLAN'!J42)/1000</f>
        <v>0</v>
      </c>
      <c r="R161" s="2565"/>
    </row>
    <row r="162" spans="2:18" x14ac:dyDescent="0.2">
      <c r="B162" s="1849" t="s">
        <v>264</v>
      </c>
      <c r="C162" s="1887" t="s">
        <v>418</v>
      </c>
      <c r="D162" s="1887"/>
      <c r="E162" s="1887"/>
      <c r="F162" s="1887"/>
      <c r="G162" s="1905" t="s">
        <v>0</v>
      </c>
      <c r="H162" s="1903"/>
      <c r="I162" s="1903"/>
      <c r="J162" s="1904"/>
      <c r="K162" s="2579">
        <f>('5. T4 FINANCING PLAN'!G43)/1000</f>
        <v>0</v>
      </c>
      <c r="L162" s="2579"/>
      <c r="M162" s="2579">
        <f>('5. T4 FINANCING PLAN'!H43)/1000</f>
        <v>0</v>
      </c>
      <c r="N162" s="2579"/>
      <c r="O162" s="2579">
        <f>('5. T4 FINANCING PLAN'!I43)/1000</f>
        <v>0</v>
      </c>
      <c r="P162" s="2579"/>
      <c r="Q162" s="2579">
        <f>('5. T4 FINANCING PLAN'!J43)/1000</f>
        <v>0</v>
      </c>
      <c r="R162" s="2579"/>
    </row>
    <row r="163" spans="2:18" x14ac:dyDescent="0.2">
      <c r="B163" s="130"/>
      <c r="C163" s="490"/>
      <c r="D163" s="490"/>
      <c r="E163" s="490"/>
      <c r="F163" s="490"/>
      <c r="G163" s="499"/>
      <c r="H163" s="463"/>
      <c r="I163" s="463"/>
      <c r="J163" s="463"/>
      <c r="K163" s="774"/>
      <c r="L163" s="774"/>
      <c r="M163" s="774"/>
      <c r="N163" s="774"/>
      <c r="O163" s="774"/>
      <c r="P163" s="774"/>
      <c r="Q163" s="774"/>
      <c r="R163" s="774"/>
    </row>
    <row r="164" spans="2:18" x14ac:dyDescent="0.2">
      <c r="B164" s="440" t="str">
        <f>B81</f>
        <v>BusinessPilot offered by</v>
      </c>
      <c r="C164" s="438"/>
      <c r="D164" s="438"/>
      <c r="E164" s="438"/>
      <c r="F164" s="438"/>
      <c r="G164" s="439"/>
      <c r="H164" s="439"/>
      <c r="I164" s="439"/>
      <c r="J164" s="439"/>
      <c r="K164" s="439"/>
      <c r="L164" s="439"/>
      <c r="M164" s="439"/>
      <c r="N164" s="439"/>
      <c r="O164" s="439"/>
      <c r="P164" s="439"/>
      <c r="Q164" s="439"/>
      <c r="R164" s="686"/>
    </row>
    <row r="165" spans="2:18" x14ac:dyDescent="0.2">
      <c r="B165" s="2571" t="str">
        <f>'Front Page'!G8</f>
        <v>Enontekiö, Kittilä, Kolari, Muonio, Pello</v>
      </c>
      <c r="C165" s="2571"/>
      <c r="D165" s="2571"/>
      <c r="E165" s="2571"/>
      <c r="F165" s="2571"/>
      <c r="G165" s="2571"/>
      <c r="H165" s="2571"/>
      <c r="I165" s="2571"/>
      <c r="J165" s="2571"/>
      <c r="K165" s="2571"/>
      <c r="L165" s="2571"/>
      <c r="M165" s="2571"/>
      <c r="N165" s="85"/>
      <c r="O165" s="85"/>
      <c r="P165" s="85"/>
      <c r="Q165" s="85"/>
      <c r="R165" s="85" t="str">
        <f>'1. T1 INVESTMENT PLAN'!B67</f>
        <v>BP6 Financial Projection</v>
      </c>
    </row>
    <row r="166" spans="2:18" x14ac:dyDescent="0.2">
      <c r="B166" s="130"/>
      <c r="C166" s="490"/>
      <c r="D166" s="490"/>
      <c r="E166" s="490"/>
      <c r="F166" s="490"/>
      <c r="G166" s="499"/>
      <c r="H166" s="463"/>
      <c r="I166" s="463"/>
      <c r="J166" s="463"/>
      <c r="K166" s="683"/>
      <c r="L166" s="683"/>
      <c r="M166" s="683"/>
      <c r="N166" s="683"/>
      <c r="O166" s="683"/>
      <c r="P166" s="683"/>
      <c r="Q166" s="683"/>
      <c r="R166" s="683"/>
    </row>
    <row r="167" spans="2:18" x14ac:dyDescent="0.2">
      <c r="B167" s="184" t="s">
        <v>0</v>
      </c>
      <c r="C167" s="519" t="s">
        <v>0</v>
      </c>
      <c r="F167" s="138"/>
      <c r="G167" s="129"/>
      <c r="H167" s="129"/>
      <c r="I167" s="129"/>
      <c r="J167" s="129"/>
      <c r="L167" s="129"/>
      <c r="M167" s="2615"/>
      <c r="N167" s="2616"/>
      <c r="O167" s="587"/>
      <c r="P167" s="587"/>
      <c r="Q167" s="443"/>
      <c r="R167" s="153"/>
    </row>
    <row r="168" spans="2:18" ht="2.1" customHeight="1" x14ac:dyDescent="0.2">
      <c r="B168" s="2617">
        <f>B7</f>
        <v>0</v>
      </c>
      <c r="C168" s="2617"/>
      <c r="D168" s="2617"/>
      <c r="E168" s="2617"/>
      <c r="F168" s="2617"/>
      <c r="G168" s="2617"/>
      <c r="H168" s="2617"/>
      <c r="I168" s="2617"/>
      <c r="J168" s="2617"/>
      <c r="L168" s="587"/>
      <c r="M168" s="2618"/>
      <c r="N168" s="2618"/>
      <c r="O168" s="587"/>
      <c r="P168" s="587"/>
      <c r="Q168" s="443"/>
      <c r="R168" s="153"/>
    </row>
    <row r="169" spans="2:18" ht="2.1" customHeight="1" x14ac:dyDescent="0.2">
      <c r="B169" s="184"/>
      <c r="C169" s="519"/>
      <c r="F169" s="463"/>
      <c r="G169" s="434"/>
      <c r="H169" s="586"/>
      <c r="I169" s="587"/>
      <c r="J169" s="587"/>
      <c r="L169" s="587"/>
      <c r="M169" s="783"/>
      <c r="N169" s="783"/>
      <c r="O169" s="587"/>
      <c r="P169" s="587"/>
      <c r="Q169" s="443"/>
      <c r="R169" s="153"/>
    </row>
    <row r="170" spans="2:18" ht="2.1" customHeight="1" x14ac:dyDescent="0.2">
      <c r="B170" s="440"/>
      <c r="C170" s="441"/>
      <c r="D170" s="441"/>
      <c r="E170" s="441"/>
      <c r="F170" s="441"/>
      <c r="G170" s="442"/>
      <c r="H170" s="434"/>
      <c r="I170" s="586"/>
      <c r="J170" s="587"/>
      <c r="K170" s="587"/>
      <c r="L170" s="587"/>
      <c r="M170" s="587"/>
      <c r="N170" s="587"/>
      <c r="O170" s="587"/>
      <c r="P170" s="587"/>
      <c r="Q170" s="443"/>
      <c r="R170" s="153"/>
    </row>
    <row r="171" spans="2:18" ht="12.4" customHeight="1" x14ac:dyDescent="0.2">
      <c r="B171" s="2620" t="s">
        <v>854</v>
      </c>
      <c r="C171" s="2621"/>
      <c r="D171" s="2621"/>
      <c r="E171" s="2621"/>
      <c r="F171" s="2621"/>
      <c r="G171" s="2621"/>
      <c r="H171" s="2621"/>
      <c r="I171" s="2621"/>
      <c r="J171" s="2622"/>
      <c r="K171" s="2619" t="str">
        <f>K134</f>
        <v>YEAR</v>
      </c>
      <c r="L171" s="2619"/>
      <c r="M171" s="2619" t="str">
        <f>M134</f>
        <v>YEAR</v>
      </c>
      <c r="N171" s="2619"/>
      <c r="O171" s="2619" t="str">
        <f>O134</f>
        <v>YEAR</v>
      </c>
      <c r="P171" s="2619"/>
      <c r="Q171" s="2619" t="str">
        <f>Q134</f>
        <v>YEAR</v>
      </c>
      <c r="R171" s="2619"/>
    </row>
    <row r="172" spans="2:18" x14ac:dyDescent="0.2">
      <c r="B172" s="2623"/>
      <c r="C172" s="2624"/>
      <c r="D172" s="2624"/>
      <c r="E172" s="2624"/>
      <c r="F172" s="2624"/>
      <c r="G172" s="2624"/>
      <c r="H172" s="2624"/>
      <c r="I172" s="2624"/>
      <c r="J172" s="2625"/>
      <c r="K172" s="2569">
        <f>K135</f>
        <v>2027</v>
      </c>
      <c r="L172" s="2569"/>
      <c r="M172" s="2569">
        <f>M135</f>
        <v>2028</v>
      </c>
      <c r="N172" s="2569"/>
      <c r="O172" s="2569">
        <f>O135</f>
        <v>2029</v>
      </c>
      <c r="P172" s="2569"/>
      <c r="Q172" s="2569">
        <f>Q135</f>
        <v>2030</v>
      </c>
      <c r="R172" s="2569"/>
    </row>
    <row r="173" spans="2:18" x14ac:dyDescent="0.2">
      <c r="B173" s="1979" t="s">
        <v>264</v>
      </c>
      <c r="C173" s="1892" t="s">
        <v>650</v>
      </c>
      <c r="D173" s="1892"/>
      <c r="E173" s="1892"/>
      <c r="F173" s="1892"/>
      <c r="G173" s="1905"/>
      <c r="H173" s="1903"/>
      <c r="I173" s="1971"/>
      <c r="J173" s="1972" t="s">
        <v>27</v>
      </c>
      <c r="K173" s="2626">
        <f>'5. T4 FINANCING PLAN'!G47/1000</f>
        <v>0</v>
      </c>
      <c r="L173" s="2626"/>
      <c r="M173" s="2626">
        <f>'5. T4 FINANCING PLAN'!H47/1000</f>
        <v>0</v>
      </c>
      <c r="N173" s="2626"/>
      <c r="O173" s="2626">
        <f>'5. T4 FINANCING PLAN'!I47/1000</f>
        <v>0</v>
      </c>
      <c r="P173" s="2626"/>
      <c r="Q173" s="2626">
        <f>'5. T4 FINANCING PLAN'!J47/1000</f>
        <v>0</v>
      </c>
      <c r="R173" s="2626"/>
    </row>
    <row r="174" spans="2:18" x14ac:dyDescent="0.2">
      <c r="B174" s="1980"/>
      <c r="C174" s="2600" t="s">
        <v>855</v>
      </c>
      <c r="D174" s="2600"/>
      <c r="E174" s="2600"/>
      <c r="F174" s="2600"/>
      <c r="G174" s="2600"/>
      <c r="H174" s="2600"/>
      <c r="I174" s="2600"/>
      <c r="J174" s="1969"/>
      <c r="K174" s="2627">
        <f>'5. T4 FINANCING PLAN'!G48</f>
        <v>0</v>
      </c>
      <c r="L174" s="2627"/>
      <c r="M174" s="2627">
        <f>'5. T4 FINANCING PLAN'!H48</f>
        <v>0</v>
      </c>
      <c r="N174" s="2627"/>
      <c r="O174" s="2627">
        <f>'5. T4 FINANCING PLAN'!I48</f>
        <v>0</v>
      </c>
      <c r="P174" s="2627"/>
      <c r="Q174" s="2627">
        <f>'5. T4 FINANCING PLAN'!J48</f>
        <v>0</v>
      </c>
      <c r="R174" s="2627"/>
    </row>
    <row r="175" spans="2:18" x14ac:dyDescent="0.2">
      <c r="B175" s="1980" t="s">
        <v>265</v>
      </c>
      <c r="C175" s="1970" t="s">
        <v>652</v>
      </c>
      <c r="D175" s="1892"/>
      <c r="E175" s="1892"/>
      <c r="F175" s="1892"/>
      <c r="G175" s="1905"/>
      <c r="H175" s="1903"/>
      <c r="I175" s="1971"/>
      <c r="J175" s="1972" t="s">
        <v>27</v>
      </c>
      <c r="K175" s="2626">
        <f>'5. T4 FINANCING PLAN'!G49/1000</f>
        <v>0</v>
      </c>
      <c r="L175" s="2626"/>
      <c r="M175" s="2626">
        <f>'5. T4 FINANCING PLAN'!H49/1000</f>
        <v>0</v>
      </c>
      <c r="N175" s="2626"/>
      <c r="O175" s="2626">
        <f>'5. T4 FINANCING PLAN'!I49/1000</f>
        <v>0</v>
      </c>
      <c r="P175" s="2626"/>
      <c r="Q175" s="2626">
        <f>'5. T4 FINANCING PLAN'!J49/1000</f>
        <v>0</v>
      </c>
      <c r="R175" s="2626"/>
    </row>
    <row r="176" spans="2:18" x14ac:dyDescent="0.2">
      <c r="B176" s="1980"/>
      <c r="C176" s="2600" t="s">
        <v>856</v>
      </c>
      <c r="D176" s="2600"/>
      <c r="E176" s="2600"/>
      <c r="F176" s="2600"/>
      <c r="G176" s="2600"/>
      <c r="H176" s="2600"/>
      <c r="I176" s="2600"/>
      <c r="J176" s="1969"/>
      <c r="K176" s="2628">
        <f>'5. T4 FINANCING PLAN'!G50</f>
        <v>14</v>
      </c>
      <c r="L176" s="2628"/>
      <c r="M176" s="2628">
        <f>'5. T4 FINANCING PLAN'!H50</f>
        <v>14</v>
      </c>
      <c r="N176" s="2628"/>
      <c r="O176" s="2628">
        <f>'5. T4 FINANCING PLAN'!I50</f>
        <v>14</v>
      </c>
      <c r="P176" s="2628"/>
      <c r="Q176" s="2628">
        <f>'5. T4 FINANCING PLAN'!J50</f>
        <v>14</v>
      </c>
      <c r="R176" s="2628"/>
    </row>
    <row r="177" spans="2:24" x14ac:dyDescent="0.2">
      <c r="B177" s="1980" t="s">
        <v>266</v>
      </c>
      <c r="C177" s="1892" t="s">
        <v>423</v>
      </c>
      <c r="D177" s="1892"/>
      <c r="E177" s="1892"/>
      <c r="F177" s="1892"/>
      <c r="G177" s="1905"/>
      <c r="H177" s="1903"/>
      <c r="I177" s="1971"/>
      <c r="J177" s="1972" t="s">
        <v>27</v>
      </c>
      <c r="K177" s="2626">
        <f>'5. T4 FINANCING PLAN'!G51/1000</f>
        <v>0</v>
      </c>
      <c r="L177" s="2626"/>
      <c r="M177" s="2626">
        <f>'5. T4 FINANCING PLAN'!H51/1000</f>
        <v>0</v>
      </c>
      <c r="N177" s="2626"/>
      <c r="O177" s="2626">
        <f>'5. T4 FINANCING PLAN'!I51/1000</f>
        <v>0</v>
      </c>
      <c r="P177" s="2626"/>
      <c r="Q177" s="2626">
        <f>'5. T4 FINANCING PLAN'!J51/1000</f>
        <v>0</v>
      </c>
      <c r="R177" s="2626"/>
    </row>
    <row r="178" spans="2:24" x14ac:dyDescent="0.2">
      <c r="B178" s="1980" t="s">
        <v>267</v>
      </c>
      <c r="C178" s="1970" t="s">
        <v>653</v>
      </c>
      <c r="D178" s="1892"/>
      <c r="E178" s="1892"/>
      <c r="F178" s="1892"/>
      <c r="G178" s="1905"/>
      <c r="H178" s="1903"/>
      <c r="I178" s="1971"/>
      <c r="J178" s="1972" t="s">
        <v>27</v>
      </c>
      <c r="K178" s="2626">
        <f>'5. T4 FINANCING PLAN'!G52/1000</f>
        <v>0</v>
      </c>
      <c r="L178" s="2626"/>
      <c r="M178" s="2626">
        <f>'5. T4 FINANCING PLAN'!H52/1000</f>
        <v>0</v>
      </c>
      <c r="N178" s="2626"/>
      <c r="O178" s="2626">
        <f>'5. T4 FINANCING PLAN'!I52/1000</f>
        <v>0</v>
      </c>
      <c r="P178" s="2626"/>
      <c r="Q178" s="2626">
        <f>'5. T4 FINANCING PLAN'!J52/1000</f>
        <v>0</v>
      </c>
      <c r="R178" s="2626"/>
    </row>
    <row r="179" spans="2:24" x14ac:dyDescent="0.2">
      <c r="B179" s="1980" t="s">
        <v>268</v>
      </c>
      <c r="C179" s="1970" t="s">
        <v>654</v>
      </c>
      <c r="D179" s="1892"/>
      <c r="E179" s="1892"/>
      <c r="F179" s="1892"/>
      <c r="G179" s="1905"/>
      <c r="H179" s="1903"/>
      <c r="I179" s="1971"/>
      <c r="J179" s="1972" t="s">
        <v>27</v>
      </c>
      <c r="K179" s="2626">
        <f>'5. T4 FINANCING PLAN'!G53/1000</f>
        <v>0</v>
      </c>
      <c r="L179" s="2626"/>
      <c r="M179" s="2626">
        <f>'5. T4 FINANCING PLAN'!H53/1000</f>
        <v>0</v>
      </c>
      <c r="N179" s="2626"/>
      <c r="O179" s="2626">
        <f>'5. T4 FINANCING PLAN'!I53/1000</f>
        <v>0</v>
      </c>
      <c r="P179" s="2626"/>
      <c r="Q179" s="2626">
        <f>'5. T4 FINANCING PLAN'!J53/1000</f>
        <v>0</v>
      </c>
      <c r="R179" s="2626"/>
    </row>
    <row r="180" spans="2:24" x14ac:dyDescent="0.2">
      <c r="B180" s="1980"/>
      <c r="C180" s="2600" t="s">
        <v>655</v>
      </c>
      <c r="D180" s="2600"/>
      <c r="E180" s="2600"/>
      <c r="F180" s="2600"/>
      <c r="G180" s="2600"/>
      <c r="H180" s="2600"/>
      <c r="I180" s="2600"/>
      <c r="J180" s="1969"/>
      <c r="K180" s="2627">
        <f>'5. T4 FINANCING PLAN'!G54</f>
        <v>0</v>
      </c>
      <c r="L180" s="2627"/>
      <c r="M180" s="2627">
        <f>'5. T4 FINANCING PLAN'!H54</f>
        <v>0</v>
      </c>
      <c r="N180" s="2627"/>
      <c r="O180" s="2627">
        <f>'5. T4 FINANCING PLAN'!I54</f>
        <v>0</v>
      </c>
      <c r="P180" s="2627"/>
      <c r="Q180" s="2627">
        <f>'5. T4 FINANCING PLAN'!J54</f>
        <v>0</v>
      </c>
      <c r="R180" s="2627"/>
    </row>
    <row r="181" spans="2:24" x14ac:dyDescent="0.2">
      <c r="B181" s="1980" t="s">
        <v>269</v>
      </c>
      <c r="C181" s="1892" t="s">
        <v>424</v>
      </c>
      <c r="D181" s="1892"/>
      <c r="E181" s="1892"/>
      <c r="F181" s="1892"/>
      <c r="G181" s="1905"/>
      <c r="H181" s="1903"/>
      <c r="I181" s="1971"/>
      <c r="J181" s="1972" t="s">
        <v>28</v>
      </c>
      <c r="K181" s="2629">
        <f>'5. T4 FINANCING PLAN'!G55/1000</f>
        <v>0</v>
      </c>
      <c r="L181" s="2629"/>
      <c r="M181" s="2629">
        <f>'5. T4 FINANCING PLAN'!H55/1000</f>
        <v>0</v>
      </c>
      <c r="N181" s="2629"/>
      <c r="O181" s="2629">
        <f>'5. T4 FINANCING PLAN'!I55/1000</f>
        <v>0</v>
      </c>
      <c r="P181" s="2629"/>
      <c r="Q181" s="2629">
        <f>'5. T4 FINANCING PLAN'!J55/1000</f>
        <v>0</v>
      </c>
      <c r="R181" s="2629"/>
    </row>
    <row r="182" spans="2:24" x14ac:dyDescent="0.2">
      <c r="B182" s="1980"/>
      <c r="C182" s="2600" t="s">
        <v>425</v>
      </c>
      <c r="D182" s="2600"/>
      <c r="E182" s="2600"/>
      <c r="F182" s="2600"/>
      <c r="G182" s="2600"/>
      <c r="H182" s="2600"/>
      <c r="I182" s="2600"/>
      <c r="J182" s="1969"/>
      <c r="K182" s="2628">
        <f>'5. T4 FINANCING PLAN'!G56</f>
        <v>14</v>
      </c>
      <c r="L182" s="2628"/>
      <c r="M182" s="2628">
        <f>'5. T4 FINANCING PLAN'!H56</f>
        <v>14</v>
      </c>
      <c r="N182" s="2628"/>
      <c r="O182" s="2628">
        <f>'5. T4 FINANCING PLAN'!I56</f>
        <v>14</v>
      </c>
      <c r="P182" s="2628"/>
      <c r="Q182" s="2628">
        <f>'5. T4 FINANCING PLAN'!J56</f>
        <v>14</v>
      </c>
      <c r="R182" s="2628"/>
    </row>
    <row r="183" spans="2:24" x14ac:dyDescent="0.2">
      <c r="B183" s="1980" t="s">
        <v>270</v>
      </c>
      <c r="C183" s="1892" t="s">
        <v>658</v>
      </c>
      <c r="D183" s="1892"/>
      <c r="E183" s="1892"/>
      <c r="F183" s="1892"/>
      <c r="G183" s="1905"/>
      <c r="H183" s="1903"/>
      <c r="I183" s="1971"/>
      <c r="J183" s="1972" t="s">
        <v>28</v>
      </c>
      <c r="K183" s="2626">
        <f>'5. T4 FINANCING PLAN'!G57/1000</f>
        <v>0</v>
      </c>
      <c r="L183" s="2626"/>
      <c r="M183" s="2626">
        <f>'5. T4 FINANCING PLAN'!H57/1000</f>
        <v>0</v>
      </c>
      <c r="N183" s="2626"/>
      <c r="O183" s="2626">
        <f>'5. T4 FINANCING PLAN'!I57/1000</f>
        <v>0</v>
      </c>
      <c r="P183" s="2626"/>
      <c r="Q183" s="2626">
        <f>'5. T4 FINANCING PLAN'!J57/1000</f>
        <v>0</v>
      </c>
      <c r="R183" s="2626"/>
    </row>
    <row r="184" spans="2:24" x14ac:dyDescent="0.2">
      <c r="B184" s="1980"/>
      <c r="C184" s="2600" t="s">
        <v>659</v>
      </c>
      <c r="D184" s="2600"/>
      <c r="E184" s="2600"/>
      <c r="F184" s="2600"/>
      <c r="G184" s="2600"/>
      <c r="H184" s="2600"/>
      <c r="I184" s="2600"/>
      <c r="J184" s="1973"/>
      <c r="K184" s="2627">
        <f>'5. T4 FINANCING PLAN'!G58</f>
        <v>0</v>
      </c>
      <c r="L184" s="2627"/>
      <c r="M184" s="2627">
        <f>'5. T4 FINANCING PLAN'!H58</f>
        <v>0</v>
      </c>
      <c r="N184" s="2627"/>
      <c r="O184" s="2627">
        <f>'5. T4 FINANCING PLAN'!I58</f>
        <v>0</v>
      </c>
      <c r="P184" s="2627"/>
      <c r="Q184" s="2627">
        <f>'5. T4 FINANCING PLAN'!J58</f>
        <v>0</v>
      </c>
      <c r="R184" s="2627"/>
      <c r="X184" s="519" t="s">
        <v>0</v>
      </c>
    </row>
    <row r="185" spans="2:24" x14ac:dyDescent="0.2">
      <c r="B185" s="1980" t="s">
        <v>271</v>
      </c>
      <c r="C185" s="1892" t="s">
        <v>426</v>
      </c>
      <c r="D185" s="1892"/>
      <c r="E185" s="1892"/>
      <c r="F185" s="1892"/>
      <c r="G185" s="1905"/>
      <c r="H185" s="1903"/>
      <c r="I185" s="1971"/>
      <c r="J185" s="1972" t="s">
        <v>70</v>
      </c>
      <c r="K185" s="2626">
        <f>'5. T4 FINANCING PLAN'!G59/1000</f>
        <v>0</v>
      </c>
      <c r="L185" s="2626"/>
      <c r="M185" s="2626">
        <f>'5. T4 FINANCING PLAN'!H59/1000</f>
        <v>0</v>
      </c>
      <c r="N185" s="2626"/>
      <c r="O185" s="2626">
        <f>'5. T4 FINANCING PLAN'!I59/1000</f>
        <v>0</v>
      </c>
      <c r="P185" s="2626"/>
      <c r="Q185" s="2626">
        <f>'5. T4 FINANCING PLAN'!J59/1000</f>
        <v>0</v>
      </c>
      <c r="R185" s="2626"/>
    </row>
    <row r="186" spans="2:24" x14ac:dyDescent="0.2">
      <c r="B186" s="1981" t="s">
        <v>272</v>
      </c>
      <c r="C186" s="1892" t="s">
        <v>411</v>
      </c>
      <c r="D186" s="1892"/>
      <c r="E186" s="1892"/>
      <c r="F186" s="1892"/>
      <c r="G186" s="1905"/>
      <c r="H186" s="1903"/>
      <c r="I186" s="1971"/>
      <c r="J186" s="1977" t="s">
        <v>41</v>
      </c>
      <c r="K186" s="2643" t="s">
        <v>0</v>
      </c>
      <c r="L186" s="2643"/>
      <c r="M186" s="2626">
        <f>'5. T4 FINANCING PLAN'!H60/1000</f>
        <v>0</v>
      </c>
      <c r="N186" s="2626"/>
      <c r="O186" s="2626">
        <f>'5. T4 FINANCING PLAN'!I60/1000</f>
        <v>0</v>
      </c>
      <c r="P186" s="2626"/>
      <c r="Q186" s="2626">
        <f>'5. T4 FINANCING PLAN'!J60/1000</f>
        <v>0</v>
      </c>
      <c r="R186" s="2626"/>
    </row>
    <row r="187" spans="2:24" x14ac:dyDescent="0.2">
      <c r="B187" s="749"/>
      <c r="C187" s="749"/>
      <c r="D187" s="749"/>
      <c r="E187" s="749"/>
      <c r="F187" s="749"/>
      <c r="G187" s="750"/>
      <c r="H187" s="751"/>
      <c r="I187" s="752"/>
      <c r="J187" s="753"/>
      <c r="K187" s="754"/>
      <c r="L187" s="754"/>
      <c r="M187" s="754"/>
      <c r="N187" s="754"/>
      <c r="O187" s="754"/>
      <c r="P187" s="754"/>
      <c r="Q187" s="754"/>
      <c r="R187" s="754"/>
    </row>
    <row r="188" spans="2:24" x14ac:dyDescent="0.2">
      <c r="B188" s="440"/>
      <c r="C188" s="441"/>
      <c r="D188" s="441"/>
      <c r="E188" s="441"/>
      <c r="F188" s="441"/>
      <c r="G188" s="442"/>
      <c r="H188" s="434"/>
      <c r="I188" s="586"/>
      <c r="J188" s="587"/>
      <c r="K188" s="587"/>
      <c r="L188" s="587"/>
      <c r="M188" s="587"/>
      <c r="N188" s="587"/>
      <c r="O188" s="587"/>
      <c r="P188" s="587"/>
      <c r="Q188" s="443"/>
      <c r="R188" s="153"/>
    </row>
    <row r="189" spans="2:24" ht="14.25" x14ac:dyDescent="0.2">
      <c r="B189" s="184" t="s">
        <v>460</v>
      </c>
      <c r="C189" s="76"/>
      <c r="G189" s="434"/>
      <c r="H189" s="586"/>
      <c r="I189" s="587"/>
      <c r="J189" s="587"/>
      <c r="L189" s="587"/>
      <c r="O189" s="587"/>
      <c r="P189" s="587"/>
      <c r="Q189" s="443"/>
      <c r="R189" s="153"/>
    </row>
    <row r="190" spans="2:24" x14ac:dyDescent="0.2">
      <c r="B190" s="440"/>
      <c r="C190" s="441"/>
      <c r="D190" s="441"/>
      <c r="E190" s="441"/>
      <c r="F190" s="441"/>
      <c r="G190" s="442"/>
      <c r="H190" s="434"/>
      <c r="I190" s="586"/>
      <c r="J190" s="587"/>
      <c r="K190" s="587"/>
      <c r="L190" s="587"/>
      <c r="M190" s="587"/>
      <c r="N190" s="587"/>
      <c r="O190" s="587"/>
      <c r="P190" s="587"/>
      <c r="Q190" s="443"/>
      <c r="R190" s="153"/>
    </row>
    <row r="191" spans="2:24" x14ac:dyDescent="0.2">
      <c r="B191" s="2630" t="s">
        <v>427</v>
      </c>
      <c r="C191" s="2630"/>
      <c r="D191" s="2633" t="s">
        <v>428</v>
      </c>
      <c r="E191" s="2635" t="s">
        <v>429</v>
      </c>
      <c r="F191" s="2633" t="s">
        <v>430</v>
      </c>
      <c r="G191" s="2637" t="s">
        <v>419</v>
      </c>
      <c r="H191" s="2637"/>
      <c r="I191" s="2637"/>
      <c r="J191" s="2639" t="s">
        <v>420</v>
      </c>
      <c r="K191" s="2639"/>
      <c r="L191" s="2639"/>
      <c r="M191" s="2637" t="s">
        <v>421</v>
      </c>
      <c r="N191" s="2637"/>
      <c r="O191" s="2637"/>
      <c r="P191" s="2639" t="s">
        <v>422</v>
      </c>
      <c r="Q191" s="2639"/>
      <c r="R191" s="2639"/>
    </row>
    <row r="192" spans="2:24" x14ac:dyDescent="0.2">
      <c r="B192" s="2631"/>
      <c r="C192" s="2631"/>
      <c r="D192" s="2634"/>
      <c r="E192" s="2636"/>
      <c r="F192" s="2634"/>
      <c r="G192" s="2638"/>
      <c r="H192" s="2638"/>
      <c r="I192" s="2638"/>
      <c r="J192" s="2640"/>
      <c r="K192" s="2640"/>
      <c r="L192" s="2640"/>
      <c r="M192" s="2638"/>
      <c r="N192" s="2638"/>
      <c r="O192" s="2638"/>
      <c r="P192" s="2640"/>
      <c r="Q192" s="2640"/>
      <c r="R192" s="2640"/>
    </row>
    <row r="193" spans="2:18" x14ac:dyDescent="0.2">
      <c r="B193" s="2632"/>
      <c r="C193" s="2632"/>
      <c r="D193" s="2634"/>
      <c r="E193" s="2636"/>
      <c r="F193" s="2634"/>
      <c r="G193" s="2641">
        <f>G16</f>
        <v>2027</v>
      </c>
      <c r="H193" s="2642"/>
      <c r="I193" s="2642"/>
      <c r="J193" s="2641">
        <f>H16</f>
        <v>2028</v>
      </c>
      <c r="K193" s="2642"/>
      <c r="L193" s="2642"/>
      <c r="M193" s="2641">
        <f>I16</f>
        <v>2029</v>
      </c>
      <c r="N193" s="2642"/>
      <c r="O193" s="2642"/>
      <c r="P193" s="2641">
        <f>J16</f>
        <v>2030</v>
      </c>
      <c r="Q193" s="2642"/>
      <c r="R193" s="2642"/>
    </row>
    <row r="194" spans="2:18" x14ac:dyDescent="0.2">
      <c r="B194" s="1924" t="s">
        <v>436</v>
      </c>
      <c r="C194" s="1925"/>
      <c r="D194" s="2634"/>
      <c r="E194" s="2636"/>
      <c r="F194" s="2634"/>
      <c r="G194" s="1906" t="s">
        <v>432</v>
      </c>
      <c r="H194" s="1906" t="s">
        <v>871</v>
      </c>
      <c r="I194" s="1906" t="s">
        <v>431</v>
      </c>
      <c r="J194" s="1906" t="s">
        <v>432</v>
      </c>
      <c r="K194" s="1906" t="s">
        <v>871</v>
      </c>
      <c r="L194" s="1906" t="s">
        <v>431</v>
      </c>
      <c r="M194" s="1906" t="s">
        <v>432</v>
      </c>
      <c r="N194" s="1906" t="s">
        <v>871</v>
      </c>
      <c r="O194" s="1906" t="s">
        <v>431</v>
      </c>
      <c r="P194" s="1906" t="s">
        <v>432</v>
      </c>
      <c r="Q194" s="1906" t="s">
        <v>871</v>
      </c>
      <c r="R194" s="1906" t="s">
        <v>431</v>
      </c>
    </row>
    <row r="195" spans="2:18" x14ac:dyDescent="0.2">
      <c r="B195" s="2644">
        <f>'2. T7 LOANS'!B13</f>
        <v>0</v>
      </c>
      <c r="C195" s="2644"/>
      <c r="D195" s="1907">
        <f>'2. T7 LOANS'!C13/1000</f>
        <v>0</v>
      </c>
      <c r="E195" s="1908">
        <f>'2. T7 LOANS'!D13</f>
        <v>0</v>
      </c>
      <c r="F195" s="1909">
        <f>'2. T7 LOANS'!E13*100</f>
        <v>0</v>
      </c>
      <c r="G195" s="1907">
        <f>'2. T7 LOANS'!F13/1000</f>
        <v>0</v>
      </c>
      <c r="H195" s="1910">
        <f>'2. T7 LOANS'!G13/1000</f>
        <v>0</v>
      </c>
      <c r="I195" s="1910">
        <f>'2. T7 LOANS'!H13/1000</f>
        <v>0</v>
      </c>
      <c r="J195" s="1907">
        <f>'2. T7 LOANS'!I13/1000</f>
        <v>0</v>
      </c>
      <c r="K195" s="1910">
        <f>'2. T7 LOANS'!J13/1000</f>
        <v>0</v>
      </c>
      <c r="L195" s="1910">
        <f>'2. T7 LOANS'!K13/1000</f>
        <v>0</v>
      </c>
      <c r="M195" s="1907">
        <f>'2. T7 LOANS'!L13/1000</f>
        <v>0</v>
      </c>
      <c r="N195" s="1910">
        <f>'2. T7 LOANS'!M13/1000</f>
        <v>0</v>
      </c>
      <c r="O195" s="1910">
        <f>'2. T7 LOANS'!N13/1000</f>
        <v>0</v>
      </c>
      <c r="P195" s="1907">
        <f>'2. T7 LOANS'!O13/1000</f>
        <v>0</v>
      </c>
      <c r="Q195" s="1910">
        <f>'2. T7 LOANS'!P13/1000</f>
        <v>0</v>
      </c>
      <c r="R195" s="1910">
        <f>'2. T7 LOANS'!Q13/1000</f>
        <v>0</v>
      </c>
    </row>
    <row r="196" spans="2:18" x14ac:dyDescent="0.2">
      <c r="B196" s="2644">
        <f>'2. T7 LOANS'!B14</f>
        <v>0</v>
      </c>
      <c r="C196" s="2644"/>
      <c r="D196" s="1907">
        <f>'2. T7 LOANS'!C14/1000</f>
        <v>0</v>
      </c>
      <c r="E196" s="1908">
        <f>'2. T7 LOANS'!D14</f>
        <v>0</v>
      </c>
      <c r="F196" s="1909">
        <f>'2. T7 LOANS'!E14*100</f>
        <v>0</v>
      </c>
      <c r="G196" s="1907">
        <f>'2. T7 LOANS'!F14/1000</f>
        <v>0</v>
      </c>
      <c r="H196" s="1910">
        <f>'2. T7 LOANS'!G14/1000</f>
        <v>0</v>
      </c>
      <c r="I196" s="1910">
        <f>'2. T7 LOANS'!H14/1000</f>
        <v>0</v>
      </c>
      <c r="J196" s="1907">
        <f>'2. T7 LOANS'!I14/1000</f>
        <v>0</v>
      </c>
      <c r="K196" s="1910">
        <f>'2. T7 LOANS'!J14/1000</f>
        <v>0</v>
      </c>
      <c r="L196" s="1910">
        <f>'2. T7 LOANS'!K14/1000</f>
        <v>0</v>
      </c>
      <c r="M196" s="1907">
        <f>'2. T7 LOANS'!L14/1000</f>
        <v>0</v>
      </c>
      <c r="N196" s="1910">
        <f>'2. T7 LOANS'!M14/1000</f>
        <v>0</v>
      </c>
      <c r="O196" s="1910">
        <f>'2. T7 LOANS'!N14/1000</f>
        <v>0</v>
      </c>
      <c r="P196" s="1907">
        <f>'2. T7 LOANS'!O14/1000</f>
        <v>0</v>
      </c>
      <c r="Q196" s="1910">
        <f>'2. T7 LOANS'!P14/1000</f>
        <v>0</v>
      </c>
      <c r="R196" s="1910">
        <f>'2. T7 LOANS'!Q14/1000</f>
        <v>0</v>
      </c>
    </row>
    <row r="197" spans="2:18" x14ac:dyDescent="0.2">
      <c r="B197" s="2644">
        <f>'2. T7 LOANS'!B15</f>
        <v>0</v>
      </c>
      <c r="C197" s="2644"/>
      <c r="D197" s="1907">
        <f>'2. T7 LOANS'!C15/1000</f>
        <v>0</v>
      </c>
      <c r="E197" s="1908">
        <f>'2. T7 LOANS'!D15</f>
        <v>0</v>
      </c>
      <c r="F197" s="1909">
        <f>'2. T7 LOANS'!E15*100</f>
        <v>0</v>
      </c>
      <c r="G197" s="1907">
        <f>'2. T7 LOANS'!F15/1000</f>
        <v>0</v>
      </c>
      <c r="H197" s="1910">
        <f>'2. T7 LOANS'!G15/1000</f>
        <v>0</v>
      </c>
      <c r="I197" s="1910">
        <f>'2. T7 LOANS'!H15/1000</f>
        <v>0</v>
      </c>
      <c r="J197" s="1907">
        <f>'2. T7 LOANS'!I15/1000</f>
        <v>0</v>
      </c>
      <c r="K197" s="1910">
        <f>'2. T7 LOANS'!J15/1000</f>
        <v>0</v>
      </c>
      <c r="L197" s="1910">
        <f>'2. T7 LOANS'!K15/1000</f>
        <v>0</v>
      </c>
      <c r="M197" s="1907">
        <f>'2. T7 LOANS'!L15/1000</f>
        <v>0</v>
      </c>
      <c r="N197" s="1910">
        <f>'2. T7 LOANS'!M15/1000</f>
        <v>0</v>
      </c>
      <c r="O197" s="1910">
        <f>'2. T7 LOANS'!N15/1000</f>
        <v>0</v>
      </c>
      <c r="P197" s="1907">
        <f>'2. T7 LOANS'!O15/1000</f>
        <v>0</v>
      </c>
      <c r="Q197" s="1910">
        <f>'2. T7 LOANS'!P15/1000</f>
        <v>0</v>
      </c>
      <c r="R197" s="1910">
        <f>'2. T7 LOANS'!Q15/1000</f>
        <v>0</v>
      </c>
    </row>
    <row r="198" spans="2:18" x14ac:dyDescent="0.2">
      <c r="B198" s="2644">
        <f>'2. T7 LOANS'!B16</f>
        <v>0</v>
      </c>
      <c r="C198" s="2644"/>
      <c r="D198" s="1907">
        <f>'2. T7 LOANS'!C16/1000</f>
        <v>0</v>
      </c>
      <c r="E198" s="1908">
        <f>'2. T7 LOANS'!D16</f>
        <v>0</v>
      </c>
      <c r="F198" s="1909">
        <f>'2. T7 LOANS'!E16*100</f>
        <v>0</v>
      </c>
      <c r="G198" s="1907">
        <f>'2. T7 LOANS'!F16/1000</f>
        <v>0</v>
      </c>
      <c r="H198" s="1910">
        <f>'2. T7 LOANS'!G16/1000</f>
        <v>0</v>
      </c>
      <c r="I198" s="1910">
        <f>'2. T7 LOANS'!H16/1000</f>
        <v>0</v>
      </c>
      <c r="J198" s="1907">
        <f>'2. T7 LOANS'!I16/1000</f>
        <v>0</v>
      </c>
      <c r="K198" s="1910">
        <f>'2. T7 LOANS'!J16/1000</f>
        <v>0</v>
      </c>
      <c r="L198" s="1910">
        <f>'2. T7 LOANS'!K16/1000</f>
        <v>0</v>
      </c>
      <c r="M198" s="1907">
        <f>'2. T7 LOANS'!L16/1000</f>
        <v>0</v>
      </c>
      <c r="N198" s="1910">
        <f>'2. T7 LOANS'!M16/1000</f>
        <v>0</v>
      </c>
      <c r="O198" s="1910">
        <f>'2. T7 LOANS'!N16/1000</f>
        <v>0</v>
      </c>
      <c r="P198" s="1907">
        <f>'2. T7 LOANS'!O16/1000</f>
        <v>0</v>
      </c>
      <c r="Q198" s="1910">
        <f>'2. T7 LOANS'!P16/1000</f>
        <v>0</v>
      </c>
      <c r="R198" s="1910">
        <f>'2. T7 LOANS'!Q16/1000</f>
        <v>0</v>
      </c>
    </row>
    <row r="199" spans="2:18" x14ac:dyDescent="0.2">
      <c r="B199" s="1911" t="s">
        <v>433</v>
      </c>
      <c r="C199" s="1912"/>
      <c r="D199" s="1913"/>
      <c r="E199" s="1913"/>
      <c r="F199" s="1914"/>
      <c r="G199" s="1906" t="s">
        <v>432</v>
      </c>
      <c r="H199" s="1906" t="str">
        <f>H194</f>
        <v>Instalment</v>
      </c>
      <c r="I199" s="1906" t="s">
        <v>431</v>
      </c>
      <c r="J199" s="1906" t="s">
        <v>432</v>
      </c>
      <c r="K199" s="1906" t="str">
        <f>K194</f>
        <v>Instalment</v>
      </c>
      <c r="L199" s="1906" t="s">
        <v>431</v>
      </c>
      <c r="M199" s="1906" t="s">
        <v>432</v>
      </c>
      <c r="N199" s="1906" t="str">
        <f>N194</f>
        <v>Instalment</v>
      </c>
      <c r="O199" s="1906" t="s">
        <v>431</v>
      </c>
      <c r="P199" s="1906" t="s">
        <v>432</v>
      </c>
      <c r="Q199" s="1906" t="str">
        <f>Q194</f>
        <v>Instalment</v>
      </c>
      <c r="R199" s="1906" t="s">
        <v>431</v>
      </c>
    </row>
    <row r="200" spans="2:18" x14ac:dyDescent="0.2">
      <c r="B200" s="2644">
        <f>'2. T7 LOANS'!B18</f>
        <v>0</v>
      </c>
      <c r="C200" s="2644"/>
      <c r="D200" s="1907">
        <f>'2. T7 LOANS'!C18/1000</f>
        <v>0</v>
      </c>
      <c r="E200" s="1908">
        <f>'2. T7 LOANS'!D18</f>
        <v>0</v>
      </c>
      <c r="F200" s="1909">
        <f>'2. T7 LOANS'!E18*100</f>
        <v>0</v>
      </c>
      <c r="G200" s="1907">
        <f>'2. T7 LOANS'!F18/1000</f>
        <v>0</v>
      </c>
      <c r="H200" s="1910">
        <f>'2. T7 LOANS'!G18/1000</f>
        <v>0</v>
      </c>
      <c r="I200" s="1910">
        <f>'2. T7 LOANS'!H18/1000</f>
        <v>0</v>
      </c>
      <c r="J200" s="1907">
        <f>'2. T7 LOANS'!I18/1000</f>
        <v>0</v>
      </c>
      <c r="K200" s="1910">
        <f>'2. T7 LOANS'!J18/1000</f>
        <v>0</v>
      </c>
      <c r="L200" s="1910">
        <f>'2. T7 LOANS'!K18/1000</f>
        <v>0</v>
      </c>
      <c r="M200" s="1907">
        <f>'2. T7 LOANS'!L18/1000</f>
        <v>0</v>
      </c>
      <c r="N200" s="1910">
        <f>'2. T7 LOANS'!M18/1000</f>
        <v>0</v>
      </c>
      <c r="O200" s="1910">
        <f>'2. T7 LOANS'!N18/1000</f>
        <v>0</v>
      </c>
      <c r="P200" s="1907">
        <f>'2. T7 LOANS'!O18/1000</f>
        <v>0</v>
      </c>
      <c r="Q200" s="1910">
        <f>'2. T7 LOANS'!P18/1000</f>
        <v>0</v>
      </c>
      <c r="R200" s="1910">
        <f>'2. T7 LOANS'!Q18/1000</f>
        <v>0</v>
      </c>
    </row>
    <row r="201" spans="2:18" x14ac:dyDescent="0.2">
      <c r="B201" s="2644">
        <f>'2. T7 LOANS'!B19</f>
        <v>0</v>
      </c>
      <c r="C201" s="2644"/>
      <c r="D201" s="1907">
        <f>'2. T7 LOANS'!C19/1000</f>
        <v>0</v>
      </c>
      <c r="E201" s="1908">
        <f>'2. T7 LOANS'!D19</f>
        <v>0</v>
      </c>
      <c r="F201" s="1909">
        <f>'2. T7 LOANS'!E19*100</f>
        <v>0</v>
      </c>
      <c r="G201" s="1907">
        <f>'2. T7 LOANS'!F19/1000</f>
        <v>0</v>
      </c>
      <c r="H201" s="1910">
        <f>'2. T7 LOANS'!G19/1000</f>
        <v>0</v>
      </c>
      <c r="I201" s="1910">
        <f>'2. T7 LOANS'!H19/1000</f>
        <v>0</v>
      </c>
      <c r="J201" s="1907">
        <f>'2. T7 LOANS'!I19/1000</f>
        <v>0</v>
      </c>
      <c r="K201" s="1910">
        <f>'2. T7 LOANS'!J19/1000</f>
        <v>0</v>
      </c>
      <c r="L201" s="1910">
        <f>'2. T7 LOANS'!K19/1000</f>
        <v>0</v>
      </c>
      <c r="M201" s="1907">
        <f>'2. T7 LOANS'!L19/1000</f>
        <v>0</v>
      </c>
      <c r="N201" s="1910">
        <f>'2. T7 LOANS'!M19/1000</f>
        <v>0</v>
      </c>
      <c r="O201" s="1910">
        <f>'2. T7 LOANS'!N19/1000</f>
        <v>0</v>
      </c>
      <c r="P201" s="1907">
        <f>'2. T7 LOANS'!O19/1000</f>
        <v>0</v>
      </c>
      <c r="Q201" s="1910">
        <f>'2. T7 LOANS'!P19/1000</f>
        <v>0</v>
      </c>
      <c r="R201" s="1910">
        <f>'2. T7 LOANS'!Q19/1000</f>
        <v>0</v>
      </c>
    </row>
    <row r="202" spans="2:18" x14ac:dyDescent="0.2">
      <c r="B202" s="2644">
        <f>'2. T7 LOANS'!B20</f>
        <v>0</v>
      </c>
      <c r="C202" s="2644"/>
      <c r="D202" s="1907">
        <f>'2. T7 LOANS'!C20/1000</f>
        <v>0</v>
      </c>
      <c r="E202" s="1908">
        <f>'2. T7 LOANS'!D20</f>
        <v>0</v>
      </c>
      <c r="F202" s="1909">
        <f>'2. T7 LOANS'!E20*100</f>
        <v>0</v>
      </c>
      <c r="G202" s="1907">
        <f>'2. T7 LOANS'!F20/1000</f>
        <v>0</v>
      </c>
      <c r="H202" s="1910">
        <f>'2. T7 LOANS'!G20/1000</f>
        <v>0</v>
      </c>
      <c r="I202" s="1910">
        <f>'2. T7 LOANS'!H20/1000</f>
        <v>0</v>
      </c>
      <c r="J202" s="1907">
        <f>'2. T7 LOANS'!I20/1000</f>
        <v>0</v>
      </c>
      <c r="K202" s="1910">
        <f>'2. T7 LOANS'!J20/1000</f>
        <v>0</v>
      </c>
      <c r="L202" s="1910">
        <f>'2. T7 LOANS'!K20/1000</f>
        <v>0</v>
      </c>
      <c r="M202" s="1907">
        <f>'2. T7 LOANS'!L20/1000</f>
        <v>0</v>
      </c>
      <c r="N202" s="1910">
        <f>'2. T7 LOANS'!M20/1000</f>
        <v>0</v>
      </c>
      <c r="O202" s="1910">
        <f>'2. T7 LOANS'!N20/1000</f>
        <v>0</v>
      </c>
      <c r="P202" s="1907">
        <f>'2. T7 LOANS'!O20/1000</f>
        <v>0</v>
      </c>
      <c r="Q202" s="1910">
        <f>'2. T7 LOANS'!P20/1000</f>
        <v>0</v>
      </c>
      <c r="R202" s="1910">
        <f>'2. T7 LOANS'!Q20/1000</f>
        <v>0</v>
      </c>
    </row>
    <row r="203" spans="2:18" x14ac:dyDescent="0.2">
      <c r="B203" s="2644">
        <f>'2. T7 LOANS'!B21</f>
        <v>0</v>
      </c>
      <c r="C203" s="2644"/>
      <c r="D203" s="1907">
        <f>'2. T7 LOANS'!C21/1000</f>
        <v>0</v>
      </c>
      <c r="E203" s="1908">
        <f>'2. T7 LOANS'!D21</f>
        <v>0</v>
      </c>
      <c r="F203" s="1909">
        <f>'2. T7 LOANS'!E21*100</f>
        <v>0</v>
      </c>
      <c r="G203" s="1907">
        <f>'2. T7 LOANS'!F21/1000</f>
        <v>0</v>
      </c>
      <c r="H203" s="1910">
        <f>'2. T7 LOANS'!G21/1000</f>
        <v>0</v>
      </c>
      <c r="I203" s="1910">
        <f>'2. T7 LOANS'!H21/1000</f>
        <v>0</v>
      </c>
      <c r="J203" s="1907">
        <f>'2. T7 LOANS'!I21/1000</f>
        <v>0</v>
      </c>
      <c r="K203" s="1910">
        <f>'2. T7 LOANS'!J21/1000</f>
        <v>0</v>
      </c>
      <c r="L203" s="1910">
        <f>'2. T7 LOANS'!K21/1000</f>
        <v>0</v>
      </c>
      <c r="M203" s="1907">
        <f>'2. T7 LOANS'!L21/1000</f>
        <v>0</v>
      </c>
      <c r="N203" s="1910">
        <f>'2. T7 LOANS'!M21/1000</f>
        <v>0</v>
      </c>
      <c r="O203" s="1910">
        <f>'2. T7 LOANS'!N21/1000</f>
        <v>0</v>
      </c>
      <c r="P203" s="1907">
        <f>'2. T7 LOANS'!O21/1000</f>
        <v>0</v>
      </c>
      <c r="Q203" s="1910">
        <f>'2. T7 LOANS'!P21/1000</f>
        <v>0</v>
      </c>
      <c r="R203" s="1910">
        <f>'2. T7 LOANS'!Q21/1000</f>
        <v>0</v>
      </c>
    </row>
    <row r="204" spans="2:18" x14ac:dyDescent="0.2">
      <c r="B204" s="1911" t="s">
        <v>434</v>
      </c>
      <c r="C204" s="1912"/>
      <c r="D204" s="1913"/>
      <c r="E204" s="1913"/>
      <c r="F204" s="1914"/>
      <c r="G204" s="1906" t="s">
        <v>432</v>
      </c>
      <c r="H204" s="1906" t="str">
        <f>H199</f>
        <v>Instalment</v>
      </c>
      <c r="I204" s="1906" t="s">
        <v>431</v>
      </c>
      <c r="J204" s="1906" t="s">
        <v>432</v>
      </c>
      <c r="K204" s="1906" t="str">
        <f>K199</f>
        <v>Instalment</v>
      </c>
      <c r="L204" s="1906" t="s">
        <v>431</v>
      </c>
      <c r="M204" s="1906" t="s">
        <v>432</v>
      </c>
      <c r="N204" s="1906" t="str">
        <f>N199</f>
        <v>Instalment</v>
      </c>
      <c r="O204" s="1906" t="s">
        <v>431</v>
      </c>
      <c r="P204" s="1906" t="s">
        <v>432</v>
      </c>
      <c r="Q204" s="1906" t="str">
        <f>Q199</f>
        <v>Instalment</v>
      </c>
      <c r="R204" s="1906" t="s">
        <v>431</v>
      </c>
    </row>
    <row r="205" spans="2:18" x14ac:dyDescent="0.2">
      <c r="B205" s="2644">
        <f>'2. T7 LOANS'!B23</f>
        <v>0</v>
      </c>
      <c r="C205" s="2644"/>
      <c r="D205" s="1907">
        <f>'2. T7 LOANS'!C23/1000</f>
        <v>0</v>
      </c>
      <c r="E205" s="1908">
        <f>'2. T7 LOANS'!D23</f>
        <v>0</v>
      </c>
      <c r="F205" s="1909">
        <f>'2. T7 LOANS'!E23*100</f>
        <v>0</v>
      </c>
      <c r="G205" s="1907">
        <f>'2. T7 LOANS'!F23/1000</f>
        <v>0</v>
      </c>
      <c r="H205" s="1910">
        <f>'2. T7 LOANS'!G23/1000</f>
        <v>0</v>
      </c>
      <c r="I205" s="1910">
        <f>'2. T7 LOANS'!H23/1000</f>
        <v>0</v>
      </c>
      <c r="J205" s="1907">
        <f>'2. T7 LOANS'!I23/1000</f>
        <v>0</v>
      </c>
      <c r="K205" s="1910">
        <f>'2. T7 LOANS'!J23/1000</f>
        <v>0</v>
      </c>
      <c r="L205" s="1910">
        <f>'2. T7 LOANS'!K23/1000</f>
        <v>0</v>
      </c>
      <c r="M205" s="1907">
        <f>'2. T7 LOANS'!L23/1000</f>
        <v>0</v>
      </c>
      <c r="N205" s="1910">
        <f>'2. T7 LOANS'!M23/1000</f>
        <v>0</v>
      </c>
      <c r="O205" s="1910">
        <f>'2. T7 LOANS'!N23/1000</f>
        <v>0</v>
      </c>
      <c r="P205" s="1907">
        <f>'2. T7 LOANS'!O23/1000</f>
        <v>0</v>
      </c>
      <c r="Q205" s="1910">
        <f>'2. T7 LOANS'!P23/1000</f>
        <v>0</v>
      </c>
      <c r="R205" s="1910">
        <f>'2. T7 LOANS'!Q23/1000</f>
        <v>0</v>
      </c>
    </row>
    <row r="206" spans="2:18" x14ac:dyDescent="0.2">
      <c r="B206" s="2644">
        <f>'2. T7 LOANS'!B24</f>
        <v>0</v>
      </c>
      <c r="C206" s="2644"/>
      <c r="D206" s="1907">
        <f>'2. T7 LOANS'!C24/1000</f>
        <v>0</v>
      </c>
      <c r="E206" s="1908">
        <f>'2. T7 LOANS'!D24</f>
        <v>0</v>
      </c>
      <c r="F206" s="1909">
        <f>'2. T7 LOANS'!E24*100</f>
        <v>0</v>
      </c>
      <c r="G206" s="1907">
        <f>'2. T7 LOANS'!F24/1000</f>
        <v>0</v>
      </c>
      <c r="H206" s="1910">
        <f>'2. T7 LOANS'!G24/1000</f>
        <v>0</v>
      </c>
      <c r="I206" s="1910">
        <f>'2. T7 LOANS'!H24/1000</f>
        <v>0</v>
      </c>
      <c r="J206" s="1907">
        <f>'2. T7 LOANS'!I24/1000</f>
        <v>0</v>
      </c>
      <c r="K206" s="1910">
        <f>'2. T7 LOANS'!J24/1000</f>
        <v>0</v>
      </c>
      <c r="L206" s="1910">
        <f>'2. T7 LOANS'!K24/1000</f>
        <v>0</v>
      </c>
      <c r="M206" s="1907">
        <f>'2. T7 LOANS'!L24/1000</f>
        <v>0</v>
      </c>
      <c r="N206" s="1910">
        <f>'2. T7 LOANS'!M24/1000</f>
        <v>0</v>
      </c>
      <c r="O206" s="1910">
        <f>'2. T7 LOANS'!N24/1000</f>
        <v>0</v>
      </c>
      <c r="P206" s="1907">
        <f>'2. T7 LOANS'!O24/1000</f>
        <v>0</v>
      </c>
      <c r="Q206" s="1910">
        <f>'2. T7 LOANS'!P24/1000</f>
        <v>0</v>
      </c>
      <c r="R206" s="1910">
        <f>'2. T7 LOANS'!Q24/1000</f>
        <v>0</v>
      </c>
    </row>
    <row r="207" spans="2:18" x14ac:dyDescent="0.2">
      <c r="B207" s="2644">
        <f>'2. T7 LOANS'!B25</f>
        <v>0</v>
      </c>
      <c r="C207" s="2644"/>
      <c r="D207" s="1907">
        <f>'2. T7 LOANS'!C25/1000</f>
        <v>0</v>
      </c>
      <c r="E207" s="1908">
        <f>'2. T7 LOANS'!D25</f>
        <v>0</v>
      </c>
      <c r="F207" s="1909">
        <f>'2. T7 LOANS'!E25*100</f>
        <v>0</v>
      </c>
      <c r="G207" s="1907">
        <f>'2. T7 LOANS'!F25/1000</f>
        <v>0</v>
      </c>
      <c r="H207" s="1910">
        <f>'2. T7 LOANS'!G25/1000</f>
        <v>0</v>
      </c>
      <c r="I207" s="1910">
        <f>'2. T7 LOANS'!H25/1000</f>
        <v>0</v>
      </c>
      <c r="J207" s="1907">
        <f>'2. T7 LOANS'!I25/1000</f>
        <v>0</v>
      </c>
      <c r="K207" s="1910">
        <f>'2. T7 LOANS'!J25/1000</f>
        <v>0</v>
      </c>
      <c r="L207" s="1910">
        <f>'2. T7 LOANS'!K25/1000</f>
        <v>0</v>
      </c>
      <c r="M207" s="1907">
        <f>'2. T7 LOANS'!L25/1000</f>
        <v>0</v>
      </c>
      <c r="N207" s="1910">
        <f>'2. T7 LOANS'!M25/1000</f>
        <v>0</v>
      </c>
      <c r="O207" s="1910">
        <f>'2. T7 LOANS'!N25/1000</f>
        <v>0</v>
      </c>
      <c r="P207" s="1907">
        <f>'2. T7 LOANS'!O25/1000</f>
        <v>0</v>
      </c>
      <c r="Q207" s="1910">
        <f>'2. T7 LOANS'!P25/1000</f>
        <v>0</v>
      </c>
      <c r="R207" s="1910">
        <f>'2. T7 LOANS'!Q25/1000</f>
        <v>0</v>
      </c>
    </row>
    <row r="208" spans="2:18" x14ac:dyDescent="0.2">
      <c r="B208" s="2644">
        <f>'2. T7 LOANS'!B26</f>
        <v>0</v>
      </c>
      <c r="C208" s="2644"/>
      <c r="D208" s="1907">
        <f>'2. T7 LOANS'!C26/1000</f>
        <v>0</v>
      </c>
      <c r="E208" s="1908">
        <f>'2. T7 LOANS'!D26</f>
        <v>0</v>
      </c>
      <c r="F208" s="1909">
        <f>'2. T7 LOANS'!E26*100</f>
        <v>0</v>
      </c>
      <c r="G208" s="1907">
        <f>'2. T7 LOANS'!F26/1000</f>
        <v>0</v>
      </c>
      <c r="H208" s="1910">
        <f>'2. T7 LOANS'!G26/1000</f>
        <v>0</v>
      </c>
      <c r="I208" s="1910">
        <f>'2. T7 LOANS'!H26/1000</f>
        <v>0</v>
      </c>
      <c r="J208" s="1907">
        <f>'2. T7 LOANS'!I26/1000</f>
        <v>0</v>
      </c>
      <c r="K208" s="1910">
        <f>'2. T7 LOANS'!J26/1000</f>
        <v>0</v>
      </c>
      <c r="L208" s="1910">
        <f>'2. T7 LOANS'!K26/1000</f>
        <v>0</v>
      </c>
      <c r="M208" s="1907">
        <f>'2. T7 LOANS'!L26/1000</f>
        <v>0</v>
      </c>
      <c r="N208" s="1910">
        <f>'2. T7 LOANS'!M26/1000</f>
        <v>0</v>
      </c>
      <c r="O208" s="1910">
        <f>'2. T7 LOANS'!N26/1000</f>
        <v>0</v>
      </c>
      <c r="P208" s="1907">
        <f>'2. T7 LOANS'!O26/1000</f>
        <v>0</v>
      </c>
      <c r="Q208" s="1910">
        <f>'2. T7 LOANS'!P26/1000</f>
        <v>0</v>
      </c>
      <c r="R208" s="1910">
        <f>'2. T7 LOANS'!Q26/1000</f>
        <v>0</v>
      </c>
    </row>
    <row r="209" spans="2:18" x14ac:dyDescent="0.2">
      <c r="B209" s="1911" t="s">
        <v>435</v>
      </c>
      <c r="C209" s="1912"/>
      <c r="D209" s="1913"/>
      <c r="E209" s="1913"/>
      <c r="F209" s="1914"/>
      <c r="G209" s="1906" t="s">
        <v>432</v>
      </c>
      <c r="H209" s="1906" t="str">
        <f>H204</f>
        <v>Instalment</v>
      </c>
      <c r="I209" s="1906" t="s">
        <v>431</v>
      </c>
      <c r="J209" s="1906" t="s">
        <v>432</v>
      </c>
      <c r="K209" s="1906" t="str">
        <f>K204</f>
        <v>Instalment</v>
      </c>
      <c r="L209" s="1906" t="s">
        <v>431</v>
      </c>
      <c r="M209" s="1906" t="s">
        <v>432</v>
      </c>
      <c r="N209" s="1906" t="str">
        <f>N204</f>
        <v>Instalment</v>
      </c>
      <c r="O209" s="1906" t="s">
        <v>431</v>
      </c>
      <c r="P209" s="1906" t="s">
        <v>432</v>
      </c>
      <c r="Q209" s="1906" t="str">
        <f>Q204</f>
        <v>Instalment</v>
      </c>
      <c r="R209" s="1906" t="s">
        <v>431</v>
      </c>
    </row>
    <row r="210" spans="2:18" x14ac:dyDescent="0.2">
      <c r="B210" s="2644">
        <f>'2. T7 LOANS'!B28</f>
        <v>0</v>
      </c>
      <c r="C210" s="2644"/>
      <c r="D210" s="1907">
        <f>'2. T7 LOANS'!C28/1000</f>
        <v>0</v>
      </c>
      <c r="E210" s="1908">
        <f>'2. T7 LOANS'!D28</f>
        <v>0</v>
      </c>
      <c r="F210" s="1909">
        <f>'2. T7 LOANS'!E28*100</f>
        <v>0</v>
      </c>
      <c r="G210" s="1907">
        <f>'2. T7 LOANS'!F28/1000</f>
        <v>0</v>
      </c>
      <c r="H210" s="1910">
        <f>'2. T7 LOANS'!G28/1000</f>
        <v>0</v>
      </c>
      <c r="I210" s="1910">
        <f>'2. T7 LOANS'!H28/1000</f>
        <v>0</v>
      </c>
      <c r="J210" s="1907">
        <f>'2. T7 LOANS'!I28/1000</f>
        <v>0</v>
      </c>
      <c r="K210" s="1910">
        <f>'2. T7 LOANS'!J28/1000</f>
        <v>0</v>
      </c>
      <c r="L210" s="1910">
        <f>'2. T7 LOANS'!K28/1000</f>
        <v>0</v>
      </c>
      <c r="M210" s="1907">
        <f>'2. T7 LOANS'!L28/1000</f>
        <v>0</v>
      </c>
      <c r="N210" s="1910">
        <f>'2. T7 LOANS'!M28/1000</f>
        <v>0</v>
      </c>
      <c r="O210" s="1910">
        <f>'2. T7 LOANS'!N28/1000</f>
        <v>0</v>
      </c>
      <c r="P210" s="1907">
        <f>'2. T7 LOANS'!O28/1000</f>
        <v>0</v>
      </c>
      <c r="Q210" s="1910">
        <f>'2. T7 LOANS'!P28/1000</f>
        <v>0</v>
      </c>
      <c r="R210" s="1910">
        <f>'2. T7 LOANS'!Q28/1000</f>
        <v>0</v>
      </c>
    </row>
    <row r="211" spans="2:18" x14ac:dyDescent="0.2">
      <c r="B211" s="2644">
        <f>'2. T7 LOANS'!B29</f>
        <v>0</v>
      </c>
      <c r="C211" s="2644"/>
      <c r="D211" s="1907">
        <f>'2. T7 LOANS'!C29/1000</f>
        <v>0</v>
      </c>
      <c r="E211" s="1908">
        <f>'2. T7 LOANS'!D29</f>
        <v>0</v>
      </c>
      <c r="F211" s="1909">
        <f>'2. T7 LOANS'!E29*100</f>
        <v>0</v>
      </c>
      <c r="G211" s="1907">
        <f>'2. T7 LOANS'!F29/1000</f>
        <v>0</v>
      </c>
      <c r="H211" s="1910">
        <f>'2. T7 LOANS'!G29/1000</f>
        <v>0</v>
      </c>
      <c r="I211" s="1910">
        <f>'2. T7 LOANS'!H29/1000</f>
        <v>0</v>
      </c>
      <c r="J211" s="1907">
        <f>'2. T7 LOANS'!I29/1000</f>
        <v>0</v>
      </c>
      <c r="K211" s="1910">
        <f>'2. T7 LOANS'!J29/1000</f>
        <v>0</v>
      </c>
      <c r="L211" s="1910">
        <f>'2. T7 LOANS'!K29/1000</f>
        <v>0</v>
      </c>
      <c r="M211" s="1907">
        <f>'2. T7 LOANS'!L29/1000</f>
        <v>0</v>
      </c>
      <c r="N211" s="1910">
        <f>'2. T7 LOANS'!M29/1000</f>
        <v>0</v>
      </c>
      <c r="O211" s="1910">
        <f>'2. T7 LOANS'!N29/1000</f>
        <v>0</v>
      </c>
      <c r="P211" s="1907">
        <f>'2. T7 LOANS'!O29/1000</f>
        <v>0</v>
      </c>
      <c r="Q211" s="1910">
        <f>'2. T7 LOANS'!P29/1000</f>
        <v>0</v>
      </c>
      <c r="R211" s="1910">
        <f>'2. T7 LOANS'!Q29/1000</f>
        <v>0</v>
      </c>
    </row>
    <row r="212" spans="2:18" x14ac:dyDescent="0.2">
      <c r="B212" s="2644">
        <f>'2. T7 LOANS'!B30</f>
        <v>0</v>
      </c>
      <c r="C212" s="2644"/>
      <c r="D212" s="1907">
        <f>'2. T7 LOANS'!C30/1000</f>
        <v>0</v>
      </c>
      <c r="E212" s="1908">
        <f>'2. T7 LOANS'!D30</f>
        <v>0</v>
      </c>
      <c r="F212" s="1909">
        <f>'2. T7 LOANS'!E30*100</f>
        <v>0</v>
      </c>
      <c r="G212" s="1907">
        <f>'2. T7 LOANS'!F30/1000</f>
        <v>0</v>
      </c>
      <c r="H212" s="1910">
        <f>'2. T7 LOANS'!G30/1000</f>
        <v>0</v>
      </c>
      <c r="I212" s="1910">
        <f>'2. T7 LOANS'!H30/1000</f>
        <v>0</v>
      </c>
      <c r="J212" s="1907">
        <f>'2. T7 LOANS'!I30/1000</f>
        <v>0</v>
      </c>
      <c r="K212" s="1910">
        <f>'2. T7 LOANS'!J30/1000</f>
        <v>0</v>
      </c>
      <c r="L212" s="1910">
        <f>'2. T7 LOANS'!K30/1000</f>
        <v>0</v>
      </c>
      <c r="M212" s="1907">
        <f>'2. T7 LOANS'!L30/1000</f>
        <v>0</v>
      </c>
      <c r="N212" s="1910">
        <f>'2. T7 LOANS'!M30/1000</f>
        <v>0</v>
      </c>
      <c r="O212" s="1910">
        <f>'2. T7 LOANS'!N30/1000</f>
        <v>0</v>
      </c>
      <c r="P212" s="1907">
        <f>'2. T7 LOANS'!O30/1000</f>
        <v>0</v>
      </c>
      <c r="Q212" s="1910">
        <f>'2. T7 LOANS'!P30/1000</f>
        <v>0</v>
      </c>
      <c r="R212" s="1910">
        <f>'2. T7 LOANS'!Q30/1000</f>
        <v>0</v>
      </c>
    </row>
    <row r="213" spans="2:18" x14ac:dyDescent="0.2">
      <c r="B213" s="2644">
        <f>'2. T7 LOANS'!B31</f>
        <v>0</v>
      </c>
      <c r="C213" s="2644"/>
      <c r="D213" s="1907">
        <f>'2. T7 LOANS'!C31/1000</f>
        <v>0</v>
      </c>
      <c r="E213" s="1908">
        <f>'2. T7 LOANS'!D31</f>
        <v>0</v>
      </c>
      <c r="F213" s="1909">
        <f>'2. T7 LOANS'!E31*100</f>
        <v>0</v>
      </c>
      <c r="G213" s="1907">
        <f>'2. T7 LOANS'!F31/1000</f>
        <v>0</v>
      </c>
      <c r="H213" s="1910">
        <f>'2. T7 LOANS'!G31/1000</f>
        <v>0</v>
      </c>
      <c r="I213" s="1910">
        <f>'2. T7 LOANS'!H31/1000</f>
        <v>0</v>
      </c>
      <c r="J213" s="1907">
        <f>'2. T7 LOANS'!I31/1000</f>
        <v>0</v>
      </c>
      <c r="K213" s="1910">
        <f>'2. T7 LOANS'!J31/1000</f>
        <v>0</v>
      </c>
      <c r="L213" s="1910">
        <f>'2. T7 LOANS'!K31/1000</f>
        <v>0</v>
      </c>
      <c r="M213" s="1907">
        <f>'2. T7 LOANS'!L31/1000</f>
        <v>0</v>
      </c>
      <c r="N213" s="1910">
        <f>'2. T7 LOANS'!M31/1000</f>
        <v>0</v>
      </c>
      <c r="O213" s="1910">
        <f>'2. T7 LOANS'!N31/1000</f>
        <v>0</v>
      </c>
      <c r="P213" s="1907">
        <f>'2. T7 LOANS'!O31/1000</f>
        <v>0</v>
      </c>
      <c r="Q213" s="1910">
        <f>'2. T7 LOANS'!P31/1000</f>
        <v>0</v>
      </c>
      <c r="R213" s="1910">
        <f>'2. T7 LOANS'!Q31/1000</f>
        <v>0</v>
      </c>
    </row>
    <row r="214" spans="2:18" x14ac:dyDescent="0.2">
      <c r="B214" s="2649" t="s">
        <v>437</v>
      </c>
      <c r="C214" s="2649"/>
      <c r="D214" s="1915">
        <f>'2. T7 LOANS'!C32/1000</f>
        <v>0</v>
      </c>
      <c r="E214" s="1916"/>
      <c r="F214" s="1917"/>
      <c r="G214" s="1918">
        <f>'2. T7 LOANS'!F32/1000</f>
        <v>0</v>
      </c>
      <c r="H214" s="1919">
        <f>'2. T7 LOANS'!G32/1000</f>
        <v>0</v>
      </c>
      <c r="I214" s="1919">
        <f>'2. T7 LOANS'!H32/1000</f>
        <v>0</v>
      </c>
      <c r="J214" s="1918">
        <f>'2. T7 LOANS'!I32/1000</f>
        <v>0</v>
      </c>
      <c r="K214" s="1919">
        <f>'2. T7 LOANS'!J32/1000</f>
        <v>0</v>
      </c>
      <c r="L214" s="1919">
        <f>'2. T7 LOANS'!K32/1000</f>
        <v>0</v>
      </c>
      <c r="M214" s="1918">
        <f>'2. T7 LOANS'!L32/1000</f>
        <v>0</v>
      </c>
      <c r="N214" s="1919">
        <f>'2. T7 LOANS'!M32/1000</f>
        <v>0</v>
      </c>
      <c r="O214" s="1919">
        <f>'2. T7 LOANS'!N32/1000</f>
        <v>0</v>
      </c>
      <c r="P214" s="1918">
        <f>'2. T7 LOANS'!O32/1000</f>
        <v>0</v>
      </c>
      <c r="Q214" s="1919">
        <f>'2. T7 LOANS'!P32/1000</f>
        <v>0</v>
      </c>
      <c r="R214" s="1919">
        <f>'2. T7 LOANS'!Q32/1000</f>
        <v>0</v>
      </c>
    </row>
    <row r="215" spans="2:18" x14ac:dyDescent="0.2">
      <c r="B215" s="1911" t="s">
        <v>438</v>
      </c>
      <c r="C215" s="1920"/>
      <c r="D215" s="1921"/>
      <c r="E215" s="1922"/>
      <c r="F215" s="1923"/>
      <c r="G215" s="1906" t="s">
        <v>432</v>
      </c>
      <c r="H215" s="1906" t="s">
        <v>871</v>
      </c>
      <c r="I215" s="1906" t="s">
        <v>431</v>
      </c>
      <c r="J215" s="1906" t="s">
        <v>432</v>
      </c>
      <c r="K215" s="1906" t="s">
        <v>871</v>
      </c>
      <c r="L215" s="1906" t="s">
        <v>431</v>
      </c>
      <c r="M215" s="1906" t="s">
        <v>432</v>
      </c>
      <c r="N215" s="1906" t="s">
        <v>871</v>
      </c>
      <c r="O215" s="1906" t="s">
        <v>431</v>
      </c>
      <c r="P215" s="1906" t="s">
        <v>432</v>
      </c>
      <c r="Q215" s="1906" t="s">
        <v>871</v>
      </c>
      <c r="R215" s="1906" t="s">
        <v>431</v>
      </c>
    </row>
    <row r="216" spans="2:18" x14ac:dyDescent="0.2">
      <c r="B216" s="2644" t="str">
        <f>'2. T7 LOANS'!B34</f>
        <v xml:space="preserve"> Credit 1st Forecast Year</v>
      </c>
      <c r="C216" s="2644"/>
      <c r="D216" s="1907">
        <f>'2. T7 LOANS'!C34/1000</f>
        <v>0</v>
      </c>
      <c r="E216" s="1907">
        <f>'2. T7 LOANS'!D34</f>
        <v>0</v>
      </c>
      <c r="F216" s="1909">
        <f>'2. T7 LOANS'!E34*100</f>
        <v>0</v>
      </c>
      <c r="G216" s="1907">
        <f>'2. T7 LOANS'!F34/1000</f>
        <v>0</v>
      </c>
      <c r="H216" s="1910">
        <f>'2. T7 LOANS'!G34/1000</f>
        <v>0</v>
      </c>
      <c r="I216" s="1910">
        <f>'2. T7 LOANS'!H34/1000</f>
        <v>0</v>
      </c>
      <c r="J216" s="1907">
        <f>'2. T7 LOANS'!I34/1000</f>
        <v>0</v>
      </c>
      <c r="K216" s="1910">
        <f>'2. T7 LOANS'!J34/1000</f>
        <v>0</v>
      </c>
      <c r="L216" s="1910">
        <f>'2. T7 LOANS'!K34/1000</f>
        <v>0</v>
      </c>
      <c r="M216" s="1907">
        <f>'2. T7 LOANS'!L34/1000</f>
        <v>0</v>
      </c>
      <c r="N216" s="1910">
        <f>'2. T7 LOANS'!M34/1000</f>
        <v>0</v>
      </c>
      <c r="O216" s="1910">
        <f>'2. T7 LOANS'!N34/1000</f>
        <v>0</v>
      </c>
      <c r="P216" s="1907">
        <f>'2. T7 LOANS'!O34/1000</f>
        <v>0</v>
      </c>
      <c r="Q216" s="1910">
        <f>'2. T7 LOANS'!P34/1000</f>
        <v>0</v>
      </c>
      <c r="R216" s="1910">
        <f>'2. T7 LOANS'!Q34/1000</f>
        <v>0</v>
      </c>
    </row>
    <row r="217" spans="2:18" x14ac:dyDescent="0.2">
      <c r="B217" s="2644" t="str">
        <f>'2. T7 LOANS'!B35</f>
        <v xml:space="preserve"> Credit 2nd Forecast Year</v>
      </c>
      <c r="C217" s="2644"/>
      <c r="D217" s="1907">
        <f>'2. T7 LOANS'!C35/1000</f>
        <v>0</v>
      </c>
      <c r="E217" s="1908">
        <f>'2. T7 LOANS'!D35</f>
        <v>0</v>
      </c>
      <c r="F217" s="1909">
        <f>'2. T7 LOANS'!E35*100</f>
        <v>0</v>
      </c>
      <c r="G217" s="1907">
        <f>'2. T7 LOANS'!F35/1000</f>
        <v>0</v>
      </c>
      <c r="H217" s="1910">
        <f>'2. T7 LOANS'!G35/1000</f>
        <v>0</v>
      </c>
      <c r="I217" s="1910">
        <f>'2. T7 LOANS'!H35/1000</f>
        <v>0</v>
      </c>
      <c r="J217" s="1907">
        <f>'2. T7 LOANS'!I35/1000</f>
        <v>0</v>
      </c>
      <c r="K217" s="1910">
        <f>'2. T7 LOANS'!J35/1000</f>
        <v>0</v>
      </c>
      <c r="L217" s="1910">
        <f>'2. T7 LOANS'!K35/1000</f>
        <v>0</v>
      </c>
      <c r="M217" s="1907">
        <f>'2. T7 LOANS'!L35/1000</f>
        <v>0</v>
      </c>
      <c r="N217" s="1910">
        <f>'2. T7 LOANS'!M35/1000</f>
        <v>0</v>
      </c>
      <c r="O217" s="1910">
        <f>'2. T7 LOANS'!N35/1000</f>
        <v>0</v>
      </c>
      <c r="P217" s="1907">
        <f>'2. T7 LOANS'!O35/1000</f>
        <v>0</v>
      </c>
      <c r="Q217" s="1910">
        <f>'2. T7 LOANS'!P35/1000</f>
        <v>0</v>
      </c>
      <c r="R217" s="1910">
        <f>'2. T7 LOANS'!Q35/1000</f>
        <v>0</v>
      </c>
    </row>
    <row r="218" spans="2:18" x14ac:dyDescent="0.2">
      <c r="B218" s="2644" t="str">
        <f>'2. T7 LOANS'!B36</f>
        <v xml:space="preserve"> Credit 3th Forecast Year</v>
      </c>
      <c r="C218" s="2644"/>
      <c r="D218" s="1907">
        <f>'2. T7 LOANS'!C36/1000</f>
        <v>0</v>
      </c>
      <c r="E218" s="1908">
        <f>'2. T7 LOANS'!D36</f>
        <v>0</v>
      </c>
      <c r="F218" s="1909">
        <f>'2. T7 LOANS'!E36*100</f>
        <v>0</v>
      </c>
      <c r="G218" s="1907">
        <f>'2. T7 LOANS'!F36/1000</f>
        <v>0</v>
      </c>
      <c r="H218" s="1910">
        <f>'2. T7 LOANS'!G36/1000</f>
        <v>0</v>
      </c>
      <c r="I218" s="1910">
        <f>'2. T7 LOANS'!H36/1000</f>
        <v>0</v>
      </c>
      <c r="J218" s="1907">
        <f>'2. T7 LOANS'!I36/1000</f>
        <v>0</v>
      </c>
      <c r="K218" s="1910">
        <f>'2. T7 LOANS'!J36/1000</f>
        <v>0</v>
      </c>
      <c r="L218" s="1910">
        <f>'2. T7 LOANS'!K36/1000</f>
        <v>0</v>
      </c>
      <c r="M218" s="1907">
        <f>'2. T7 LOANS'!L36/1000</f>
        <v>0</v>
      </c>
      <c r="N218" s="1910">
        <f>'2. T7 LOANS'!M36/1000</f>
        <v>0</v>
      </c>
      <c r="O218" s="1910">
        <f>'2. T7 LOANS'!N36/1000</f>
        <v>0</v>
      </c>
      <c r="P218" s="1907">
        <f>'2. T7 LOANS'!O36/1000</f>
        <v>0</v>
      </c>
      <c r="Q218" s="1910">
        <f>'2. T7 LOANS'!P36/1000</f>
        <v>0</v>
      </c>
      <c r="R218" s="1910">
        <f>'2. T7 LOANS'!Q36/1000</f>
        <v>0</v>
      </c>
    </row>
    <row r="219" spans="2:18" x14ac:dyDescent="0.2">
      <c r="B219" s="2644" t="str">
        <f>'2. T7 LOANS'!B37</f>
        <v xml:space="preserve"> Credit 4th Forecast Year</v>
      </c>
      <c r="C219" s="2644"/>
      <c r="D219" s="1907">
        <f>'2. T7 LOANS'!C37/1000</f>
        <v>0</v>
      </c>
      <c r="E219" s="1908">
        <f>'2. T7 LOANS'!D37</f>
        <v>0</v>
      </c>
      <c r="F219" s="1909">
        <f>'2. T7 LOANS'!E37*100</f>
        <v>0</v>
      </c>
      <c r="G219" s="1907">
        <f>'2. T7 LOANS'!F37/1000</f>
        <v>0</v>
      </c>
      <c r="H219" s="1910">
        <f>'2. T7 LOANS'!G37/1000</f>
        <v>0</v>
      </c>
      <c r="I219" s="1910">
        <f>'2. T7 LOANS'!H37/1000</f>
        <v>0</v>
      </c>
      <c r="J219" s="1907">
        <f>'2. T7 LOANS'!I37/1000</f>
        <v>0</v>
      </c>
      <c r="K219" s="1910">
        <f>'2. T7 LOANS'!J37/1000</f>
        <v>0</v>
      </c>
      <c r="L219" s="1910">
        <f>'2. T7 LOANS'!K37/1000</f>
        <v>0</v>
      </c>
      <c r="M219" s="1907">
        <f>'2. T7 LOANS'!L37/1000</f>
        <v>0</v>
      </c>
      <c r="N219" s="1910">
        <f>'2. T7 LOANS'!M37/1000</f>
        <v>0</v>
      </c>
      <c r="O219" s="1910">
        <f>'2. T7 LOANS'!N37/1000</f>
        <v>0</v>
      </c>
      <c r="P219" s="1907">
        <f>'2. T7 LOANS'!O37/1000</f>
        <v>0</v>
      </c>
      <c r="Q219" s="1910">
        <f>'2. T7 LOANS'!P37/1000</f>
        <v>0</v>
      </c>
      <c r="R219" s="1910">
        <f>'2. T7 LOANS'!Q37/1000</f>
        <v>0</v>
      </c>
    </row>
    <row r="220" spans="2:18" x14ac:dyDescent="0.2">
      <c r="B220" s="2645" t="s">
        <v>437</v>
      </c>
      <c r="C220" s="2645"/>
      <c r="D220" s="1918">
        <f>'2. T7 LOANS'!C38/1000</f>
        <v>0</v>
      </c>
      <c r="E220" s="1916"/>
      <c r="F220" s="1917"/>
      <c r="G220" s="1918">
        <f>'2. T7 LOANS'!F38/1000</f>
        <v>0</v>
      </c>
      <c r="H220" s="1919">
        <f>'2. T7 LOANS'!G38/1000</f>
        <v>0</v>
      </c>
      <c r="I220" s="1919">
        <f>'2. T7 LOANS'!H38/1000</f>
        <v>0</v>
      </c>
      <c r="J220" s="1918">
        <f>'2. T7 LOANS'!I38/1000</f>
        <v>0</v>
      </c>
      <c r="K220" s="1919">
        <f>'2. T7 LOANS'!J38/1000</f>
        <v>0</v>
      </c>
      <c r="L220" s="1919">
        <f>'2. T7 LOANS'!K38/1000</f>
        <v>0</v>
      </c>
      <c r="M220" s="1918">
        <f>'2. T7 LOANS'!L38/1000</f>
        <v>0</v>
      </c>
      <c r="N220" s="1919">
        <f>'2. T7 LOANS'!M38/1000</f>
        <v>0</v>
      </c>
      <c r="O220" s="1919">
        <f>'2. T7 LOANS'!N38/1000</f>
        <v>0</v>
      </c>
      <c r="P220" s="1918">
        <f>'2. T7 LOANS'!O38/1000</f>
        <v>0</v>
      </c>
      <c r="Q220" s="1919">
        <f>'2. T7 LOANS'!P38/1000</f>
        <v>0</v>
      </c>
      <c r="R220" s="1919">
        <f>'2. T7 LOANS'!Q38/1000</f>
        <v>0</v>
      </c>
    </row>
    <row r="221" spans="2:18" x14ac:dyDescent="0.2">
      <c r="B221" s="1938"/>
      <c r="C221" s="1939"/>
      <c r="D221" s="1926"/>
      <c r="E221" s="1926"/>
      <c r="F221" s="1926"/>
      <c r="G221" s="1867"/>
      <c r="H221" s="1926"/>
      <c r="I221" s="1927"/>
      <c r="J221" s="1928"/>
      <c r="K221" s="1928"/>
      <c r="L221" s="1929"/>
      <c r="M221" s="1928"/>
      <c r="N221" s="1928"/>
      <c r="O221" s="1929"/>
      <c r="P221" s="1928"/>
      <c r="Q221" s="1862"/>
      <c r="R221" s="1858"/>
    </row>
    <row r="222" spans="2:18" x14ac:dyDescent="0.2">
      <c r="B222" s="2646" t="s">
        <v>439</v>
      </c>
      <c r="C222" s="2646"/>
      <c r="D222" s="1918">
        <f>'2. T7 LOANS'!C40/1000</f>
        <v>0</v>
      </c>
      <c r="E222" s="1930"/>
      <c r="F222" s="1931">
        <f>'2. T7 LOANS'!E40*100</f>
        <v>10</v>
      </c>
      <c r="G222" s="1932"/>
      <c r="H222" s="1930"/>
      <c r="I222" s="1931">
        <f>'2. T7 LOANS'!H40/1000</f>
        <v>0</v>
      </c>
      <c r="J222" s="1932"/>
      <c r="K222" s="1930"/>
      <c r="L222" s="1919">
        <f>'2. T7 LOANS'!K40/1000</f>
        <v>0</v>
      </c>
      <c r="M222" s="1932"/>
      <c r="N222" s="1930"/>
      <c r="O222" s="1919">
        <f>'2. T7 LOANS'!N40/1000</f>
        <v>0</v>
      </c>
      <c r="P222" s="1932"/>
      <c r="Q222" s="1930"/>
      <c r="R222" s="1919">
        <f>'2. T7 LOANS'!Q40/1000</f>
        <v>0</v>
      </c>
    </row>
    <row r="223" spans="2:18" x14ac:dyDescent="0.2">
      <c r="B223" s="1940"/>
      <c r="C223" s="1941"/>
      <c r="D223" s="1926"/>
      <c r="E223" s="1926"/>
      <c r="F223" s="1926"/>
      <c r="G223" s="1867"/>
      <c r="H223" s="1926"/>
      <c r="I223" s="1933"/>
      <c r="J223" s="1934"/>
      <c r="K223" s="1934"/>
      <c r="L223" s="1935"/>
      <c r="M223" s="1934"/>
      <c r="N223" s="1934"/>
      <c r="O223" s="1935"/>
      <c r="P223" s="1934"/>
      <c r="Q223" s="1862"/>
      <c r="R223" s="1862"/>
    </row>
    <row r="224" spans="2:18" x14ac:dyDescent="0.2">
      <c r="B224" s="2647" t="s">
        <v>440</v>
      </c>
      <c r="C224" s="2648"/>
      <c r="D224" s="1918">
        <f>'2. T7 LOANS'!C42/1000</f>
        <v>0</v>
      </c>
      <c r="E224" s="1930"/>
      <c r="F224" s="1931">
        <f>'2. T7 LOANS'!E42*100</f>
        <v>10</v>
      </c>
      <c r="G224" s="1932"/>
      <c r="H224" s="1930"/>
      <c r="I224" s="1931">
        <f>'2. T7 LOANS'!H42/1000</f>
        <v>0</v>
      </c>
      <c r="J224" s="1932"/>
      <c r="K224" s="1930"/>
      <c r="L224" s="1919">
        <f>'2. T7 LOANS'!K42/1000</f>
        <v>0</v>
      </c>
      <c r="M224" s="1932"/>
      <c r="N224" s="1930"/>
      <c r="O224" s="1919">
        <f>'2. T7 LOANS'!N42/1000</f>
        <v>0</v>
      </c>
      <c r="P224" s="1932"/>
      <c r="Q224" s="1930"/>
      <c r="R224" s="1919">
        <f>'2. T7 LOANS'!Q42/1000</f>
        <v>0</v>
      </c>
    </row>
    <row r="225" spans="2:18" x14ac:dyDescent="0.2">
      <c r="B225" s="1940"/>
      <c r="C225" s="1941"/>
      <c r="D225" s="1926"/>
      <c r="E225" s="1926"/>
      <c r="F225" s="1926"/>
      <c r="G225" s="1867"/>
      <c r="H225" s="1926"/>
      <c r="I225" s="1933"/>
      <c r="J225" s="1934"/>
      <c r="K225" s="1934"/>
      <c r="L225" s="1935"/>
      <c r="M225" s="1934"/>
      <c r="N225" s="1934"/>
      <c r="O225" s="1935"/>
      <c r="P225" s="1934"/>
      <c r="Q225" s="1862"/>
      <c r="R225" s="1862"/>
    </row>
    <row r="226" spans="2:18" x14ac:dyDescent="0.2">
      <c r="B226" s="2657" t="s">
        <v>441</v>
      </c>
      <c r="C226" s="2658"/>
      <c r="D226" s="2659">
        <f>'2. T7 LOANS'!C44/1000</f>
        <v>0</v>
      </c>
      <c r="E226" s="2652"/>
      <c r="F226" s="2656">
        <f>'2. T7 LOANS'!E44*100</f>
        <v>10</v>
      </c>
      <c r="G226" s="2651"/>
      <c r="H226" s="2652"/>
      <c r="I226" s="2656">
        <f>'2. T7 LOANS'!H44/1000</f>
        <v>0</v>
      </c>
      <c r="J226" s="2651"/>
      <c r="K226" s="2652"/>
      <c r="L226" s="2650">
        <f>'2. T7 LOANS'!K44/1000</f>
        <v>0</v>
      </c>
      <c r="M226" s="2651"/>
      <c r="N226" s="2652"/>
      <c r="O226" s="2650">
        <f>'2. T7 LOANS'!N44/1000</f>
        <v>0</v>
      </c>
      <c r="P226" s="2651"/>
      <c r="Q226" s="2652"/>
      <c r="R226" s="2650">
        <f>'2. T7 LOANS'!Q44/1000</f>
        <v>0</v>
      </c>
    </row>
    <row r="227" spans="2:18" x14ac:dyDescent="0.2">
      <c r="B227" s="2657"/>
      <c r="C227" s="2658"/>
      <c r="D227" s="2659"/>
      <c r="E227" s="2652"/>
      <c r="F227" s="2656">
        <f>'2. T7 LOANS'!E45*100</f>
        <v>0</v>
      </c>
      <c r="G227" s="2651"/>
      <c r="H227" s="2652"/>
      <c r="I227" s="2656">
        <f>'2. T7 LOANS'!H45/1000</f>
        <v>0</v>
      </c>
      <c r="J227" s="2651"/>
      <c r="K227" s="2652"/>
      <c r="L227" s="2650">
        <f>'2. T7 LOANS'!K45/1000</f>
        <v>0</v>
      </c>
      <c r="M227" s="2651"/>
      <c r="N227" s="2652"/>
      <c r="O227" s="2650">
        <f>'2. T7 LOANS'!N45/1000</f>
        <v>0</v>
      </c>
      <c r="P227" s="2651"/>
      <c r="Q227" s="2652"/>
      <c r="R227" s="2650">
        <f>'2. T7 LOANS'!Q45/1000</f>
        <v>0</v>
      </c>
    </row>
    <row r="228" spans="2:18" x14ac:dyDescent="0.2">
      <c r="B228" s="1940"/>
      <c r="C228" s="1941"/>
      <c r="D228" s="1926"/>
      <c r="E228" s="1926"/>
      <c r="F228" s="1926"/>
      <c r="G228" s="1867"/>
      <c r="H228" s="1926"/>
      <c r="I228" s="1927"/>
      <c r="J228" s="1928"/>
      <c r="K228" s="1928"/>
      <c r="L228" s="1929"/>
      <c r="M228" s="1928"/>
      <c r="N228" s="1928"/>
      <c r="O228" s="1929"/>
      <c r="P228" s="1928"/>
      <c r="Q228" s="1862"/>
      <c r="R228" s="1858"/>
    </row>
    <row r="229" spans="2:18" x14ac:dyDescent="0.2">
      <c r="B229" s="2653" t="s">
        <v>442</v>
      </c>
      <c r="C229" s="2653"/>
      <c r="D229" s="1942"/>
      <c r="E229" s="1943"/>
      <c r="F229" s="1944"/>
      <c r="G229" s="1945"/>
      <c r="H229" s="1946"/>
      <c r="I229" s="1936">
        <f>'2. T7 LOANS'!H46/1000</f>
        <v>0</v>
      </c>
      <c r="J229" s="1947"/>
      <c r="K229" s="1948"/>
      <c r="L229" s="1937">
        <f>'2. T7 LOANS'!K46/1000</f>
        <v>0</v>
      </c>
      <c r="M229" s="1947"/>
      <c r="N229" s="1948"/>
      <c r="O229" s="1937">
        <f>'2. T7 LOANS'!N46/1000</f>
        <v>0</v>
      </c>
      <c r="P229" s="1947"/>
      <c r="Q229" s="1948"/>
      <c r="R229" s="1937">
        <f>'2. T7 LOANS'!Q46/1000</f>
        <v>0</v>
      </c>
    </row>
    <row r="230" spans="2:18" x14ac:dyDescent="0.2">
      <c r="B230" s="1557"/>
      <c r="C230" s="1558"/>
      <c r="D230" s="496"/>
      <c r="E230" s="496"/>
      <c r="F230" s="496"/>
      <c r="G230" s="989"/>
      <c r="H230" s="496"/>
      <c r="I230" s="1218"/>
      <c r="J230" s="1219"/>
      <c r="K230" s="1219"/>
      <c r="L230" s="1220"/>
      <c r="M230" s="1219"/>
      <c r="N230" s="1219"/>
      <c r="O230" s="1220"/>
      <c r="P230" s="1219"/>
      <c r="Q230" s="774"/>
      <c r="R230" s="1486"/>
    </row>
    <row r="231" spans="2:18" x14ac:dyDescent="0.2">
      <c r="B231" s="2654" t="s">
        <v>408</v>
      </c>
      <c r="C231" s="2655"/>
      <c r="D231" s="1319">
        <f>'2. T7 LOANS'!C48/1000</f>
        <v>0</v>
      </c>
      <c r="E231" s="1360"/>
      <c r="F231" s="1360"/>
      <c r="G231" s="1319">
        <f>'2. T7 LOANS'!F48/1000</f>
        <v>0</v>
      </c>
      <c r="H231" s="1361">
        <f>'2. T7 LOANS'!G48/1000</f>
        <v>0</v>
      </c>
      <c r="I231" s="1361">
        <f>'2. T7 LOANS'!H48/1000</f>
        <v>0</v>
      </c>
      <c r="J231" s="1319">
        <f>'2. T7 LOANS'!I48/1000</f>
        <v>0</v>
      </c>
      <c r="K231" s="1361">
        <f>'2. T7 LOANS'!J48/1000</f>
        <v>0</v>
      </c>
      <c r="L231" s="1262">
        <f>'2. T7 LOANS'!K48/1000</f>
        <v>0</v>
      </c>
      <c r="M231" s="1319">
        <f>'2. T7 LOANS'!L48/1000</f>
        <v>0</v>
      </c>
      <c r="N231" s="1361">
        <f>'2. T7 LOANS'!M48/1000</f>
        <v>0</v>
      </c>
      <c r="O231" s="1262">
        <f>'2. T7 LOANS'!N48/1000</f>
        <v>0</v>
      </c>
      <c r="P231" s="1319">
        <f>'2. T7 LOANS'!O48/1000</f>
        <v>0</v>
      </c>
      <c r="Q231" s="1361">
        <f>'2. T7 LOANS'!P48/1000</f>
        <v>0</v>
      </c>
      <c r="R231" s="1483">
        <f>'2. T7 LOANS'!Q48/1000</f>
        <v>0</v>
      </c>
    </row>
    <row r="232" spans="2:18" x14ac:dyDescent="0.2">
      <c r="B232" s="440"/>
      <c r="C232" s="441"/>
      <c r="D232" s="441"/>
      <c r="E232" s="441"/>
      <c r="F232" s="441"/>
      <c r="G232" s="442"/>
      <c r="H232" s="434"/>
      <c r="I232" s="586"/>
      <c r="J232" s="587"/>
      <c r="K232" s="587"/>
      <c r="L232" s="587"/>
      <c r="M232" s="587"/>
      <c r="N232" s="587"/>
      <c r="O232" s="587"/>
      <c r="P232" s="587"/>
      <c r="Q232" s="443"/>
      <c r="R232" s="153"/>
    </row>
    <row r="233" spans="2:18" x14ac:dyDescent="0.2">
      <c r="B233" s="619"/>
      <c r="C233" s="619"/>
      <c r="D233" s="619"/>
      <c r="E233" s="619"/>
      <c r="O233" s="129"/>
      <c r="P233" s="129"/>
      <c r="Q233" s="129"/>
      <c r="R233" s="129"/>
    </row>
    <row r="234" spans="2:18" x14ac:dyDescent="0.2">
      <c r="C234" s="2553" t="s">
        <v>454</v>
      </c>
      <c r="D234" s="2553"/>
      <c r="E234" s="2553"/>
      <c r="F234" s="2553"/>
      <c r="G234" s="2553"/>
      <c r="H234" s="2553"/>
      <c r="I234" s="2553"/>
      <c r="J234" s="2566" t="str">
        <f>K109</f>
        <v>YEAR</v>
      </c>
      <c r="K234" s="2566"/>
      <c r="L234" s="2566" t="str">
        <f>M109</f>
        <v>YEAR</v>
      </c>
      <c r="M234" s="2566"/>
      <c r="N234" s="2566" t="str">
        <f>O109</f>
        <v>YEAR</v>
      </c>
      <c r="O234" s="2566"/>
      <c r="P234" s="2566" t="str">
        <f>Q109</f>
        <v>YEAR</v>
      </c>
      <c r="Q234" s="2567"/>
    </row>
    <row r="235" spans="2:18" x14ac:dyDescent="0.2">
      <c r="B235" s="464"/>
      <c r="C235" s="2553"/>
      <c r="D235" s="2553"/>
      <c r="E235" s="2553"/>
      <c r="F235" s="2553"/>
      <c r="G235" s="2553"/>
      <c r="H235" s="2553"/>
      <c r="I235" s="2553"/>
      <c r="J235" s="2566">
        <f>K135</f>
        <v>2027</v>
      </c>
      <c r="K235" s="2566"/>
      <c r="L235" s="2566">
        <f>M135</f>
        <v>2028</v>
      </c>
      <c r="M235" s="2566"/>
      <c r="N235" s="2566">
        <f>O135</f>
        <v>2029</v>
      </c>
      <c r="O235" s="2566"/>
      <c r="P235" s="2566">
        <f>Q135</f>
        <v>2030</v>
      </c>
      <c r="Q235" s="2567"/>
      <c r="R235" s="1215"/>
    </row>
    <row r="236" spans="2:18" x14ac:dyDescent="0.2">
      <c r="B236" s="463" t="s">
        <v>0</v>
      </c>
      <c r="C236" s="652"/>
      <c r="D236" s="462"/>
      <c r="E236" s="462"/>
      <c r="F236" s="462"/>
      <c r="G236" s="2660"/>
      <c r="H236" s="2660"/>
      <c r="J236" s="1978"/>
      <c r="K236" s="1978"/>
      <c r="L236" s="148"/>
      <c r="M236" s="148"/>
      <c r="N236" s="148"/>
      <c r="O236" s="148"/>
      <c r="P236" s="148"/>
      <c r="Q236" s="148"/>
      <c r="R236" s="758"/>
    </row>
    <row r="237" spans="2:18" x14ac:dyDescent="0.2">
      <c r="C237" s="2661" t="s">
        <v>167</v>
      </c>
      <c r="D237" s="2661"/>
      <c r="E237" s="2661"/>
      <c r="F237" s="2661"/>
      <c r="G237" s="2661"/>
      <c r="H237" s="2661"/>
      <c r="I237" s="2661"/>
      <c r="J237" s="2565">
        <f>'5. T4 FINANCING PLAN'!Q27</f>
        <v>0</v>
      </c>
      <c r="K237" s="2565"/>
      <c r="L237" s="2585">
        <f>'5. T4 FINANCING PLAN'!R27</f>
        <v>0</v>
      </c>
      <c r="M237" s="2565"/>
      <c r="N237" s="2565">
        <f>'5. T4 FINANCING PLAN'!S27</f>
        <v>0</v>
      </c>
      <c r="O237" s="2565"/>
      <c r="P237" s="2565">
        <f>'5. T4 FINANCING PLAN'!T27</f>
        <v>0</v>
      </c>
      <c r="Q237" s="2565"/>
      <c r="R237" s="757"/>
    </row>
    <row r="238" spans="2:18" x14ac:dyDescent="0.2">
      <c r="B238" s="349"/>
      <c r="C238" s="1974"/>
      <c r="D238" s="2662" t="s">
        <v>445</v>
      </c>
      <c r="E238" s="2662"/>
      <c r="F238" s="2662"/>
      <c r="G238" s="2662"/>
      <c r="H238" s="2662"/>
      <c r="I238" s="2662"/>
      <c r="J238" s="2663">
        <f>'5. T4 FINANCING PLAN'!Q28</f>
        <v>0</v>
      </c>
      <c r="K238" s="2663"/>
      <c r="L238" s="2664">
        <f>'5. T4 FINANCING PLAN'!R28</f>
        <v>0</v>
      </c>
      <c r="M238" s="2663"/>
      <c r="N238" s="2663">
        <f>'5. T4 FINANCING PLAN'!S28</f>
        <v>0</v>
      </c>
      <c r="O238" s="2663"/>
      <c r="P238" s="2663">
        <f>'5. T4 FINANCING PLAN'!T28</f>
        <v>0</v>
      </c>
      <c r="Q238" s="2663"/>
      <c r="R238" s="759"/>
    </row>
    <row r="239" spans="2:18" x14ac:dyDescent="0.2">
      <c r="C239" s="2509" t="s">
        <v>168</v>
      </c>
      <c r="D239" s="2509"/>
      <c r="E239" s="2509"/>
      <c r="F239" s="2509"/>
      <c r="G239" s="2509"/>
      <c r="H239" s="2509"/>
      <c r="I239" s="2509"/>
      <c r="J239" s="2565">
        <f>'5. T4 FINANCING PLAN'!Q29</f>
        <v>0</v>
      </c>
      <c r="K239" s="2565"/>
      <c r="L239" s="2585">
        <f>'5. T4 FINANCING PLAN'!R29</f>
        <v>0</v>
      </c>
      <c r="M239" s="2565"/>
      <c r="N239" s="2565">
        <f>'5. T4 FINANCING PLAN'!S29</f>
        <v>0</v>
      </c>
      <c r="O239" s="2565"/>
      <c r="P239" s="2565">
        <f>'5. T4 FINANCING PLAN'!T29</f>
        <v>0</v>
      </c>
      <c r="Q239" s="2565"/>
      <c r="R239" s="757"/>
    </row>
    <row r="240" spans="2:18" x14ac:dyDescent="0.2">
      <c r="B240" s="349"/>
      <c r="C240" s="1974"/>
      <c r="D240" s="2662" t="s">
        <v>445</v>
      </c>
      <c r="E240" s="2662"/>
      <c r="F240" s="2662"/>
      <c r="G240" s="2662"/>
      <c r="H240" s="2662"/>
      <c r="I240" s="2662"/>
      <c r="J240" s="2663">
        <f>'5. T4 FINANCING PLAN'!Q30</f>
        <v>0</v>
      </c>
      <c r="K240" s="2663"/>
      <c r="L240" s="2664">
        <f>'5. T4 FINANCING PLAN'!R30</f>
        <v>0</v>
      </c>
      <c r="M240" s="2663"/>
      <c r="N240" s="2663">
        <f>'5. T4 FINANCING PLAN'!S30</f>
        <v>0</v>
      </c>
      <c r="O240" s="2663"/>
      <c r="P240" s="2663">
        <f>'5. T4 FINANCING PLAN'!T30</f>
        <v>0</v>
      </c>
      <c r="Q240" s="2663"/>
      <c r="R240" s="759"/>
    </row>
    <row r="241" spans="2:18" x14ac:dyDescent="0.2">
      <c r="C241" s="2509" t="s">
        <v>443</v>
      </c>
      <c r="D241" s="2509"/>
      <c r="E241" s="2509"/>
      <c r="F241" s="2509"/>
      <c r="G241" s="2509"/>
      <c r="H241" s="2509"/>
      <c r="I241" s="2509"/>
      <c r="J241" s="2565">
        <f>'5. T4 FINANCING PLAN'!Q31</f>
        <v>0</v>
      </c>
      <c r="K241" s="2565"/>
      <c r="L241" s="2585">
        <f>'5. T4 FINANCING PLAN'!R31</f>
        <v>0</v>
      </c>
      <c r="M241" s="2565"/>
      <c r="N241" s="2565">
        <f>'5. T4 FINANCING PLAN'!S31</f>
        <v>0</v>
      </c>
      <c r="O241" s="2565"/>
      <c r="P241" s="2565">
        <f>'5. T4 FINANCING PLAN'!T31</f>
        <v>0</v>
      </c>
      <c r="Q241" s="2565"/>
      <c r="R241" s="757"/>
    </row>
    <row r="242" spans="2:18" x14ac:dyDescent="0.2">
      <c r="C242" s="2667" t="s">
        <v>455</v>
      </c>
      <c r="D242" s="2668"/>
      <c r="E242" s="2668"/>
      <c r="F242" s="2668"/>
      <c r="G242" s="2668"/>
      <c r="H242" s="2668"/>
      <c r="I242" s="2668"/>
      <c r="J242" s="2565">
        <f>'5. T4 FINANCING PLAN'!Q32</f>
        <v>0</v>
      </c>
      <c r="K242" s="2565"/>
      <c r="L242" s="2585">
        <f>'5. T4 FINANCING PLAN'!R32</f>
        <v>0</v>
      </c>
      <c r="M242" s="2565"/>
      <c r="N242" s="2565">
        <f>'5. T4 FINANCING PLAN'!S32</f>
        <v>0</v>
      </c>
      <c r="O242" s="2565"/>
      <c r="P242" s="2565">
        <f>'5. T4 FINANCING PLAN'!T32</f>
        <v>0</v>
      </c>
      <c r="Q242" s="2565"/>
      <c r="R242" s="757"/>
    </row>
    <row r="243" spans="2:18" x14ac:dyDescent="0.2">
      <c r="B243" s="349"/>
      <c r="C243" s="1974"/>
      <c r="D243" s="2662" t="s">
        <v>445</v>
      </c>
      <c r="E243" s="2662"/>
      <c r="F243" s="2662"/>
      <c r="G243" s="2662"/>
      <c r="H243" s="2662"/>
      <c r="I243" s="2662"/>
      <c r="J243" s="2663">
        <f>'5. T4 FINANCING PLAN'!Q33</f>
        <v>0</v>
      </c>
      <c r="K243" s="2663"/>
      <c r="L243" s="2664">
        <f>'5. T4 FINANCING PLAN'!R33</f>
        <v>0</v>
      </c>
      <c r="M243" s="2663"/>
      <c r="N243" s="2663">
        <f>'5. T4 FINANCING PLAN'!S33</f>
        <v>0</v>
      </c>
      <c r="O243" s="2663"/>
      <c r="P243" s="2663">
        <f>'5. T4 FINANCING PLAN'!T33</f>
        <v>0</v>
      </c>
      <c r="Q243" s="2663"/>
      <c r="R243" s="759"/>
    </row>
    <row r="244" spans="2:18" x14ac:dyDescent="0.2">
      <c r="C244" s="645"/>
      <c r="D244" s="645"/>
      <c r="E244" s="645"/>
      <c r="F244" s="645"/>
      <c r="G244" s="131"/>
      <c r="H244" s="131"/>
      <c r="J244" s="1960"/>
      <c r="K244" s="1960"/>
      <c r="L244" s="834"/>
      <c r="M244" s="834"/>
      <c r="N244" s="834"/>
      <c r="O244" s="834"/>
      <c r="P244" s="834"/>
      <c r="Q244" s="834"/>
      <c r="R244" s="131"/>
    </row>
    <row r="245" spans="2:18" x14ac:dyDescent="0.2">
      <c r="C245" s="2661" t="s">
        <v>456</v>
      </c>
      <c r="D245" s="2661"/>
      <c r="E245" s="2661"/>
      <c r="F245" s="2661"/>
      <c r="G245" s="2661"/>
      <c r="H245" s="2661"/>
      <c r="I245" s="2661"/>
      <c r="J245" s="2674">
        <f>'5. T4 FINANCING PLAN'!Q35</f>
        <v>0</v>
      </c>
      <c r="K245" s="2674"/>
      <c r="L245" s="2675">
        <f>'5. T4 FINANCING PLAN'!R35</f>
        <v>0</v>
      </c>
      <c r="M245" s="2674"/>
      <c r="N245" s="2674">
        <f>'5. T4 FINANCING PLAN'!S35</f>
        <v>0</v>
      </c>
      <c r="O245" s="2674"/>
      <c r="P245" s="2674">
        <f>'5. T4 FINANCING PLAN'!T35</f>
        <v>0</v>
      </c>
      <c r="Q245" s="2674"/>
      <c r="R245" s="761"/>
    </row>
    <row r="246" spans="2:18" x14ac:dyDescent="0.2">
      <c r="B246" s="349"/>
      <c r="C246" s="1974"/>
      <c r="D246" s="2673" t="s">
        <v>445</v>
      </c>
      <c r="E246" s="2673"/>
      <c r="F246" s="2673"/>
      <c r="G246" s="2673"/>
      <c r="H246" s="2673"/>
      <c r="I246" s="2673"/>
      <c r="J246" s="2665">
        <f>'5. T4 FINANCING PLAN'!Q36</f>
        <v>0</v>
      </c>
      <c r="K246" s="2665"/>
      <c r="L246" s="2666">
        <f>'5. T4 FINANCING PLAN'!R36</f>
        <v>0</v>
      </c>
      <c r="M246" s="2665"/>
      <c r="N246" s="2665">
        <f>'5. T4 FINANCING PLAN'!S36</f>
        <v>0</v>
      </c>
      <c r="O246" s="2665"/>
      <c r="P246" s="2665">
        <f>'5. T4 FINANCING PLAN'!T36</f>
        <v>0</v>
      </c>
      <c r="Q246" s="2665"/>
      <c r="R246" s="620"/>
    </row>
    <row r="247" spans="2:18" x14ac:dyDescent="0.2">
      <c r="C247" s="2509" t="s">
        <v>444</v>
      </c>
      <c r="D247" s="2509"/>
      <c r="E247" s="2509"/>
      <c r="F247" s="2509"/>
      <c r="G247" s="2509"/>
      <c r="H247" s="2509"/>
      <c r="I247" s="2509"/>
      <c r="J247" s="2671">
        <f>'5. T4 FINANCING PLAN'!Q37</f>
        <v>0</v>
      </c>
      <c r="K247" s="2671"/>
      <c r="L247" s="2672">
        <f>'5. T4 FINANCING PLAN'!R37</f>
        <v>0</v>
      </c>
      <c r="M247" s="2671"/>
      <c r="N247" s="2671">
        <f>'5. T4 FINANCING PLAN'!S37</f>
        <v>0</v>
      </c>
      <c r="O247" s="2671"/>
      <c r="P247" s="2671">
        <f>'5. T4 FINANCING PLAN'!T37</f>
        <v>0</v>
      </c>
      <c r="Q247" s="2671"/>
      <c r="R247" s="760"/>
    </row>
    <row r="248" spans="2:18" x14ac:dyDescent="0.2">
      <c r="B248" s="349"/>
      <c r="C248" s="1974"/>
      <c r="D248" s="2673" t="s">
        <v>445</v>
      </c>
      <c r="E248" s="2673"/>
      <c r="F248" s="2673"/>
      <c r="G248" s="2673"/>
      <c r="H248" s="2673"/>
      <c r="I248" s="2673"/>
      <c r="J248" s="2665" t="str">
        <f>'5. T4 FINANCING PLAN'!Q38</f>
        <v/>
      </c>
      <c r="K248" s="2665"/>
      <c r="L248" s="2666" t="str">
        <f>'5. T4 FINANCING PLAN'!R38</f>
        <v/>
      </c>
      <c r="M248" s="2665"/>
      <c r="N248" s="2665" t="str">
        <f>'5. T4 FINANCING PLAN'!S38</f>
        <v/>
      </c>
      <c r="O248" s="2665"/>
      <c r="P248" s="2665" t="str">
        <f>'5. T4 FINANCING PLAN'!T38</f>
        <v/>
      </c>
      <c r="Q248" s="2665"/>
      <c r="R248" s="620"/>
    </row>
    <row r="249" spans="2:18" ht="30" customHeight="1" x14ac:dyDescent="0.2">
      <c r="B249" s="349"/>
      <c r="C249" s="4"/>
      <c r="D249" s="679"/>
      <c r="E249" s="680"/>
      <c r="F249" s="4"/>
      <c r="G249" s="679"/>
      <c r="H249" s="680"/>
      <c r="I249" s="782"/>
      <c r="J249" s="782"/>
      <c r="K249" s="782"/>
      <c r="L249" s="782"/>
      <c r="M249" s="782"/>
      <c r="N249" s="782"/>
      <c r="O249" s="782"/>
      <c r="P249" s="782"/>
      <c r="Q249" s="682"/>
      <c r="R249" s="620"/>
    </row>
    <row r="250" spans="2:18" x14ac:dyDescent="0.2">
      <c r="B250" s="52" t="str">
        <f>B81</f>
        <v>BusinessPilot offered by</v>
      </c>
      <c r="H250" s="129"/>
      <c r="I250" s="687"/>
      <c r="J250" s="688"/>
      <c r="K250" s="688"/>
      <c r="L250" s="688"/>
      <c r="M250" s="688"/>
      <c r="N250" s="688"/>
      <c r="O250" s="688"/>
      <c r="P250" s="688"/>
      <c r="Q250" s="441"/>
      <c r="R250" s="1342"/>
    </row>
    <row r="251" spans="2:18" x14ac:dyDescent="0.2">
      <c r="B251" s="2571" t="str">
        <f>'Front Page'!G8</f>
        <v>Enontekiö, Kittilä, Kolari, Muonio, Pello</v>
      </c>
      <c r="C251" s="2571"/>
      <c r="D251" s="2571"/>
      <c r="E251" s="2571"/>
      <c r="F251" s="2571"/>
      <c r="G251" s="2571"/>
      <c r="H251" s="2571"/>
      <c r="I251" s="2571"/>
      <c r="J251" s="2571"/>
      <c r="K251" s="2571"/>
      <c r="L251" s="2571"/>
      <c r="M251" s="2571"/>
      <c r="N251" s="681"/>
      <c r="O251" s="681"/>
      <c r="P251" s="681"/>
      <c r="Q251" s="682"/>
      <c r="R251" s="1355" t="str">
        <f>'1. T1 INVESTMENT PLAN'!B67</f>
        <v>BP6 Financial Projection</v>
      </c>
    </row>
    <row r="252" spans="2:18" x14ac:dyDescent="0.2">
      <c r="B252" s="349"/>
      <c r="C252" s="4"/>
      <c r="D252" s="679"/>
      <c r="E252" s="680"/>
      <c r="F252" s="4"/>
      <c r="G252" s="679"/>
      <c r="H252" s="680"/>
      <c r="I252" s="681"/>
      <c r="J252" s="681"/>
      <c r="K252" s="681"/>
      <c r="L252" s="681"/>
      <c r="M252" s="681"/>
      <c r="N252" s="681"/>
      <c r="O252" s="681"/>
      <c r="P252" s="681"/>
      <c r="Q252" s="682"/>
      <c r="R252" s="620"/>
    </row>
    <row r="253" spans="2:18" x14ac:dyDescent="0.2">
      <c r="B253" s="440" t="s">
        <v>0</v>
      </c>
      <c r="C253" s="441"/>
      <c r="D253" s="441"/>
      <c r="E253" s="441"/>
      <c r="F253" s="441"/>
      <c r="G253" s="442"/>
      <c r="H253" s="434"/>
      <c r="J253" s="2670"/>
      <c r="K253" s="2670"/>
      <c r="L253" s="2670"/>
      <c r="M253" s="2670"/>
      <c r="N253" s="2670"/>
      <c r="O253" s="2670"/>
      <c r="P253" s="2670"/>
      <c r="Q253" s="2670"/>
      <c r="R253" s="2670"/>
    </row>
    <row r="254" spans="2:18" ht="15" x14ac:dyDescent="0.25">
      <c r="B254" s="1359"/>
      <c r="C254" s="685"/>
      <c r="D254" s="619"/>
      <c r="E254" s="619"/>
      <c r="F254" s="138"/>
      <c r="G254" s="129"/>
      <c r="H254" s="129"/>
      <c r="I254" s="129"/>
      <c r="J254" s="129"/>
      <c r="K254" s="129"/>
      <c r="M254" s="138"/>
      <c r="N254" s="129"/>
      <c r="O254" s="129"/>
      <c r="P254" s="129"/>
      <c r="Q254" s="129"/>
      <c r="R254" s="129"/>
    </row>
    <row r="255" spans="2:18" x14ac:dyDescent="0.2">
      <c r="B255" s="619"/>
      <c r="C255" s="619"/>
      <c r="D255" s="619"/>
      <c r="E255" s="619"/>
      <c r="F255" s="645"/>
      <c r="G255" s="648"/>
      <c r="H255" s="648"/>
      <c r="I255" s="648"/>
      <c r="J255" s="648"/>
      <c r="K255" s="648"/>
      <c r="M255" s="2575"/>
      <c r="N255" s="2575"/>
      <c r="O255" s="129"/>
      <c r="P255" s="129"/>
      <c r="Q255" s="129"/>
      <c r="R255" s="129"/>
    </row>
    <row r="256" spans="2:18" x14ac:dyDescent="0.2">
      <c r="B256" s="1358"/>
      <c r="C256" s="619"/>
      <c r="D256" s="619"/>
      <c r="E256" s="619"/>
      <c r="F256" s="645"/>
      <c r="G256" s="648"/>
      <c r="H256" s="648"/>
      <c r="I256" s="648"/>
      <c r="J256" s="648"/>
      <c r="K256" s="648"/>
      <c r="M256" s="684"/>
      <c r="N256" s="684"/>
      <c r="O256" s="129"/>
      <c r="P256" s="129"/>
      <c r="Q256" s="129"/>
      <c r="R256" s="129"/>
    </row>
    <row r="257" spans="2:18" x14ac:dyDescent="0.2">
      <c r="B257" s="129"/>
      <c r="C257" s="129"/>
      <c r="D257" s="129"/>
      <c r="E257" s="129"/>
      <c r="F257" s="129"/>
      <c r="G257" s="129"/>
      <c r="H257" s="129"/>
      <c r="I257" s="129"/>
      <c r="J257" s="129"/>
      <c r="K257" s="129"/>
      <c r="L257" s="129"/>
      <c r="M257" s="129"/>
      <c r="N257" s="129"/>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18" x14ac:dyDescent="0.2">
      <c r="B289" s="129"/>
      <c r="C289" s="129"/>
      <c r="D289" s="129"/>
      <c r="E289" s="129"/>
      <c r="F289" s="129"/>
      <c r="G289" s="129"/>
      <c r="H289" s="129"/>
      <c r="I289" s="129"/>
      <c r="J289" s="129"/>
      <c r="K289" s="129"/>
      <c r="L289" s="129"/>
      <c r="M289" s="129"/>
      <c r="N289" s="129"/>
      <c r="O289" s="129"/>
      <c r="P289" s="129"/>
      <c r="Q289" s="129"/>
      <c r="R289" s="129"/>
    </row>
    <row r="290" spans="2:18" x14ac:dyDescent="0.2">
      <c r="B290" s="129"/>
      <c r="C290" s="129"/>
      <c r="D290" s="129"/>
      <c r="E290" s="129"/>
      <c r="F290" s="129"/>
      <c r="G290" s="129"/>
      <c r="H290" s="129"/>
      <c r="I290" s="129"/>
      <c r="J290" s="129"/>
      <c r="K290" s="129"/>
      <c r="L290" s="129"/>
      <c r="M290" s="129"/>
      <c r="N290" s="129"/>
      <c r="O290" s="129"/>
      <c r="P290" s="129"/>
      <c r="Q290" s="129"/>
      <c r="R290" s="129"/>
    </row>
    <row r="291" spans="2:18" x14ac:dyDescent="0.2">
      <c r="B291" s="129"/>
      <c r="C291" s="129"/>
      <c r="D291" s="129"/>
      <c r="E291" s="129"/>
      <c r="F291" s="129"/>
      <c r="G291" s="129"/>
      <c r="H291" s="129"/>
      <c r="I291" s="129"/>
      <c r="J291" s="129"/>
      <c r="K291" s="129"/>
      <c r="L291" s="129"/>
      <c r="M291" s="129"/>
      <c r="N291" s="129"/>
      <c r="O291" s="129"/>
      <c r="P291" s="129"/>
      <c r="Q291" s="129"/>
      <c r="R291" s="129"/>
    </row>
    <row r="292" spans="2:18" x14ac:dyDescent="0.2">
      <c r="B292" s="129"/>
      <c r="C292" s="129"/>
      <c r="D292" s="129"/>
      <c r="E292" s="129"/>
      <c r="F292" s="129"/>
      <c r="G292" s="129"/>
      <c r="H292" s="129"/>
      <c r="I292" s="129"/>
      <c r="J292" s="129"/>
      <c r="K292" s="129"/>
      <c r="L292" s="129"/>
      <c r="M292" s="129"/>
      <c r="N292" s="129"/>
      <c r="O292" s="129"/>
      <c r="P292" s="129"/>
      <c r="Q292" s="129"/>
      <c r="R292" s="129"/>
    </row>
    <row r="293" spans="2:18" x14ac:dyDescent="0.2">
      <c r="B293" s="129"/>
      <c r="C293" s="129"/>
      <c r="D293" s="129"/>
      <c r="E293" s="129"/>
      <c r="F293" s="129"/>
      <c r="G293" s="129"/>
      <c r="H293" s="129"/>
      <c r="I293" s="129"/>
      <c r="J293" s="129"/>
      <c r="K293" s="129"/>
      <c r="L293" s="129"/>
      <c r="M293" s="129"/>
      <c r="N293" s="129"/>
      <c r="O293" s="129"/>
      <c r="P293" s="129"/>
      <c r="Q293" s="129"/>
      <c r="R293" s="129"/>
    </row>
    <row r="294" spans="2:18" x14ac:dyDescent="0.2">
      <c r="B294" s="129"/>
      <c r="C294" s="129"/>
      <c r="D294" s="129"/>
      <c r="E294" s="129"/>
      <c r="F294" s="129"/>
      <c r="G294" s="129"/>
      <c r="H294" s="129"/>
      <c r="I294" s="129"/>
      <c r="J294" s="129"/>
      <c r="K294" s="129"/>
      <c r="L294" s="129"/>
      <c r="M294" s="129"/>
      <c r="N294" s="129"/>
      <c r="O294" s="129"/>
      <c r="P294" s="129"/>
      <c r="Q294" s="129"/>
      <c r="R294" s="129"/>
    </row>
    <row r="295" spans="2:18" x14ac:dyDescent="0.2">
      <c r="B295" s="129"/>
      <c r="C295" s="129"/>
      <c r="D295" s="129"/>
      <c r="E295" s="129"/>
      <c r="F295" s="129"/>
      <c r="G295" s="129"/>
      <c r="H295" s="129"/>
      <c r="I295" s="129"/>
      <c r="J295" s="129"/>
      <c r="K295" s="129"/>
      <c r="L295" s="129"/>
      <c r="M295" s="129"/>
      <c r="N295" s="129"/>
      <c r="O295" s="129"/>
      <c r="P295" s="129"/>
      <c r="Q295" s="129"/>
      <c r="R295" s="129"/>
    </row>
    <row r="296" spans="2:18" x14ac:dyDescent="0.2">
      <c r="B296" s="129"/>
      <c r="C296" s="129"/>
      <c r="D296" s="129"/>
      <c r="E296" s="129"/>
      <c r="F296" s="129"/>
      <c r="G296" s="129"/>
      <c r="H296" s="129"/>
      <c r="I296" s="129"/>
      <c r="J296" s="129"/>
      <c r="K296" s="129"/>
      <c r="L296" s="129"/>
      <c r="M296" s="129"/>
      <c r="N296" s="129"/>
      <c r="O296" s="129"/>
      <c r="P296" s="129"/>
      <c r="Q296" s="129"/>
      <c r="R296" s="129"/>
    </row>
    <row r="297" spans="2:18" x14ac:dyDescent="0.2">
      <c r="B297" s="129"/>
      <c r="C297" s="129"/>
      <c r="D297" s="129"/>
      <c r="E297" s="129"/>
      <c r="F297" s="129"/>
      <c r="G297" s="129"/>
      <c r="H297" s="129"/>
      <c r="I297" s="129"/>
      <c r="J297" s="129"/>
      <c r="K297" s="129"/>
      <c r="L297" s="129"/>
      <c r="M297" s="129"/>
      <c r="N297" s="129"/>
      <c r="O297" s="129"/>
      <c r="P297" s="129"/>
      <c r="Q297" s="129"/>
      <c r="R297" s="129"/>
    </row>
    <row r="298" spans="2:18" x14ac:dyDescent="0.2">
      <c r="B298" s="129"/>
      <c r="C298" s="129"/>
      <c r="D298" s="129"/>
      <c r="E298" s="129"/>
      <c r="F298" s="129"/>
      <c r="G298" s="129"/>
      <c r="H298" s="129"/>
      <c r="I298" s="129"/>
      <c r="J298" s="129"/>
      <c r="K298" s="129"/>
      <c r="L298" s="129"/>
      <c r="M298" s="129"/>
      <c r="N298" s="129"/>
      <c r="O298" s="129"/>
      <c r="P298" s="129"/>
      <c r="Q298" s="129"/>
      <c r="R298" s="129"/>
    </row>
    <row r="299" spans="2:18" x14ac:dyDescent="0.2">
      <c r="B299" s="129"/>
      <c r="C299" s="129"/>
      <c r="D299" s="129"/>
      <c r="E299" s="129"/>
      <c r="F299" s="129"/>
      <c r="G299" s="129"/>
      <c r="H299" s="129"/>
      <c r="I299" s="129"/>
      <c r="J299" s="129"/>
      <c r="K299" s="129"/>
      <c r="L299" s="129"/>
      <c r="M299" s="129"/>
      <c r="N299" s="129"/>
      <c r="O299" s="129"/>
      <c r="P299" s="129"/>
      <c r="Q299" s="129"/>
      <c r="R299" s="129"/>
    </row>
    <row r="300" spans="2:18" x14ac:dyDescent="0.2">
      <c r="B300" s="129"/>
      <c r="C300" s="129"/>
      <c r="D300" s="129"/>
      <c r="E300" s="129"/>
      <c r="F300" s="129"/>
      <c r="G300" s="129"/>
      <c r="H300" s="129"/>
      <c r="I300" s="129"/>
      <c r="J300" s="129"/>
      <c r="K300" s="129"/>
      <c r="L300" s="129"/>
      <c r="M300" s="129"/>
      <c r="N300" s="129"/>
      <c r="O300" s="129"/>
      <c r="P300" s="129"/>
      <c r="Q300" s="129"/>
      <c r="R300" s="129"/>
    </row>
    <row r="301" spans="2:18" x14ac:dyDescent="0.2">
      <c r="B301" s="129"/>
      <c r="C301" s="129"/>
      <c r="D301" s="129"/>
      <c r="E301" s="129"/>
      <c r="F301" s="129"/>
      <c r="G301" s="129"/>
      <c r="H301" s="129"/>
      <c r="I301" s="129"/>
      <c r="J301" s="129"/>
      <c r="K301" s="129"/>
      <c r="L301" s="129"/>
      <c r="M301" s="129"/>
      <c r="N301" s="129"/>
      <c r="O301" s="129"/>
      <c r="P301" s="129"/>
      <c r="Q301" s="129"/>
      <c r="R301" s="129"/>
    </row>
    <row r="302" spans="2:18" x14ac:dyDescent="0.2">
      <c r="B302" s="129"/>
      <c r="C302" s="129"/>
      <c r="D302" s="129"/>
      <c r="E302" s="129"/>
      <c r="F302" s="129"/>
      <c r="G302" s="129"/>
      <c r="H302" s="129"/>
      <c r="I302" s="129"/>
      <c r="J302" s="129"/>
      <c r="K302" s="129"/>
      <c r="L302" s="129"/>
      <c r="M302" s="129"/>
      <c r="N302" s="129"/>
      <c r="O302" s="129"/>
      <c r="P302" s="129"/>
      <c r="Q302" s="129"/>
      <c r="R302" s="129"/>
    </row>
    <row r="303" spans="2:18" x14ac:dyDescent="0.2">
      <c r="B303" s="129"/>
      <c r="C303" s="129"/>
      <c r="D303" s="129"/>
      <c r="E303" s="129"/>
      <c r="F303" s="129"/>
      <c r="G303" s="129"/>
      <c r="H303" s="129"/>
      <c r="I303" s="129"/>
      <c r="J303" s="129"/>
      <c r="K303" s="129"/>
      <c r="L303" s="129"/>
      <c r="M303" s="129"/>
      <c r="N303" s="129"/>
      <c r="O303" s="129"/>
      <c r="P303" s="129"/>
      <c r="Q303" s="129"/>
      <c r="R303" s="129"/>
    </row>
    <row r="304" spans="2:18"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129"/>
      <c r="C323" s="129"/>
      <c r="D323" s="129"/>
      <c r="E323" s="129"/>
      <c r="F323" s="129"/>
      <c r="G323" s="129"/>
      <c r="H323" s="129"/>
      <c r="I323" s="129"/>
      <c r="J323" s="129"/>
      <c r="K323" s="129"/>
      <c r="L323" s="129"/>
      <c r="M323" s="129"/>
      <c r="N323" s="129"/>
      <c r="O323" s="129"/>
      <c r="P323" s="129"/>
      <c r="Q323" s="129"/>
      <c r="R323" s="129"/>
    </row>
    <row r="324" spans="2:18" x14ac:dyDescent="0.2">
      <c r="B324" s="129"/>
      <c r="C324" s="129"/>
      <c r="D324" s="129"/>
      <c r="E324" s="129"/>
      <c r="F324" s="129"/>
      <c r="G324" s="129"/>
      <c r="H324" s="129"/>
      <c r="I324" s="129"/>
      <c r="J324" s="129"/>
      <c r="K324" s="129"/>
      <c r="L324" s="129"/>
      <c r="M324" s="129"/>
      <c r="N324" s="129"/>
      <c r="O324" s="129"/>
      <c r="P324" s="129"/>
      <c r="Q324" s="129"/>
      <c r="R324" s="129"/>
    </row>
    <row r="325" spans="2:18" x14ac:dyDescent="0.2">
      <c r="B325" s="129"/>
      <c r="C325" s="129"/>
      <c r="D325" s="129"/>
      <c r="E325" s="129"/>
      <c r="F325" s="129"/>
      <c r="G325" s="129"/>
      <c r="H325" s="129"/>
      <c r="I325" s="129"/>
      <c r="J325" s="129"/>
      <c r="K325" s="129"/>
      <c r="L325" s="129"/>
      <c r="M325" s="129"/>
      <c r="N325" s="129"/>
      <c r="O325" s="129"/>
      <c r="P325" s="129"/>
      <c r="Q325" s="129"/>
      <c r="R325" s="129"/>
    </row>
    <row r="326" spans="2:18" x14ac:dyDescent="0.2">
      <c r="B326" s="129"/>
      <c r="C326" s="129"/>
      <c r="D326" s="129"/>
      <c r="E326" s="129"/>
      <c r="F326" s="129"/>
      <c r="G326" s="129"/>
      <c r="H326" s="129"/>
      <c r="I326" s="129"/>
      <c r="J326" s="129"/>
      <c r="K326" s="129"/>
      <c r="L326" s="129"/>
      <c r="M326" s="129"/>
      <c r="N326" s="129"/>
      <c r="O326" s="129"/>
      <c r="P326" s="129"/>
      <c r="Q326" s="129"/>
      <c r="R326" s="129"/>
    </row>
    <row r="327" spans="2:18" x14ac:dyDescent="0.2">
      <c r="B327" s="129"/>
      <c r="C327" s="129"/>
      <c r="D327" s="129"/>
      <c r="E327" s="129"/>
      <c r="F327" s="129"/>
      <c r="G327" s="129"/>
      <c r="H327" s="129"/>
      <c r="I327" s="129"/>
      <c r="J327" s="129"/>
      <c r="K327" s="129"/>
      <c r="L327" s="129"/>
      <c r="M327" s="129"/>
      <c r="N327" s="129"/>
      <c r="O327" s="129"/>
      <c r="P327" s="129"/>
      <c r="Q327" s="129"/>
      <c r="R327" s="129"/>
    </row>
    <row r="328" spans="2:18" x14ac:dyDescent="0.2">
      <c r="B328" s="129"/>
      <c r="C328" s="129"/>
      <c r="D328" s="129"/>
      <c r="E328" s="129"/>
      <c r="F328" s="129"/>
      <c r="G328" s="129"/>
      <c r="H328" s="129"/>
      <c r="I328" s="129"/>
      <c r="J328" s="129"/>
      <c r="K328" s="129"/>
      <c r="L328" s="129"/>
      <c r="M328" s="129"/>
      <c r="N328" s="129"/>
      <c r="O328" s="129"/>
      <c r="P328" s="129"/>
      <c r="Q328" s="129"/>
      <c r="R328" s="129"/>
    </row>
    <row r="329" spans="2:18" x14ac:dyDescent="0.2">
      <c r="B329" s="129"/>
      <c r="C329" s="129"/>
      <c r="D329" s="129"/>
      <c r="E329" s="129"/>
      <c r="F329" s="129"/>
      <c r="G329" s="129"/>
      <c r="H329" s="129"/>
      <c r="I329" s="129"/>
      <c r="J329" s="129"/>
      <c r="K329" s="129"/>
      <c r="L329" s="129"/>
      <c r="M329" s="129"/>
      <c r="N329" s="129"/>
      <c r="O329" s="129"/>
      <c r="P329" s="129"/>
      <c r="Q329" s="129"/>
      <c r="R329" s="129"/>
    </row>
    <row r="330" spans="2:18" x14ac:dyDescent="0.2">
      <c r="B330" s="129"/>
      <c r="C330" s="129"/>
      <c r="D330" s="129"/>
      <c r="E330" s="129"/>
      <c r="F330" s="129"/>
      <c r="G330" s="129"/>
      <c r="H330" s="129"/>
      <c r="I330" s="129"/>
      <c r="J330" s="129"/>
      <c r="K330" s="129"/>
      <c r="L330" s="129"/>
      <c r="M330" s="129"/>
      <c r="N330" s="129"/>
      <c r="O330" s="129"/>
      <c r="P330" s="129"/>
      <c r="Q330" s="129"/>
      <c r="R330" s="129"/>
    </row>
    <row r="331" spans="2:18" x14ac:dyDescent="0.2">
      <c r="B331" s="129"/>
      <c r="C331" s="129"/>
      <c r="D331" s="129"/>
      <c r="E331" s="129"/>
      <c r="F331" s="129"/>
      <c r="G331" s="129"/>
      <c r="H331" s="129"/>
      <c r="I331" s="129"/>
      <c r="J331" s="129"/>
      <c r="K331" s="129"/>
      <c r="L331" s="129"/>
      <c r="M331" s="129"/>
      <c r="N331" s="129"/>
      <c r="O331" s="129"/>
      <c r="P331" s="129"/>
      <c r="Q331" s="129"/>
      <c r="R331" s="129"/>
    </row>
    <row r="332" spans="2:18" x14ac:dyDescent="0.2">
      <c r="B332" s="129"/>
      <c r="C332" s="129"/>
      <c r="D332" s="129"/>
      <c r="E332" s="129"/>
      <c r="F332" s="129"/>
      <c r="G332" s="129"/>
      <c r="H332" s="129"/>
      <c r="I332" s="129"/>
      <c r="J332" s="129"/>
      <c r="K332" s="129"/>
      <c r="L332" s="129"/>
      <c r="M332" s="129"/>
      <c r="N332" s="129"/>
      <c r="O332" s="129"/>
      <c r="P332" s="129"/>
      <c r="Q332" s="129"/>
      <c r="R332" s="129"/>
    </row>
    <row r="333" spans="2:18" x14ac:dyDescent="0.2">
      <c r="B333" s="129"/>
      <c r="C333" s="129"/>
      <c r="D333" s="129"/>
      <c r="E333" s="129"/>
      <c r="F333" s="129"/>
      <c r="G333" s="129"/>
      <c r="H333" s="129"/>
      <c r="I333" s="129"/>
      <c r="J333" s="129"/>
      <c r="K333" s="129"/>
      <c r="L333" s="129"/>
      <c r="M333" s="129"/>
      <c r="N333" s="129"/>
      <c r="O333" s="129"/>
      <c r="P333" s="129"/>
      <c r="Q333" s="129"/>
      <c r="R333" s="129"/>
    </row>
    <row r="334" spans="2:18" x14ac:dyDescent="0.2">
      <c r="B334" s="129"/>
      <c r="C334" s="129"/>
      <c r="D334" s="129"/>
      <c r="E334" s="129"/>
      <c r="F334" s="129"/>
      <c r="G334" s="129"/>
      <c r="H334" s="129"/>
      <c r="I334" s="129"/>
      <c r="J334" s="129"/>
      <c r="K334" s="129"/>
      <c r="L334" s="129"/>
      <c r="M334" s="129"/>
      <c r="N334" s="129"/>
      <c r="O334" s="129"/>
      <c r="P334" s="129"/>
      <c r="Q334" s="129"/>
      <c r="R334" s="129"/>
    </row>
    <row r="335" spans="2:18" x14ac:dyDescent="0.2">
      <c r="B335" s="129"/>
      <c r="C335" s="129"/>
      <c r="D335" s="129"/>
      <c r="E335" s="129"/>
      <c r="F335" s="129"/>
      <c r="G335" s="129"/>
      <c r="H335" s="129"/>
      <c r="I335" s="129"/>
      <c r="J335" s="129"/>
      <c r="K335" s="129"/>
      <c r="L335" s="129"/>
      <c r="M335" s="129"/>
      <c r="N335" s="129"/>
      <c r="O335" s="129"/>
      <c r="P335" s="129"/>
      <c r="Q335" s="129"/>
      <c r="R335" s="129"/>
    </row>
    <row r="336" spans="2:18" x14ac:dyDescent="0.2">
      <c r="B336" s="74" t="str">
        <f>B81</f>
        <v>BusinessPilot offered by</v>
      </c>
      <c r="I336" s="1336"/>
      <c r="J336" s="1336"/>
      <c r="K336" s="1336"/>
      <c r="L336" s="1336"/>
      <c r="M336" s="1336"/>
      <c r="N336" s="1336"/>
      <c r="O336" s="1336"/>
      <c r="P336" s="1336"/>
      <c r="Q336" s="52"/>
      <c r="R336" s="155"/>
    </row>
    <row r="337" spans="2:18" x14ac:dyDescent="0.2">
      <c r="B337" s="2571" t="str">
        <f>'Front Page'!G8</f>
        <v>Enontekiö, Kittilä, Kolari, Muonio, Pello</v>
      </c>
      <c r="C337" s="2571"/>
      <c r="D337" s="2571"/>
      <c r="E337" s="2571"/>
      <c r="F337" s="2571"/>
      <c r="G337" s="2571"/>
      <c r="H337" s="2571"/>
      <c r="I337" s="2571"/>
      <c r="J337" s="2571"/>
      <c r="K337" s="2571"/>
      <c r="L337" s="2571"/>
      <c r="M337" s="2571"/>
      <c r="R337" s="1354" t="str">
        <f>'1. T1 INVESTMENT PLAN'!B67</f>
        <v>BP6 Financial Projection</v>
      </c>
    </row>
  </sheetData>
  <sheetProtection algorithmName="SHA-512" hashValue="XSSViRAXByX2yVLS1GhGh6c9ALHzQPhnIOCmwItL3iFCDtMGmyRFmhntJLwfKkuenLnCp5WbzTHRbk87X9bTrQ==" saltValue="6EPZX7vswMMchR+2vbK0UQ==" spinCount="100000" sheet="1" objects="1" scenarios="1" selectLockedCells="1"/>
  <mergeCells count="691">
    <mergeCell ref="K80:L80"/>
    <mergeCell ref="M80:N80"/>
    <mergeCell ref="O80:P80"/>
    <mergeCell ref="Q80:R80"/>
    <mergeCell ref="B251:M251"/>
    <mergeCell ref="J253:R253"/>
    <mergeCell ref="M255:N255"/>
    <mergeCell ref="B337:M337"/>
    <mergeCell ref="C247:I247"/>
    <mergeCell ref="J247:K247"/>
    <mergeCell ref="L247:M247"/>
    <mergeCell ref="N247:O247"/>
    <mergeCell ref="P247:Q247"/>
    <mergeCell ref="D248:I248"/>
    <mergeCell ref="J248:K248"/>
    <mergeCell ref="L248:M248"/>
    <mergeCell ref="N248:O248"/>
    <mergeCell ref="P248:Q248"/>
    <mergeCell ref="C245:I245"/>
    <mergeCell ref="J245:K245"/>
    <mergeCell ref="L245:M245"/>
    <mergeCell ref="N245:O245"/>
    <mergeCell ref="P245:Q245"/>
    <mergeCell ref="D246:I246"/>
    <mergeCell ref="J246:K246"/>
    <mergeCell ref="L246:M246"/>
    <mergeCell ref="N246:O246"/>
    <mergeCell ref="P246:Q246"/>
    <mergeCell ref="C242:I242"/>
    <mergeCell ref="J242:K242"/>
    <mergeCell ref="L242:M242"/>
    <mergeCell ref="N242:O242"/>
    <mergeCell ref="P242:Q242"/>
    <mergeCell ref="D243:I243"/>
    <mergeCell ref="J243:K243"/>
    <mergeCell ref="L243:M243"/>
    <mergeCell ref="N243:O243"/>
    <mergeCell ref="P243:Q243"/>
    <mergeCell ref="D240:I240"/>
    <mergeCell ref="J240:K240"/>
    <mergeCell ref="L240:M240"/>
    <mergeCell ref="N240:O240"/>
    <mergeCell ref="P240:Q240"/>
    <mergeCell ref="C241:I241"/>
    <mergeCell ref="J241:K241"/>
    <mergeCell ref="L241:M241"/>
    <mergeCell ref="N241:O241"/>
    <mergeCell ref="P241:Q241"/>
    <mergeCell ref="D238:I238"/>
    <mergeCell ref="J238:K238"/>
    <mergeCell ref="L238:M238"/>
    <mergeCell ref="N238:O238"/>
    <mergeCell ref="P238:Q238"/>
    <mergeCell ref="C239:I239"/>
    <mergeCell ref="J239:K239"/>
    <mergeCell ref="L239:M239"/>
    <mergeCell ref="N239:O239"/>
    <mergeCell ref="P239:Q239"/>
    <mergeCell ref="G236:H236"/>
    <mergeCell ref="C237:I237"/>
    <mergeCell ref="J237:K237"/>
    <mergeCell ref="L237:M237"/>
    <mergeCell ref="N237:O237"/>
    <mergeCell ref="P237:Q237"/>
    <mergeCell ref="C234:I235"/>
    <mergeCell ref="J234:K234"/>
    <mergeCell ref="L234:M234"/>
    <mergeCell ref="N234:O234"/>
    <mergeCell ref="P234:Q234"/>
    <mergeCell ref="J235:K235"/>
    <mergeCell ref="L235:M235"/>
    <mergeCell ref="N235:O235"/>
    <mergeCell ref="P235:Q235"/>
    <mergeCell ref="O226:O227"/>
    <mergeCell ref="P226:P227"/>
    <mergeCell ref="Q226:Q227"/>
    <mergeCell ref="R226:R227"/>
    <mergeCell ref="B229:C229"/>
    <mergeCell ref="B231:C231"/>
    <mergeCell ref="I226:I227"/>
    <mergeCell ref="J226:J227"/>
    <mergeCell ref="K226:K227"/>
    <mergeCell ref="L226:L227"/>
    <mergeCell ref="M226:M227"/>
    <mergeCell ref="N226:N227"/>
    <mergeCell ref="B226:C227"/>
    <mergeCell ref="D226:D227"/>
    <mergeCell ref="E226:E227"/>
    <mergeCell ref="F226:F227"/>
    <mergeCell ref="G226:G227"/>
    <mergeCell ref="H226:H227"/>
    <mergeCell ref="B217:C217"/>
    <mergeCell ref="B218:C218"/>
    <mergeCell ref="B219:C219"/>
    <mergeCell ref="B220:C220"/>
    <mergeCell ref="B222:C222"/>
    <mergeCell ref="B224:C224"/>
    <mergeCell ref="B210:C210"/>
    <mergeCell ref="B211:C211"/>
    <mergeCell ref="B212:C212"/>
    <mergeCell ref="B213:C213"/>
    <mergeCell ref="B214:C214"/>
    <mergeCell ref="B216:C216"/>
    <mergeCell ref="B202:C202"/>
    <mergeCell ref="B203:C203"/>
    <mergeCell ref="B205:C205"/>
    <mergeCell ref="B206:C206"/>
    <mergeCell ref="B207:C207"/>
    <mergeCell ref="B208:C208"/>
    <mergeCell ref="B195:C195"/>
    <mergeCell ref="B196:C196"/>
    <mergeCell ref="B197:C197"/>
    <mergeCell ref="B198:C198"/>
    <mergeCell ref="B200:C200"/>
    <mergeCell ref="B201:C201"/>
    <mergeCell ref="B191:C193"/>
    <mergeCell ref="D191:D194"/>
    <mergeCell ref="E191:E194"/>
    <mergeCell ref="F191:F194"/>
    <mergeCell ref="G191:I192"/>
    <mergeCell ref="J191:L192"/>
    <mergeCell ref="C184:I184"/>
    <mergeCell ref="K184:L184"/>
    <mergeCell ref="M184:N184"/>
    <mergeCell ref="M191:O192"/>
    <mergeCell ref="O184:P184"/>
    <mergeCell ref="P191:R192"/>
    <mergeCell ref="G193:I193"/>
    <mergeCell ref="J193:L193"/>
    <mergeCell ref="M193:O193"/>
    <mergeCell ref="P193:R193"/>
    <mergeCell ref="K186:L186"/>
    <mergeCell ref="M186:N186"/>
    <mergeCell ref="O186:P186"/>
    <mergeCell ref="Q186:R186"/>
    <mergeCell ref="Q184:R184"/>
    <mergeCell ref="K185:L185"/>
    <mergeCell ref="M185:N185"/>
    <mergeCell ref="O185:P185"/>
    <mergeCell ref="Q185:R185"/>
    <mergeCell ref="C182:I182"/>
    <mergeCell ref="K182:L182"/>
    <mergeCell ref="M182:N182"/>
    <mergeCell ref="O182:P182"/>
    <mergeCell ref="Q182:R182"/>
    <mergeCell ref="K183:L183"/>
    <mergeCell ref="M183:N183"/>
    <mergeCell ref="O183:P183"/>
    <mergeCell ref="Q183:R183"/>
    <mergeCell ref="C180:I180"/>
    <mergeCell ref="K180:L180"/>
    <mergeCell ref="M180:N180"/>
    <mergeCell ref="O180:P180"/>
    <mergeCell ref="Q180:R180"/>
    <mergeCell ref="K181:L181"/>
    <mergeCell ref="M181:N181"/>
    <mergeCell ref="O181:P181"/>
    <mergeCell ref="Q181:R181"/>
    <mergeCell ref="K178:L178"/>
    <mergeCell ref="M178:N178"/>
    <mergeCell ref="O178:P178"/>
    <mergeCell ref="Q178:R178"/>
    <mergeCell ref="K179:L179"/>
    <mergeCell ref="M179:N179"/>
    <mergeCell ref="O179:P179"/>
    <mergeCell ref="Q179:R179"/>
    <mergeCell ref="C176:I176"/>
    <mergeCell ref="K176:L176"/>
    <mergeCell ref="M176:N176"/>
    <mergeCell ref="O176:P176"/>
    <mergeCell ref="Q176:R176"/>
    <mergeCell ref="K177:L177"/>
    <mergeCell ref="M177:N177"/>
    <mergeCell ref="O177:P177"/>
    <mergeCell ref="Q177:R177"/>
    <mergeCell ref="C174:I174"/>
    <mergeCell ref="K174:L174"/>
    <mergeCell ref="M174:N174"/>
    <mergeCell ref="O174:P174"/>
    <mergeCell ref="Q174:R174"/>
    <mergeCell ref="K175:L175"/>
    <mergeCell ref="M175:N175"/>
    <mergeCell ref="O175:P175"/>
    <mergeCell ref="Q175:R175"/>
    <mergeCell ref="Q171:R171"/>
    <mergeCell ref="K172:L172"/>
    <mergeCell ref="M172:N172"/>
    <mergeCell ref="O172:P172"/>
    <mergeCell ref="Q172:R172"/>
    <mergeCell ref="K173:L173"/>
    <mergeCell ref="M173:N173"/>
    <mergeCell ref="O173:P173"/>
    <mergeCell ref="Q173:R173"/>
    <mergeCell ref="B168:J168"/>
    <mergeCell ref="M168:N168"/>
    <mergeCell ref="K171:L171"/>
    <mergeCell ref="M171:N171"/>
    <mergeCell ref="O171:P171"/>
    <mergeCell ref="K162:L162"/>
    <mergeCell ref="M162:N162"/>
    <mergeCell ref="O162:P162"/>
    <mergeCell ref="B171:J172"/>
    <mergeCell ref="Q162:R162"/>
    <mergeCell ref="B165:M165"/>
    <mergeCell ref="M167:N167"/>
    <mergeCell ref="K160:L160"/>
    <mergeCell ref="M160:N160"/>
    <mergeCell ref="O160:P160"/>
    <mergeCell ref="Q160:R160"/>
    <mergeCell ref="K161:L161"/>
    <mergeCell ref="M161:N161"/>
    <mergeCell ref="O161:P161"/>
    <mergeCell ref="Q161:R161"/>
    <mergeCell ref="C158:G158"/>
    <mergeCell ref="K158:L158"/>
    <mergeCell ref="M158:N158"/>
    <mergeCell ref="O158:P158"/>
    <mergeCell ref="Q158:R158"/>
    <mergeCell ref="C159:G159"/>
    <mergeCell ref="K159:L159"/>
    <mergeCell ref="M159:N159"/>
    <mergeCell ref="O159:P159"/>
    <mergeCell ref="Q159:R159"/>
    <mergeCell ref="C156:G156"/>
    <mergeCell ref="K156:L156"/>
    <mergeCell ref="M156:N156"/>
    <mergeCell ref="O156:P156"/>
    <mergeCell ref="Q156:R156"/>
    <mergeCell ref="K157:L157"/>
    <mergeCell ref="M157:N157"/>
    <mergeCell ref="O157:P157"/>
    <mergeCell ref="Q157:R157"/>
    <mergeCell ref="C154:G154"/>
    <mergeCell ref="K154:L154"/>
    <mergeCell ref="M154:N154"/>
    <mergeCell ref="O154:P154"/>
    <mergeCell ref="Q154:R154"/>
    <mergeCell ref="K155:L155"/>
    <mergeCell ref="M155:N155"/>
    <mergeCell ref="O155:P155"/>
    <mergeCell ref="Q155:R155"/>
    <mergeCell ref="C152:E152"/>
    <mergeCell ref="K152:L152"/>
    <mergeCell ref="M152:N152"/>
    <mergeCell ref="O152:P152"/>
    <mergeCell ref="Q152:R152"/>
    <mergeCell ref="C153:G153"/>
    <mergeCell ref="K153:L153"/>
    <mergeCell ref="M153:N153"/>
    <mergeCell ref="O153:P153"/>
    <mergeCell ref="Q153:R153"/>
    <mergeCell ref="K150:L150"/>
    <mergeCell ref="M150:N150"/>
    <mergeCell ref="O150:P150"/>
    <mergeCell ref="Q150:R150"/>
    <mergeCell ref="C151:F151"/>
    <mergeCell ref="K151:L151"/>
    <mergeCell ref="M151:N151"/>
    <mergeCell ref="O151:P151"/>
    <mergeCell ref="Q151:R151"/>
    <mergeCell ref="C150:J150"/>
    <mergeCell ref="C148:J148"/>
    <mergeCell ref="K148:L148"/>
    <mergeCell ref="M148:N148"/>
    <mergeCell ref="O148:P148"/>
    <mergeCell ref="Q148:R148"/>
    <mergeCell ref="C149:F149"/>
    <mergeCell ref="K149:L149"/>
    <mergeCell ref="M149:N149"/>
    <mergeCell ref="O149:P149"/>
    <mergeCell ref="Q149:R149"/>
    <mergeCell ref="C146:G146"/>
    <mergeCell ref="K146:L146"/>
    <mergeCell ref="M146:N146"/>
    <mergeCell ref="O146:P146"/>
    <mergeCell ref="Q146:R146"/>
    <mergeCell ref="C147:G147"/>
    <mergeCell ref="K147:L147"/>
    <mergeCell ref="M147:N147"/>
    <mergeCell ref="O147:P147"/>
    <mergeCell ref="Q147:R147"/>
    <mergeCell ref="K144:L144"/>
    <mergeCell ref="M144:N144"/>
    <mergeCell ref="O144:P144"/>
    <mergeCell ref="Q144:R144"/>
    <mergeCell ref="C145:G145"/>
    <mergeCell ref="K145:L145"/>
    <mergeCell ref="M145:N145"/>
    <mergeCell ref="O145:P145"/>
    <mergeCell ref="Q145:R145"/>
    <mergeCell ref="C142:J142"/>
    <mergeCell ref="K142:L142"/>
    <mergeCell ref="M142:N142"/>
    <mergeCell ref="O142:P142"/>
    <mergeCell ref="Q142:R142"/>
    <mergeCell ref="K143:L143"/>
    <mergeCell ref="M143:N143"/>
    <mergeCell ref="O143:P143"/>
    <mergeCell ref="Q143:R143"/>
    <mergeCell ref="C140:G140"/>
    <mergeCell ref="K140:L140"/>
    <mergeCell ref="M140:N140"/>
    <mergeCell ref="O140:P140"/>
    <mergeCell ref="Q140:R140"/>
    <mergeCell ref="C141:G141"/>
    <mergeCell ref="K141:L141"/>
    <mergeCell ref="M141:N141"/>
    <mergeCell ref="O141:P141"/>
    <mergeCell ref="Q141:R141"/>
    <mergeCell ref="C138:G138"/>
    <mergeCell ref="K138:L138"/>
    <mergeCell ref="M138:N138"/>
    <mergeCell ref="O138:P138"/>
    <mergeCell ref="Q138:R138"/>
    <mergeCell ref="C139:G139"/>
    <mergeCell ref="K139:L139"/>
    <mergeCell ref="M139:N139"/>
    <mergeCell ref="O139:P139"/>
    <mergeCell ref="Q139:R139"/>
    <mergeCell ref="K136:L136"/>
    <mergeCell ref="M136:N136"/>
    <mergeCell ref="O136:P136"/>
    <mergeCell ref="Q136:R136"/>
    <mergeCell ref="C137:G137"/>
    <mergeCell ref="K137:L137"/>
    <mergeCell ref="M137:N137"/>
    <mergeCell ref="O137:P137"/>
    <mergeCell ref="Q137:R137"/>
    <mergeCell ref="B134:J135"/>
    <mergeCell ref="K134:L134"/>
    <mergeCell ref="M134:N134"/>
    <mergeCell ref="O134:P134"/>
    <mergeCell ref="Q134:R134"/>
    <mergeCell ref="K135:L135"/>
    <mergeCell ref="M135:N135"/>
    <mergeCell ref="O135:P135"/>
    <mergeCell ref="Q135:R135"/>
    <mergeCell ref="G132:H132"/>
    <mergeCell ref="I132:J132"/>
    <mergeCell ref="K132:L132"/>
    <mergeCell ref="M132:N132"/>
    <mergeCell ref="O132:P132"/>
    <mergeCell ref="Q132:R132"/>
    <mergeCell ref="G131:H131"/>
    <mergeCell ref="I131:J131"/>
    <mergeCell ref="K131:L131"/>
    <mergeCell ref="M131:N131"/>
    <mergeCell ref="O131:P131"/>
    <mergeCell ref="Q131:R131"/>
    <mergeCell ref="G130:H130"/>
    <mergeCell ref="I130:J130"/>
    <mergeCell ref="K130:L130"/>
    <mergeCell ref="M130:N130"/>
    <mergeCell ref="O130:P130"/>
    <mergeCell ref="Q130:R130"/>
    <mergeCell ref="Q128:R128"/>
    <mergeCell ref="G129:H129"/>
    <mergeCell ref="I129:J129"/>
    <mergeCell ref="K129:L129"/>
    <mergeCell ref="M129:N129"/>
    <mergeCell ref="O129:P129"/>
    <mergeCell ref="Q129:R129"/>
    <mergeCell ref="C128:D128"/>
    <mergeCell ref="G128:H128"/>
    <mergeCell ref="I128:J128"/>
    <mergeCell ref="K128:L128"/>
    <mergeCell ref="M128:N128"/>
    <mergeCell ref="O128:P128"/>
    <mergeCell ref="G127:H127"/>
    <mergeCell ref="I127:J127"/>
    <mergeCell ref="K127:L127"/>
    <mergeCell ref="M127:N127"/>
    <mergeCell ref="O127:P127"/>
    <mergeCell ref="Q127:R127"/>
    <mergeCell ref="G126:H126"/>
    <mergeCell ref="I126:J126"/>
    <mergeCell ref="K126:L126"/>
    <mergeCell ref="M126:N126"/>
    <mergeCell ref="O126:P126"/>
    <mergeCell ref="Q126:R126"/>
    <mergeCell ref="G125:H125"/>
    <mergeCell ref="I125:J125"/>
    <mergeCell ref="K125:L125"/>
    <mergeCell ref="M125:N125"/>
    <mergeCell ref="O125:P125"/>
    <mergeCell ref="Q125:R125"/>
    <mergeCell ref="G124:H124"/>
    <mergeCell ref="I124:J124"/>
    <mergeCell ref="K124:L124"/>
    <mergeCell ref="M124:N124"/>
    <mergeCell ref="O124:P124"/>
    <mergeCell ref="Q124:R124"/>
    <mergeCell ref="G123:H123"/>
    <mergeCell ref="I123:J123"/>
    <mergeCell ref="K123:L123"/>
    <mergeCell ref="M123:N123"/>
    <mergeCell ref="O123:P123"/>
    <mergeCell ref="Q123:R123"/>
    <mergeCell ref="G122:H122"/>
    <mergeCell ref="I122:J122"/>
    <mergeCell ref="K122:L122"/>
    <mergeCell ref="M122:N122"/>
    <mergeCell ref="O122:P122"/>
    <mergeCell ref="Q122:R122"/>
    <mergeCell ref="G121:H121"/>
    <mergeCell ref="I121:J121"/>
    <mergeCell ref="K121:L121"/>
    <mergeCell ref="M121:N121"/>
    <mergeCell ref="O121:P121"/>
    <mergeCell ref="Q121:R121"/>
    <mergeCell ref="G120:H120"/>
    <mergeCell ref="I120:J120"/>
    <mergeCell ref="K120:L120"/>
    <mergeCell ref="M120:N120"/>
    <mergeCell ref="O120:P120"/>
    <mergeCell ref="Q120:R120"/>
    <mergeCell ref="G119:H119"/>
    <mergeCell ref="I119:J119"/>
    <mergeCell ref="K119:L119"/>
    <mergeCell ref="M119:N119"/>
    <mergeCell ref="O119:P119"/>
    <mergeCell ref="Q119:R119"/>
    <mergeCell ref="G118:H118"/>
    <mergeCell ref="I118:J118"/>
    <mergeCell ref="K118:L118"/>
    <mergeCell ref="M118:N118"/>
    <mergeCell ref="O118:P118"/>
    <mergeCell ref="Q118:R118"/>
    <mergeCell ref="G117:H117"/>
    <mergeCell ref="I117:J117"/>
    <mergeCell ref="K117:L117"/>
    <mergeCell ref="M117:N117"/>
    <mergeCell ref="O117:P117"/>
    <mergeCell ref="Q117:R117"/>
    <mergeCell ref="G116:H116"/>
    <mergeCell ref="I116:J116"/>
    <mergeCell ref="K116:L116"/>
    <mergeCell ref="M116:N116"/>
    <mergeCell ref="O116:P116"/>
    <mergeCell ref="Q116:R116"/>
    <mergeCell ref="G115:H115"/>
    <mergeCell ref="I115:J115"/>
    <mergeCell ref="K115:L115"/>
    <mergeCell ref="M115:N115"/>
    <mergeCell ref="O115:P115"/>
    <mergeCell ref="Q115:R115"/>
    <mergeCell ref="G114:H114"/>
    <mergeCell ref="I114:J114"/>
    <mergeCell ref="K114:L114"/>
    <mergeCell ref="M114:N114"/>
    <mergeCell ref="O114:P114"/>
    <mergeCell ref="Q114:R114"/>
    <mergeCell ref="G113:H113"/>
    <mergeCell ref="I113:J113"/>
    <mergeCell ref="K113:L113"/>
    <mergeCell ref="M113:N113"/>
    <mergeCell ref="O113:P113"/>
    <mergeCell ref="Q113:R113"/>
    <mergeCell ref="G112:H112"/>
    <mergeCell ref="I112:J112"/>
    <mergeCell ref="K112:L112"/>
    <mergeCell ref="M112:N112"/>
    <mergeCell ref="O112:P112"/>
    <mergeCell ref="Q112:R112"/>
    <mergeCell ref="G111:H111"/>
    <mergeCell ref="I111:J111"/>
    <mergeCell ref="K111:L111"/>
    <mergeCell ref="M111:N111"/>
    <mergeCell ref="O111:P111"/>
    <mergeCell ref="Q111:R111"/>
    <mergeCell ref="Q109:R109"/>
    <mergeCell ref="K110:L110"/>
    <mergeCell ref="M110:N110"/>
    <mergeCell ref="O110:P110"/>
    <mergeCell ref="Q110:R110"/>
    <mergeCell ref="K109:L109"/>
    <mergeCell ref="M109:N109"/>
    <mergeCell ref="O109:P109"/>
    <mergeCell ref="B109:J110"/>
    <mergeCell ref="G108:H108"/>
    <mergeCell ref="I108:J108"/>
    <mergeCell ref="K108:L108"/>
    <mergeCell ref="M108:N108"/>
    <mergeCell ref="O108:P108"/>
    <mergeCell ref="Q108:R108"/>
    <mergeCell ref="G107:H107"/>
    <mergeCell ref="I107:J107"/>
    <mergeCell ref="K107:L107"/>
    <mergeCell ref="M107:N107"/>
    <mergeCell ref="O107:P107"/>
    <mergeCell ref="Q107:R107"/>
    <mergeCell ref="G106:H106"/>
    <mergeCell ref="I106:J106"/>
    <mergeCell ref="K106:L106"/>
    <mergeCell ref="M106:N106"/>
    <mergeCell ref="O106:P106"/>
    <mergeCell ref="Q106:R106"/>
    <mergeCell ref="G105:H105"/>
    <mergeCell ref="I105:J105"/>
    <mergeCell ref="K105:L105"/>
    <mergeCell ref="M105:N105"/>
    <mergeCell ref="O105:P105"/>
    <mergeCell ref="Q105:R105"/>
    <mergeCell ref="G104:H104"/>
    <mergeCell ref="I104:J104"/>
    <mergeCell ref="K104:L104"/>
    <mergeCell ref="M104:N104"/>
    <mergeCell ref="O104:P104"/>
    <mergeCell ref="Q104:R104"/>
    <mergeCell ref="Q102:R102"/>
    <mergeCell ref="K103:L103"/>
    <mergeCell ref="M103:N103"/>
    <mergeCell ref="O103:P103"/>
    <mergeCell ref="Q103:R103"/>
    <mergeCell ref="C103:J103"/>
    <mergeCell ref="C102:D102"/>
    <mergeCell ref="G102:H102"/>
    <mergeCell ref="I102:J102"/>
    <mergeCell ref="K102:L102"/>
    <mergeCell ref="M102:N102"/>
    <mergeCell ref="O102:P102"/>
    <mergeCell ref="Q100:R100"/>
    <mergeCell ref="G101:H101"/>
    <mergeCell ref="I101:J101"/>
    <mergeCell ref="K101:L101"/>
    <mergeCell ref="M101:N101"/>
    <mergeCell ref="O101:P101"/>
    <mergeCell ref="Q101:R101"/>
    <mergeCell ref="C99:J99"/>
    <mergeCell ref="K99:L99"/>
    <mergeCell ref="M99:N99"/>
    <mergeCell ref="O99:P99"/>
    <mergeCell ref="Q99:R99"/>
    <mergeCell ref="G100:H100"/>
    <mergeCell ref="I100:J100"/>
    <mergeCell ref="K100:L100"/>
    <mergeCell ref="M100:N100"/>
    <mergeCell ref="O100:P100"/>
    <mergeCell ref="G98:H98"/>
    <mergeCell ref="I98:J98"/>
    <mergeCell ref="K98:L98"/>
    <mergeCell ref="M98:N98"/>
    <mergeCell ref="O98:P98"/>
    <mergeCell ref="Q98:R98"/>
    <mergeCell ref="G97:H97"/>
    <mergeCell ref="I97:J97"/>
    <mergeCell ref="K97:L97"/>
    <mergeCell ref="M97:N97"/>
    <mergeCell ref="O97:P97"/>
    <mergeCell ref="Q97:R97"/>
    <mergeCell ref="G96:H96"/>
    <mergeCell ref="I96:J96"/>
    <mergeCell ref="K96:L96"/>
    <mergeCell ref="M96:N96"/>
    <mergeCell ref="O96:P96"/>
    <mergeCell ref="Q96:R96"/>
    <mergeCell ref="G95:H95"/>
    <mergeCell ref="I95:J95"/>
    <mergeCell ref="K95:L95"/>
    <mergeCell ref="M95:N95"/>
    <mergeCell ref="O95:P95"/>
    <mergeCell ref="Q95:R95"/>
    <mergeCell ref="G94:H94"/>
    <mergeCell ref="I94:J94"/>
    <mergeCell ref="K94:L94"/>
    <mergeCell ref="M94:N94"/>
    <mergeCell ref="O94:P94"/>
    <mergeCell ref="Q94:R94"/>
    <mergeCell ref="G93:H93"/>
    <mergeCell ref="I93:J93"/>
    <mergeCell ref="K93:L93"/>
    <mergeCell ref="M93:N93"/>
    <mergeCell ref="O93:P93"/>
    <mergeCell ref="Q93:R93"/>
    <mergeCell ref="G92:H92"/>
    <mergeCell ref="I92:J92"/>
    <mergeCell ref="K92:L92"/>
    <mergeCell ref="M92:N92"/>
    <mergeCell ref="O92:P92"/>
    <mergeCell ref="Q92:R92"/>
    <mergeCell ref="G91:H91"/>
    <mergeCell ref="I91:J91"/>
    <mergeCell ref="K91:L91"/>
    <mergeCell ref="M91:N91"/>
    <mergeCell ref="O91:P91"/>
    <mergeCell ref="Q91:R91"/>
    <mergeCell ref="G90:H90"/>
    <mergeCell ref="I90:J90"/>
    <mergeCell ref="K90:L90"/>
    <mergeCell ref="M90:N90"/>
    <mergeCell ref="O90:P90"/>
    <mergeCell ref="Q90:R90"/>
    <mergeCell ref="G89:H89"/>
    <mergeCell ref="I89:J89"/>
    <mergeCell ref="K89:L89"/>
    <mergeCell ref="M89:N89"/>
    <mergeCell ref="O89:P89"/>
    <mergeCell ref="Q89:R89"/>
    <mergeCell ref="O87:P87"/>
    <mergeCell ref="Q87:R87"/>
    <mergeCell ref="K88:L88"/>
    <mergeCell ref="M88:N88"/>
    <mergeCell ref="O88:P88"/>
    <mergeCell ref="Q88:R88"/>
    <mergeCell ref="B82:M82"/>
    <mergeCell ref="B83:J83"/>
    <mergeCell ref="M83:N83"/>
    <mergeCell ref="M84:N84"/>
    <mergeCell ref="B85:L85"/>
    <mergeCell ref="K87:L87"/>
    <mergeCell ref="M87:N87"/>
    <mergeCell ref="B87:J88"/>
    <mergeCell ref="G79:H79"/>
    <mergeCell ref="I79:J79"/>
    <mergeCell ref="K79:L79"/>
    <mergeCell ref="M79:N79"/>
    <mergeCell ref="O79:P79"/>
    <mergeCell ref="Q79:R79"/>
    <mergeCell ref="G78:H78"/>
    <mergeCell ref="I78:J78"/>
    <mergeCell ref="K78:L78"/>
    <mergeCell ref="M78:N78"/>
    <mergeCell ref="O78:P78"/>
    <mergeCell ref="Q78:R78"/>
    <mergeCell ref="G57:H57"/>
    <mergeCell ref="I57:J57"/>
    <mergeCell ref="K57:L57"/>
    <mergeCell ref="M57:N57"/>
    <mergeCell ref="O57:P57"/>
    <mergeCell ref="Q57:R57"/>
    <mergeCell ref="Q54:R54"/>
    <mergeCell ref="G55:H55"/>
    <mergeCell ref="I55:J55"/>
    <mergeCell ref="K55:L55"/>
    <mergeCell ref="M55:N55"/>
    <mergeCell ref="O55:P55"/>
    <mergeCell ref="Q55:R55"/>
    <mergeCell ref="O46:P46"/>
    <mergeCell ref="O47:P47"/>
    <mergeCell ref="O48:P48"/>
    <mergeCell ref="B54:E56"/>
    <mergeCell ref="G54:H54"/>
    <mergeCell ref="I54:J54"/>
    <mergeCell ref="K54:L54"/>
    <mergeCell ref="M54:N54"/>
    <mergeCell ref="O54:P54"/>
    <mergeCell ref="L35:R36"/>
    <mergeCell ref="B37:C37"/>
    <mergeCell ref="B44:C44"/>
    <mergeCell ref="O44:P44"/>
    <mergeCell ref="O45:P45"/>
    <mergeCell ref="C30:F30"/>
    <mergeCell ref="C31:F31"/>
    <mergeCell ref="C32:F32"/>
    <mergeCell ref="C33:F33"/>
    <mergeCell ref="C34:F34"/>
    <mergeCell ref="B35:F36"/>
    <mergeCell ref="C28:F28"/>
    <mergeCell ref="C29:F29"/>
    <mergeCell ref="C17:F17"/>
    <mergeCell ref="C18:F18"/>
    <mergeCell ref="C19:F19"/>
    <mergeCell ref="C20:F20"/>
    <mergeCell ref="C21:F21"/>
    <mergeCell ref="C22:F22"/>
    <mergeCell ref="K35:K36"/>
    <mergeCell ref="C26:F26"/>
    <mergeCell ref="C61:D61"/>
    <mergeCell ref="L2:M2"/>
    <mergeCell ref="L3:M3"/>
    <mergeCell ref="H5:I5"/>
    <mergeCell ref="L6:R6"/>
    <mergeCell ref="B7:H7"/>
    <mergeCell ref="L7:R7"/>
    <mergeCell ref="L12:R12"/>
    <mergeCell ref="B13:H13"/>
    <mergeCell ref="L13:R13"/>
    <mergeCell ref="B12:H12"/>
    <mergeCell ref="B15:F16"/>
    <mergeCell ref="K15:K16"/>
    <mergeCell ref="L15:R16"/>
    <mergeCell ref="L8:R8"/>
    <mergeCell ref="B9:H9"/>
    <mergeCell ref="L9:R9"/>
    <mergeCell ref="L10:R10"/>
    <mergeCell ref="B11:H11"/>
    <mergeCell ref="L11:R11"/>
    <mergeCell ref="C23:F23"/>
    <mergeCell ref="C24:F24"/>
    <mergeCell ref="C25:F25"/>
    <mergeCell ref="C27:F27"/>
  </mergeCells>
  <conditionalFormatting sqref="J246 L246 N246 P246">
    <cfRule type="containsText" dxfId="37" priority="1" operator="containsText" text="Hyvä">
      <formula>NOT(ISERROR(SEARCH("Hyvä",J246)))</formula>
    </cfRule>
    <cfRule type="containsText" dxfId="36" priority="2" operator="containsText" text="Tyydyttävä">
      <formula>NOT(ISERROR(SEARCH("Tyydyttävä",J246)))</formula>
    </cfRule>
    <cfRule type="containsText" dxfId="35" priority="3" operator="containsText" text="Heikko">
      <formula>NOT(ISERROR(SEARCH("Heikko",J246)))</formula>
    </cfRule>
  </conditionalFormatting>
  <conditionalFormatting sqref="J248 L248 N248 P248">
    <cfRule type="containsText" dxfId="34" priority="4" operator="containsText" text="Nettovelaton">
      <formula>NOT(ISERROR(SEARCH("Nettovelaton",J248)))</formula>
    </cfRule>
    <cfRule type="containsText" dxfId="33" priority="5" operator="containsText" text="Nettovelaton">
      <formula>NOT(ISERROR(SEARCH("Nettovelaton",J248)))</formula>
    </cfRule>
    <cfRule type="containsText" dxfId="32" priority="6" operator="containsText" text="Hyvä">
      <formula>NOT(ISERROR(SEARCH("Hyvä",J248)))</formula>
    </cfRule>
    <cfRule type="containsText" dxfId="31" priority="7" operator="containsText" text="Heikko">
      <formula>NOT(ISERROR(SEARCH("Heikko",J248)))</formula>
    </cfRule>
    <cfRule type="containsText" dxfId="30" priority="8" operator="containsText" text="Hyvä">
      <formula>NOT(ISERROR(SEARCH("Hyvä",J248)))</formula>
    </cfRule>
    <cfRule type="containsText" dxfId="29" priority="9" operator="containsText" text="Tyydyttävä">
      <formula>NOT(ISERROR(SEARCH("Tyydyttävä",J248)))</formula>
    </cfRule>
    <cfRule type="containsText" dxfId="28" priority="10" operator="containsText" text="Heikko">
      <formula>NOT(ISERROR(SEARCH("Heikko",J248)))</formula>
    </cfRule>
  </conditionalFormatting>
  <conditionalFormatting sqref="J238:Q238">
    <cfRule type="containsText" dxfId="27" priority="17" operator="containsText" text="Hyvä">
      <formula>NOT(ISERROR(SEARCH("Hyvä",J238)))</formula>
    </cfRule>
    <cfRule type="containsText" dxfId="26" priority="18" operator="containsText" text="Tyydyttävä">
      <formula>NOT(ISERROR(SEARCH("Tyydyttävä",J238)))</formula>
    </cfRule>
    <cfRule type="containsText" dxfId="25" priority="19" operator="containsText" text="Heikko">
      <formula>NOT(ISERROR(SEARCH("Heikko",J238)))</formula>
    </cfRule>
  </conditionalFormatting>
  <conditionalFormatting sqref="J240:Q240">
    <cfRule type="containsText" dxfId="24" priority="14" operator="containsText" text="Hyvä">
      <formula>NOT(ISERROR(SEARCH("Hyvä",J240)))</formula>
    </cfRule>
    <cfRule type="containsText" dxfId="23" priority="15" operator="containsText" text="Tyydyttävä">
      <formula>NOT(ISERROR(SEARCH("Tyydyttävä",J240)))</formula>
    </cfRule>
    <cfRule type="containsText" dxfId="22" priority="16" operator="containsText" text="Heikko">
      <formula>NOT(ISERROR(SEARCH("Heikko",J240)))</formula>
    </cfRule>
  </conditionalFormatting>
  <conditionalFormatting sqref="J243:Q243">
    <cfRule type="containsText" dxfId="21" priority="11" operator="containsText" text="Hyvä">
      <formula>NOT(ISERROR(SEARCH("Hyvä",J243)))</formula>
    </cfRule>
    <cfRule type="containsText" dxfId="20" priority="12" operator="containsText" text="Tyydyttävä">
      <formula>NOT(ISERROR(SEARCH("Tyydyttävä",J243)))</formula>
    </cfRule>
    <cfRule type="containsText" dxfId="19" priority="13" operator="containsText" text="Heikko">
      <formula>NOT(ISERROR(SEARCH("Heikko",J243)))</formula>
    </cfRule>
  </conditionalFormatting>
  <pageMargins left="0.7" right="0.7" top="0.75" bottom="0.75" header="0.3" footer="0.3"/>
  <pageSetup paperSize="9" scale="68" orientation="portrait" verticalDpi="1200" r:id="rId1"/>
  <rowBreaks count="3" manualBreakCount="3">
    <brk id="82" min="1" max="17" man="1"/>
    <brk id="165" min="1" max="17" man="1"/>
    <brk id="251" min="1"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V325"/>
  <sheetViews>
    <sheetView showGridLines="0" showZeros="0" zoomScaleNormal="100" workbookViewId="0">
      <selection activeCell="B11" sqref="B11:H11"/>
    </sheetView>
  </sheetViews>
  <sheetFormatPr defaultRowHeight="12.75" x14ac:dyDescent="0.2"/>
  <cols>
    <col min="1" max="1" width="10.5703125" customWidth="1"/>
    <col min="2" max="2" width="3" customWidth="1"/>
    <col min="3" max="3" width="23" customWidth="1"/>
    <col min="4" max="6" width="5.85546875" customWidth="1"/>
    <col min="7" max="11" width="7.28515625" customWidth="1"/>
    <col min="12" max="18" width="6.7109375" customWidth="1"/>
  </cols>
  <sheetData>
    <row r="2" spans="2:18" ht="15" x14ac:dyDescent="0.2">
      <c r="B2" s="1349" t="s">
        <v>335</v>
      </c>
      <c r="C2" s="685"/>
      <c r="D2" s="619"/>
      <c r="E2" s="619"/>
      <c r="F2" s="619"/>
      <c r="G2" s="619"/>
      <c r="H2" s="2"/>
      <c r="I2" s="2"/>
      <c r="J2" s="2"/>
      <c r="K2" s="349"/>
      <c r="L2" s="2287" t="s">
        <v>32</v>
      </c>
      <c r="M2" s="2287"/>
      <c r="N2" s="129"/>
      <c r="O2" s="129"/>
      <c r="P2" s="129"/>
      <c r="Q2" s="129"/>
      <c r="R2" s="129"/>
    </row>
    <row r="3" spans="2:18" ht="12" customHeight="1" x14ac:dyDescent="0.2">
      <c r="B3" s="619"/>
      <c r="C3" s="619"/>
      <c r="D3" s="619"/>
      <c r="E3" s="619"/>
      <c r="F3" s="619"/>
      <c r="G3" s="619"/>
      <c r="H3" s="129"/>
      <c r="I3" s="129"/>
      <c r="J3" s="236"/>
      <c r="K3" s="349"/>
      <c r="L3" s="2510">
        <f>'1. T1 INVESTMENT PLAN'!F4</f>
        <v>0</v>
      </c>
      <c r="M3" s="2510"/>
      <c r="N3" s="129"/>
      <c r="O3" s="129"/>
      <c r="P3" s="129"/>
      <c r="Q3" s="129"/>
      <c r="R3" s="129"/>
    </row>
    <row r="4" spans="2:18" ht="4.9000000000000004" customHeight="1" x14ac:dyDescent="0.2">
      <c r="B4" s="619"/>
      <c r="C4" s="619"/>
      <c r="D4" s="619"/>
      <c r="E4" s="619"/>
      <c r="F4" s="619"/>
      <c r="G4" s="619"/>
      <c r="H4" s="129"/>
      <c r="I4" s="129"/>
      <c r="J4" s="236"/>
      <c r="K4" s="349"/>
      <c r="L4" s="1350"/>
      <c r="M4" s="1350"/>
      <c r="N4" s="129"/>
      <c r="O4" s="129"/>
      <c r="P4" s="129"/>
      <c r="Q4" s="129"/>
      <c r="R4" s="129"/>
    </row>
    <row r="5" spans="2:18" ht="6.6" customHeight="1" x14ac:dyDescent="0.2">
      <c r="B5" s="433"/>
      <c r="C5" s="349"/>
      <c r="D5" s="349"/>
      <c r="E5" s="349"/>
      <c r="F5" s="349"/>
      <c r="G5" s="349"/>
      <c r="H5" s="2511"/>
      <c r="I5" s="2512"/>
      <c r="J5" s="433"/>
      <c r="K5" s="434"/>
      <c r="L5" s="129"/>
      <c r="M5" s="129"/>
      <c r="N5" s="129"/>
      <c r="O5" s="129"/>
      <c r="P5" s="129"/>
      <c r="Q5" s="129"/>
      <c r="R5" s="129"/>
    </row>
    <row r="6" spans="2:18" ht="13.9" customHeight="1" x14ac:dyDescent="0.2">
      <c r="B6" s="1351" t="s">
        <v>351</v>
      </c>
      <c r="C6" s="1344"/>
      <c r="D6" s="1344"/>
      <c r="E6" s="1344"/>
      <c r="F6" s="1344"/>
      <c r="G6" s="1344"/>
      <c r="H6" s="1344"/>
      <c r="I6" s="1344"/>
      <c r="J6" s="1344"/>
      <c r="K6" s="1344"/>
      <c r="L6" s="2513" t="s">
        <v>343</v>
      </c>
      <c r="M6" s="2513"/>
      <c r="N6" s="2513"/>
      <c r="O6" s="2513"/>
      <c r="P6" s="2513"/>
      <c r="Q6" s="2513"/>
      <c r="R6" s="2513"/>
    </row>
    <row r="7" spans="2:18" ht="13.9" customHeight="1"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ht="13.9" customHeight="1" x14ac:dyDescent="0.2">
      <c r="B8" s="1352" t="s">
        <v>352</v>
      </c>
      <c r="C8" s="1347"/>
      <c r="D8" s="1347"/>
      <c r="E8" s="1347"/>
      <c r="F8" s="1347"/>
      <c r="G8" s="1347"/>
      <c r="H8" s="1347"/>
      <c r="I8" s="1345"/>
      <c r="J8" s="1345"/>
      <c r="K8" s="1345"/>
      <c r="L8" s="2513" t="s">
        <v>344</v>
      </c>
      <c r="M8" s="2513"/>
      <c r="N8" s="2513"/>
      <c r="O8" s="2513"/>
      <c r="P8" s="2513"/>
      <c r="Q8" s="2513"/>
      <c r="R8" s="2513"/>
    </row>
    <row r="9" spans="2:18" ht="13.9" customHeight="1" x14ac:dyDescent="0.2">
      <c r="B9" s="2937">
        <f>'1. T1 INVESTMENT PLAN'!B9</f>
        <v>0</v>
      </c>
      <c r="C9" s="2937"/>
      <c r="D9" s="2937"/>
      <c r="E9" s="2937"/>
      <c r="F9" s="2937"/>
      <c r="G9" s="2937"/>
      <c r="H9" s="2937"/>
      <c r="I9" s="645"/>
      <c r="J9" s="645"/>
      <c r="K9" s="645"/>
      <c r="L9" s="2846">
        <f>'1. T1 INVESTMENT PLAN'!F9</f>
        <v>0</v>
      </c>
      <c r="M9" s="2514"/>
      <c r="N9" s="2514"/>
      <c r="O9" s="2514"/>
      <c r="P9" s="2514"/>
      <c r="Q9" s="2514"/>
      <c r="R9" s="2514"/>
    </row>
    <row r="10" spans="2:18" ht="13.9" customHeight="1" x14ac:dyDescent="0.2">
      <c r="B10" s="1351" t="s">
        <v>353</v>
      </c>
      <c r="C10" s="1348"/>
      <c r="D10" s="1348"/>
      <c r="E10" s="1348"/>
      <c r="F10" s="1348"/>
      <c r="G10" s="1348"/>
      <c r="H10" s="1348"/>
      <c r="I10" s="1346"/>
      <c r="J10" s="1346"/>
      <c r="K10" s="1346"/>
      <c r="L10" s="2513" t="s">
        <v>346</v>
      </c>
      <c r="M10" s="2513"/>
      <c r="N10" s="2513"/>
      <c r="O10" s="2513"/>
      <c r="P10" s="2513"/>
      <c r="Q10" s="2513"/>
      <c r="R10" s="2513"/>
    </row>
    <row r="11" spans="2:18" ht="13.15" customHeight="1" x14ac:dyDescent="0.2">
      <c r="B11" s="2515">
        <f>'1. T1 INVESTMENT PLAN'!B11</f>
        <v>0</v>
      </c>
      <c r="C11" s="2515"/>
      <c r="D11" s="2515"/>
      <c r="E11" s="2515"/>
      <c r="F11" s="2515"/>
      <c r="G11" s="2515"/>
      <c r="H11" s="2515"/>
      <c r="I11" s="440"/>
      <c r="J11" s="440"/>
      <c r="K11" s="440"/>
      <c r="L11" s="2824">
        <f>'1. T1 INVESTMENT PLAN'!F11</f>
        <v>0</v>
      </c>
      <c r="M11" s="2824"/>
      <c r="N11" s="2824"/>
      <c r="O11" s="2824"/>
      <c r="P11" s="2824"/>
      <c r="Q11" s="2824"/>
      <c r="R11" s="2824"/>
    </row>
    <row r="12" spans="2:18" ht="13.15" customHeight="1" x14ac:dyDescent="0.2">
      <c r="B12" s="1837">
        <f>'1. T1 INVESTMENT PLAN'!B12</f>
        <v>0</v>
      </c>
      <c r="C12" s="1837"/>
      <c r="D12" s="1837"/>
      <c r="E12" s="1837"/>
      <c r="F12" s="1837"/>
      <c r="G12" s="1837"/>
      <c r="H12" s="1837"/>
      <c r="I12" s="440"/>
      <c r="J12" s="440"/>
      <c r="K12" s="440"/>
      <c r="L12" s="2513" t="s">
        <v>345</v>
      </c>
      <c r="M12" s="2513"/>
      <c r="N12" s="2513"/>
      <c r="O12" s="2513"/>
      <c r="P12" s="2513"/>
      <c r="Q12" s="2513"/>
      <c r="R12" s="2513"/>
    </row>
    <row r="13" spans="2:18" ht="13.15" customHeight="1" x14ac:dyDescent="0.2">
      <c r="B13" s="2682">
        <f>'1. T1 INVESTMENT PLAN'!B13</f>
        <v>0</v>
      </c>
      <c r="C13" s="2682"/>
      <c r="D13" s="2682"/>
      <c r="E13" s="2682"/>
      <c r="F13" s="2682"/>
      <c r="G13" s="2682"/>
      <c r="H13" s="2682"/>
      <c r="I13" s="440"/>
      <c r="J13" s="440"/>
      <c r="K13" s="440"/>
      <c r="L13" s="2824">
        <f>'1. T1 INVESTMENT PLAN'!F13</f>
        <v>0</v>
      </c>
      <c r="M13" s="2824"/>
      <c r="N13" s="2824"/>
      <c r="O13" s="2824"/>
      <c r="P13" s="2824"/>
      <c r="Q13" s="2824"/>
      <c r="R13" s="2824"/>
    </row>
    <row r="14" spans="2:18" ht="6" customHeight="1" x14ac:dyDescent="0.2">
      <c r="B14" s="433"/>
      <c r="C14" s="349"/>
      <c r="D14" s="349"/>
      <c r="E14" s="349"/>
      <c r="F14" s="349"/>
      <c r="G14" s="349"/>
      <c r="H14" s="349"/>
      <c r="I14" s="349"/>
      <c r="J14" s="349"/>
      <c r="K14" s="349"/>
      <c r="L14" s="129"/>
      <c r="M14" s="129"/>
      <c r="N14" s="129"/>
      <c r="O14" s="129"/>
      <c r="P14" s="129"/>
      <c r="Q14" s="129"/>
      <c r="R14" s="129"/>
    </row>
    <row r="15" spans="2:18" ht="11.25" customHeight="1" x14ac:dyDescent="0.2">
      <c r="B15" s="2835" t="s">
        <v>319</v>
      </c>
      <c r="C15" s="2836"/>
      <c r="D15" s="2836"/>
      <c r="E15" s="2836"/>
      <c r="F15" s="2837"/>
      <c r="G15" s="1265" t="s">
        <v>223</v>
      </c>
      <c r="H15" s="1265" t="s">
        <v>224</v>
      </c>
      <c r="I15" s="1265" t="s">
        <v>225</v>
      </c>
      <c r="J15" s="1265" t="s">
        <v>226</v>
      </c>
      <c r="K15" s="2825" t="s">
        <v>227</v>
      </c>
      <c r="L15" s="2827" t="s">
        <v>287</v>
      </c>
      <c r="M15" s="2827"/>
      <c r="N15" s="2827"/>
      <c r="O15" s="2827"/>
      <c r="P15" s="2827"/>
      <c r="Q15" s="2827"/>
      <c r="R15" s="2828"/>
    </row>
    <row r="16" spans="2:18" ht="11.25" customHeight="1" x14ac:dyDescent="0.2">
      <c r="B16" s="2838"/>
      <c r="C16" s="2839"/>
      <c r="D16" s="2839"/>
      <c r="E16" s="2839"/>
      <c r="F16" s="2840"/>
      <c r="G16" s="1276">
        <f>'1. T1 INVESTMENT PLAN'!E16</f>
        <v>2027</v>
      </c>
      <c r="H16" s="1276">
        <f>'1. T1 INVESTMENT PLAN'!F16</f>
        <v>2028</v>
      </c>
      <c r="I16" s="1276">
        <f>'1. T1 INVESTMENT PLAN'!G16</f>
        <v>2029</v>
      </c>
      <c r="J16" s="1276">
        <f>'1. T1 INVESTMENT PLAN'!H16</f>
        <v>2030</v>
      </c>
      <c r="K16" s="2826"/>
      <c r="L16" s="2829"/>
      <c r="M16" s="2829"/>
      <c r="N16" s="2829"/>
      <c r="O16" s="2829"/>
      <c r="P16" s="2829"/>
      <c r="Q16" s="2829"/>
      <c r="R16" s="2830"/>
    </row>
    <row r="17" spans="2:22" ht="12" customHeight="1" x14ac:dyDescent="0.2">
      <c r="B17" s="673" t="s">
        <v>2</v>
      </c>
      <c r="C17" s="2328" t="s">
        <v>33</v>
      </c>
      <c r="D17" s="2328"/>
      <c r="E17" s="2328"/>
      <c r="F17" s="2841"/>
      <c r="G17" s="676">
        <f>'1. T1 INVESTMENT PLAN'!E17/1000</f>
        <v>0</v>
      </c>
      <c r="H17" s="676">
        <f>'1. T1 INVESTMENT PLAN'!F17/1000</f>
        <v>0</v>
      </c>
      <c r="I17" s="676">
        <f>'1. T1 INVESTMENT PLAN'!G17/1000</f>
        <v>0</v>
      </c>
      <c r="J17" s="676">
        <f>'1. T1 INVESTMENT PLAN'!H17/1000</f>
        <v>0</v>
      </c>
      <c r="K17" s="676">
        <f>'1. T1 INVESTMENT PLAN'!I17/1000</f>
        <v>0</v>
      </c>
      <c r="L17" s="556"/>
      <c r="M17" s="1266"/>
      <c r="N17" s="1266"/>
      <c r="O17" s="1266"/>
      <c r="P17" s="1266"/>
      <c r="Q17" s="1266"/>
      <c r="R17" s="557"/>
    </row>
    <row r="18" spans="2:22" ht="12" customHeight="1" x14ac:dyDescent="0.2">
      <c r="B18" s="673"/>
      <c r="C18" s="2842" t="s">
        <v>93</v>
      </c>
      <c r="D18" s="2842"/>
      <c r="E18" s="2842"/>
      <c r="F18" s="2843"/>
      <c r="G18" s="647">
        <f>'1. T1 INVESTMENT PLAN'!E19</f>
        <v>0</v>
      </c>
      <c r="H18" s="647">
        <f>'1. T1 INVESTMENT PLAN'!F19</f>
        <v>0</v>
      </c>
      <c r="I18" s="647">
        <f>'1. T1 INVESTMENT PLAN'!G19</f>
        <v>0</v>
      </c>
      <c r="J18" s="647">
        <f>'1. T1 INVESTMENT PLAN'!H19</f>
        <v>0</v>
      </c>
      <c r="K18" s="692"/>
      <c r="L18" s="556"/>
      <c r="M18" s="1266"/>
      <c r="N18" s="1266"/>
      <c r="O18" s="1266"/>
      <c r="P18" s="1266"/>
      <c r="Q18" s="1266"/>
      <c r="R18" s="557"/>
    </row>
    <row r="19" spans="2:22" ht="12" customHeight="1" x14ac:dyDescent="0.2">
      <c r="B19" s="673" t="s">
        <v>3</v>
      </c>
      <c r="C19" s="2864" t="s">
        <v>326</v>
      </c>
      <c r="D19" s="2864"/>
      <c r="E19" s="2864"/>
      <c r="F19" s="2865"/>
      <c r="G19" s="817">
        <f>'1. T1 INVESTMENT PLAN'!E20/1000</f>
        <v>0</v>
      </c>
      <c r="H19" s="817">
        <f>'1. T1 INVESTMENT PLAN'!F20/1000</f>
        <v>0</v>
      </c>
      <c r="I19" s="817">
        <f>'1. T1 INVESTMENT PLAN'!G20/1000</f>
        <v>0</v>
      </c>
      <c r="J19" s="817">
        <f>'1. T1 INVESTMENT PLAN'!H20/1000</f>
        <v>0</v>
      </c>
      <c r="K19" s="817">
        <f>'1. T1 INVESTMENT PLAN'!I20/1000</f>
        <v>0</v>
      </c>
      <c r="L19" s="556">
        <f>'1. T1 INVESTMENT PLAN'!K20</f>
        <v>0</v>
      </c>
      <c r="M19" s="1266"/>
      <c r="N19" s="1266"/>
      <c r="O19" s="1266"/>
      <c r="P19" s="1266"/>
      <c r="Q19" s="1266"/>
      <c r="R19" s="557"/>
    </row>
    <row r="20" spans="2:22" ht="12" customHeight="1" x14ac:dyDescent="0.2">
      <c r="B20" s="673"/>
      <c r="C20" s="2866" t="s">
        <v>93</v>
      </c>
      <c r="D20" s="2866"/>
      <c r="E20" s="2866"/>
      <c r="F20" s="2867"/>
      <c r="G20" s="647">
        <f>'1. T1 INVESTMENT PLAN'!E23</f>
        <v>0</v>
      </c>
      <c r="H20" s="647">
        <f>'1. T1 INVESTMENT PLAN'!F23</f>
        <v>0</v>
      </c>
      <c r="I20" s="647">
        <f>'1. T1 INVESTMENT PLAN'!G23</f>
        <v>0</v>
      </c>
      <c r="J20" s="647">
        <f>'1. T1 INVESTMENT PLAN'!H23</f>
        <v>0</v>
      </c>
      <c r="K20" s="692"/>
      <c r="L20" s="556"/>
      <c r="M20" s="1266"/>
      <c r="N20" s="1266"/>
      <c r="O20" s="1266"/>
      <c r="P20" s="1266"/>
      <c r="Q20" s="1266"/>
      <c r="R20" s="557"/>
    </row>
    <row r="21" spans="2:22" ht="12" customHeight="1" x14ac:dyDescent="0.2">
      <c r="B21" s="673" t="s">
        <v>4</v>
      </c>
      <c r="C21" s="2864" t="s">
        <v>275</v>
      </c>
      <c r="D21" s="2864"/>
      <c r="E21" s="2864"/>
      <c r="F21" s="2865"/>
      <c r="G21" s="817">
        <f>'1. T1 INVESTMENT PLAN'!E24/1000</f>
        <v>0</v>
      </c>
      <c r="H21" s="817">
        <f>'1. T1 INVESTMENT PLAN'!F24/1000</f>
        <v>0</v>
      </c>
      <c r="I21" s="817">
        <f>'1. T1 INVESTMENT PLAN'!G24/1000</f>
        <v>0</v>
      </c>
      <c r="J21" s="817">
        <f>'1. T1 INVESTMENT PLAN'!H24/1000</f>
        <v>0</v>
      </c>
      <c r="K21" s="817">
        <f>'1. T1 INVESTMENT PLAN'!I24/1000</f>
        <v>0</v>
      </c>
      <c r="L21" s="556">
        <f>'1. T1 INVESTMENT PLAN'!K24</f>
        <v>0</v>
      </c>
      <c r="M21" s="1266"/>
      <c r="N21" s="1266"/>
      <c r="O21" s="1266"/>
      <c r="P21" s="1266"/>
      <c r="Q21" s="1266"/>
      <c r="R21" s="557"/>
    </row>
    <row r="22" spans="2:22" ht="12" customHeight="1" x14ac:dyDescent="0.2">
      <c r="B22" s="673"/>
      <c r="C22" s="2866" t="s">
        <v>93</v>
      </c>
      <c r="D22" s="2866"/>
      <c r="E22" s="2866"/>
      <c r="F22" s="2867"/>
      <c r="G22" s="647">
        <f>'1. T1 INVESTMENT PLAN'!E26</f>
        <v>0</v>
      </c>
      <c r="H22" s="647">
        <f>'1. T1 INVESTMENT PLAN'!F26</f>
        <v>0</v>
      </c>
      <c r="I22" s="647">
        <f>'1. T1 INVESTMENT PLAN'!G26</f>
        <v>0</v>
      </c>
      <c r="J22" s="647">
        <f>'1. T1 INVESTMENT PLAN'!H26</f>
        <v>0</v>
      </c>
      <c r="K22" s="692"/>
      <c r="L22" s="556"/>
      <c r="M22" s="1266"/>
      <c r="N22" s="1266"/>
      <c r="O22" s="1266"/>
      <c r="P22" s="1266"/>
      <c r="Q22" s="1266"/>
      <c r="R22" s="557"/>
    </row>
    <row r="23" spans="2:22" ht="12" customHeight="1" x14ac:dyDescent="0.2">
      <c r="B23" s="673" t="s">
        <v>5</v>
      </c>
      <c r="C23" s="2864" t="s">
        <v>327</v>
      </c>
      <c r="D23" s="2864"/>
      <c r="E23" s="2864"/>
      <c r="F23" s="2865"/>
      <c r="G23" s="817">
        <f>'1. T1 INVESTMENT PLAN'!E27/1000</f>
        <v>0</v>
      </c>
      <c r="H23" s="817">
        <f>'1. T1 INVESTMENT PLAN'!F27/1000</f>
        <v>0</v>
      </c>
      <c r="I23" s="817">
        <f>'1. T1 INVESTMENT PLAN'!G27/1000</f>
        <v>0</v>
      </c>
      <c r="J23" s="817">
        <f>'1. T1 INVESTMENT PLAN'!H27/1000</f>
        <v>0</v>
      </c>
      <c r="K23" s="817">
        <f>'1. T1 INVESTMENT PLAN'!I27/1000</f>
        <v>0</v>
      </c>
      <c r="L23" s="556">
        <f>'1. T1 INVESTMENT PLAN'!K27</f>
        <v>0</v>
      </c>
      <c r="M23" s="1266"/>
      <c r="N23" s="1266"/>
      <c r="O23" s="1266"/>
      <c r="P23" s="1266"/>
      <c r="Q23" s="1266"/>
      <c r="R23" s="557"/>
    </row>
    <row r="24" spans="2:22" ht="12" customHeight="1" x14ac:dyDescent="0.2">
      <c r="B24" s="673"/>
      <c r="C24" s="2866" t="s">
        <v>93</v>
      </c>
      <c r="D24" s="2866"/>
      <c r="E24" s="2866"/>
      <c r="F24" s="2867"/>
      <c r="G24" s="647">
        <f>'1. T1 INVESTMENT PLAN'!E29</f>
        <v>0</v>
      </c>
      <c r="H24" s="647">
        <f>'1. T1 INVESTMENT PLAN'!F29</f>
        <v>0</v>
      </c>
      <c r="I24" s="647">
        <f>'1. T1 INVESTMENT PLAN'!G29</f>
        <v>0</v>
      </c>
      <c r="J24" s="647">
        <f>'1. T1 INVESTMENT PLAN'!H29</f>
        <v>0</v>
      </c>
      <c r="K24" s="692"/>
      <c r="L24" s="556"/>
      <c r="M24" s="1266"/>
      <c r="N24" s="1266"/>
      <c r="O24" s="1266"/>
      <c r="P24" s="1266"/>
      <c r="Q24" s="1266"/>
      <c r="R24" s="557"/>
    </row>
    <row r="25" spans="2:22" ht="12" customHeight="1" x14ac:dyDescent="0.2">
      <c r="B25" s="673" t="s">
        <v>6</v>
      </c>
      <c r="C25" s="2864" t="s">
        <v>276</v>
      </c>
      <c r="D25" s="2864"/>
      <c r="E25" s="2864"/>
      <c r="F25" s="2865"/>
      <c r="G25" s="817">
        <f>'1. T1 INVESTMENT PLAN'!E30/1000</f>
        <v>0</v>
      </c>
      <c r="H25" s="817">
        <f>'1. T1 INVESTMENT PLAN'!F30/1000</f>
        <v>0</v>
      </c>
      <c r="I25" s="817">
        <f>'1. T1 INVESTMENT PLAN'!G30/1000</f>
        <v>0</v>
      </c>
      <c r="J25" s="817">
        <f>'1. T1 INVESTMENT PLAN'!H30/1000</f>
        <v>0</v>
      </c>
      <c r="K25" s="817">
        <f>'1. T1 INVESTMENT PLAN'!I30/1000</f>
        <v>0</v>
      </c>
      <c r="L25" s="556">
        <f>'1. T1 INVESTMENT PLAN'!K30</f>
        <v>0</v>
      </c>
      <c r="M25" s="1266"/>
      <c r="N25" s="1266"/>
      <c r="O25" s="1266"/>
      <c r="P25" s="1266"/>
      <c r="Q25" s="1266"/>
      <c r="R25" s="557"/>
    </row>
    <row r="26" spans="2:22" ht="12" customHeight="1" x14ac:dyDescent="0.2">
      <c r="B26" s="673"/>
      <c r="C26" s="1340" t="str">
        <f>'1. T1 INVESTMENT PLAN'!C31</f>
        <v xml:space="preserve"> • grant %</v>
      </c>
      <c r="D26" s="1338"/>
      <c r="E26" s="1338"/>
      <c r="F26" s="1339"/>
      <c r="G26" s="647">
        <f>'1. T1 INVESTMENT PLAN'!E31</f>
        <v>0</v>
      </c>
      <c r="H26" s="647">
        <f>'1. T1 INVESTMENT PLAN'!F31</f>
        <v>0</v>
      </c>
      <c r="I26" s="647">
        <f>'1. T1 INVESTMENT PLAN'!G31</f>
        <v>0</v>
      </c>
      <c r="J26" s="647">
        <f>'1. T1 INVESTMENT PLAN'!H31</f>
        <v>0</v>
      </c>
      <c r="K26" s="742"/>
      <c r="L26" s="556"/>
      <c r="M26" s="1266"/>
      <c r="N26" s="1266"/>
      <c r="O26" s="1266"/>
      <c r="P26" s="1266"/>
      <c r="Q26" s="1266"/>
      <c r="R26" s="557"/>
    </row>
    <row r="27" spans="2:22" ht="12" customHeight="1" x14ac:dyDescent="0.2">
      <c r="B27" s="673" t="s">
        <v>7</v>
      </c>
      <c r="C27" s="2864" t="s">
        <v>137</v>
      </c>
      <c r="D27" s="2864"/>
      <c r="E27" s="2864"/>
      <c r="F27" s="2865"/>
      <c r="G27" s="817">
        <f>'1. T1 INVESTMENT PLAN'!E32/1000</f>
        <v>0</v>
      </c>
      <c r="H27" s="817">
        <f>'1. T1 INVESTMENT PLAN'!F32/1000</f>
        <v>0</v>
      </c>
      <c r="I27" s="817">
        <f>'1. T1 INVESTMENT PLAN'!G32/1000</f>
        <v>0</v>
      </c>
      <c r="J27" s="817">
        <f>'1. T1 INVESTMENT PLAN'!H32/1000</f>
        <v>0</v>
      </c>
      <c r="K27" s="817">
        <f>'1. T1 INVESTMENT PLAN'!I32/1000</f>
        <v>0</v>
      </c>
      <c r="L27" s="556">
        <f>'1. T1 INVESTMENT PLAN'!K32</f>
        <v>0</v>
      </c>
      <c r="M27" s="1266"/>
      <c r="N27" s="1266"/>
      <c r="O27" s="1266"/>
      <c r="P27" s="1266"/>
      <c r="Q27" s="1266"/>
      <c r="R27" s="557"/>
    </row>
    <row r="28" spans="2:22" ht="12" customHeight="1" x14ac:dyDescent="0.2">
      <c r="B28" s="673"/>
      <c r="C28" s="2866" t="s">
        <v>93</v>
      </c>
      <c r="D28" s="2866"/>
      <c r="E28" s="2866"/>
      <c r="F28" s="2867"/>
      <c r="G28" s="647">
        <f>'1. T1 INVESTMENT PLAN'!E34</f>
        <v>0</v>
      </c>
      <c r="H28" s="647">
        <f>'1. T1 INVESTMENT PLAN'!F34</f>
        <v>0</v>
      </c>
      <c r="I28" s="647">
        <f>'1. T1 INVESTMENT PLAN'!G34</f>
        <v>0</v>
      </c>
      <c r="J28" s="647">
        <f>'1. T1 INVESTMENT PLAN'!H34</f>
        <v>0</v>
      </c>
      <c r="K28" s="692"/>
      <c r="L28" s="556"/>
      <c r="M28" s="1266"/>
      <c r="N28" s="1266"/>
      <c r="O28" s="1266"/>
      <c r="P28" s="1266"/>
      <c r="Q28" s="1266"/>
      <c r="R28" s="557"/>
    </row>
    <row r="29" spans="2:22" ht="12" customHeight="1" x14ac:dyDescent="0.2">
      <c r="B29" s="673" t="s">
        <v>8</v>
      </c>
      <c r="C29" s="2864" t="s">
        <v>135</v>
      </c>
      <c r="D29" s="2864"/>
      <c r="E29" s="2864"/>
      <c r="F29" s="2865"/>
      <c r="G29" s="817">
        <f>'1. T1 INVESTMENT PLAN'!E35/1000</f>
        <v>0</v>
      </c>
      <c r="H29" s="817">
        <f>'1. T1 INVESTMENT PLAN'!F35/1000</f>
        <v>0</v>
      </c>
      <c r="I29" s="817">
        <f>'1. T1 INVESTMENT PLAN'!G35/1000</f>
        <v>0</v>
      </c>
      <c r="J29" s="817">
        <f>'1. T1 INVESTMENT PLAN'!H35/1000</f>
        <v>0</v>
      </c>
      <c r="K29" s="817">
        <f>'1. T1 INVESTMENT PLAN'!I35/1000</f>
        <v>0</v>
      </c>
      <c r="L29" s="556">
        <f>'1. T1 INVESTMENT PLAN'!K35</f>
        <v>0</v>
      </c>
      <c r="M29" s="1266"/>
      <c r="N29" s="1266"/>
      <c r="O29" s="1266"/>
      <c r="P29" s="1266"/>
      <c r="Q29" s="1266"/>
      <c r="R29" s="557"/>
    </row>
    <row r="30" spans="2:22" ht="12" customHeight="1" x14ac:dyDescent="0.2">
      <c r="B30" s="673"/>
      <c r="C30" s="2866" t="s">
        <v>93</v>
      </c>
      <c r="D30" s="2866"/>
      <c r="E30" s="2866"/>
      <c r="F30" s="2867"/>
      <c r="G30" s="647">
        <f>'1. T1 INVESTMENT PLAN'!E37</f>
        <v>0</v>
      </c>
      <c r="H30" s="647">
        <f>'1. T1 INVESTMENT PLAN'!F37</f>
        <v>0</v>
      </c>
      <c r="I30" s="647">
        <f>'1. T1 INVESTMENT PLAN'!G37</f>
        <v>0</v>
      </c>
      <c r="J30" s="647">
        <f>'1. T1 INVESTMENT PLAN'!H37</f>
        <v>0</v>
      </c>
      <c r="K30" s="692"/>
      <c r="L30" s="556"/>
      <c r="M30" s="1266"/>
      <c r="N30" s="1266"/>
      <c r="O30" s="1266"/>
      <c r="P30" s="1266"/>
      <c r="Q30" s="1266"/>
      <c r="R30" s="557"/>
    </row>
    <row r="31" spans="2:22" ht="12" customHeight="1" x14ac:dyDescent="0.2">
      <c r="B31" s="673" t="s">
        <v>9</v>
      </c>
      <c r="C31" s="2864" t="s">
        <v>337</v>
      </c>
      <c r="D31" s="2864"/>
      <c r="E31" s="2864"/>
      <c r="F31" s="2865"/>
      <c r="G31" s="817">
        <f>'1. T1 INVESTMENT PLAN'!E38/1000</f>
        <v>0</v>
      </c>
      <c r="H31" s="817">
        <f>'1. T1 INVESTMENT PLAN'!F38/1000</f>
        <v>0</v>
      </c>
      <c r="I31" s="817">
        <f>'1. T1 INVESTMENT PLAN'!G38/1000</f>
        <v>0</v>
      </c>
      <c r="J31" s="817">
        <f>'1. T1 INVESTMENT PLAN'!H38/1000</f>
        <v>0</v>
      </c>
      <c r="K31" s="817">
        <f>'1. T1 INVESTMENT PLAN'!I38/1000</f>
        <v>0</v>
      </c>
      <c r="L31" s="556">
        <f>'1. T1 INVESTMENT PLAN'!K38</f>
        <v>0</v>
      </c>
      <c r="M31" s="1266"/>
      <c r="N31" s="1266"/>
      <c r="O31" s="1266"/>
      <c r="P31" s="1266"/>
      <c r="Q31" s="1266"/>
      <c r="R31" s="557"/>
    </row>
    <row r="32" spans="2:22" ht="12" customHeight="1" x14ac:dyDescent="0.2">
      <c r="B32" s="673" t="s">
        <v>10</v>
      </c>
      <c r="C32" s="2876" t="s">
        <v>35</v>
      </c>
      <c r="D32" s="2876"/>
      <c r="E32" s="2876"/>
      <c r="F32" s="2877"/>
      <c r="G32" s="817">
        <f>'1. T1 INVESTMENT PLAN'!E39/1000</f>
        <v>0</v>
      </c>
      <c r="H32" s="817">
        <f>'1. T1 INVESTMENT PLAN'!F39/1000</f>
        <v>0</v>
      </c>
      <c r="I32" s="817">
        <f>'1. T1 INVESTMENT PLAN'!G39/1000</f>
        <v>0</v>
      </c>
      <c r="J32" s="817">
        <f>'1. T1 INVESTMENT PLAN'!H39/1000</f>
        <v>0</v>
      </c>
      <c r="K32" s="817">
        <f>'1. T1 INVESTMENT PLAN'!I39/1000</f>
        <v>0</v>
      </c>
      <c r="L32" s="556">
        <f>'1. T1 INVESTMENT PLAN'!K40</f>
        <v>0</v>
      </c>
      <c r="M32" s="1266"/>
      <c r="N32" s="1266"/>
      <c r="O32" s="1266"/>
      <c r="P32" s="1266"/>
      <c r="Q32" s="1266"/>
      <c r="R32" s="557"/>
      <c r="V32" s="519" t="s">
        <v>0</v>
      </c>
    </row>
    <row r="33" spans="2:22" ht="12" customHeight="1" x14ac:dyDescent="0.2">
      <c r="B33" s="673" t="s">
        <v>11</v>
      </c>
      <c r="C33" s="2864" t="s">
        <v>347</v>
      </c>
      <c r="D33" s="2864"/>
      <c r="E33" s="2864"/>
      <c r="F33" s="2865"/>
      <c r="G33" s="817">
        <f>'1. T1 INVESTMENT PLAN'!E40/1000</f>
        <v>0</v>
      </c>
      <c r="H33" s="742">
        <f>'1. T1 INVESTMENT PLAN'!F40/1000</f>
        <v>0</v>
      </c>
      <c r="I33" s="742">
        <f>'1. T1 INVESTMENT PLAN'!G40/1000</f>
        <v>0</v>
      </c>
      <c r="J33" s="742">
        <f>'1. T1 INVESTMENT PLAN'!H40/1000</f>
        <v>0</v>
      </c>
      <c r="K33" s="817">
        <f>'1. T1 INVESTMENT PLAN'!I41/1000</f>
        <v>0</v>
      </c>
      <c r="L33" s="556"/>
      <c r="M33" s="1266"/>
      <c r="N33" s="1266"/>
      <c r="O33" s="1266"/>
      <c r="P33" s="1266"/>
      <c r="Q33" s="1266"/>
      <c r="R33" s="557"/>
      <c r="V33" s="519"/>
    </row>
    <row r="34" spans="2:22" ht="15" customHeight="1" x14ac:dyDescent="0.2">
      <c r="B34" s="659" t="s">
        <v>74</v>
      </c>
      <c r="C34" s="2540" t="s">
        <v>36</v>
      </c>
      <c r="D34" s="2540"/>
      <c r="E34" s="2540"/>
      <c r="F34" s="2878"/>
      <c r="G34" s="1277">
        <f>'1. T1 INVESTMENT PLAN'!E42/1000</f>
        <v>0</v>
      </c>
      <c r="H34" s="1277">
        <f>'1. T1 INVESTMENT PLAN'!F42/1000</f>
        <v>0</v>
      </c>
      <c r="I34" s="1277">
        <f>'1. T1 INVESTMENT PLAN'!G42/1000</f>
        <v>0</v>
      </c>
      <c r="J34" s="1277">
        <f>'1. T1 INVESTMENT PLAN'!H42/1000</f>
        <v>0</v>
      </c>
      <c r="K34" s="1277">
        <f>'1. T1 INVESTMENT PLAN'!I42/1000</f>
        <v>0</v>
      </c>
      <c r="L34" s="556">
        <f>'1. T1 INVESTMENT PLAN'!K42</f>
        <v>0</v>
      </c>
      <c r="M34" s="1266"/>
      <c r="N34" s="1266"/>
      <c r="O34" s="1266"/>
      <c r="P34" s="1266"/>
      <c r="Q34" s="1266"/>
      <c r="R34" s="557"/>
    </row>
    <row r="35" spans="2:22" ht="11.25" customHeight="1" x14ac:dyDescent="0.2">
      <c r="B35" s="2831" t="s">
        <v>320</v>
      </c>
      <c r="C35" s="2832"/>
      <c r="D35" s="1280"/>
      <c r="E35" s="1280"/>
      <c r="F35" s="1280"/>
      <c r="G35" s="1281" t="s">
        <v>223</v>
      </c>
      <c r="H35" s="1281" t="s">
        <v>224</v>
      </c>
      <c r="I35" s="1281" t="s">
        <v>225</v>
      </c>
      <c r="J35" s="1281" t="s">
        <v>226</v>
      </c>
      <c r="K35" s="2868" t="s">
        <v>227</v>
      </c>
      <c r="L35" s="2870" t="s">
        <v>462</v>
      </c>
      <c r="M35" s="2870"/>
      <c r="N35" s="2870"/>
      <c r="O35" s="2870"/>
      <c r="P35" s="2870"/>
      <c r="Q35" s="2870"/>
      <c r="R35" s="2871"/>
    </row>
    <row r="36" spans="2:22" ht="11.25" customHeight="1" x14ac:dyDescent="0.2">
      <c r="B36" s="2833"/>
      <c r="C36" s="2834"/>
      <c r="D36" s="1282"/>
      <c r="E36" s="1282"/>
      <c r="F36" s="1282"/>
      <c r="G36" s="1283">
        <f>G16</f>
        <v>2027</v>
      </c>
      <c r="H36" s="1283">
        <f>H16</f>
        <v>2028</v>
      </c>
      <c r="I36" s="1283">
        <f>I16</f>
        <v>2029</v>
      </c>
      <c r="J36" s="1284">
        <f>J16</f>
        <v>2030</v>
      </c>
      <c r="K36" s="2869"/>
      <c r="L36" s="2872"/>
      <c r="M36" s="2872"/>
      <c r="N36" s="2872"/>
      <c r="O36" s="2872"/>
      <c r="P36" s="2872"/>
      <c r="Q36" s="2872"/>
      <c r="R36" s="2873"/>
    </row>
    <row r="37" spans="2:22" ht="12" customHeight="1" x14ac:dyDescent="0.2">
      <c r="B37" s="2818" t="s">
        <v>82</v>
      </c>
      <c r="C37" s="2540"/>
      <c r="D37" s="645"/>
      <c r="E37" s="645"/>
      <c r="F37" s="1158"/>
      <c r="G37" s="1278"/>
      <c r="H37" s="1278"/>
      <c r="I37" s="1278"/>
      <c r="J37" s="1278"/>
      <c r="K37" s="1279" t="s">
        <v>0</v>
      </c>
      <c r="L37" s="436"/>
      <c r="M37" s="1267"/>
      <c r="N37" s="1267"/>
      <c r="O37" s="1267"/>
      <c r="P37" s="1267"/>
      <c r="Q37" s="1267"/>
      <c r="R37" s="511"/>
    </row>
    <row r="38" spans="2:22" ht="12" customHeight="1" x14ac:dyDescent="0.2">
      <c r="B38" s="673" t="s">
        <v>75</v>
      </c>
      <c r="C38" s="744" t="s">
        <v>37</v>
      </c>
      <c r="D38" s="744"/>
      <c r="E38" s="744"/>
      <c r="F38" s="745"/>
      <c r="G38" s="675"/>
      <c r="H38" s="675"/>
      <c r="I38" s="675"/>
      <c r="J38" s="675"/>
      <c r="K38" s="676"/>
      <c r="L38" s="436" t="s">
        <v>463</v>
      </c>
      <c r="M38" s="1267"/>
      <c r="N38" s="1267"/>
      <c r="O38" s="1267"/>
      <c r="P38" s="1267"/>
      <c r="Q38" s="1267"/>
      <c r="R38" s="511"/>
    </row>
    <row r="39" spans="2:22" ht="12" customHeight="1" x14ac:dyDescent="0.2">
      <c r="B39" s="673"/>
      <c r="C39" s="657" t="s">
        <v>228</v>
      </c>
      <c r="D39" s="657"/>
      <c r="E39" s="657"/>
      <c r="F39" s="677"/>
      <c r="G39" s="817">
        <f>'1. T1 INVESTMENT PLAN'!E48/1000</f>
        <v>0</v>
      </c>
      <c r="H39" s="817">
        <f>'1. T1 INVESTMENT PLAN'!F48/1000</f>
        <v>0</v>
      </c>
      <c r="I39" s="817">
        <f>'1. T1 INVESTMENT PLAN'!G48/1000</f>
        <v>0</v>
      </c>
      <c r="J39" s="817">
        <f>'1. T1 INVESTMENT PLAN'!H48/1000</f>
        <v>0</v>
      </c>
      <c r="K39" s="817">
        <f>'1. T1 INVESTMENT PLAN'!I48/1000</f>
        <v>0</v>
      </c>
      <c r="L39" s="436"/>
      <c r="M39" s="1267"/>
      <c r="N39" s="1267"/>
      <c r="O39" s="1267"/>
      <c r="P39" s="1267"/>
      <c r="Q39" s="1267"/>
      <c r="R39" s="511"/>
    </row>
    <row r="40" spans="2:22" ht="12" customHeight="1" x14ac:dyDescent="0.2">
      <c r="B40" s="673"/>
      <c r="C40" s="657" t="s">
        <v>222</v>
      </c>
      <c r="D40" s="657"/>
      <c r="E40" s="657"/>
      <c r="F40" s="677"/>
      <c r="G40" s="817">
        <f>'1. T1 INVESTMENT PLAN'!E49/1000</f>
        <v>0</v>
      </c>
      <c r="H40" s="817">
        <f>'1. T1 INVESTMENT PLAN'!F49/1000</f>
        <v>0</v>
      </c>
      <c r="I40" s="817">
        <f>'1. T1 INVESTMENT PLAN'!G49/1000</f>
        <v>0</v>
      </c>
      <c r="J40" s="817">
        <f>'1. T1 INVESTMENT PLAN'!H49/1000</f>
        <v>0</v>
      </c>
      <c r="K40" s="817">
        <f>'1. T1 INVESTMENT PLAN'!I49/1000</f>
        <v>0</v>
      </c>
      <c r="L40" s="436"/>
      <c r="M40" s="1267"/>
      <c r="N40" s="1267"/>
      <c r="O40" s="1267"/>
      <c r="P40" s="1267"/>
      <c r="Q40" s="1267"/>
      <c r="R40" s="511"/>
    </row>
    <row r="41" spans="2:22" ht="12" customHeight="1" x14ac:dyDescent="0.2">
      <c r="B41" s="673" t="s">
        <v>236</v>
      </c>
      <c r="C41" s="655" t="s">
        <v>34</v>
      </c>
      <c r="D41" s="655"/>
      <c r="E41" s="655"/>
      <c r="F41" s="674"/>
      <c r="G41" s="817">
        <f>'1. T1 INVESTMENT PLAN'!E50/1000</f>
        <v>0</v>
      </c>
      <c r="H41" s="817">
        <f>'1. T1 INVESTMENT PLAN'!F50/1000</f>
        <v>0</v>
      </c>
      <c r="I41" s="817">
        <f>'1. T1 INVESTMENT PLAN'!G50/1000</f>
        <v>0</v>
      </c>
      <c r="J41" s="817">
        <f>'1. T1 INVESTMENT PLAN'!H50/1000</f>
        <v>0</v>
      </c>
      <c r="K41" s="817">
        <f>'1. T1 INVESTMENT PLAN'!I50/1000</f>
        <v>0</v>
      </c>
      <c r="L41" s="436"/>
      <c r="M41" s="1267"/>
      <c r="N41" s="1267"/>
      <c r="O41" s="1267"/>
      <c r="P41" s="1267"/>
      <c r="Q41" s="1267"/>
      <c r="R41" s="511"/>
    </row>
    <row r="42" spans="2:22" ht="12" customHeight="1" x14ac:dyDescent="0.2">
      <c r="B42" s="673" t="s">
        <v>76</v>
      </c>
      <c r="C42" s="655" t="s">
        <v>197</v>
      </c>
      <c r="D42" s="655"/>
      <c r="E42" s="655"/>
      <c r="F42" s="674"/>
      <c r="G42" s="817">
        <f>'1. T1 INVESTMENT PLAN'!E51/1000</f>
        <v>0</v>
      </c>
      <c r="H42" s="817">
        <f>'1. T1 INVESTMENT PLAN'!F51/1000</f>
        <v>0</v>
      </c>
      <c r="I42" s="817">
        <f>'1. T1 INVESTMENT PLAN'!G51/1000</f>
        <v>0</v>
      </c>
      <c r="J42" s="817">
        <f>'1. T1 INVESTMENT PLAN'!H51/1000</f>
        <v>0</v>
      </c>
      <c r="K42" s="817">
        <f>'1. T1 INVESTMENT PLAN'!I51/1000</f>
        <v>0</v>
      </c>
      <c r="L42" s="436"/>
      <c r="M42" s="1267"/>
      <c r="N42" s="1267"/>
      <c r="O42" s="1267"/>
      <c r="P42" s="1267"/>
      <c r="Q42" s="1267"/>
      <c r="R42" s="511"/>
    </row>
    <row r="43" spans="2:22" ht="12" customHeight="1" x14ac:dyDescent="0.2">
      <c r="B43" s="673" t="s">
        <v>77</v>
      </c>
      <c r="C43" s="657" t="s">
        <v>38</v>
      </c>
      <c r="D43" s="657"/>
      <c r="E43" s="657"/>
      <c r="F43" s="677"/>
      <c r="G43" s="817">
        <f>'1. T1 INVESTMENT PLAN'!E52/1000</f>
        <v>0</v>
      </c>
      <c r="H43" s="817">
        <f>'1. T1 INVESTMENT PLAN'!F52/1000</f>
        <v>0</v>
      </c>
      <c r="I43" s="817">
        <f>'1. T1 INVESTMENT PLAN'!G52/1000</f>
        <v>0</v>
      </c>
      <c r="J43" s="817">
        <f>'1. T1 INVESTMENT PLAN'!H52/1000</f>
        <v>0</v>
      </c>
      <c r="K43" s="678">
        <f>'1. T1 INVESTMENT PLAN'!I52/1000</f>
        <v>0</v>
      </c>
      <c r="L43" s="435"/>
      <c r="M43" s="1267"/>
      <c r="N43" s="1267"/>
      <c r="O43" s="1267"/>
      <c r="P43" s="1267"/>
      <c r="Q43" s="1267"/>
      <c r="R43" s="511"/>
    </row>
    <row r="44" spans="2:22" ht="12" customHeight="1" x14ac:dyDescent="0.2">
      <c r="B44" s="2819" t="s">
        <v>39</v>
      </c>
      <c r="C44" s="2542"/>
      <c r="D44" s="1159"/>
      <c r="E44" s="1159"/>
      <c r="F44" s="748"/>
      <c r="G44" s="742"/>
      <c r="H44" s="742"/>
      <c r="I44" s="742"/>
      <c r="J44" s="742"/>
      <c r="K44" s="743"/>
      <c r="L44" s="2874"/>
      <c r="M44" s="2875"/>
      <c r="N44" s="1689"/>
      <c r="O44" s="2543"/>
      <c r="P44" s="2543"/>
      <c r="Q44" s="1267"/>
      <c r="R44" s="511"/>
    </row>
    <row r="45" spans="2:22" ht="12" customHeight="1" x14ac:dyDescent="0.2">
      <c r="B45" s="673" t="s">
        <v>78</v>
      </c>
      <c r="C45" s="746" t="str">
        <f>'1. T1 INVESTMENT PLAN'!C55</f>
        <v>Bank, Finnvera, hire purchase financing etc.</v>
      </c>
      <c r="D45" s="746"/>
      <c r="E45" s="746"/>
      <c r="F45" s="747"/>
      <c r="G45" s="817">
        <f>'1. T1 INVESTMENT PLAN'!E55/1000</f>
        <v>0</v>
      </c>
      <c r="H45" s="817">
        <f>'1. T1 INVESTMENT PLAN'!F55/1000</f>
        <v>0</v>
      </c>
      <c r="I45" s="817">
        <f>'1. T1 INVESTMENT PLAN'!G55/1000</f>
        <v>0</v>
      </c>
      <c r="J45" s="817">
        <f>'1. T1 INVESTMENT PLAN'!H55/1000</f>
        <v>0</v>
      </c>
      <c r="K45" s="678">
        <f>'1. T1 INVESTMENT PLAN'!I55/1000</f>
        <v>0</v>
      </c>
      <c r="L45" s="2844"/>
      <c r="M45" s="2845"/>
      <c r="N45" s="1844"/>
      <c r="O45" s="2544"/>
      <c r="P45" s="2544"/>
      <c r="Q45" s="1267"/>
      <c r="R45" s="511"/>
    </row>
    <row r="46" spans="2:22" ht="12" customHeight="1" x14ac:dyDescent="0.2">
      <c r="B46" s="673" t="s">
        <v>79</v>
      </c>
      <c r="C46" s="657">
        <f>'1. T1 INVESTMENT PLAN'!C56</f>
        <v>0</v>
      </c>
      <c r="D46" s="657"/>
      <c r="E46" s="657"/>
      <c r="F46" s="677"/>
      <c r="G46" s="817">
        <f>'1. T1 INVESTMENT PLAN'!E56/1000</f>
        <v>0</v>
      </c>
      <c r="H46" s="817">
        <f>'1. T1 INVESTMENT PLAN'!F56/1000</f>
        <v>0</v>
      </c>
      <c r="I46" s="817">
        <f>'1. T1 INVESTMENT PLAN'!G56/1000</f>
        <v>0</v>
      </c>
      <c r="J46" s="817">
        <f>'1. T1 INVESTMENT PLAN'!H56/1000</f>
        <v>0</v>
      </c>
      <c r="K46" s="678">
        <f>'1. T1 INVESTMENT PLAN'!I56/1000</f>
        <v>0</v>
      </c>
      <c r="L46" s="2844"/>
      <c r="M46" s="2845"/>
      <c r="N46" s="1844"/>
      <c r="O46" s="2544"/>
      <c r="P46" s="2544"/>
      <c r="Q46" s="1267"/>
      <c r="R46" s="511"/>
    </row>
    <row r="47" spans="2:22" ht="12" customHeight="1" x14ac:dyDescent="0.2">
      <c r="B47" s="673" t="s">
        <v>80</v>
      </c>
      <c r="C47" s="657">
        <f>'1. T1 INVESTMENT PLAN'!C57</f>
        <v>0</v>
      </c>
      <c r="D47" s="657"/>
      <c r="E47" s="657"/>
      <c r="F47" s="677"/>
      <c r="G47" s="817">
        <f>'1. T1 INVESTMENT PLAN'!E57/1000</f>
        <v>0</v>
      </c>
      <c r="H47" s="817">
        <f>'1. T1 INVESTMENT PLAN'!F57/1000</f>
        <v>0</v>
      </c>
      <c r="I47" s="817">
        <f>'1. T1 INVESTMENT PLAN'!G57/1000</f>
        <v>0</v>
      </c>
      <c r="J47" s="817">
        <f>'1. T1 INVESTMENT PLAN'!H57/1000</f>
        <v>0</v>
      </c>
      <c r="K47" s="678">
        <f>'1. T1 INVESTMENT PLAN'!I57/1000</f>
        <v>0</v>
      </c>
      <c r="L47" s="2844"/>
      <c r="M47" s="2845"/>
      <c r="N47" s="1844"/>
      <c r="O47" s="2544"/>
      <c r="P47" s="2544"/>
      <c r="Q47" s="1267"/>
      <c r="R47" s="511"/>
    </row>
    <row r="48" spans="2:22" ht="12" hidden="1" customHeight="1" x14ac:dyDescent="0.2">
      <c r="B48" s="673" t="s">
        <v>81</v>
      </c>
      <c r="C48" s="657" t="s">
        <v>277</v>
      </c>
      <c r="D48" s="657"/>
      <c r="E48" s="657"/>
      <c r="F48" s="677"/>
      <c r="G48" s="817">
        <f>'1. T1 INVESTMENT PLAN'!E58/1000</f>
        <v>0</v>
      </c>
      <c r="H48" s="817">
        <f>'1. T1 INVESTMENT PLAN'!F58/1000</f>
        <v>0</v>
      </c>
      <c r="I48" s="817">
        <f>'1. T1 INVESTMENT PLAN'!G58/1000</f>
        <v>0</v>
      </c>
      <c r="J48" s="817">
        <f>'1. T1 INVESTMENT PLAN'!H58/1000</f>
        <v>0</v>
      </c>
      <c r="K48" s="678">
        <f>'1. T1 INVESTMENT PLAN'!I58/1000</f>
        <v>0</v>
      </c>
      <c r="L48" s="2844"/>
      <c r="M48" s="2845"/>
      <c r="N48" s="1844"/>
      <c r="O48" s="2544"/>
      <c r="P48" s="2544"/>
      <c r="Q48" s="1267"/>
      <c r="R48" s="511"/>
    </row>
    <row r="49" spans="1:18" ht="12" hidden="1" customHeight="1" x14ac:dyDescent="0.2">
      <c r="B49" s="673" t="s">
        <v>30</v>
      </c>
      <c r="C49" s="657" t="s">
        <v>278</v>
      </c>
      <c r="D49" s="657"/>
      <c r="E49" s="657"/>
      <c r="F49" s="677"/>
      <c r="G49" s="817">
        <f>'1. T1 INVESTMENT PLAN'!E59/1000</f>
        <v>0</v>
      </c>
      <c r="H49" s="817">
        <f>'1. T1 INVESTMENT PLAN'!F59/1000</f>
        <v>0</v>
      </c>
      <c r="I49" s="817">
        <f>'1. T1 INVESTMENT PLAN'!G59/1000</f>
        <v>0</v>
      </c>
      <c r="J49" s="817">
        <f>'1. T1 INVESTMENT PLAN'!H59/1000</f>
        <v>0</v>
      </c>
      <c r="K49" s="678">
        <f>'1. T1 INVESTMENT PLAN'!I59/1000</f>
        <v>0</v>
      </c>
      <c r="L49" s="435"/>
      <c r="M49" s="1267"/>
      <c r="N49" s="1269"/>
      <c r="O49" s="1270"/>
      <c r="P49" s="1271"/>
      <c r="Q49" s="1267"/>
      <c r="R49" s="511"/>
    </row>
    <row r="50" spans="1:18" ht="12" customHeight="1" x14ac:dyDescent="0.2">
      <c r="B50" s="673" t="s">
        <v>81</v>
      </c>
      <c r="C50" s="655" t="s">
        <v>179</v>
      </c>
      <c r="D50" s="655"/>
      <c r="E50" s="655"/>
      <c r="F50" s="674"/>
      <c r="G50" s="817">
        <f>'1. T1 INVESTMENT PLAN'!E60/1000</f>
        <v>0</v>
      </c>
      <c r="H50" s="817">
        <f>'1. T1 INVESTMENT PLAN'!F60/1000</f>
        <v>0</v>
      </c>
      <c r="I50" s="817">
        <f>'1. T1 INVESTMENT PLAN'!G60/1000</f>
        <v>0</v>
      </c>
      <c r="J50" s="817">
        <f>'1. T1 INVESTMENT PLAN'!H60/1000</f>
        <v>0</v>
      </c>
      <c r="K50" s="678">
        <f>'1. T1 INVESTMENT PLAN'!I60/1000</f>
        <v>0</v>
      </c>
      <c r="L50" s="435"/>
      <c r="M50" s="1267"/>
      <c r="N50" s="1267"/>
      <c r="O50" s="1267"/>
      <c r="P50" s="1267"/>
      <c r="Q50" s="1267"/>
      <c r="R50" s="511"/>
    </row>
    <row r="51" spans="1:18" ht="12" customHeight="1" x14ac:dyDescent="0.2">
      <c r="B51" s="673" t="s">
        <v>30</v>
      </c>
      <c r="C51" s="655" t="s">
        <v>180</v>
      </c>
      <c r="D51" s="655"/>
      <c r="E51" s="655"/>
      <c r="F51" s="674"/>
      <c r="G51" s="817">
        <f>'1. T1 INVESTMENT PLAN'!E61/1000</f>
        <v>0</v>
      </c>
      <c r="H51" s="817">
        <f>'1. T1 INVESTMENT PLAN'!F61/1000</f>
        <v>0</v>
      </c>
      <c r="I51" s="817">
        <f>'1. T1 INVESTMENT PLAN'!G61/1000</f>
        <v>0</v>
      </c>
      <c r="J51" s="817">
        <f>'1. T1 INVESTMENT PLAN'!H61/1000</f>
        <v>0</v>
      </c>
      <c r="K51" s="678">
        <f>'1. T1 INVESTMENT PLAN'!I61/1000</f>
        <v>0</v>
      </c>
      <c r="L51" s="435"/>
      <c r="M51" s="1267"/>
      <c r="N51" s="1267"/>
      <c r="O51" s="1267">
        <v>0</v>
      </c>
      <c r="P51" s="1267"/>
      <c r="Q51" s="1267"/>
      <c r="R51" s="511"/>
    </row>
    <row r="52" spans="1:18" ht="15" customHeight="1" x14ac:dyDescent="0.2">
      <c r="B52" s="672" t="s">
        <v>254</v>
      </c>
      <c r="C52" s="1316" t="s">
        <v>181</v>
      </c>
      <c r="D52" s="650"/>
      <c r="E52" s="650"/>
      <c r="F52" s="650"/>
      <c r="G52" s="1155">
        <f>'1. T1 INVESTMENT PLAN'!E62/1000</f>
        <v>0</v>
      </c>
      <c r="H52" s="1155">
        <f>'1. T1 INVESTMENT PLAN'!F62/1000</f>
        <v>0</v>
      </c>
      <c r="I52" s="1155">
        <f>'1. T1 INVESTMENT PLAN'!G62/1000</f>
        <v>0</v>
      </c>
      <c r="J52" s="1155">
        <f>'1. T1 INVESTMENT PLAN'!H62/1000</f>
        <v>0</v>
      </c>
      <c r="K52" s="1272">
        <f>'1. T1 INVESTMENT PLAN'!I62/1000</f>
        <v>0</v>
      </c>
      <c r="L52" s="1273"/>
      <c r="M52" s="1274"/>
      <c r="N52" s="1274"/>
      <c r="O52" s="1274"/>
      <c r="P52" s="1274"/>
      <c r="Q52" s="1274"/>
      <c r="R52" s="1275"/>
    </row>
    <row r="53" spans="1:18" ht="15" customHeight="1" x14ac:dyDescent="0.2">
      <c r="B53" s="2113" t="s">
        <v>255</v>
      </c>
      <c r="C53" s="2114" t="s">
        <v>47</v>
      </c>
      <c r="D53" s="2115"/>
      <c r="E53" s="2116"/>
      <c r="F53" s="2117"/>
      <c r="G53" s="1805">
        <f>PRINT!K80</f>
        <v>0</v>
      </c>
      <c r="H53" s="1805">
        <f>PRINT!M80</f>
        <v>0</v>
      </c>
      <c r="I53" s="1805">
        <f>PRINT!O80</f>
        <v>0</v>
      </c>
      <c r="J53" s="1805">
        <f>PRINT!Q80</f>
        <v>0</v>
      </c>
      <c r="K53" s="2112">
        <v>0</v>
      </c>
      <c r="L53" s="1812"/>
      <c r="M53" s="1812"/>
      <c r="N53" s="1812"/>
      <c r="O53" s="1812"/>
      <c r="P53" s="1812"/>
      <c r="Q53" s="1812"/>
      <c r="R53" s="1812"/>
    </row>
    <row r="54" spans="1:18" ht="11.45" customHeight="1" x14ac:dyDescent="0.2">
      <c r="B54" s="129"/>
      <c r="C54" s="129"/>
      <c r="D54" s="129"/>
      <c r="E54" s="129"/>
      <c r="F54" s="129"/>
      <c r="G54" s="129"/>
      <c r="H54" s="129"/>
      <c r="I54" s="129"/>
      <c r="J54" s="129"/>
      <c r="K54" s="129"/>
      <c r="L54" s="129"/>
      <c r="M54" s="129"/>
      <c r="N54" s="129"/>
      <c r="O54" s="129"/>
      <c r="P54" s="129"/>
      <c r="Q54" s="129"/>
      <c r="R54" s="129"/>
    </row>
    <row r="55" spans="1:18" ht="11.25" customHeight="1" x14ac:dyDescent="0.2">
      <c r="B55" s="2831" t="s">
        <v>229</v>
      </c>
      <c r="C55" s="2832"/>
      <c r="D55" s="2832"/>
      <c r="E55" s="2832"/>
      <c r="F55" s="1285"/>
      <c r="G55" s="2820"/>
      <c r="H55" s="2820"/>
      <c r="I55" s="2820"/>
      <c r="J55" s="2821"/>
      <c r="K55" s="2822" t="s">
        <v>48</v>
      </c>
      <c r="L55" s="2823"/>
      <c r="M55" s="2822" t="s">
        <v>43</v>
      </c>
      <c r="N55" s="2823"/>
      <c r="O55" s="2822" t="s">
        <v>44</v>
      </c>
      <c r="P55" s="2823"/>
      <c r="Q55" s="2860" t="s">
        <v>146</v>
      </c>
      <c r="R55" s="2823"/>
    </row>
    <row r="56" spans="1:18" ht="11.25" customHeight="1" x14ac:dyDescent="0.2">
      <c r="A56">
        <v>0</v>
      </c>
      <c r="B56" s="2938"/>
      <c r="C56" s="2553"/>
      <c r="D56" s="2553"/>
      <c r="E56" s="2553"/>
      <c r="F56" s="1286"/>
      <c r="G56" s="2554"/>
      <c r="H56" s="2554"/>
      <c r="I56" s="2554"/>
      <c r="J56" s="2861"/>
      <c r="K56" s="2862">
        <f>G36</f>
        <v>2027</v>
      </c>
      <c r="L56" s="2861"/>
      <c r="M56" s="2862">
        <f>H36</f>
        <v>2028</v>
      </c>
      <c r="N56" s="2861"/>
      <c r="O56" s="2862">
        <f>I36</f>
        <v>2029</v>
      </c>
      <c r="P56" s="2861"/>
      <c r="Q56" s="2863">
        <f>J36</f>
        <v>2030</v>
      </c>
      <c r="R56" s="2861"/>
    </row>
    <row r="57" spans="1:18" ht="11.25" customHeight="1" x14ac:dyDescent="0.2">
      <c r="B57" s="2833"/>
      <c r="C57" s="2834"/>
      <c r="D57" s="2834"/>
      <c r="E57" s="2834"/>
      <c r="F57" s="1287"/>
      <c r="G57" s="1288"/>
      <c r="H57" s="1289"/>
      <c r="I57" s="1288"/>
      <c r="J57" s="1489"/>
      <c r="K57" s="1299" t="s">
        <v>230</v>
      </c>
      <c r="L57" s="1291" t="s">
        <v>13</v>
      </c>
      <c r="M57" s="1299" t="s">
        <v>230</v>
      </c>
      <c r="N57" s="1291" t="s">
        <v>13</v>
      </c>
      <c r="O57" s="1299" t="s">
        <v>230</v>
      </c>
      <c r="P57" s="1291" t="s">
        <v>13</v>
      </c>
      <c r="Q57" s="1290" t="s">
        <v>230</v>
      </c>
      <c r="R57" s="1291" t="s">
        <v>13</v>
      </c>
    </row>
    <row r="58" spans="1:18" ht="12.6" customHeight="1" x14ac:dyDescent="0.2">
      <c r="B58" s="1296"/>
      <c r="C58" s="1297" t="s">
        <v>231</v>
      </c>
      <c r="D58" s="1298"/>
      <c r="E58" s="1298"/>
      <c r="F58" s="1298"/>
      <c r="G58" s="2859"/>
      <c r="H58" s="2859"/>
      <c r="I58" s="2859"/>
      <c r="J58" s="2858"/>
      <c r="K58" s="2857">
        <f>'3. E1 OPERATING COSTS'!D10</f>
        <v>12</v>
      </c>
      <c r="L58" s="2858"/>
      <c r="M58" s="2857" t="str">
        <f>'3. E1 OPERATING COSTS'!F10</f>
        <v>12</v>
      </c>
      <c r="N58" s="2858"/>
      <c r="O58" s="2857" t="str">
        <f>'3. E1 OPERATING COSTS'!H10</f>
        <v>12</v>
      </c>
      <c r="P58" s="2858"/>
      <c r="Q58" s="2859" t="str">
        <f>'3. E1 OPERATING COSTS'!J10</f>
        <v>12</v>
      </c>
      <c r="R58" s="2858"/>
    </row>
    <row r="59" spans="1:18" ht="12" customHeight="1" x14ac:dyDescent="0.2">
      <c r="B59" s="659" t="s">
        <v>2</v>
      </c>
      <c r="C59" s="490" t="s">
        <v>18</v>
      </c>
      <c r="D59" s="490"/>
      <c r="E59" s="490"/>
      <c r="F59" s="490"/>
      <c r="G59" s="1292"/>
      <c r="H59" s="1293"/>
      <c r="I59" s="1294"/>
      <c r="J59" s="1490"/>
      <c r="K59" s="1495">
        <f>'7. T2 RESULT BUDGET '!G11/1000</f>
        <v>0</v>
      </c>
      <c r="L59" s="1295">
        <v>0</v>
      </c>
      <c r="M59" s="1495">
        <f>'7. T2 RESULT BUDGET '!I11/1000</f>
        <v>0</v>
      </c>
      <c r="N59" s="1295">
        <v>0</v>
      </c>
      <c r="O59" s="1495">
        <f>'7. T2 RESULT BUDGET '!K11/1000</f>
        <v>0</v>
      </c>
      <c r="P59" s="1295">
        <v>0</v>
      </c>
      <c r="Q59" s="989">
        <f>'7. T2 RESULT BUDGET '!M11/1000</f>
        <v>0</v>
      </c>
      <c r="R59" s="1295">
        <v>0</v>
      </c>
    </row>
    <row r="60" spans="1:18" ht="12" customHeight="1" x14ac:dyDescent="0.2">
      <c r="B60" s="659" t="s">
        <v>3</v>
      </c>
      <c r="C60" s="661" t="s">
        <v>19</v>
      </c>
      <c r="D60" s="661"/>
      <c r="E60" s="661"/>
      <c r="F60" s="661"/>
      <c r="G60" s="669"/>
      <c r="H60" s="776"/>
      <c r="I60" s="779"/>
      <c r="J60" s="1491"/>
      <c r="K60" s="817">
        <f>'7. T2 RESULT BUDGET '!G12/1000</f>
        <v>0</v>
      </c>
      <c r="L60" s="1151"/>
      <c r="M60" s="817">
        <f>'7. T2 RESULT BUDGET '!I12/1000</f>
        <v>0</v>
      </c>
      <c r="N60" s="1151"/>
      <c r="O60" s="817">
        <f>'7. T2 RESULT BUDGET '!K12/1000</f>
        <v>0</v>
      </c>
      <c r="P60" s="1151"/>
      <c r="Q60" s="1468">
        <f>'7. T2 RESULT BUDGET '!M12/1000</f>
        <v>0</v>
      </c>
      <c r="R60" s="1151"/>
    </row>
    <row r="61" spans="1:18" ht="12" customHeight="1" x14ac:dyDescent="0.2">
      <c r="B61" s="659" t="s">
        <v>4</v>
      </c>
      <c r="C61" s="661" t="s">
        <v>232</v>
      </c>
      <c r="D61" s="661"/>
      <c r="E61" s="661"/>
      <c r="F61" s="661"/>
      <c r="G61" s="669"/>
      <c r="H61" s="776"/>
      <c r="I61" s="779"/>
      <c r="J61" s="1491"/>
      <c r="K61" s="817">
        <f>'7. T2 RESULT BUDGET '!G13/1000</f>
        <v>0</v>
      </c>
      <c r="L61" s="1151"/>
      <c r="M61" s="817">
        <f>'7. T2 RESULT BUDGET '!I13/1000</f>
        <v>0</v>
      </c>
      <c r="N61" s="1151"/>
      <c r="O61" s="817">
        <f>'7. T2 RESULT BUDGET '!K13/1000</f>
        <v>0</v>
      </c>
      <c r="P61" s="1151"/>
      <c r="Q61" s="1468">
        <f>'7. T2 RESULT BUDGET '!M13/1000</f>
        <v>0</v>
      </c>
      <c r="R61" s="1151"/>
    </row>
    <row r="62" spans="1:18" ht="12" customHeight="1" x14ac:dyDescent="0.2">
      <c r="B62" s="659" t="s">
        <v>5</v>
      </c>
      <c r="C62" s="663" t="s">
        <v>23</v>
      </c>
      <c r="D62" s="663"/>
      <c r="E62" s="663"/>
      <c r="F62" s="663"/>
      <c r="G62" s="670"/>
      <c r="H62" s="777"/>
      <c r="I62" s="780"/>
      <c r="J62" s="1492"/>
      <c r="K62" s="1155">
        <f>'7. T2 RESULT BUDGET '!G14/1000</f>
        <v>0</v>
      </c>
      <c r="L62" s="1152">
        <v>100</v>
      </c>
      <c r="M62" s="1155">
        <f>'7. T2 RESULT BUDGET '!I14/1000</f>
        <v>0</v>
      </c>
      <c r="N62" s="1152">
        <v>100</v>
      </c>
      <c r="O62" s="1155">
        <f>'7. T2 RESULT BUDGET '!K14/1000</f>
        <v>0</v>
      </c>
      <c r="P62" s="1152">
        <v>100</v>
      </c>
      <c r="Q62" s="1496">
        <f>'7. T2 RESULT BUDGET '!M14/1000</f>
        <v>0</v>
      </c>
      <c r="R62" s="1152">
        <v>100</v>
      </c>
    </row>
    <row r="63" spans="1:18" ht="12" customHeight="1" x14ac:dyDescent="0.2">
      <c r="B63" s="659" t="s">
        <v>6</v>
      </c>
      <c r="C63" s="661" t="s">
        <v>20</v>
      </c>
      <c r="D63" s="661"/>
      <c r="E63" s="661"/>
      <c r="F63" s="661"/>
      <c r="G63" s="669"/>
      <c r="H63" s="776"/>
      <c r="I63" s="779"/>
      <c r="J63" s="1491"/>
      <c r="K63" s="817">
        <f>'7. T2 RESULT BUDGET '!G15/1000</f>
        <v>0</v>
      </c>
      <c r="L63" s="1153">
        <f>'7. T2 RESULT BUDGET '!H15</f>
        <v>0</v>
      </c>
      <c r="M63" s="817">
        <f>'7. T2 RESULT BUDGET '!I15/1000</f>
        <v>0</v>
      </c>
      <c r="N63" s="1153">
        <f>'7. T2 RESULT BUDGET '!J15</f>
        <v>0</v>
      </c>
      <c r="O63" s="817">
        <f>'7. T2 RESULT BUDGET '!K15/1000</f>
        <v>0</v>
      </c>
      <c r="P63" s="1153">
        <f>'7. T2 RESULT BUDGET '!L15</f>
        <v>0</v>
      </c>
      <c r="Q63" s="1468">
        <f>'7. T2 RESULT BUDGET '!M15/1000</f>
        <v>0</v>
      </c>
      <c r="R63" s="1153">
        <f>'7. T2 RESULT BUDGET '!N15</f>
        <v>0</v>
      </c>
    </row>
    <row r="64" spans="1:18" ht="12" customHeight="1" x14ac:dyDescent="0.2">
      <c r="B64" s="659" t="s">
        <v>7</v>
      </c>
      <c r="C64" s="661" t="s">
        <v>21</v>
      </c>
      <c r="D64" s="661"/>
      <c r="E64" s="661"/>
      <c r="F64" s="661"/>
      <c r="G64" s="669"/>
      <c r="H64" s="776"/>
      <c r="I64" s="779"/>
      <c r="J64" s="1491"/>
      <c r="K64" s="817">
        <f>'7. T2 RESULT BUDGET '!G16/1000</f>
        <v>0</v>
      </c>
      <c r="L64" s="1153">
        <f>'7. T2 RESULT BUDGET '!H16</f>
        <v>0</v>
      </c>
      <c r="M64" s="817">
        <f>'7. T2 RESULT BUDGET '!I16/1000</f>
        <v>0</v>
      </c>
      <c r="N64" s="1153">
        <f>'7. T2 RESULT BUDGET '!J16</f>
        <v>0</v>
      </c>
      <c r="O64" s="817">
        <f>'7. T2 RESULT BUDGET '!K16/1000</f>
        <v>0</v>
      </c>
      <c r="P64" s="1153">
        <f>'7. T2 RESULT BUDGET '!L16</f>
        <v>0</v>
      </c>
      <c r="Q64" s="1468">
        <f>'7. T2 RESULT BUDGET '!M16/1000</f>
        <v>0</v>
      </c>
      <c r="R64" s="1153">
        <f>'7. T2 RESULT BUDGET '!N16</f>
        <v>0</v>
      </c>
    </row>
    <row r="65" spans="2:18" ht="12" customHeight="1" x14ac:dyDescent="0.2">
      <c r="B65" s="659" t="s">
        <v>8</v>
      </c>
      <c r="C65" s="661" t="s">
        <v>233</v>
      </c>
      <c r="D65" s="661"/>
      <c r="E65" s="661"/>
      <c r="F65" s="661"/>
      <c r="G65" s="669"/>
      <c r="H65" s="776"/>
      <c r="I65" s="779"/>
      <c r="J65" s="1491"/>
      <c r="K65" s="817">
        <f>'7. T2 RESULT BUDGET '!G17/1000</f>
        <v>0</v>
      </c>
      <c r="L65" s="1153">
        <f>'7. T2 RESULT BUDGET '!H17</f>
        <v>0</v>
      </c>
      <c r="M65" s="817">
        <f>'7. T2 RESULT BUDGET '!I17/1000</f>
        <v>0</v>
      </c>
      <c r="N65" s="1153">
        <f>'7. T2 RESULT BUDGET '!J17</f>
        <v>0</v>
      </c>
      <c r="O65" s="817">
        <f>'7. T2 RESULT BUDGET '!K17/1000</f>
        <v>0</v>
      </c>
      <c r="P65" s="1153">
        <f>'7. T2 RESULT BUDGET '!L17</f>
        <v>0</v>
      </c>
      <c r="Q65" s="1468">
        <f>'7. T2 RESULT BUDGET '!M17/1000</f>
        <v>0</v>
      </c>
      <c r="R65" s="1153">
        <f>'7. T2 RESULT BUDGET '!N17</f>
        <v>0</v>
      </c>
    </row>
    <row r="66" spans="2:18" ht="12" customHeight="1" x14ac:dyDescent="0.2">
      <c r="B66" s="659" t="s">
        <v>9</v>
      </c>
      <c r="C66" s="588" t="s">
        <v>22</v>
      </c>
      <c r="D66" s="588"/>
      <c r="E66" s="588"/>
      <c r="F66" s="588"/>
      <c r="G66" s="669"/>
      <c r="H66" s="776"/>
      <c r="I66" s="779"/>
      <c r="J66" s="1491"/>
      <c r="K66" s="817">
        <f>'7. T2 RESULT BUDGET '!G18/1000</f>
        <v>0</v>
      </c>
      <c r="L66" s="1153">
        <f>'7. T2 RESULT BUDGET '!H18</f>
        <v>0</v>
      </c>
      <c r="M66" s="817">
        <f>'7. T2 RESULT BUDGET '!I18/1000</f>
        <v>0</v>
      </c>
      <c r="N66" s="1153">
        <f>'7. T2 RESULT BUDGET '!J18</f>
        <v>0</v>
      </c>
      <c r="O66" s="817">
        <f>'7. T2 RESULT BUDGET '!K18/1000</f>
        <v>0</v>
      </c>
      <c r="P66" s="1153">
        <f>'7. T2 RESULT BUDGET '!L18</f>
        <v>0</v>
      </c>
      <c r="Q66" s="1468">
        <f>'7. T2 RESULT BUDGET '!M18/1000</f>
        <v>0</v>
      </c>
      <c r="R66" s="1153">
        <f>'7. T2 RESULT BUDGET '!N18</f>
        <v>0</v>
      </c>
    </row>
    <row r="67" spans="2:18" ht="12" customHeight="1" x14ac:dyDescent="0.2">
      <c r="B67" s="659" t="s">
        <v>10</v>
      </c>
      <c r="C67" s="588" t="s">
        <v>40</v>
      </c>
      <c r="D67" s="588"/>
      <c r="E67" s="588"/>
      <c r="F67" s="588"/>
      <c r="G67" s="669"/>
      <c r="H67" s="776"/>
      <c r="I67" s="779"/>
      <c r="J67" s="1491"/>
      <c r="K67" s="817">
        <f>'7. T2 RESULT BUDGET '!G19/1000</f>
        <v>0</v>
      </c>
      <c r="L67" s="1153">
        <f>'7. T2 RESULT BUDGET '!H19</f>
        <v>0</v>
      </c>
      <c r="M67" s="817">
        <f>'7. T2 RESULT BUDGET '!I19/1000</f>
        <v>0</v>
      </c>
      <c r="N67" s="1153">
        <f>'7. T2 RESULT BUDGET '!J19</f>
        <v>0</v>
      </c>
      <c r="O67" s="817">
        <f>'7. T2 RESULT BUDGET '!K19/1000</f>
        <v>0</v>
      </c>
      <c r="P67" s="1153">
        <f>'7. T2 RESULT BUDGET '!L19</f>
        <v>0</v>
      </c>
      <c r="Q67" s="1468">
        <f>'7. T2 RESULT BUDGET '!M19/1000</f>
        <v>0</v>
      </c>
      <c r="R67" s="1153">
        <f>'7. T2 RESULT BUDGET '!N19</f>
        <v>0</v>
      </c>
    </row>
    <row r="68" spans="2:18" ht="12" customHeight="1" x14ac:dyDescent="0.2">
      <c r="B68" s="659" t="s">
        <v>11</v>
      </c>
      <c r="C68" s="662" t="s">
        <v>24</v>
      </c>
      <c r="D68" s="662"/>
      <c r="E68" s="662"/>
      <c r="F68" s="662"/>
      <c r="G68" s="670"/>
      <c r="H68" s="778"/>
      <c r="I68" s="780"/>
      <c r="J68" s="1493"/>
      <c r="K68" s="1155">
        <f>'7. T2 RESULT BUDGET '!G20/1000</f>
        <v>0</v>
      </c>
      <c r="L68" s="1154">
        <f>'7. T2 RESULT BUDGET '!H20</f>
        <v>0</v>
      </c>
      <c r="M68" s="1155">
        <f>'7. T2 RESULT BUDGET '!I20/1000</f>
        <v>0</v>
      </c>
      <c r="N68" s="1154">
        <f>'7. T2 RESULT BUDGET '!J20</f>
        <v>0</v>
      </c>
      <c r="O68" s="1155">
        <f>'7. T2 RESULT BUDGET '!K20/1000</f>
        <v>0</v>
      </c>
      <c r="P68" s="1154">
        <f>'7. T2 RESULT BUDGET '!L20</f>
        <v>0</v>
      </c>
      <c r="Q68" s="1496">
        <f>'7. T2 RESULT BUDGET '!M20/1000</f>
        <v>0</v>
      </c>
      <c r="R68" s="1154">
        <f>'7. T2 RESULT BUDGET '!N20</f>
        <v>0</v>
      </c>
    </row>
    <row r="69" spans="2:18" ht="12" customHeight="1" x14ac:dyDescent="0.2">
      <c r="B69" s="659" t="s">
        <v>74</v>
      </c>
      <c r="C69" s="588" t="s">
        <v>234</v>
      </c>
      <c r="D69" s="588"/>
      <c r="E69" s="588"/>
      <c r="F69" s="588"/>
      <c r="G69" s="669"/>
      <c r="H69" s="776"/>
      <c r="I69" s="779"/>
      <c r="J69" s="1491"/>
      <c r="K69" s="817">
        <f>'7. T2 RESULT BUDGET '!G21/1000</f>
        <v>0</v>
      </c>
      <c r="L69" s="1153">
        <f>'7. T2 RESULT BUDGET '!H21</f>
        <v>0</v>
      </c>
      <c r="M69" s="817">
        <f>'7. T2 RESULT BUDGET '!I21/1000</f>
        <v>0</v>
      </c>
      <c r="N69" s="1153">
        <f>'7. T2 RESULT BUDGET '!J21</f>
        <v>0</v>
      </c>
      <c r="O69" s="817">
        <f>'7. T2 RESULT BUDGET '!K21/1000</f>
        <v>0</v>
      </c>
      <c r="P69" s="1153">
        <f>'7. T2 RESULT BUDGET '!L21</f>
        <v>0</v>
      </c>
      <c r="Q69" s="1468">
        <f>'7. T2 RESULT BUDGET '!M21/1000</f>
        <v>0</v>
      </c>
      <c r="R69" s="1153">
        <f>'7. T2 RESULT BUDGET '!N21</f>
        <v>0</v>
      </c>
    </row>
    <row r="70" spans="2:18" ht="12" customHeight="1" x14ac:dyDescent="0.2">
      <c r="B70" s="659" t="s">
        <v>75</v>
      </c>
      <c r="C70" s="662" t="s">
        <v>235</v>
      </c>
      <c r="D70" s="662"/>
      <c r="E70" s="662"/>
      <c r="F70" s="662"/>
      <c r="G70" s="670"/>
      <c r="H70" s="778"/>
      <c r="I70" s="780"/>
      <c r="J70" s="1493"/>
      <c r="K70" s="1155">
        <f>'7. T2 RESULT BUDGET '!G22/1000</f>
        <v>0</v>
      </c>
      <c r="L70" s="1154">
        <f>'7. T2 RESULT BUDGET '!H22</f>
        <v>0</v>
      </c>
      <c r="M70" s="1155">
        <f>'7. T2 RESULT BUDGET '!I22/1000</f>
        <v>0</v>
      </c>
      <c r="N70" s="1154">
        <f>'7. T2 RESULT BUDGET '!J22</f>
        <v>0</v>
      </c>
      <c r="O70" s="1155">
        <f>'7. T2 RESULT BUDGET '!K22/1000</f>
        <v>0</v>
      </c>
      <c r="P70" s="1154">
        <f>'7. T2 RESULT BUDGET '!L22</f>
        <v>0</v>
      </c>
      <c r="Q70" s="1496">
        <f>'7. T2 RESULT BUDGET '!M22/1000</f>
        <v>0</v>
      </c>
      <c r="R70" s="1154">
        <f>'7. T2 RESULT BUDGET '!N22</f>
        <v>0</v>
      </c>
    </row>
    <row r="71" spans="2:18" ht="12" customHeight="1" x14ac:dyDescent="0.2">
      <c r="B71" s="659" t="s">
        <v>236</v>
      </c>
      <c r="C71" s="588" t="s">
        <v>42</v>
      </c>
      <c r="D71" s="588"/>
      <c r="E71" s="588"/>
      <c r="F71" s="588"/>
      <c r="G71" s="669"/>
      <c r="H71" s="776"/>
      <c r="I71" s="779"/>
      <c r="J71" s="1491"/>
      <c r="K71" s="817">
        <f>'7. T2 RESULT BUDGET '!G23/1000</f>
        <v>0</v>
      </c>
      <c r="L71" s="1153">
        <f>'7. T2 RESULT BUDGET '!H23</f>
        <v>0</v>
      </c>
      <c r="M71" s="817">
        <f>'7. T2 RESULT BUDGET '!I23/1000</f>
        <v>0</v>
      </c>
      <c r="N71" s="1153">
        <f>'7. T2 RESULT BUDGET '!J23</f>
        <v>0</v>
      </c>
      <c r="O71" s="817">
        <f>'7. T2 RESULT BUDGET '!K23/1000</f>
        <v>0</v>
      </c>
      <c r="P71" s="1153">
        <f>'7. T2 RESULT BUDGET '!L23</f>
        <v>0</v>
      </c>
      <c r="Q71" s="1468">
        <f>'7. T2 RESULT BUDGET '!M23/1000</f>
        <v>0</v>
      </c>
      <c r="R71" s="1153">
        <f>'7. T2 RESULT BUDGET '!N23</f>
        <v>0</v>
      </c>
    </row>
    <row r="72" spans="2:18" ht="12" customHeight="1" x14ac:dyDescent="0.2">
      <c r="B72" s="659" t="s">
        <v>76</v>
      </c>
      <c r="C72" s="661" t="s">
        <v>248</v>
      </c>
      <c r="D72" s="661"/>
      <c r="E72" s="661"/>
      <c r="F72" s="661"/>
      <c r="G72" s="669"/>
      <c r="H72" s="776"/>
      <c r="I72" s="779"/>
      <c r="J72" s="1491"/>
      <c r="K72" s="817">
        <f>'7. T2 RESULT BUDGET '!G24/1000</f>
        <v>0</v>
      </c>
      <c r="L72" s="1153">
        <f>'7. T2 RESULT BUDGET '!H24</f>
        <v>0</v>
      </c>
      <c r="M72" s="817">
        <f>'7. T2 RESULT BUDGET '!I24/1000</f>
        <v>0</v>
      </c>
      <c r="N72" s="1153">
        <f>'7. T2 RESULT BUDGET '!J24</f>
        <v>0</v>
      </c>
      <c r="O72" s="817">
        <f>'7. T2 RESULT BUDGET '!K24/1000</f>
        <v>0</v>
      </c>
      <c r="P72" s="1153">
        <f>'7. T2 RESULT BUDGET '!L24</f>
        <v>0</v>
      </c>
      <c r="Q72" s="1468">
        <f>'7. T2 RESULT BUDGET '!M24/1000</f>
        <v>0</v>
      </c>
      <c r="R72" s="1153">
        <f>'7. T2 RESULT BUDGET '!N24</f>
        <v>0</v>
      </c>
    </row>
    <row r="73" spans="2:18" ht="12" customHeight="1" x14ac:dyDescent="0.2">
      <c r="B73" s="659" t="s">
        <v>77</v>
      </c>
      <c r="C73" s="661" t="s">
        <v>249</v>
      </c>
      <c r="D73" s="661"/>
      <c r="E73" s="661"/>
      <c r="F73" s="661"/>
      <c r="G73" s="669"/>
      <c r="H73" s="776"/>
      <c r="I73" s="779"/>
      <c r="J73" s="1491"/>
      <c r="K73" s="817">
        <f>'7. T2 RESULT BUDGET '!G25/1000</f>
        <v>0</v>
      </c>
      <c r="L73" s="1153">
        <f>'7. T2 RESULT BUDGET '!H25</f>
        <v>0</v>
      </c>
      <c r="M73" s="817">
        <f>'7. T2 RESULT BUDGET '!I25/1000</f>
        <v>0</v>
      </c>
      <c r="N73" s="1153">
        <f>'7. T2 RESULT BUDGET '!J25</f>
        <v>0</v>
      </c>
      <c r="O73" s="817">
        <f>'7. T2 RESULT BUDGET '!K25/1000</f>
        <v>0</v>
      </c>
      <c r="P73" s="1153">
        <f>'7. T2 RESULT BUDGET '!L25</f>
        <v>0</v>
      </c>
      <c r="Q73" s="1468">
        <f>'7. T2 RESULT BUDGET '!M25/1000</f>
        <v>0</v>
      </c>
      <c r="R73" s="1153">
        <f>'7. T2 RESULT BUDGET '!N25</f>
        <v>0</v>
      </c>
    </row>
    <row r="74" spans="2:18" ht="12" customHeight="1" x14ac:dyDescent="0.2">
      <c r="B74" s="659" t="s">
        <v>78</v>
      </c>
      <c r="C74" s="662" t="s">
        <v>25</v>
      </c>
      <c r="D74" s="662"/>
      <c r="E74" s="662"/>
      <c r="F74" s="662"/>
      <c r="G74" s="670"/>
      <c r="H74" s="778"/>
      <c r="I74" s="780"/>
      <c r="J74" s="1493"/>
      <c r="K74" s="1155">
        <f>'7. T2 RESULT BUDGET '!G26/1000</f>
        <v>0</v>
      </c>
      <c r="L74" s="1154">
        <f>'7. T2 RESULT BUDGET '!H26</f>
        <v>0</v>
      </c>
      <c r="M74" s="1155">
        <f>'7. T2 RESULT BUDGET '!I26/1000</f>
        <v>0</v>
      </c>
      <c r="N74" s="1154">
        <f>'7. T2 RESULT BUDGET '!J26</f>
        <v>0</v>
      </c>
      <c r="O74" s="1155">
        <f>'7. T2 RESULT BUDGET '!K26/1000</f>
        <v>0</v>
      </c>
      <c r="P74" s="1154">
        <f>'7. T2 RESULT BUDGET '!L26</f>
        <v>0</v>
      </c>
      <c r="Q74" s="1496">
        <f>'7. T2 RESULT BUDGET '!M26/1000</f>
        <v>0</v>
      </c>
      <c r="R74" s="1154">
        <f>'7. T2 RESULT BUDGET '!N26</f>
        <v>0</v>
      </c>
    </row>
    <row r="75" spans="2:18" ht="12" customHeight="1" x14ac:dyDescent="0.2">
      <c r="B75" s="659" t="s">
        <v>79</v>
      </c>
      <c r="C75" s="661" t="s">
        <v>26</v>
      </c>
      <c r="D75" s="661"/>
      <c r="E75" s="661"/>
      <c r="F75" s="661"/>
      <c r="G75" s="669"/>
      <c r="H75" s="776"/>
      <c r="I75" s="779"/>
      <c r="J75" s="1491"/>
      <c r="K75" s="817">
        <f>'7. T2 RESULT BUDGET '!G27/1000</f>
        <v>0</v>
      </c>
      <c r="L75" s="1153">
        <f>'7. T2 RESULT BUDGET '!H27</f>
        <v>0</v>
      </c>
      <c r="M75" s="817">
        <f>'7. T2 RESULT BUDGET '!I27/1000</f>
        <v>0</v>
      </c>
      <c r="N75" s="1153">
        <f>'7. T2 RESULT BUDGET '!J27</f>
        <v>0</v>
      </c>
      <c r="O75" s="817">
        <f>'7. T2 RESULT BUDGET '!K27/1000</f>
        <v>0</v>
      </c>
      <c r="P75" s="1153">
        <f>'7. T2 RESULT BUDGET '!L27</f>
        <v>0</v>
      </c>
      <c r="Q75" s="1468">
        <f>'7. T2 RESULT BUDGET '!M27/1000</f>
        <v>0</v>
      </c>
      <c r="R75" s="1153">
        <f>'7. T2 RESULT BUDGET '!N27</f>
        <v>0</v>
      </c>
    </row>
    <row r="76" spans="2:18" ht="12" customHeight="1" x14ac:dyDescent="0.2">
      <c r="B76" s="659" t="s">
        <v>80</v>
      </c>
      <c r="C76" s="661" t="s">
        <v>46</v>
      </c>
      <c r="D76" s="661"/>
      <c r="E76" s="661"/>
      <c r="F76" s="661"/>
      <c r="G76" s="669"/>
      <c r="H76" s="776"/>
      <c r="I76" s="779"/>
      <c r="J76" s="1491"/>
      <c r="K76" s="817">
        <f>'7. T2 RESULT BUDGET '!G29/1000</f>
        <v>0</v>
      </c>
      <c r="L76" s="1153">
        <f>'7. T2 RESULT BUDGET '!H28</f>
        <v>0</v>
      </c>
      <c r="M76" s="817">
        <f>'7. T2 RESULT BUDGET '!I29/1000</f>
        <v>0</v>
      </c>
      <c r="N76" s="1153">
        <f>'7. T2 RESULT BUDGET '!J28</f>
        <v>0</v>
      </c>
      <c r="O76" s="817">
        <f>'7. T2 RESULT BUDGET '!K29/1000</f>
        <v>0</v>
      </c>
      <c r="P76" s="1153">
        <f>'7. T2 RESULT BUDGET '!L28</f>
        <v>0</v>
      </c>
      <c r="Q76" s="1468">
        <f>'7. T2 RESULT BUDGET '!M29/1000</f>
        <v>0</v>
      </c>
      <c r="R76" s="1153">
        <f>'7. T2 RESULT BUDGET '!N28</f>
        <v>0</v>
      </c>
    </row>
    <row r="77" spans="2:18" ht="12" customHeight="1" x14ac:dyDescent="0.2">
      <c r="B77" s="659" t="s">
        <v>81</v>
      </c>
      <c r="C77" s="661" t="s">
        <v>247</v>
      </c>
      <c r="D77" s="661"/>
      <c r="E77" s="661"/>
      <c r="F77" s="661"/>
      <c r="G77" s="669"/>
      <c r="H77" s="776"/>
      <c r="I77" s="779"/>
      <c r="J77" s="1491"/>
      <c r="K77" s="817">
        <f>'7. T2 RESULT BUDGET '!G30/1000</f>
        <v>0</v>
      </c>
      <c r="L77" s="1153">
        <f>'7. T2 RESULT BUDGET '!H29</f>
        <v>0</v>
      </c>
      <c r="M77" s="817">
        <f>'7. T2 RESULT BUDGET '!I30/1000</f>
        <v>0</v>
      </c>
      <c r="N77" s="1153">
        <f>'7. T2 RESULT BUDGET '!J29</f>
        <v>0</v>
      </c>
      <c r="O77" s="817">
        <f>'7. T2 RESULT BUDGET '!K30/1000</f>
        <v>0</v>
      </c>
      <c r="P77" s="1153">
        <f>'7. T2 RESULT BUDGET '!L29</f>
        <v>0</v>
      </c>
      <c r="Q77" s="1468">
        <f>'7. T2 RESULT BUDGET '!M30/1000</f>
        <v>0</v>
      </c>
      <c r="R77" s="1153">
        <f>'7. T2 RESULT BUDGET '!N29</f>
        <v>0</v>
      </c>
    </row>
    <row r="78" spans="2:18" ht="15" customHeight="1" x14ac:dyDescent="0.2">
      <c r="B78" s="672" t="s">
        <v>30</v>
      </c>
      <c r="C78" s="646" t="s">
        <v>29</v>
      </c>
      <c r="D78" s="646"/>
      <c r="E78" s="646"/>
      <c r="F78" s="646"/>
      <c r="G78" s="1362"/>
      <c r="H78" s="1363"/>
      <c r="I78" s="1364"/>
      <c r="J78" s="1494"/>
      <c r="K78" s="1155">
        <f>'7. T2 RESULT BUDGET '!G31/1000</f>
        <v>0</v>
      </c>
      <c r="L78" s="1154">
        <f>'7. T2 RESULT BUDGET '!H31</f>
        <v>0</v>
      </c>
      <c r="M78" s="1155">
        <f>'7. T2 RESULT BUDGET '!I31/1000</f>
        <v>0</v>
      </c>
      <c r="N78" s="1154">
        <f>'7. T2 RESULT BUDGET '!J31</f>
        <v>0</v>
      </c>
      <c r="O78" s="1155">
        <f>'7. T2 RESULT BUDGET '!K31/1000</f>
        <v>0</v>
      </c>
      <c r="P78" s="1154">
        <f>'7. T2 RESULT BUDGET '!L31</f>
        <v>0</v>
      </c>
      <c r="Q78" s="1496">
        <f>'7. T2 RESULT BUDGET '!M31/1000</f>
        <v>0</v>
      </c>
      <c r="R78" s="1154">
        <f>'7. T2 RESULT BUDGET '!N31</f>
        <v>0</v>
      </c>
    </row>
    <row r="79" spans="2:18" ht="14.25" customHeight="1" x14ac:dyDescent="0.2">
      <c r="B79" s="672"/>
      <c r="C79" s="671" t="s">
        <v>45</v>
      </c>
      <c r="D79" s="671"/>
      <c r="E79" s="671"/>
      <c r="F79" s="671"/>
      <c r="G79" s="2924"/>
      <c r="H79" s="2924"/>
      <c r="I79" s="2925"/>
      <c r="J79" s="2926"/>
      <c r="K79" s="2927">
        <f>'7. T2 RESULT BUDGET '!G33</f>
        <v>1</v>
      </c>
      <c r="L79" s="2927"/>
      <c r="M79" s="2927">
        <f>'7. T2 RESULT BUDGET '!I33</f>
        <v>1</v>
      </c>
      <c r="N79" s="2927"/>
      <c r="O79" s="2927">
        <f>'7. T2 RESULT BUDGET '!K33</f>
        <v>1</v>
      </c>
      <c r="P79" s="2927"/>
      <c r="Q79" s="2928">
        <f>'7. T2 RESULT BUDGET '!M33</f>
        <v>1</v>
      </c>
      <c r="R79" s="2927"/>
    </row>
    <row r="80" spans="2:18" ht="16.5" customHeight="1" x14ac:dyDescent="0.2">
      <c r="B80" s="672"/>
      <c r="C80" s="671" t="s">
        <v>328</v>
      </c>
      <c r="D80" s="671"/>
      <c r="E80" s="671"/>
      <c r="F80" s="671"/>
      <c r="G80" s="2943"/>
      <c r="H80" s="2943"/>
      <c r="I80" s="2929"/>
      <c r="J80" s="2930"/>
      <c r="K80" s="2847">
        <f>'5. T4 FINANCING PLAN'!Q14</f>
        <v>0</v>
      </c>
      <c r="L80" s="2847"/>
      <c r="M80" s="2847">
        <f>'5. T4 FINANCING PLAN'!R14</f>
        <v>0</v>
      </c>
      <c r="N80" s="2847"/>
      <c r="O80" s="2847">
        <f>'5. T4 FINANCING PLAN'!S14</f>
        <v>0</v>
      </c>
      <c r="P80" s="2847"/>
      <c r="Q80" s="2847">
        <f>'5. T4 FINANCING PLAN'!T14</f>
        <v>0</v>
      </c>
      <c r="R80" s="2847"/>
    </row>
    <row r="81" spans="2:18" ht="12" customHeight="1" x14ac:dyDescent="0.2">
      <c r="B81" s="130"/>
      <c r="C81" s="152"/>
      <c r="D81" s="152"/>
      <c r="E81" s="152"/>
      <c r="F81" s="152"/>
      <c r="G81" s="691"/>
      <c r="H81" s="691"/>
      <c r="I81" s="775"/>
      <c r="J81" s="775"/>
      <c r="K81" s="691"/>
      <c r="L81" s="691"/>
      <c r="M81" s="691"/>
      <c r="N81" s="691"/>
      <c r="O81" s="691"/>
      <c r="P81" s="691"/>
      <c r="Q81" s="691"/>
      <c r="R81" s="691"/>
    </row>
    <row r="82" spans="2:18" ht="12" customHeight="1" x14ac:dyDescent="0.2">
      <c r="B82" s="236">
        <f>'Front Page'!F6</f>
        <v>0</v>
      </c>
      <c r="C82" s="438"/>
      <c r="D82" s="438"/>
      <c r="E82" s="438"/>
      <c r="F82" s="438"/>
      <c r="G82" s="439"/>
      <c r="H82" s="439"/>
      <c r="I82" s="439"/>
      <c r="J82" s="439"/>
      <c r="K82" s="439"/>
      <c r="L82" s="439"/>
      <c r="M82" s="439"/>
      <c r="N82" s="439"/>
      <c r="O82" s="439"/>
      <c r="P82" s="439"/>
      <c r="Q82" s="439"/>
      <c r="R82" s="686"/>
    </row>
    <row r="83" spans="2:18" x14ac:dyDescent="0.2">
      <c r="B83" s="2571" t="str">
        <f>'Front Page'!G8</f>
        <v>Enontekiö, Kittilä, Kolari, Muonio, Pello</v>
      </c>
      <c r="C83" s="2571"/>
      <c r="D83" s="2571"/>
      <c r="E83" s="2571"/>
      <c r="F83" s="2571"/>
      <c r="G83" s="2571"/>
      <c r="H83" s="2571"/>
      <c r="I83" s="2571"/>
      <c r="J83" s="2571"/>
      <c r="K83" s="2571"/>
      <c r="L83" s="2571"/>
      <c r="M83" s="2571"/>
      <c r="N83" s="688"/>
      <c r="O83" s="688"/>
      <c r="P83" s="688"/>
      <c r="Q83" s="441"/>
      <c r="R83" s="85" t="s">
        <v>333</v>
      </c>
    </row>
    <row r="84" spans="2:18" ht="12.4" customHeight="1" x14ac:dyDescent="0.2">
      <c r="B84" s="2572" t="s">
        <v>334</v>
      </c>
      <c r="C84" s="2572"/>
      <c r="D84" s="2572"/>
      <c r="E84" s="2572"/>
      <c r="F84" s="2572"/>
      <c r="G84" s="2572"/>
      <c r="H84" s="2572"/>
      <c r="I84" s="2572"/>
      <c r="J84" s="2572"/>
      <c r="K84" s="129"/>
      <c r="M84" s="2573"/>
      <c r="N84" s="2574"/>
      <c r="O84" s="129"/>
      <c r="P84" s="129"/>
      <c r="Q84" s="129"/>
      <c r="R84" s="129"/>
    </row>
    <row r="85" spans="2:18" ht="12.4" customHeight="1" x14ac:dyDescent="0.2">
      <c r="B85" s="1356"/>
      <c r="C85" s="1356"/>
      <c r="D85" s="618"/>
      <c r="E85" s="618"/>
      <c r="F85" s="1357"/>
      <c r="G85" s="645"/>
      <c r="H85" s="645"/>
      <c r="I85" s="645"/>
      <c r="J85" s="645"/>
      <c r="K85" s="645"/>
      <c r="M85" s="2575">
        <f>L3</f>
        <v>0</v>
      </c>
      <c r="N85" s="2575"/>
      <c r="O85" s="129"/>
      <c r="P85" s="129"/>
      <c r="Q85" s="129"/>
      <c r="R85" s="129"/>
    </row>
    <row r="86" spans="2:18" x14ac:dyDescent="0.2">
      <c r="B86" s="2576">
        <f>B7</f>
        <v>0</v>
      </c>
      <c r="C86" s="2576"/>
      <c r="D86" s="2576"/>
      <c r="E86" s="2576"/>
      <c r="F86" s="2576"/>
      <c r="G86" s="2576"/>
      <c r="H86" s="2576"/>
      <c r="I86" s="2576"/>
      <c r="J86" s="2576"/>
      <c r="K86" s="2576"/>
      <c r="L86" s="2576"/>
      <c r="M86" s="781"/>
      <c r="N86" s="781"/>
      <c r="O86" s="129"/>
      <c r="P86" s="129"/>
      <c r="Q86" s="129"/>
      <c r="R86" s="129"/>
    </row>
    <row r="87" spans="2:18" ht="11.65" customHeight="1" x14ac:dyDescent="0.2">
      <c r="B87" s="129"/>
      <c r="C87" s="129"/>
      <c r="D87" s="129"/>
      <c r="E87" s="129"/>
      <c r="F87" s="129"/>
      <c r="G87" s="129"/>
      <c r="H87" s="129"/>
      <c r="I87" s="129"/>
      <c r="J87" s="129"/>
      <c r="K87" s="129"/>
      <c r="L87" s="129"/>
      <c r="M87" s="129"/>
      <c r="N87" s="129"/>
      <c r="O87" s="129"/>
      <c r="P87" s="129"/>
      <c r="Q87" s="129"/>
      <c r="R87" s="129"/>
    </row>
    <row r="88" spans="2:18" ht="10.5" customHeight="1" x14ac:dyDescent="0.2">
      <c r="B88" s="2848" t="s">
        <v>321</v>
      </c>
      <c r="C88" s="2849"/>
      <c r="D88" s="2849"/>
      <c r="E88" s="2849"/>
      <c r="F88" s="1300"/>
      <c r="G88" s="2931"/>
      <c r="H88" s="2932"/>
      <c r="I88" s="2931"/>
      <c r="J88" s="2932"/>
      <c r="K88" s="2855" t="s">
        <v>48</v>
      </c>
      <c r="L88" s="2855"/>
      <c r="M88" s="2855" t="s">
        <v>43</v>
      </c>
      <c r="N88" s="2855"/>
      <c r="O88" s="2853" t="s">
        <v>44</v>
      </c>
      <c r="P88" s="2854"/>
      <c r="Q88" s="2855" t="s">
        <v>146</v>
      </c>
      <c r="R88" s="2856"/>
    </row>
    <row r="89" spans="2:18" ht="10.5" customHeight="1" x14ac:dyDescent="0.2">
      <c r="B89" s="2850"/>
      <c r="C89" s="2851"/>
      <c r="D89" s="2851"/>
      <c r="E89" s="2851"/>
      <c r="F89" s="1301"/>
      <c r="G89" s="2879"/>
      <c r="H89" s="2880"/>
      <c r="I89" s="2879"/>
      <c r="J89" s="2880"/>
      <c r="K89" s="2881">
        <f>'6. T3 BALANCE SHEET '!G11</f>
        <v>2027</v>
      </c>
      <c r="L89" s="2882"/>
      <c r="M89" s="2881">
        <f>'6. T3 BALANCE SHEET '!H11</f>
        <v>2028</v>
      </c>
      <c r="N89" s="2882"/>
      <c r="O89" s="2815">
        <f>'6. T3 BALANCE SHEET '!I11</f>
        <v>2029</v>
      </c>
      <c r="P89" s="2735"/>
      <c r="Q89" s="2816">
        <f>'6. T3 BALANCE SHEET '!J11</f>
        <v>2030</v>
      </c>
      <c r="R89" s="2817"/>
    </row>
    <row r="90" spans="2:18" ht="12" customHeight="1" x14ac:dyDescent="0.2">
      <c r="B90" s="785" t="s">
        <v>113</v>
      </c>
      <c r="C90" s="463" t="s">
        <v>114</v>
      </c>
      <c r="D90" s="463"/>
      <c r="E90" s="463"/>
      <c r="F90" s="463"/>
      <c r="G90" s="2591"/>
      <c r="H90" s="2592"/>
      <c r="I90" s="2591"/>
      <c r="J90" s="2852"/>
      <c r="K90" s="2797">
        <f>'6. T3 BALANCE SHEET '!G13/1000</f>
        <v>0</v>
      </c>
      <c r="L90" s="2797"/>
      <c r="M90" s="2797">
        <f>'6. T3 BALANCE SHEET '!H13/1000</f>
        <v>0</v>
      </c>
      <c r="N90" s="2797"/>
      <c r="O90" s="2797">
        <f>'6. T3 BALANCE SHEET '!I13/1000</f>
        <v>0</v>
      </c>
      <c r="P90" s="2797"/>
      <c r="Q90" s="2797">
        <f>'6. T3 BALANCE SHEET '!J13/1000</f>
        <v>0</v>
      </c>
      <c r="R90" s="2797"/>
    </row>
    <row r="91" spans="2:18" ht="12" customHeight="1" x14ac:dyDescent="0.2">
      <c r="B91" s="786" t="s">
        <v>237</v>
      </c>
      <c r="C91" s="653" t="s">
        <v>140</v>
      </c>
      <c r="D91" s="653"/>
      <c r="E91" s="653"/>
      <c r="F91" s="653"/>
      <c r="G91" s="2814"/>
      <c r="H91" s="2814"/>
      <c r="I91" s="2810"/>
      <c r="J91" s="2811"/>
      <c r="K91" s="2790">
        <f>'6. T3 BALANCE SHEET '!G14/1000</f>
        <v>0</v>
      </c>
      <c r="L91" s="2790"/>
      <c r="M91" s="2790">
        <f>'6. T3 BALANCE SHEET '!H14/1000</f>
        <v>0</v>
      </c>
      <c r="N91" s="2790"/>
      <c r="O91" s="2790">
        <f>'6. T3 BALANCE SHEET '!I14/1000</f>
        <v>0</v>
      </c>
      <c r="P91" s="2790"/>
      <c r="Q91" s="2790">
        <f>'6. T3 BALANCE SHEET '!J14/1000</f>
        <v>0</v>
      </c>
      <c r="R91" s="2791"/>
    </row>
    <row r="92" spans="2:18" ht="12" customHeight="1" x14ac:dyDescent="0.2">
      <c r="B92" s="786" t="s">
        <v>238</v>
      </c>
      <c r="C92" s="653" t="s">
        <v>141</v>
      </c>
      <c r="D92" s="653"/>
      <c r="E92" s="653"/>
      <c r="F92" s="653"/>
      <c r="G92" s="2814"/>
      <c r="H92" s="2814"/>
      <c r="I92" s="2810"/>
      <c r="J92" s="2811"/>
      <c r="K92" s="2790">
        <f>'6. T3 BALANCE SHEET '!G18/1000</f>
        <v>0</v>
      </c>
      <c r="L92" s="2790"/>
      <c r="M92" s="2790">
        <f>'6. T3 BALANCE SHEET '!H18/1000</f>
        <v>0</v>
      </c>
      <c r="N92" s="2790"/>
      <c r="O92" s="2790">
        <f>'6. T3 BALANCE SHEET '!I18/1000</f>
        <v>0</v>
      </c>
      <c r="P92" s="2790"/>
      <c r="Q92" s="2790">
        <f>'6. T3 BALANCE SHEET '!J18/1000</f>
        <v>0</v>
      </c>
      <c r="R92" s="2791"/>
    </row>
    <row r="93" spans="2:18" ht="12" customHeight="1" x14ac:dyDescent="0.2">
      <c r="B93" s="786"/>
      <c r="C93" s="654" t="s">
        <v>152</v>
      </c>
      <c r="D93" s="654"/>
      <c r="E93" s="654"/>
      <c r="F93" s="654"/>
      <c r="G93" s="2807"/>
      <c r="H93" s="2807"/>
      <c r="I93" s="2808"/>
      <c r="J93" s="2809"/>
      <c r="K93" s="2781">
        <f>'6. T3 BALANCE SHEET '!G19/1000</f>
        <v>0</v>
      </c>
      <c r="L93" s="2781"/>
      <c r="M93" s="2781">
        <f>'6. T3 BALANCE SHEET '!H19/1000</f>
        <v>0</v>
      </c>
      <c r="N93" s="2781"/>
      <c r="O93" s="2781">
        <f>'6. T3 BALANCE SHEET '!I19/1000</f>
        <v>0</v>
      </c>
      <c r="P93" s="2781"/>
      <c r="Q93" s="2781">
        <f>'6. T3 BALANCE SHEET '!J19/1000</f>
        <v>0</v>
      </c>
      <c r="R93" s="2782"/>
    </row>
    <row r="94" spans="2:18" ht="12" customHeight="1" x14ac:dyDescent="0.2">
      <c r="B94" s="786"/>
      <c r="C94" s="654" t="s">
        <v>142</v>
      </c>
      <c r="D94" s="654"/>
      <c r="E94" s="654"/>
      <c r="F94" s="654"/>
      <c r="G94" s="2807"/>
      <c r="H94" s="2807"/>
      <c r="I94" s="2808"/>
      <c r="J94" s="2809"/>
      <c r="K94" s="2781">
        <f>'6. T3 BALANCE SHEET '!G22/1000</f>
        <v>0</v>
      </c>
      <c r="L94" s="2781"/>
      <c r="M94" s="2781">
        <f>'6. T3 BALANCE SHEET '!H22/1000</f>
        <v>0</v>
      </c>
      <c r="N94" s="2781"/>
      <c r="O94" s="2781">
        <f>'6. T3 BALANCE SHEET '!I22/1000</f>
        <v>0</v>
      </c>
      <c r="P94" s="2781"/>
      <c r="Q94" s="2781">
        <f>'6. T3 BALANCE SHEET '!J22/1000</f>
        <v>0</v>
      </c>
      <c r="R94" s="2782"/>
    </row>
    <row r="95" spans="2:18" ht="12" customHeight="1" x14ac:dyDescent="0.2">
      <c r="B95" s="786"/>
      <c r="C95" s="654" t="s">
        <v>143</v>
      </c>
      <c r="D95" s="654"/>
      <c r="E95" s="654"/>
      <c r="F95" s="654"/>
      <c r="G95" s="2807"/>
      <c r="H95" s="2807"/>
      <c r="I95" s="2808"/>
      <c r="J95" s="2809"/>
      <c r="K95" s="2781">
        <f>'6. T3 BALANCE SHEET '!G26/1000</f>
        <v>0</v>
      </c>
      <c r="L95" s="2781"/>
      <c r="M95" s="2781">
        <f>'6. T3 BALANCE SHEET '!H26/1000</f>
        <v>0</v>
      </c>
      <c r="N95" s="2781"/>
      <c r="O95" s="2781">
        <f>'6. T3 BALANCE SHEET '!I26/1000</f>
        <v>0</v>
      </c>
      <c r="P95" s="2781"/>
      <c r="Q95" s="2781">
        <f>'6. T3 BALANCE SHEET '!J26/1000</f>
        <v>0</v>
      </c>
      <c r="R95" s="2782"/>
    </row>
    <row r="96" spans="2:18" ht="12" customHeight="1" x14ac:dyDescent="0.2">
      <c r="B96" s="786"/>
      <c r="C96" s="654" t="s">
        <v>144</v>
      </c>
      <c r="D96" s="654"/>
      <c r="E96" s="654"/>
      <c r="F96" s="654"/>
      <c r="G96" s="2807"/>
      <c r="H96" s="2807"/>
      <c r="I96" s="2808"/>
      <c r="J96" s="2809"/>
      <c r="K96" s="2781">
        <f>'6. T3 BALANCE SHEET '!G30/1000</f>
        <v>0</v>
      </c>
      <c r="L96" s="2781"/>
      <c r="M96" s="2781">
        <f>'6. T3 BALANCE SHEET '!H30/1000</f>
        <v>0</v>
      </c>
      <c r="N96" s="2781"/>
      <c r="O96" s="2781">
        <f>'6. T3 BALANCE SHEET '!I30/1000</f>
        <v>0</v>
      </c>
      <c r="P96" s="2781"/>
      <c r="Q96" s="2781">
        <f>'6. T3 BALANCE SHEET '!J30/1000</f>
        <v>0</v>
      </c>
      <c r="R96" s="2782"/>
    </row>
    <row r="97" spans="2:18" ht="12" customHeight="1" x14ac:dyDescent="0.2">
      <c r="B97" s="786" t="s">
        <v>239</v>
      </c>
      <c r="C97" s="653" t="s">
        <v>103</v>
      </c>
      <c r="D97" s="653"/>
      <c r="E97" s="653"/>
      <c r="F97" s="653"/>
      <c r="G97" s="2814"/>
      <c r="H97" s="2814"/>
      <c r="I97" s="2810"/>
      <c r="J97" s="2811"/>
      <c r="K97" s="2790">
        <f>'6. T3 BALANCE SHEET '!G34/1000</f>
        <v>0</v>
      </c>
      <c r="L97" s="2790"/>
      <c r="M97" s="2790">
        <f>'6. T3 BALANCE SHEET '!H34/1000</f>
        <v>0</v>
      </c>
      <c r="N97" s="2790"/>
      <c r="O97" s="2790">
        <f>'6. T3 BALANCE SHEET '!I34/1000</f>
        <v>0</v>
      </c>
      <c r="P97" s="2790"/>
      <c r="Q97" s="2790">
        <f>'6. T3 BALANCE SHEET '!J34/1000</f>
        <v>0</v>
      </c>
      <c r="R97" s="2791"/>
    </row>
    <row r="98" spans="2:18" ht="12" customHeight="1" x14ac:dyDescent="0.2">
      <c r="B98" s="785" t="s">
        <v>111</v>
      </c>
      <c r="C98" s="653" t="s">
        <v>112</v>
      </c>
      <c r="D98" s="653"/>
      <c r="E98" s="653"/>
      <c r="F98" s="653"/>
      <c r="G98" s="2814"/>
      <c r="H98" s="2814"/>
      <c r="I98" s="2810"/>
      <c r="J98" s="2811"/>
      <c r="K98" s="2790">
        <f>'6. T3 BALANCE SHEET '!G38/1000</f>
        <v>0</v>
      </c>
      <c r="L98" s="2790"/>
      <c r="M98" s="2790">
        <f>'6. T3 BALANCE SHEET '!H38/1000</f>
        <v>0</v>
      </c>
      <c r="N98" s="2790"/>
      <c r="O98" s="2790">
        <f>'6. T3 BALANCE SHEET '!I38/1000</f>
        <v>0</v>
      </c>
      <c r="P98" s="2790"/>
      <c r="Q98" s="2790">
        <f>'6. T3 BALANCE SHEET '!J38/1000</f>
        <v>0</v>
      </c>
      <c r="R98" s="2791"/>
    </row>
    <row r="99" spans="2:18" ht="12" customHeight="1" x14ac:dyDescent="0.2">
      <c r="B99" s="785" t="s">
        <v>240</v>
      </c>
      <c r="C99" s="653" t="s">
        <v>54</v>
      </c>
      <c r="D99" s="653"/>
      <c r="E99" s="653"/>
      <c r="F99" s="653"/>
      <c r="G99" s="2814"/>
      <c r="H99" s="2814"/>
      <c r="I99" s="2810"/>
      <c r="J99" s="2811"/>
      <c r="K99" s="2790">
        <f>'6. T3 BALANCE SHEET '!G39/1000</f>
        <v>0</v>
      </c>
      <c r="L99" s="2790"/>
      <c r="M99" s="2790">
        <f>'6. T3 BALANCE SHEET '!H39/1000</f>
        <v>0</v>
      </c>
      <c r="N99" s="2790"/>
      <c r="O99" s="2790">
        <f>'6. T3 BALANCE SHEET '!I39/1000</f>
        <v>0</v>
      </c>
      <c r="P99" s="2790"/>
      <c r="Q99" s="2790">
        <f>'6. T3 BALANCE SHEET '!J39/1000</f>
        <v>0</v>
      </c>
      <c r="R99" s="2791"/>
    </row>
    <row r="100" spans="2:18" ht="12" customHeight="1" x14ac:dyDescent="0.2">
      <c r="B100" s="787"/>
      <c r="C100" s="2940" t="s">
        <v>288</v>
      </c>
      <c r="D100" s="2940"/>
      <c r="E100" s="2940"/>
      <c r="F100" s="2940"/>
      <c r="G100" s="2940"/>
      <c r="H100" s="2940"/>
      <c r="I100" s="2940"/>
      <c r="J100" s="2941"/>
      <c r="K100" s="2812">
        <f>'6. T3 BALANCE SHEET '!G40</f>
        <v>0</v>
      </c>
      <c r="L100" s="2812"/>
      <c r="M100" s="2812">
        <f>'6. T3 BALANCE SHEET '!H40</f>
        <v>0</v>
      </c>
      <c r="N100" s="2812"/>
      <c r="O100" s="2812">
        <f>'6. T3 BALANCE SHEET '!I40</f>
        <v>0</v>
      </c>
      <c r="P100" s="2812"/>
      <c r="Q100" s="2812">
        <f>'6. T3 BALANCE SHEET '!J40</f>
        <v>0</v>
      </c>
      <c r="R100" s="2813"/>
    </row>
    <row r="101" spans="2:18" ht="12" customHeight="1" x14ac:dyDescent="0.2">
      <c r="B101" s="786" t="s">
        <v>238</v>
      </c>
      <c r="C101" s="653" t="s">
        <v>105</v>
      </c>
      <c r="D101" s="653"/>
      <c r="E101" s="653"/>
      <c r="F101" s="653"/>
      <c r="G101" s="2814"/>
      <c r="H101" s="2814"/>
      <c r="I101" s="2810"/>
      <c r="J101" s="2811"/>
      <c r="K101" s="2790">
        <f>'6. T3 BALANCE SHEET '!G41/1000</f>
        <v>0</v>
      </c>
      <c r="L101" s="2790"/>
      <c r="M101" s="2790">
        <f>'6. T3 BALANCE SHEET '!H41/1000</f>
        <v>0</v>
      </c>
      <c r="N101" s="2790"/>
      <c r="O101" s="2790">
        <f>'6. T3 BALANCE SHEET '!I41/1000</f>
        <v>0</v>
      </c>
      <c r="P101" s="2790"/>
      <c r="Q101" s="2790">
        <f>'6. T3 BALANCE SHEET '!J41/1000</f>
        <v>0</v>
      </c>
      <c r="R101" s="2791"/>
    </row>
    <row r="102" spans="2:18" ht="12" customHeight="1" x14ac:dyDescent="0.2">
      <c r="B102" s="786" t="s">
        <v>0</v>
      </c>
      <c r="C102" s="654" t="s">
        <v>106</v>
      </c>
      <c r="D102" s="654"/>
      <c r="E102" s="654"/>
      <c r="F102" s="654"/>
      <c r="G102" s="2807"/>
      <c r="H102" s="2807"/>
      <c r="I102" s="2808"/>
      <c r="J102" s="2809"/>
      <c r="K102" s="2781">
        <f>'6. T3 BALANCE SHEET '!G42/1000</f>
        <v>0</v>
      </c>
      <c r="L102" s="2781"/>
      <c r="M102" s="2781">
        <f>'6. T3 BALANCE SHEET '!H42/1000</f>
        <v>0</v>
      </c>
      <c r="N102" s="2781"/>
      <c r="O102" s="2781">
        <f>'6. T3 BALANCE SHEET '!I42/1000</f>
        <v>0</v>
      </c>
      <c r="P102" s="2781"/>
      <c r="Q102" s="2781">
        <f>'6. T3 BALANCE SHEET '!J42/1000</f>
        <v>0</v>
      </c>
      <c r="R102" s="2782"/>
    </row>
    <row r="103" spans="2:18" ht="12" customHeight="1" x14ac:dyDescent="0.2">
      <c r="B103" s="786"/>
      <c r="C103" s="2683" t="s">
        <v>338</v>
      </c>
      <c r="D103" s="2683"/>
      <c r="E103" s="755"/>
      <c r="F103" s="755"/>
      <c r="G103" s="2923"/>
      <c r="H103" s="2923"/>
      <c r="I103" s="2919"/>
      <c r="J103" s="2920"/>
      <c r="K103" s="2921">
        <f>'6. T3 BALANCE SHEET '!G43</f>
        <v>14</v>
      </c>
      <c r="L103" s="2921"/>
      <c r="M103" s="2921">
        <f>'6. T3 BALANCE SHEET '!H43</f>
        <v>14</v>
      </c>
      <c r="N103" s="2921"/>
      <c r="O103" s="2921">
        <f>'6. T3 BALANCE SHEET '!I43</f>
        <v>14</v>
      </c>
      <c r="P103" s="2921"/>
      <c r="Q103" s="2921">
        <f>'6. T3 BALANCE SHEET '!J43</f>
        <v>14</v>
      </c>
      <c r="R103" s="2922"/>
    </row>
    <row r="104" spans="2:18" ht="12" customHeight="1" x14ac:dyDescent="0.2">
      <c r="B104" s="786" t="s">
        <v>0</v>
      </c>
      <c r="C104" s="654" t="s">
        <v>138</v>
      </c>
      <c r="D104" s="654"/>
      <c r="E104" s="654"/>
      <c r="F104" s="654"/>
      <c r="G104" s="2804"/>
      <c r="H104" s="2804"/>
      <c r="I104" s="2805"/>
      <c r="J104" s="2806"/>
      <c r="K104" s="2781">
        <f>'6. T3 BALANCE SHEET '!G44/1000</f>
        <v>0</v>
      </c>
      <c r="L104" s="2781"/>
      <c r="M104" s="2781">
        <f>'6. T3 BALANCE SHEET '!H44/1000</f>
        <v>0</v>
      </c>
      <c r="N104" s="2781"/>
      <c r="O104" s="2781">
        <f>'6. T3 BALANCE SHEET '!I44/1000</f>
        <v>0</v>
      </c>
      <c r="P104" s="2781"/>
      <c r="Q104" s="2781">
        <f>'6. T3 BALANCE SHEET '!J44/1000</f>
        <v>0</v>
      </c>
      <c r="R104" s="2782"/>
    </row>
    <row r="105" spans="2:18" ht="12" customHeight="1" x14ac:dyDescent="0.2">
      <c r="B105" s="786" t="s">
        <v>0</v>
      </c>
      <c r="C105" s="654" t="s">
        <v>171</v>
      </c>
      <c r="D105" s="654"/>
      <c r="E105" s="654"/>
      <c r="F105" s="654"/>
      <c r="G105" s="2804"/>
      <c r="H105" s="2804"/>
      <c r="I105" s="2805"/>
      <c r="J105" s="2806"/>
      <c r="K105" s="2781">
        <f>'6. T3 BALANCE SHEET '!G46/1000</f>
        <v>0</v>
      </c>
      <c r="L105" s="2781"/>
      <c r="M105" s="2781">
        <f>'6. T3 BALANCE SHEET '!H46/1000</f>
        <v>0</v>
      </c>
      <c r="N105" s="2781"/>
      <c r="O105" s="2781">
        <f>'6. T3 BALANCE SHEET '!I46/1000</f>
        <v>0</v>
      </c>
      <c r="P105" s="2781"/>
      <c r="Q105" s="2781">
        <f>'6. T3 BALANCE SHEET '!J46/1000</f>
        <v>0</v>
      </c>
      <c r="R105" s="2782"/>
    </row>
    <row r="106" spans="2:18" ht="12" customHeight="1" x14ac:dyDescent="0.2">
      <c r="B106" s="786"/>
      <c r="C106" s="654" t="s">
        <v>172</v>
      </c>
      <c r="D106" s="654"/>
      <c r="E106" s="654"/>
      <c r="F106" s="654"/>
      <c r="G106" s="2807"/>
      <c r="H106" s="2807"/>
      <c r="I106" s="2808"/>
      <c r="J106" s="2809"/>
      <c r="K106" s="2781">
        <f>'6. T3 BALANCE SHEET '!G47/1000</f>
        <v>0</v>
      </c>
      <c r="L106" s="2781"/>
      <c r="M106" s="2781">
        <f>'6. T3 BALANCE SHEET '!H47/1000</f>
        <v>0</v>
      </c>
      <c r="N106" s="2781"/>
      <c r="O106" s="2781">
        <f>'6. T3 BALANCE SHEET '!I47/1000</f>
        <v>0</v>
      </c>
      <c r="P106" s="2781"/>
      <c r="Q106" s="2781">
        <f>'6. T3 BALANCE SHEET '!J47/1000</f>
        <v>0</v>
      </c>
      <c r="R106" s="2782"/>
    </row>
    <row r="107" spans="2:18" ht="12" customHeight="1" x14ac:dyDescent="0.2">
      <c r="B107" s="786" t="s">
        <v>239</v>
      </c>
      <c r="C107" s="653" t="s">
        <v>107</v>
      </c>
      <c r="D107" s="653"/>
      <c r="E107" s="653"/>
      <c r="F107" s="653"/>
      <c r="G107" s="2814"/>
      <c r="H107" s="2814"/>
      <c r="I107" s="2810"/>
      <c r="J107" s="2811"/>
      <c r="K107" s="2790">
        <f>'6. T3 BALANCE SHEET '!G48/1000</f>
        <v>0</v>
      </c>
      <c r="L107" s="2790"/>
      <c r="M107" s="2790">
        <f>'6. T3 BALANCE SHEET '!H48/1000</f>
        <v>0</v>
      </c>
      <c r="N107" s="2790"/>
      <c r="O107" s="2790">
        <f>'6. T3 BALANCE SHEET '!I48/1000</f>
        <v>0</v>
      </c>
      <c r="P107" s="2790"/>
      <c r="Q107" s="2790">
        <f>'6. T3 BALANCE SHEET '!J48/1000</f>
        <v>0</v>
      </c>
      <c r="R107" s="2791"/>
    </row>
    <row r="108" spans="2:18" ht="12" customHeight="1" x14ac:dyDescent="0.2">
      <c r="B108" s="786" t="s">
        <v>241</v>
      </c>
      <c r="C108" s="653" t="s">
        <v>109</v>
      </c>
      <c r="D108" s="653"/>
      <c r="E108" s="653"/>
      <c r="F108" s="653"/>
      <c r="G108" s="2814"/>
      <c r="H108" s="2814"/>
      <c r="I108" s="2810"/>
      <c r="J108" s="2811"/>
      <c r="K108" s="2790">
        <f>'6. T3 BALANCE SHEET '!G49/1000</f>
        <v>0</v>
      </c>
      <c r="L108" s="2790"/>
      <c r="M108" s="2790">
        <f>'6. T3 BALANCE SHEET '!H49/1000</f>
        <v>0</v>
      </c>
      <c r="N108" s="2790"/>
      <c r="O108" s="2790">
        <f>'6. T3 BALANCE SHEET '!I49/1000</f>
        <v>0</v>
      </c>
      <c r="P108" s="2790"/>
      <c r="Q108" s="2790">
        <f>'6. T3 BALANCE SHEET '!J49/1000</f>
        <v>0</v>
      </c>
      <c r="R108" s="2791"/>
    </row>
    <row r="109" spans="2:18" ht="12" customHeight="1" x14ac:dyDescent="0.2">
      <c r="B109" s="1305"/>
      <c r="C109" s="1306" t="s">
        <v>134</v>
      </c>
      <c r="D109" s="1307"/>
      <c r="E109" s="1307"/>
      <c r="F109" s="1307"/>
      <c r="G109" s="2776"/>
      <c r="H109" s="2777"/>
      <c r="I109" s="2776"/>
      <c r="J109" s="2801"/>
      <c r="K109" s="2798">
        <f>'6. T3 BALANCE SHEET '!G51/1000</f>
        <v>0</v>
      </c>
      <c r="L109" s="2798"/>
      <c r="M109" s="2798">
        <f>'6. T3 BALANCE SHEET '!H51/1000</f>
        <v>0</v>
      </c>
      <c r="N109" s="2798"/>
      <c r="O109" s="2798">
        <f>'6. T3 BALANCE SHEET '!I51/1000</f>
        <v>0</v>
      </c>
      <c r="P109" s="2798"/>
      <c r="Q109" s="2798">
        <f>'6. T3 BALANCE SHEET '!J51/1000</f>
        <v>0</v>
      </c>
      <c r="R109" s="2798"/>
    </row>
    <row r="110" spans="2:18" ht="10.5" customHeight="1" x14ac:dyDescent="0.2">
      <c r="B110" s="2848" t="s">
        <v>322</v>
      </c>
      <c r="C110" s="2849"/>
      <c r="D110" s="2849"/>
      <c r="E110" s="2849"/>
      <c r="F110" s="1302"/>
      <c r="G110" s="2799"/>
      <c r="H110" s="2799"/>
      <c r="I110" s="2799"/>
      <c r="J110" s="2799"/>
      <c r="K110" s="2772" t="str">
        <f>K88</f>
        <v>Ennuste 1</v>
      </c>
      <c r="L110" s="2773"/>
      <c r="M110" s="2772" t="str">
        <f>M88</f>
        <v>Ennuste 2</v>
      </c>
      <c r="N110" s="2773"/>
      <c r="O110" s="2772" t="str">
        <f>O88</f>
        <v>Ennuste 3</v>
      </c>
      <c r="P110" s="2773"/>
      <c r="Q110" s="2772" t="str">
        <f>Q88</f>
        <v>Ennuste 4</v>
      </c>
      <c r="R110" s="2773"/>
    </row>
    <row r="111" spans="2:18" ht="10.5" customHeight="1" x14ac:dyDescent="0.2">
      <c r="B111" s="2850"/>
      <c r="C111" s="2851"/>
      <c r="D111" s="2851"/>
      <c r="E111" s="2851"/>
      <c r="F111" s="1303"/>
      <c r="G111" s="2800"/>
      <c r="H111" s="2800"/>
      <c r="I111" s="2800"/>
      <c r="J111" s="2800"/>
      <c r="K111" s="2802">
        <f>K89</f>
        <v>2027</v>
      </c>
      <c r="L111" s="2803"/>
      <c r="M111" s="2802">
        <f>M89</f>
        <v>2028</v>
      </c>
      <c r="N111" s="2803"/>
      <c r="O111" s="2802">
        <f>O89</f>
        <v>2029</v>
      </c>
      <c r="P111" s="2803"/>
      <c r="Q111" s="2802">
        <f>Q89</f>
        <v>2030</v>
      </c>
      <c r="R111" s="2803"/>
    </row>
    <row r="112" spans="2:18" ht="12" customHeight="1" x14ac:dyDescent="0.2">
      <c r="B112" s="785" t="s">
        <v>116</v>
      </c>
      <c r="C112" s="463" t="s">
        <v>110</v>
      </c>
      <c r="D112" s="463"/>
      <c r="E112" s="463"/>
      <c r="F112" s="463"/>
      <c r="G112" s="2591"/>
      <c r="H112" s="2592"/>
      <c r="I112" s="2795"/>
      <c r="J112" s="2796"/>
      <c r="K112" s="2797">
        <f>'6. T3 BALANCE SHEET '!G56/1000</f>
        <v>0</v>
      </c>
      <c r="L112" s="2797"/>
      <c r="M112" s="2797">
        <f>'6. T3 BALANCE SHEET '!H56/1000</f>
        <v>0</v>
      </c>
      <c r="N112" s="2797"/>
      <c r="O112" s="2797">
        <f>'6. T3 BALANCE SHEET '!I56/1000</f>
        <v>0</v>
      </c>
      <c r="P112" s="2797"/>
      <c r="Q112" s="2797">
        <f>'6. T3 BALANCE SHEET '!J56/1000</f>
        <v>0</v>
      </c>
      <c r="R112" s="2797"/>
    </row>
    <row r="113" spans="2:18" ht="12" customHeight="1" x14ac:dyDescent="0.2">
      <c r="B113" s="786">
        <v>0</v>
      </c>
      <c r="C113" s="655" t="s">
        <v>150</v>
      </c>
      <c r="D113" s="655"/>
      <c r="E113" s="655"/>
      <c r="F113" s="655"/>
      <c r="G113" s="2693"/>
      <c r="H113" s="2693"/>
      <c r="I113" s="2691"/>
      <c r="J113" s="2692"/>
      <c r="K113" s="2769">
        <f>'6. T3 BALANCE SHEET '!G57/1000</f>
        <v>0</v>
      </c>
      <c r="L113" s="2781"/>
      <c r="M113" s="2781">
        <f>'6. T3 BALANCE SHEET '!H57/1000</f>
        <v>0</v>
      </c>
      <c r="N113" s="2781"/>
      <c r="O113" s="2781">
        <f>'6. T3 BALANCE SHEET '!I57/1000</f>
        <v>0</v>
      </c>
      <c r="P113" s="2781"/>
      <c r="Q113" s="2781">
        <f>'6. T3 BALANCE SHEET '!J57/1000</f>
        <v>0</v>
      </c>
      <c r="R113" s="2782"/>
    </row>
    <row r="114" spans="2:18" ht="12" customHeight="1" x14ac:dyDescent="0.2">
      <c r="B114" s="786">
        <v>0</v>
      </c>
      <c r="C114" s="655" t="s">
        <v>151</v>
      </c>
      <c r="D114" s="655"/>
      <c r="E114" s="655"/>
      <c r="F114" s="655"/>
      <c r="G114" s="2693"/>
      <c r="H114" s="2693"/>
      <c r="I114" s="2691"/>
      <c r="J114" s="2692"/>
      <c r="K114" s="2769">
        <f>'6. T3 BALANCE SHEET '!G58/1000</f>
        <v>0</v>
      </c>
      <c r="L114" s="2781"/>
      <c r="M114" s="2781">
        <f>'6. T3 BALANCE SHEET '!H58/1000</f>
        <v>0</v>
      </c>
      <c r="N114" s="2781"/>
      <c r="O114" s="2781">
        <f>'6. T3 BALANCE SHEET '!I58/1000</f>
        <v>0</v>
      </c>
      <c r="P114" s="2781"/>
      <c r="Q114" s="2781">
        <f>'6. T3 BALANCE SHEET '!J58/1000</f>
        <v>0</v>
      </c>
      <c r="R114" s="2782"/>
    </row>
    <row r="115" spans="2:18" ht="12" customHeight="1" x14ac:dyDescent="0.2">
      <c r="B115" s="786">
        <v>0</v>
      </c>
      <c r="C115" s="655" t="s">
        <v>170</v>
      </c>
      <c r="D115" s="655"/>
      <c r="E115" s="655"/>
      <c r="F115" s="655"/>
      <c r="G115" s="2693"/>
      <c r="H115" s="2693"/>
      <c r="I115" s="2691"/>
      <c r="J115" s="2692"/>
      <c r="K115" s="2769">
        <f>'6. T3 BALANCE SHEET '!G59/1000</f>
        <v>0</v>
      </c>
      <c r="L115" s="2781"/>
      <c r="M115" s="2781">
        <f>'6. T3 BALANCE SHEET '!H59/1000</f>
        <v>0</v>
      </c>
      <c r="N115" s="2781"/>
      <c r="O115" s="2781">
        <f>'6. T3 BALANCE SHEET '!I59/1000</f>
        <v>0</v>
      </c>
      <c r="P115" s="2781"/>
      <c r="Q115" s="2781">
        <f>'6. T3 BALANCE SHEET '!J59/1000</f>
        <v>0</v>
      </c>
      <c r="R115" s="2782"/>
    </row>
    <row r="116" spans="2:18" ht="12" customHeight="1" x14ac:dyDescent="0.2">
      <c r="B116" s="786">
        <v>0</v>
      </c>
      <c r="C116" s="655" t="s">
        <v>187</v>
      </c>
      <c r="D116" s="655"/>
      <c r="E116" s="655"/>
      <c r="F116" s="655"/>
      <c r="G116" s="2693"/>
      <c r="H116" s="2693"/>
      <c r="I116" s="2691"/>
      <c r="J116" s="2692"/>
      <c r="K116" s="2769">
        <f>'6. T3 BALANCE SHEET '!G60/1000</f>
        <v>0</v>
      </c>
      <c r="L116" s="2781"/>
      <c r="M116" s="2781">
        <f>'6. T3 BALANCE SHEET '!H60/1000</f>
        <v>0</v>
      </c>
      <c r="N116" s="2781"/>
      <c r="O116" s="2781">
        <f>'6. T3 BALANCE SHEET '!I60/1000</f>
        <v>0</v>
      </c>
      <c r="P116" s="2781"/>
      <c r="Q116" s="2781">
        <f>'6. T3 BALANCE SHEET '!J60/1000</f>
        <v>0</v>
      </c>
      <c r="R116" s="2782"/>
    </row>
    <row r="117" spans="2:18" ht="12" customHeight="1" x14ac:dyDescent="0.2">
      <c r="B117" s="786">
        <v>0</v>
      </c>
      <c r="C117" s="655" t="s">
        <v>196</v>
      </c>
      <c r="D117" s="655"/>
      <c r="E117" s="655"/>
      <c r="F117" s="655"/>
      <c r="G117" s="2693"/>
      <c r="H117" s="2693"/>
      <c r="I117" s="2691"/>
      <c r="J117" s="2692"/>
      <c r="K117" s="2769">
        <f>'6. T3 BALANCE SHEET '!G61/1000</f>
        <v>0</v>
      </c>
      <c r="L117" s="2781"/>
      <c r="M117" s="2781">
        <f>'6. T3 BALANCE SHEET '!H61/1000</f>
        <v>0</v>
      </c>
      <c r="N117" s="2781"/>
      <c r="O117" s="2781">
        <f>'6. T3 BALANCE SHEET '!I61/1000</f>
        <v>0</v>
      </c>
      <c r="P117" s="2781"/>
      <c r="Q117" s="2781">
        <f>'6. T3 BALANCE SHEET '!J61/1000</f>
        <v>0</v>
      </c>
      <c r="R117" s="2782"/>
    </row>
    <row r="118" spans="2:18" ht="12" customHeight="1" x14ac:dyDescent="0.2">
      <c r="B118" s="785" t="s">
        <v>325</v>
      </c>
      <c r="C118" s="656" t="s">
        <v>115</v>
      </c>
      <c r="D118" s="656"/>
      <c r="E118" s="656"/>
      <c r="F118" s="656"/>
      <c r="G118" s="2792"/>
      <c r="H118" s="2792"/>
      <c r="I118" s="2793"/>
      <c r="J118" s="2794"/>
      <c r="K118" s="2771">
        <f>'6. T3 BALANCE SHEET '!G62/1000</f>
        <v>0</v>
      </c>
      <c r="L118" s="2790"/>
      <c r="M118" s="2790">
        <f>'6. T3 BALANCE SHEET '!H62/1000</f>
        <v>0</v>
      </c>
      <c r="N118" s="2790"/>
      <c r="O118" s="2790">
        <f>'6. T3 BALANCE SHEET '!I62/1000</f>
        <v>0</v>
      </c>
      <c r="P118" s="2790"/>
      <c r="Q118" s="2790">
        <f>'6. T3 BALANCE SHEET '!J62/1000</f>
        <v>0</v>
      </c>
      <c r="R118" s="2791"/>
    </row>
    <row r="119" spans="2:18" ht="12" customHeight="1" x14ac:dyDescent="0.2">
      <c r="B119" s="785" t="s">
        <v>127</v>
      </c>
      <c r="C119" s="656" t="s">
        <v>117</v>
      </c>
      <c r="D119" s="656"/>
      <c r="E119" s="656"/>
      <c r="F119" s="656"/>
      <c r="G119" s="2792"/>
      <c r="H119" s="2792"/>
      <c r="I119" s="2793"/>
      <c r="J119" s="2794"/>
      <c r="K119" s="2771">
        <f>'6. T3 BALANCE SHEET '!G66/1000</f>
        <v>0</v>
      </c>
      <c r="L119" s="2790"/>
      <c r="M119" s="2790">
        <f>'6. T3 BALANCE SHEET '!H66/1000</f>
        <v>0</v>
      </c>
      <c r="N119" s="2790"/>
      <c r="O119" s="2790">
        <f>'6. T3 BALANCE SHEET '!I66/1000</f>
        <v>0</v>
      </c>
      <c r="P119" s="2790"/>
      <c r="Q119" s="2790">
        <f>'6. T3 BALANCE SHEET '!J66/1000</f>
        <v>0</v>
      </c>
      <c r="R119" s="2791"/>
    </row>
    <row r="120" spans="2:18" ht="12" customHeight="1" x14ac:dyDescent="0.2">
      <c r="B120" s="785" t="s">
        <v>185</v>
      </c>
      <c r="C120" s="656" t="s">
        <v>126</v>
      </c>
      <c r="D120" s="656"/>
      <c r="E120" s="656"/>
      <c r="F120" s="656"/>
      <c r="G120" s="2792"/>
      <c r="H120" s="2792"/>
      <c r="I120" s="2793"/>
      <c r="J120" s="2794"/>
      <c r="K120" s="2771">
        <f>'6. T3 BALANCE SHEET '!G67/1000</f>
        <v>0</v>
      </c>
      <c r="L120" s="2790"/>
      <c r="M120" s="2790">
        <f>'6. T3 BALANCE SHEET '!H67/1000</f>
        <v>0</v>
      </c>
      <c r="N120" s="2790"/>
      <c r="O120" s="2790">
        <f>'6. T3 BALANCE SHEET '!I67/1000</f>
        <v>0</v>
      </c>
      <c r="P120" s="2790"/>
      <c r="Q120" s="2790">
        <f>'6. T3 BALANCE SHEET '!J67/1000</f>
        <v>0</v>
      </c>
      <c r="R120" s="2791"/>
    </row>
    <row r="121" spans="2:18" ht="12" customHeight="1" x14ac:dyDescent="0.2">
      <c r="B121" s="786" t="s">
        <v>0</v>
      </c>
      <c r="C121" s="655" t="s">
        <v>119</v>
      </c>
      <c r="D121" s="655"/>
      <c r="E121" s="655"/>
      <c r="F121" s="655"/>
      <c r="G121" s="2693"/>
      <c r="H121" s="2693"/>
      <c r="I121" s="2691"/>
      <c r="J121" s="2692"/>
      <c r="K121" s="2769">
        <f>'6. T3 BALANCE SHEET '!G68/1000</f>
        <v>0</v>
      </c>
      <c r="L121" s="2781"/>
      <c r="M121" s="2781">
        <f>'6. T3 BALANCE SHEET '!H68/1000</f>
        <v>0</v>
      </c>
      <c r="N121" s="2781"/>
      <c r="O121" s="2781">
        <f>'6. T3 BALANCE SHEET '!I68/1000</f>
        <v>0</v>
      </c>
      <c r="P121" s="2781"/>
      <c r="Q121" s="2781">
        <f>'6. T3 BALANCE SHEET '!J68/1000</f>
        <v>0</v>
      </c>
      <c r="R121" s="2782"/>
    </row>
    <row r="122" spans="2:18" ht="12" customHeight="1" x14ac:dyDescent="0.2">
      <c r="B122" s="786" t="s">
        <v>0</v>
      </c>
      <c r="C122" s="657" t="s">
        <v>131</v>
      </c>
      <c r="D122" s="657"/>
      <c r="E122" s="657"/>
      <c r="F122" s="657"/>
      <c r="G122" s="2693"/>
      <c r="H122" s="2693"/>
      <c r="I122" s="2691"/>
      <c r="J122" s="2692"/>
      <c r="K122" s="2769">
        <f>'6. T3 BALANCE SHEET '!G69/1000</f>
        <v>0</v>
      </c>
      <c r="L122" s="2781"/>
      <c r="M122" s="2781">
        <f>'6. T3 BALANCE SHEET '!H69/1000</f>
        <v>0</v>
      </c>
      <c r="N122" s="2781"/>
      <c r="O122" s="2781">
        <f>'6. T3 BALANCE SHEET '!I69/1000</f>
        <v>0</v>
      </c>
      <c r="P122" s="2781"/>
      <c r="Q122" s="2781">
        <f>'6. T3 BALANCE SHEET '!J69/1000</f>
        <v>0</v>
      </c>
      <c r="R122" s="2782"/>
    </row>
    <row r="123" spans="2:18" ht="12" customHeight="1" x14ac:dyDescent="0.2">
      <c r="B123" s="786" t="s">
        <v>0</v>
      </c>
      <c r="C123" s="655" t="s">
        <v>129</v>
      </c>
      <c r="D123" s="655"/>
      <c r="E123" s="655"/>
      <c r="F123" s="655"/>
      <c r="G123" s="2693"/>
      <c r="H123" s="2693"/>
      <c r="I123" s="2691"/>
      <c r="J123" s="2692"/>
      <c r="K123" s="2769">
        <f>'6. T3 BALANCE SHEET '!G70/1000</f>
        <v>0</v>
      </c>
      <c r="L123" s="2781"/>
      <c r="M123" s="2781">
        <f>'6. T3 BALANCE SHEET '!H70/1000</f>
        <v>0</v>
      </c>
      <c r="N123" s="2781"/>
      <c r="O123" s="2781">
        <f>'6. T3 BALANCE SHEET '!I70/1000</f>
        <v>0</v>
      </c>
      <c r="P123" s="2781"/>
      <c r="Q123" s="2781">
        <f>'6. T3 BALANCE SHEET '!J70/1000</f>
        <v>0</v>
      </c>
      <c r="R123" s="2782"/>
    </row>
    <row r="124" spans="2:18" ht="12" customHeight="1" x14ac:dyDescent="0.2">
      <c r="B124" s="786">
        <v>0</v>
      </c>
      <c r="C124" s="655" t="s">
        <v>130</v>
      </c>
      <c r="D124" s="655"/>
      <c r="E124" s="655"/>
      <c r="F124" s="655"/>
      <c r="G124" s="2693"/>
      <c r="H124" s="2693"/>
      <c r="I124" s="2691"/>
      <c r="J124" s="2692"/>
      <c r="K124" s="2769">
        <f>'6. T3 BALANCE SHEET '!G73/1000</f>
        <v>0</v>
      </c>
      <c r="L124" s="2781"/>
      <c r="M124" s="2781">
        <f>'6. T3 BALANCE SHEET '!H73/1000</f>
        <v>0</v>
      </c>
      <c r="N124" s="2781"/>
      <c r="O124" s="2781">
        <f>'6. T3 BALANCE SHEET '!I73/1000</f>
        <v>0</v>
      </c>
      <c r="P124" s="2781"/>
      <c r="Q124" s="2781">
        <f>'6. T3 BALANCE SHEET '!J73/1000</f>
        <v>0</v>
      </c>
      <c r="R124" s="2782"/>
    </row>
    <row r="125" spans="2:18" ht="12" customHeight="1" x14ac:dyDescent="0.2">
      <c r="B125" s="785" t="s">
        <v>186</v>
      </c>
      <c r="C125" s="658" t="s">
        <v>128</v>
      </c>
      <c r="D125" s="658"/>
      <c r="E125" s="658"/>
      <c r="F125" s="658"/>
      <c r="G125" s="2693"/>
      <c r="H125" s="2693"/>
      <c r="I125" s="2691"/>
      <c r="J125" s="2692"/>
      <c r="K125" s="2771">
        <f>'6. T3 BALANCE SHEET '!G74/1000</f>
        <v>0</v>
      </c>
      <c r="L125" s="2790"/>
      <c r="M125" s="2790">
        <f>'6. T3 BALANCE SHEET '!H74/1000</f>
        <v>0</v>
      </c>
      <c r="N125" s="2790"/>
      <c r="O125" s="2790">
        <f>'6. T3 BALANCE SHEET '!I74/1000</f>
        <v>0</v>
      </c>
      <c r="P125" s="2790"/>
      <c r="Q125" s="2790">
        <f>'6. T3 BALANCE SHEET '!J74/1000</f>
        <v>0</v>
      </c>
      <c r="R125" s="2791"/>
    </row>
    <row r="126" spans="2:18" ht="12" customHeight="1" x14ac:dyDescent="0.2">
      <c r="B126" s="786" t="s">
        <v>0</v>
      </c>
      <c r="C126" s="655" t="s">
        <v>119</v>
      </c>
      <c r="D126" s="655"/>
      <c r="E126" s="655"/>
      <c r="F126" s="655"/>
      <c r="G126" s="2693"/>
      <c r="H126" s="2693"/>
      <c r="I126" s="2691"/>
      <c r="J126" s="2692"/>
      <c r="K126" s="2769">
        <f>'6. T3 BALANCE SHEET '!G75/1000</f>
        <v>0</v>
      </c>
      <c r="L126" s="2781"/>
      <c r="M126" s="2781">
        <f>'6. T3 BALANCE SHEET '!H75/1000</f>
        <v>0</v>
      </c>
      <c r="N126" s="2781"/>
      <c r="O126" s="2781">
        <f>'6. T3 BALANCE SHEET '!I75/1000</f>
        <v>0</v>
      </c>
      <c r="P126" s="2781"/>
      <c r="Q126" s="2781">
        <f>'6. T3 BALANCE SHEET '!J75/1000</f>
        <v>0</v>
      </c>
      <c r="R126" s="2782"/>
    </row>
    <row r="127" spans="2:18" ht="12" customHeight="1" x14ac:dyDescent="0.2">
      <c r="B127" s="786">
        <v>0</v>
      </c>
      <c r="C127" s="655" t="s">
        <v>131</v>
      </c>
      <c r="D127" s="655"/>
      <c r="E127" s="655"/>
      <c r="F127" s="655"/>
      <c r="G127" s="2689"/>
      <c r="H127" s="2690"/>
      <c r="I127" s="2691"/>
      <c r="J127" s="2692"/>
      <c r="K127" s="2769">
        <f>'6. T3 BALANCE SHEET '!G78/1000</f>
        <v>0</v>
      </c>
      <c r="L127" s="2781"/>
      <c r="M127" s="2781">
        <f>'6. T3 BALANCE SHEET '!H78/1000</f>
        <v>0</v>
      </c>
      <c r="N127" s="2781"/>
      <c r="O127" s="2781">
        <f>'6. T3 BALANCE SHEET '!I78/1000</f>
        <v>0</v>
      </c>
      <c r="P127" s="2781"/>
      <c r="Q127" s="2781">
        <f>'6. T3 BALANCE SHEET '!J78/1000</f>
        <v>0</v>
      </c>
      <c r="R127" s="2782"/>
    </row>
    <row r="128" spans="2:18" ht="12" customHeight="1" x14ac:dyDescent="0.2">
      <c r="B128" s="786">
        <v>0</v>
      </c>
      <c r="C128" s="655" t="s">
        <v>129</v>
      </c>
      <c r="D128" s="655"/>
      <c r="E128" s="655"/>
      <c r="F128" s="655"/>
      <c r="G128" s="2689"/>
      <c r="H128" s="2690"/>
      <c r="I128" s="2691"/>
      <c r="J128" s="2692"/>
      <c r="K128" s="2769">
        <f>'6. T3 BALANCE SHEET '!G79/1000</f>
        <v>0</v>
      </c>
      <c r="L128" s="2781"/>
      <c r="M128" s="2781">
        <f>'6. T3 BALANCE SHEET '!H79/1000</f>
        <v>0</v>
      </c>
      <c r="N128" s="2781"/>
      <c r="O128" s="2781">
        <f>'6. T3 BALANCE SHEET '!I79/1000</f>
        <v>0</v>
      </c>
      <c r="P128" s="2781"/>
      <c r="Q128" s="2781">
        <f>'6. T3 BALANCE SHEET '!J79/1000</f>
        <v>0</v>
      </c>
      <c r="R128" s="2782"/>
    </row>
    <row r="129" spans="2:18" ht="12" customHeight="1" x14ac:dyDescent="0.2">
      <c r="B129" s="786"/>
      <c r="C129" s="2684" t="s">
        <v>339</v>
      </c>
      <c r="D129" s="2684"/>
      <c r="E129" s="763"/>
      <c r="F129" s="763"/>
      <c r="G129" s="2783"/>
      <c r="H129" s="2784"/>
      <c r="I129" s="2785"/>
      <c r="J129" s="2786"/>
      <c r="K129" s="2787">
        <f>'6. T3 BALANCE SHEET '!G81</f>
        <v>14</v>
      </c>
      <c r="L129" s="2788"/>
      <c r="M129" s="2788">
        <f>'6. T3 BALANCE SHEET '!H81</f>
        <v>14</v>
      </c>
      <c r="N129" s="2788"/>
      <c r="O129" s="2788">
        <f>'6. T3 BALANCE SHEET '!I81</f>
        <v>14</v>
      </c>
      <c r="P129" s="2788"/>
      <c r="Q129" s="2788">
        <f>'6. T3 BALANCE SHEET '!J81</f>
        <v>14</v>
      </c>
      <c r="R129" s="2789"/>
    </row>
    <row r="130" spans="2:18" ht="12" customHeight="1" x14ac:dyDescent="0.2">
      <c r="B130" s="786" t="s">
        <v>0</v>
      </c>
      <c r="C130" s="655" t="s">
        <v>132</v>
      </c>
      <c r="D130" s="655"/>
      <c r="E130" s="655"/>
      <c r="F130" s="655"/>
      <c r="G130" s="2689"/>
      <c r="H130" s="2690"/>
      <c r="I130" s="2691"/>
      <c r="J130" s="2692"/>
      <c r="K130" s="2769">
        <f>'6. T3 BALANCE SHEET '!G83/1000</f>
        <v>0</v>
      </c>
      <c r="L130" s="2781"/>
      <c r="M130" s="2781">
        <f>'6. T3 BALANCE SHEET '!H83/1000</f>
        <v>0</v>
      </c>
      <c r="N130" s="2781"/>
      <c r="O130" s="2781">
        <f>'6. T3 BALANCE SHEET '!I83/1000</f>
        <v>0</v>
      </c>
      <c r="P130" s="2781"/>
      <c r="Q130" s="2781">
        <f>'6. T3 BALANCE SHEET '!J83/1000</f>
        <v>0</v>
      </c>
      <c r="R130" s="2782"/>
    </row>
    <row r="131" spans="2:18" ht="12" customHeight="1" x14ac:dyDescent="0.2">
      <c r="B131" s="786" t="s">
        <v>0</v>
      </c>
      <c r="C131" s="655" t="s">
        <v>133</v>
      </c>
      <c r="D131" s="655"/>
      <c r="E131" s="655"/>
      <c r="F131" s="655"/>
      <c r="G131" s="2689"/>
      <c r="H131" s="2690"/>
      <c r="I131" s="2691"/>
      <c r="J131" s="2692"/>
      <c r="K131" s="2769">
        <f>'6. T3 BALANCE SHEET '!G89/1000</f>
        <v>0</v>
      </c>
      <c r="L131" s="2781"/>
      <c r="M131" s="2781">
        <f>'6. T3 BALANCE SHEET '!H89/1000</f>
        <v>0</v>
      </c>
      <c r="N131" s="2781"/>
      <c r="O131" s="2781">
        <f>'6. T3 BALANCE SHEET '!I89/1000</f>
        <v>0</v>
      </c>
      <c r="P131" s="2781"/>
      <c r="Q131" s="2781">
        <f>'6. T3 BALANCE SHEET '!J89/1000</f>
        <v>0</v>
      </c>
      <c r="R131" s="2782"/>
    </row>
    <row r="132" spans="2:18" ht="12" customHeight="1" x14ac:dyDescent="0.2">
      <c r="B132" s="786">
        <v>0</v>
      </c>
      <c r="C132" s="655" t="s">
        <v>139</v>
      </c>
      <c r="D132" s="655"/>
      <c r="E132" s="655"/>
      <c r="F132" s="655"/>
      <c r="G132" s="2689"/>
      <c r="H132" s="2690"/>
      <c r="I132" s="2691"/>
      <c r="J132" s="2692"/>
      <c r="K132" s="2769">
        <f>'6. T3 BALANCE SHEET '!G94/1000</f>
        <v>0</v>
      </c>
      <c r="L132" s="2781"/>
      <c r="M132" s="2781">
        <f>'6. T3 BALANCE SHEET '!H94/1000</f>
        <v>0</v>
      </c>
      <c r="N132" s="2781"/>
      <c r="O132" s="2781">
        <f>'6. T3 BALANCE SHEET '!I94/1000</f>
        <v>0</v>
      </c>
      <c r="P132" s="2781"/>
      <c r="Q132" s="2781">
        <f>'6. T3 BALANCE SHEET '!J94/1000</f>
        <v>0</v>
      </c>
      <c r="R132" s="2782"/>
    </row>
    <row r="133" spans="2:18" ht="12" customHeight="1" x14ac:dyDescent="0.2">
      <c r="B133" s="1308">
        <v>0</v>
      </c>
      <c r="C133" s="1307" t="s">
        <v>148</v>
      </c>
      <c r="D133" s="1307"/>
      <c r="E133" s="1307"/>
      <c r="F133" s="1307"/>
      <c r="G133" s="2776"/>
      <c r="H133" s="2777"/>
      <c r="I133" s="2778"/>
      <c r="J133" s="2779"/>
      <c r="K133" s="2780">
        <f>'6. T3 BALANCE SHEET '!G98/1000</f>
        <v>0</v>
      </c>
      <c r="L133" s="2780"/>
      <c r="M133" s="2780">
        <f>'6. T3 BALANCE SHEET '!H98/1000</f>
        <v>0</v>
      </c>
      <c r="N133" s="2780"/>
      <c r="O133" s="2780">
        <f>'6. T3 BALANCE SHEET '!I98/1000</f>
        <v>0</v>
      </c>
      <c r="P133" s="2780"/>
      <c r="Q133" s="2780">
        <f>'6. T3 BALANCE SHEET '!J98/1000</f>
        <v>0</v>
      </c>
      <c r="R133" s="2780"/>
    </row>
    <row r="134" spans="2:18" ht="12" customHeight="1" x14ac:dyDescent="0.2">
      <c r="B134" s="129"/>
      <c r="C134" s="129"/>
      <c r="D134" s="129"/>
      <c r="E134" s="129"/>
      <c r="F134" s="129"/>
      <c r="G134" s="129"/>
      <c r="H134" s="129"/>
      <c r="I134" s="129"/>
      <c r="J134" s="129"/>
      <c r="K134" s="129"/>
      <c r="L134" s="129"/>
      <c r="M134" s="129"/>
      <c r="N134" s="129"/>
      <c r="O134" s="129"/>
      <c r="P134" s="129"/>
      <c r="Q134" s="129"/>
      <c r="R134" s="129"/>
    </row>
    <row r="135" spans="2:18" ht="10.5" customHeight="1" x14ac:dyDescent="0.2">
      <c r="B135" s="2686" t="s">
        <v>323</v>
      </c>
      <c r="C135" s="2687"/>
      <c r="D135" s="2687"/>
      <c r="E135" s="2687"/>
      <c r="F135" s="2687"/>
      <c r="G135" s="2687"/>
      <c r="H135" s="2687"/>
      <c r="I135" s="2687"/>
      <c r="J135" s="2687"/>
      <c r="K135" s="2772" t="str">
        <f>K110</f>
        <v>Ennuste 1</v>
      </c>
      <c r="L135" s="2773"/>
      <c r="M135" s="2772" t="str">
        <f>M110</f>
        <v>Ennuste 2</v>
      </c>
      <c r="N135" s="2773"/>
      <c r="O135" s="2772" t="str">
        <f>O110</f>
        <v>Ennuste 3</v>
      </c>
      <c r="P135" s="2773"/>
      <c r="Q135" s="2772" t="str">
        <f>Q110</f>
        <v>Ennuste 4</v>
      </c>
      <c r="R135" s="2773"/>
    </row>
    <row r="136" spans="2:18" ht="10.5" customHeight="1" x14ac:dyDescent="0.2">
      <c r="B136" s="2688"/>
      <c r="C136" s="2553"/>
      <c r="D136" s="2553"/>
      <c r="E136" s="2553"/>
      <c r="F136" s="2553"/>
      <c r="G136" s="2553"/>
      <c r="H136" s="2553"/>
      <c r="I136" s="2553"/>
      <c r="J136" s="2553"/>
      <c r="K136" s="2774">
        <f>K111</f>
        <v>2027</v>
      </c>
      <c r="L136" s="2775"/>
      <c r="M136" s="2774">
        <f>M111</f>
        <v>2028</v>
      </c>
      <c r="N136" s="2775"/>
      <c r="O136" s="2774">
        <f>O111</f>
        <v>2029</v>
      </c>
      <c r="P136" s="2775"/>
      <c r="Q136" s="2774">
        <f>Q111</f>
        <v>2030</v>
      </c>
      <c r="R136" s="2775"/>
    </row>
    <row r="137" spans="2:18" ht="12" customHeight="1" x14ac:dyDescent="0.2">
      <c r="B137" s="1309" t="s">
        <v>242</v>
      </c>
      <c r="C137" s="1310"/>
      <c r="D137" s="1311"/>
      <c r="E137" s="1311"/>
      <c r="F137" s="1311"/>
      <c r="G137" s="1312"/>
      <c r="H137" s="1313"/>
      <c r="I137" s="1313"/>
      <c r="J137" s="1313"/>
      <c r="K137" s="2765"/>
      <c r="L137" s="2765"/>
      <c r="M137" s="2765"/>
      <c r="N137" s="2765"/>
      <c r="O137" s="2765"/>
      <c r="P137" s="2765"/>
      <c r="Q137" s="2766"/>
      <c r="R137" s="2767"/>
    </row>
    <row r="138" spans="2:18" ht="12" customHeight="1" x14ac:dyDescent="0.2">
      <c r="B138" s="659" t="s">
        <v>2</v>
      </c>
      <c r="C138" s="2685" t="s">
        <v>50</v>
      </c>
      <c r="D138" s="2685"/>
      <c r="E138" s="2685"/>
      <c r="F138" s="2685"/>
      <c r="G138" s="2685"/>
      <c r="H138" s="654"/>
      <c r="I138" s="654"/>
      <c r="J138" s="660"/>
      <c r="K138" s="2768">
        <f>'5. T4 FINANCING PLAN'!G15/1000</f>
        <v>0</v>
      </c>
      <c r="L138" s="2768"/>
      <c r="M138" s="2768">
        <f>'5. T4 FINANCING PLAN'!H15/1000</f>
        <v>0</v>
      </c>
      <c r="N138" s="2768"/>
      <c r="O138" s="2768">
        <f>'5. T4 FINANCING PLAN'!I15/1000</f>
        <v>0</v>
      </c>
      <c r="P138" s="2768"/>
      <c r="Q138" s="2768">
        <f>'5. T4 FINANCING PLAN'!J15/1000</f>
        <v>0</v>
      </c>
      <c r="R138" s="2769"/>
    </row>
    <row r="139" spans="2:18" ht="12" customHeight="1" x14ac:dyDescent="0.2">
      <c r="B139" s="659" t="s">
        <v>3</v>
      </c>
      <c r="C139" s="2685" t="s">
        <v>51</v>
      </c>
      <c r="D139" s="2685"/>
      <c r="E139" s="2685"/>
      <c r="F139" s="2685"/>
      <c r="G139" s="2685"/>
      <c r="H139" s="654"/>
      <c r="I139" s="654"/>
      <c r="J139" s="660"/>
      <c r="K139" s="2768">
        <f>'5. T4 FINANCING PLAN'!G16/1000</f>
        <v>0</v>
      </c>
      <c r="L139" s="2768"/>
      <c r="M139" s="2768">
        <f>'5. T4 FINANCING PLAN'!H16/1000</f>
        <v>0</v>
      </c>
      <c r="N139" s="2768"/>
      <c r="O139" s="2768">
        <f>'5. T4 FINANCING PLAN'!I16/1000</f>
        <v>0</v>
      </c>
      <c r="P139" s="2768"/>
      <c r="Q139" s="2768">
        <f>'5. T4 FINANCING PLAN'!J16/1000</f>
        <v>0</v>
      </c>
      <c r="R139" s="2769"/>
    </row>
    <row r="140" spans="2:18" ht="12" customHeight="1" x14ac:dyDescent="0.2">
      <c r="B140" s="659" t="s">
        <v>4</v>
      </c>
      <c r="C140" s="2685" t="s">
        <v>299</v>
      </c>
      <c r="D140" s="2685"/>
      <c r="E140" s="2685"/>
      <c r="F140" s="2685"/>
      <c r="G140" s="2685"/>
      <c r="H140" s="654"/>
      <c r="I140" s="654"/>
      <c r="J140" s="660"/>
      <c r="K140" s="2768">
        <f>'5. T4 FINANCING PLAN'!G17/1000</f>
        <v>0</v>
      </c>
      <c r="L140" s="2768"/>
      <c r="M140" s="2768">
        <f>'5. T4 FINANCING PLAN'!H17/1000</f>
        <v>0</v>
      </c>
      <c r="N140" s="2768"/>
      <c r="O140" s="2768">
        <f>'5. T4 FINANCING PLAN'!I17/1000</f>
        <v>0</v>
      </c>
      <c r="P140" s="2768"/>
      <c r="Q140" s="2768">
        <f>'5. T4 FINANCING PLAN'!J17/1000</f>
        <v>0</v>
      </c>
      <c r="R140" s="2769"/>
    </row>
    <row r="141" spans="2:18" ht="12" customHeight="1" x14ac:dyDescent="0.2">
      <c r="B141" s="659" t="s">
        <v>5</v>
      </c>
      <c r="C141" s="2685" t="s">
        <v>125</v>
      </c>
      <c r="D141" s="2685"/>
      <c r="E141" s="2685"/>
      <c r="F141" s="2685"/>
      <c r="G141" s="2685"/>
      <c r="H141" s="654"/>
      <c r="I141" s="654"/>
      <c r="J141" s="660"/>
      <c r="K141" s="2768">
        <f>'5. T4 FINANCING PLAN'!G18/1000</f>
        <v>0</v>
      </c>
      <c r="L141" s="2768"/>
      <c r="M141" s="2768">
        <f>'5. T4 FINANCING PLAN'!H18/1000</f>
        <v>0</v>
      </c>
      <c r="N141" s="2768"/>
      <c r="O141" s="2768">
        <f>'5. T4 FINANCING PLAN'!I18/1000</f>
        <v>0</v>
      </c>
      <c r="P141" s="2768"/>
      <c r="Q141" s="2768">
        <f>'5. T4 FINANCING PLAN'!J18/1000</f>
        <v>0</v>
      </c>
      <c r="R141" s="2769"/>
    </row>
    <row r="142" spans="2:18" ht="12" customHeight="1" x14ac:dyDescent="0.2">
      <c r="B142" s="659" t="s">
        <v>6</v>
      </c>
      <c r="C142" s="2685" t="s">
        <v>65</v>
      </c>
      <c r="D142" s="2685"/>
      <c r="E142" s="2685"/>
      <c r="F142" s="2685"/>
      <c r="G142" s="2685"/>
      <c r="H142" s="654"/>
      <c r="I142" s="654"/>
      <c r="J142" s="660"/>
      <c r="K142" s="2768">
        <f>'5. T4 FINANCING PLAN'!G19/1000</f>
        <v>0</v>
      </c>
      <c r="L142" s="2768"/>
      <c r="M142" s="2768">
        <f>'5. T4 FINANCING PLAN'!H19/1000</f>
        <v>0</v>
      </c>
      <c r="N142" s="2768"/>
      <c r="O142" s="2768">
        <f>'5. T4 FINANCING PLAN'!I19/1000</f>
        <v>0</v>
      </c>
      <c r="P142" s="2768"/>
      <c r="Q142" s="2768">
        <f>'5. T4 FINANCING PLAN'!J19/1000</f>
        <v>0</v>
      </c>
      <c r="R142" s="2769"/>
    </row>
    <row r="143" spans="2:18" ht="12" customHeight="1" x14ac:dyDescent="0.2">
      <c r="B143" s="659" t="s">
        <v>7</v>
      </c>
      <c r="C143" s="2694" t="s">
        <v>243</v>
      </c>
      <c r="D143" s="2694"/>
      <c r="E143" s="2694"/>
      <c r="F143" s="2694"/>
      <c r="G143" s="2694"/>
      <c r="H143" s="2694"/>
      <c r="I143" s="2694"/>
      <c r="J143" s="2762"/>
      <c r="K143" s="2768">
        <f>'5. T4 FINANCING PLAN'!G20/1000</f>
        <v>0</v>
      </c>
      <c r="L143" s="2768"/>
      <c r="M143" s="2768">
        <f>'5. T4 FINANCING PLAN'!H20/1000</f>
        <v>0</v>
      </c>
      <c r="N143" s="2768"/>
      <c r="O143" s="2768">
        <f>'5. T4 FINANCING PLAN'!I20/1000</f>
        <v>0</v>
      </c>
      <c r="P143" s="2768"/>
      <c r="Q143" s="2768">
        <f>'5. T4 FINANCING PLAN'!J20/1000</f>
        <v>0</v>
      </c>
      <c r="R143" s="2769"/>
    </row>
    <row r="144" spans="2:18" ht="12" customHeight="1" x14ac:dyDescent="0.2">
      <c r="B144" s="672" t="s">
        <v>8</v>
      </c>
      <c r="C144" s="646" t="s">
        <v>17</v>
      </c>
      <c r="D144" s="646"/>
      <c r="E144" s="646"/>
      <c r="F144" s="646"/>
      <c r="G144" s="1314"/>
      <c r="H144" s="650"/>
      <c r="I144" s="650"/>
      <c r="J144" s="650"/>
      <c r="K144" s="2770">
        <f>'5. T4 FINANCING PLAN'!G21/1000</f>
        <v>0</v>
      </c>
      <c r="L144" s="2770"/>
      <c r="M144" s="2770">
        <f>'5. T4 FINANCING PLAN'!H21/1000</f>
        <v>0</v>
      </c>
      <c r="N144" s="2770"/>
      <c r="O144" s="2770">
        <f>'5. T4 FINANCING PLAN'!I21/1000</f>
        <v>0</v>
      </c>
      <c r="P144" s="2770"/>
      <c r="Q144" s="2770">
        <f>'5. T4 FINANCING PLAN'!J21/1000</f>
        <v>0</v>
      </c>
      <c r="R144" s="2771"/>
    </row>
    <row r="145" spans="2:18" ht="12" customHeight="1" x14ac:dyDescent="0.2">
      <c r="B145" s="1315" t="s">
        <v>244</v>
      </c>
      <c r="C145" s="1310"/>
      <c r="D145" s="1311"/>
      <c r="E145" s="1311"/>
      <c r="F145" s="1311"/>
      <c r="G145" s="1312"/>
      <c r="H145" s="1313"/>
      <c r="I145" s="1313"/>
      <c r="J145" s="1313"/>
      <c r="K145" s="2765"/>
      <c r="L145" s="2765"/>
      <c r="M145" s="2765"/>
      <c r="N145" s="2765"/>
      <c r="O145" s="2765"/>
      <c r="P145" s="2765"/>
      <c r="Q145" s="2766"/>
      <c r="R145" s="2767"/>
    </row>
    <row r="146" spans="2:18" ht="12" customHeight="1" x14ac:dyDescent="0.2">
      <c r="B146" s="659" t="s">
        <v>9</v>
      </c>
      <c r="C146" s="2685" t="s">
        <v>245</v>
      </c>
      <c r="D146" s="2685"/>
      <c r="E146" s="2685"/>
      <c r="F146" s="2685"/>
      <c r="G146" s="2685"/>
      <c r="H146" s="654"/>
      <c r="I146" s="654"/>
      <c r="J146" s="660"/>
      <c r="K146" s="2724">
        <f>('5. T4 FINANCING PLAN'!G24+'5. T4 FINANCING PLAN'!G25+'5. T4 FINANCING PLAN'!G26)/1000</f>
        <v>0</v>
      </c>
      <c r="L146" s="2732"/>
      <c r="M146" s="2724">
        <f>('5. T4 FINANCING PLAN'!H24+'5. T4 FINANCING PLAN'!H25+'5. T4 FINANCING PLAN'!H26)/1000</f>
        <v>0</v>
      </c>
      <c r="N146" s="2732"/>
      <c r="O146" s="2724">
        <f>('5. T4 FINANCING PLAN'!I24+'5. T4 FINANCING PLAN'!I25+'5. T4 FINANCING PLAN'!I26)/1000</f>
        <v>0</v>
      </c>
      <c r="P146" s="2732"/>
      <c r="Q146" s="2724">
        <f>('5. T4 FINANCING PLAN'!J24+'5. T4 FINANCING PLAN'!J25+'5. T4 FINANCING PLAN'!J26)/1000</f>
        <v>0</v>
      </c>
      <c r="R146" s="2725"/>
    </row>
    <row r="147" spans="2:18" ht="12" customHeight="1" x14ac:dyDescent="0.2">
      <c r="B147" s="659" t="s">
        <v>10</v>
      </c>
      <c r="C147" s="2685" t="s">
        <v>55</v>
      </c>
      <c r="D147" s="2685"/>
      <c r="E147" s="2685"/>
      <c r="F147" s="2685"/>
      <c r="G147" s="2685"/>
      <c r="H147" s="654"/>
      <c r="I147" s="654"/>
      <c r="J147" s="660"/>
      <c r="K147" s="2724">
        <f>('5. T4 FINANCING PLAN'!G27)/1000</f>
        <v>0</v>
      </c>
      <c r="L147" s="2732"/>
      <c r="M147" s="2724">
        <f>('5. T4 FINANCING PLAN'!H27)/1000</f>
        <v>0</v>
      </c>
      <c r="N147" s="2732"/>
      <c r="O147" s="2724">
        <f>('5. T4 FINANCING PLAN'!I27)/1000</f>
        <v>0</v>
      </c>
      <c r="P147" s="2732"/>
      <c r="Q147" s="2724">
        <f>('5. T4 FINANCING PLAN'!J27)/1000</f>
        <v>0</v>
      </c>
      <c r="R147" s="2725"/>
    </row>
    <row r="148" spans="2:18" ht="12" customHeight="1" x14ac:dyDescent="0.2">
      <c r="B148" s="659" t="s">
        <v>11</v>
      </c>
      <c r="C148" s="2685" t="str">
        <f>'5. T4 FINANCING PLAN'!C28</f>
        <v>Change in working capital (line 36)</v>
      </c>
      <c r="D148" s="2685"/>
      <c r="E148" s="2685"/>
      <c r="F148" s="2685"/>
      <c r="G148" s="2685"/>
      <c r="H148" s="654"/>
      <c r="I148" s="654"/>
      <c r="J148" s="660"/>
      <c r="K148" s="2724">
        <f>('5. T4 FINANCING PLAN'!G28)/1000</f>
        <v>0</v>
      </c>
      <c r="L148" s="2732"/>
      <c r="M148" s="2724">
        <f>('5. T4 FINANCING PLAN'!H28)/1000</f>
        <v>0</v>
      </c>
      <c r="N148" s="2732"/>
      <c r="O148" s="2724">
        <f>('5. T4 FINANCING PLAN'!I28)/1000</f>
        <v>0</v>
      </c>
      <c r="P148" s="2732"/>
      <c r="Q148" s="2724">
        <f>('5. T4 FINANCING PLAN'!J28)/1000</f>
        <v>0</v>
      </c>
      <c r="R148" s="2725"/>
    </row>
    <row r="149" spans="2:18" ht="12" customHeight="1" x14ac:dyDescent="0.2">
      <c r="B149" s="659" t="s">
        <v>74</v>
      </c>
      <c r="C149" s="2694" t="str">
        <f>'5. T4 FINANCING PLAN'!C29</f>
        <v>Increase in other financial assets</v>
      </c>
      <c r="D149" s="2694"/>
      <c r="E149" s="2694"/>
      <c r="F149" s="2694"/>
      <c r="G149" s="2694"/>
      <c r="H149" s="2694"/>
      <c r="I149" s="2694"/>
      <c r="J149" s="2762"/>
      <c r="K149" s="2724">
        <f>('5. T4 FINANCING PLAN'!G29)/1000</f>
        <v>0</v>
      </c>
      <c r="L149" s="2732"/>
      <c r="M149" s="2724">
        <f>('5. T4 FINANCING PLAN'!H29)/1000</f>
        <v>0</v>
      </c>
      <c r="N149" s="2732"/>
      <c r="O149" s="2724">
        <f>('5. T4 FINANCING PLAN'!I29)/1000</f>
        <v>0</v>
      </c>
      <c r="P149" s="2732"/>
      <c r="Q149" s="2724">
        <f>('5. T4 FINANCING PLAN'!J29)/1000</f>
        <v>0</v>
      </c>
      <c r="R149" s="2725"/>
    </row>
    <row r="150" spans="2:18" ht="12" customHeight="1" x14ac:dyDescent="0.2">
      <c r="B150" s="659" t="s">
        <v>75</v>
      </c>
      <c r="C150" s="2694" t="str">
        <f>'5. T4 FINANCING PLAN'!C30</f>
        <v>Reduction in long-term financial institution loan</v>
      </c>
      <c r="D150" s="2694"/>
      <c r="E150" s="2694"/>
      <c r="F150" s="2694"/>
      <c r="G150" s="1156"/>
      <c r="H150" s="1156"/>
      <c r="I150" s="1156"/>
      <c r="J150" s="1160"/>
      <c r="K150" s="2724">
        <f>('5. T4 FINANCING PLAN'!G30)/1000</f>
        <v>0</v>
      </c>
      <c r="L150" s="2732"/>
      <c r="M150" s="2724">
        <f>('5. T4 FINANCING PLAN'!H30)/1000</f>
        <v>0</v>
      </c>
      <c r="N150" s="2732"/>
      <c r="O150" s="2724">
        <f>('5. T4 FINANCING PLAN'!I30)/1000</f>
        <v>0</v>
      </c>
      <c r="P150" s="2732"/>
      <c r="Q150" s="2724">
        <f>('5. T4 FINANCING PLAN'!J30)/1000</f>
        <v>0</v>
      </c>
      <c r="R150" s="2732"/>
    </row>
    <row r="151" spans="2:18" ht="12" customHeight="1" x14ac:dyDescent="0.2">
      <c r="B151" s="659" t="s">
        <v>236</v>
      </c>
      <c r="C151" s="2694" t="str">
        <f>'5. T4 FINANCING PLAN'!C31</f>
        <v>SVOP return (unrestricted equity return)</v>
      </c>
      <c r="D151" s="2694"/>
      <c r="E151" s="2694"/>
      <c r="F151" s="1156"/>
      <c r="G151" s="1156"/>
      <c r="H151" s="1156"/>
      <c r="I151" s="1156"/>
      <c r="J151" s="1160"/>
      <c r="K151" s="2763">
        <f>('5. T4 FINANCING PLAN'!G31)/1000</f>
        <v>0</v>
      </c>
      <c r="L151" s="2764"/>
      <c r="M151" s="2724">
        <f>('5. T4 FINANCING PLAN'!H31)/1000</f>
        <v>0</v>
      </c>
      <c r="N151" s="2732"/>
      <c r="O151" s="2724">
        <f>('5. T4 FINANCING PLAN'!I31)/1000</f>
        <v>0</v>
      </c>
      <c r="P151" s="2732"/>
      <c r="Q151" s="2724">
        <f>('5. T4 FINANCING PLAN'!J31)/1000</f>
        <v>0</v>
      </c>
      <c r="R151" s="2725"/>
    </row>
    <row r="152" spans="2:18" ht="12" customHeight="1" x14ac:dyDescent="0.2">
      <c r="B152" s="659" t="s">
        <v>76</v>
      </c>
      <c r="C152" s="2694" t="str">
        <f>'5. T4 FINANCING PLAN'!C32</f>
        <v>Reduction in capital loans</v>
      </c>
      <c r="D152" s="2694"/>
      <c r="E152" s="2694"/>
      <c r="F152" s="2694"/>
      <c r="G152" s="1156"/>
      <c r="H152" s="1156"/>
      <c r="I152" s="1156"/>
      <c r="J152" s="1160"/>
      <c r="K152" s="2763">
        <f>('5. T4 FINANCING PLAN'!G32)/1000</f>
        <v>0</v>
      </c>
      <c r="L152" s="2764"/>
      <c r="M152" s="2724">
        <f>('5. T4 FINANCING PLAN'!H32)/1000</f>
        <v>0</v>
      </c>
      <c r="N152" s="2732"/>
      <c r="O152" s="2724">
        <f>('5. T4 FINANCING PLAN'!I32)/1000</f>
        <v>0</v>
      </c>
      <c r="P152" s="2732"/>
      <c r="Q152" s="2724">
        <f>('5. T4 FINANCING PLAN'!J32)/1000</f>
        <v>0</v>
      </c>
      <c r="R152" s="2725"/>
    </row>
    <row r="153" spans="2:18" ht="12" customHeight="1" x14ac:dyDescent="0.2">
      <c r="B153" s="659" t="s">
        <v>77</v>
      </c>
      <c r="C153" s="2694" t="str">
        <f>'5. T4 FINANCING PLAN'!C33</f>
        <v>Reduction in long-term accounts payable</v>
      </c>
      <c r="D153" s="2694"/>
      <c r="E153" s="2694"/>
      <c r="F153" s="1156"/>
      <c r="G153" s="1156"/>
      <c r="H153" s="1156"/>
      <c r="I153" s="1156"/>
      <c r="J153" s="1160"/>
      <c r="K153" s="2763">
        <f>('5. T4 FINANCING PLAN'!G33)/1000</f>
        <v>0</v>
      </c>
      <c r="L153" s="2764"/>
      <c r="M153" s="2724">
        <f>('5. T4 FINANCING PLAN'!H33)/1000</f>
        <v>0</v>
      </c>
      <c r="N153" s="2732"/>
      <c r="O153" s="2724">
        <f>('5. T4 FINANCING PLAN'!I33)/1000</f>
        <v>0</v>
      </c>
      <c r="P153" s="2732"/>
      <c r="Q153" s="2724">
        <f>('5. T4 FINANCING PLAN'!J33)/1000</f>
        <v>0</v>
      </c>
      <c r="R153" s="2725"/>
    </row>
    <row r="154" spans="2:18" ht="12" customHeight="1" x14ac:dyDescent="0.2">
      <c r="B154" s="659" t="s">
        <v>78</v>
      </c>
      <c r="C154" s="2685" t="str">
        <f>'5. T4 FINANCING PLAN'!C34</f>
        <v>Reduction in other long-term liabilities</v>
      </c>
      <c r="D154" s="2685"/>
      <c r="E154" s="2685"/>
      <c r="F154" s="2685"/>
      <c r="G154" s="2685"/>
      <c r="H154" s="654"/>
      <c r="I154" s="654"/>
      <c r="J154" s="660"/>
      <c r="K154" s="2763">
        <f>('5. T4 FINANCING PLAN'!G34)/1000</f>
        <v>0</v>
      </c>
      <c r="L154" s="2764"/>
      <c r="M154" s="2724">
        <f>('5. T4 FINANCING PLAN'!H34)/1000</f>
        <v>0</v>
      </c>
      <c r="N154" s="2732"/>
      <c r="O154" s="2724">
        <f>('5. T4 FINANCING PLAN'!I34)/1000</f>
        <v>0</v>
      </c>
      <c r="P154" s="2732"/>
      <c r="Q154" s="2724">
        <f>('5. T4 FINANCING PLAN'!J34)/1000</f>
        <v>0</v>
      </c>
      <c r="R154" s="2725"/>
    </row>
    <row r="155" spans="2:18" ht="12" customHeight="1" x14ac:dyDescent="0.2">
      <c r="B155" s="659" t="s">
        <v>79</v>
      </c>
      <c r="C155" s="2685" t="str">
        <f>'5. T4 FINANCING PLAN'!C35</f>
        <v>Changes in long-term loan instalments</v>
      </c>
      <c r="D155" s="2685"/>
      <c r="E155" s="2685"/>
      <c r="F155" s="2685"/>
      <c r="G155" s="2685"/>
      <c r="H155" s="654"/>
      <c r="I155" s="654"/>
      <c r="J155" s="660"/>
      <c r="K155" s="2724">
        <f>('5. T4 FINANCING PLAN'!G35)/1000</f>
        <v>0</v>
      </c>
      <c r="L155" s="2732"/>
      <c r="M155" s="2724">
        <f>('5. T4 FINANCING PLAN'!H35)/1000</f>
        <v>0</v>
      </c>
      <c r="N155" s="2732"/>
      <c r="O155" s="2724">
        <f>('5. T4 FINANCING PLAN'!I35)/1000</f>
        <v>0</v>
      </c>
      <c r="P155" s="2732"/>
      <c r="Q155" s="2724">
        <f>('5. T4 FINANCING PLAN'!J35)/1000</f>
        <v>0</v>
      </c>
      <c r="R155" s="2725"/>
    </row>
    <row r="156" spans="2:18" ht="12" customHeight="1" x14ac:dyDescent="0.2">
      <c r="B156" s="659" t="s">
        <v>80</v>
      </c>
      <c r="C156" s="661" t="str">
        <f>'5. T4 FINANCING PLAN'!C36</f>
        <v>Reduction in hire purchase liabilities</v>
      </c>
      <c r="D156" s="661"/>
      <c r="E156" s="661"/>
      <c r="F156" s="661"/>
      <c r="G156" s="661"/>
      <c r="H156" s="654"/>
      <c r="I156" s="654"/>
      <c r="J156" s="660"/>
      <c r="K156" s="2724">
        <f>('5. T4 FINANCING PLAN'!G36)/1000</f>
        <v>0</v>
      </c>
      <c r="L156" s="2732"/>
      <c r="M156" s="2724">
        <f>('5. T4 FINANCING PLAN'!H36)/1000</f>
        <v>0</v>
      </c>
      <c r="N156" s="2732"/>
      <c r="O156" s="2724">
        <f>('5. T4 FINANCING PLAN'!I36)/1000</f>
        <v>0</v>
      </c>
      <c r="P156" s="2732"/>
      <c r="Q156" s="2724">
        <f>('5. T4 FINANCING PLAN'!J36)/1000</f>
        <v>0</v>
      </c>
      <c r="R156" s="2725"/>
    </row>
    <row r="157" spans="2:18" ht="12" customHeight="1" x14ac:dyDescent="0.2">
      <c r="B157" s="659" t="s">
        <v>81</v>
      </c>
      <c r="C157" s="2685" t="str">
        <f>'5. T4 FINANCING PLAN'!C37</f>
        <v>Other short-term external capital increase/reduction</v>
      </c>
      <c r="D157" s="2685"/>
      <c r="E157" s="2685"/>
      <c r="F157" s="2685"/>
      <c r="G157" s="2685"/>
      <c r="H157" s="654"/>
      <c r="I157" s="654"/>
      <c r="J157" s="660"/>
      <c r="K157" s="2724">
        <f>('5. T4 FINANCING PLAN'!G37)/1000</f>
        <v>0</v>
      </c>
      <c r="L157" s="2732"/>
      <c r="M157" s="2724">
        <f>('5. T4 FINANCING PLAN'!H37)/1000</f>
        <v>0</v>
      </c>
      <c r="N157" s="2732"/>
      <c r="O157" s="2724">
        <f>('5. T4 FINANCING PLAN'!I37)/1000</f>
        <v>0</v>
      </c>
      <c r="P157" s="2732"/>
      <c r="Q157" s="2724">
        <f>('5. T4 FINANCING PLAN'!J37)/1000</f>
        <v>0</v>
      </c>
      <c r="R157" s="2725"/>
    </row>
    <row r="158" spans="2:18" ht="12" customHeight="1" x14ac:dyDescent="0.2">
      <c r="B158" s="659" t="s">
        <v>30</v>
      </c>
      <c r="C158" s="588" t="str">
        <f>'5. T4 FINANCING PLAN'!C38</f>
        <v>Reduction in short-term loans</v>
      </c>
      <c r="D158" s="588"/>
      <c r="E158" s="588"/>
      <c r="F158" s="588"/>
      <c r="G158" s="588"/>
      <c r="H158" s="654"/>
      <c r="I158" s="654"/>
      <c r="J158" s="660"/>
      <c r="K158" s="2724">
        <f>('5. T4 FINANCING PLAN'!G38)/1000</f>
        <v>0</v>
      </c>
      <c r="L158" s="2732"/>
      <c r="M158" s="2724">
        <f>('5. T4 FINANCING PLAN'!H38)/1000</f>
        <v>0</v>
      </c>
      <c r="N158" s="2732"/>
      <c r="O158" s="2724">
        <f>('5. T4 FINANCING PLAN'!I38)/1000</f>
        <v>0</v>
      </c>
      <c r="P158" s="2732"/>
      <c r="Q158" s="2724">
        <f>('5. T4 FINANCING PLAN'!J38)/1000</f>
        <v>0</v>
      </c>
      <c r="R158" s="2725"/>
    </row>
    <row r="159" spans="2:18" ht="12" customHeight="1" x14ac:dyDescent="0.2">
      <c r="B159" s="659" t="s">
        <v>254</v>
      </c>
      <c r="C159" s="2685" t="s">
        <v>52</v>
      </c>
      <c r="D159" s="2685"/>
      <c r="E159" s="2685"/>
      <c r="F159" s="2685"/>
      <c r="G159" s="2685"/>
      <c r="H159" s="654"/>
      <c r="I159" s="654"/>
      <c r="J159" s="660"/>
      <c r="K159" s="2724">
        <f>('5. T4 FINANCING PLAN'!G39)/1000</f>
        <v>0</v>
      </c>
      <c r="L159" s="2732"/>
      <c r="M159" s="2724">
        <f>('5. T4 FINANCING PLAN'!H39)/1000</f>
        <v>0</v>
      </c>
      <c r="N159" s="2732"/>
      <c r="O159" s="2724">
        <f>('5. T4 FINANCING PLAN'!I39)/1000</f>
        <v>0</v>
      </c>
      <c r="P159" s="2732"/>
      <c r="Q159" s="2724">
        <f>('5. T4 FINANCING PLAN'!J39)/1000</f>
        <v>0</v>
      </c>
      <c r="R159" s="2725"/>
    </row>
    <row r="160" spans="2:18" ht="12" customHeight="1" x14ac:dyDescent="0.2">
      <c r="B160" s="659" t="s">
        <v>255</v>
      </c>
      <c r="C160" s="2685" t="s">
        <v>103</v>
      </c>
      <c r="D160" s="2685"/>
      <c r="E160" s="2685"/>
      <c r="F160" s="2685"/>
      <c r="G160" s="2685"/>
      <c r="H160" s="654"/>
      <c r="I160" s="654"/>
      <c r="J160" s="660"/>
      <c r="K160" s="2724">
        <f>('5. T4 FINANCING PLAN'!G40)/1000</f>
        <v>0</v>
      </c>
      <c r="L160" s="2732"/>
      <c r="M160" s="2724">
        <f>('5. T4 FINANCING PLAN'!H40)/1000</f>
        <v>0</v>
      </c>
      <c r="N160" s="2732"/>
      <c r="O160" s="2724">
        <f>('5. T4 FINANCING PLAN'!I40)/1000</f>
        <v>0</v>
      </c>
      <c r="P160" s="2732"/>
      <c r="Q160" s="2724">
        <f>('5. T4 FINANCING PLAN'!J40)/1000</f>
        <v>0</v>
      </c>
      <c r="R160" s="2725"/>
    </row>
    <row r="161" spans="1:18" ht="12" customHeight="1" x14ac:dyDescent="0.2">
      <c r="B161" s="659" t="s">
        <v>259</v>
      </c>
      <c r="C161" s="662" t="s">
        <v>17</v>
      </c>
      <c r="D161" s="662"/>
      <c r="E161" s="662"/>
      <c r="F161" s="662"/>
      <c r="G161" s="663"/>
      <c r="H161" s="653"/>
      <c r="I161" s="653"/>
      <c r="J161" s="664"/>
      <c r="K161" s="2726">
        <f>('5. T4 FINANCING PLAN'!G41)/1000</f>
        <v>0</v>
      </c>
      <c r="L161" s="2727"/>
      <c r="M161" s="2726">
        <f>('5. T4 FINANCING PLAN'!H41)/1000</f>
        <v>0</v>
      </c>
      <c r="N161" s="2727"/>
      <c r="O161" s="2726">
        <f>('5. T4 FINANCING PLAN'!I41)/1000</f>
        <v>0</v>
      </c>
      <c r="P161" s="2727"/>
      <c r="Q161" s="2726">
        <f>('5. T4 FINANCING PLAN'!J41)/1000</f>
        <v>0</v>
      </c>
      <c r="R161" s="2733"/>
    </row>
    <row r="162" spans="1:18" ht="12" customHeight="1" x14ac:dyDescent="0.2">
      <c r="B162" s="659" t="s">
        <v>262</v>
      </c>
      <c r="C162" s="661" t="s">
        <v>263</v>
      </c>
      <c r="D162" s="661"/>
      <c r="E162" s="661"/>
      <c r="F162" s="661"/>
      <c r="G162" s="661"/>
      <c r="H162" s="654"/>
      <c r="I162" s="654"/>
      <c r="J162" s="660"/>
      <c r="K162" s="2724">
        <f>('5. T4 FINANCING PLAN'!G42)/1000</f>
        <v>0</v>
      </c>
      <c r="L162" s="2732"/>
      <c r="M162" s="2724">
        <f>('5. T4 FINANCING PLAN'!H42)/1000</f>
        <v>0</v>
      </c>
      <c r="N162" s="2732"/>
      <c r="O162" s="2724">
        <f>('5. T4 FINANCING PLAN'!I42)/1000</f>
        <v>0</v>
      </c>
      <c r="P162" s="2732"/>
      <c r="Q162" s="2724">
        <f>('5. T4 FINANCING PLAN'!J42)/1000</f>
        <v>0</v>
      </c>
      <c r="R162" s="2725"/>
    </row>
    <row r="163" spans="1:18" ht="12" customHeight="1" x14ac:dyDescent="0.2">
      <c r="B163" s="672" t="s">
        <v>264</v>
      </c>
      <c r="C163" s="1316" t="s">
        <v>53</v>
      </c>
      <c r="D163" s="1316"/>
      <c r="E163" s="1316"/>
      <c r="F163" s="1316"/>
      <c r="G163" s="1242">
        <v>0</v>
      </c>
      <c r="H163" s="650"/>
      <c r="I163" s="650"/>
      <c r="J163" s="650"/>
      <c r="K163" s="2726">
        <f>('5. T4 FINANCING PLAN'!G43)/1000</f>
        <v>0</v>
      </c>
      <c r="L163" s="2727"/>
      <c r="M163" s="2726">
        <f>('5. T4 FINANCING PLAN'!H43)/1000</f>
        <v>0</v>
      </c>
      <c r="N163" s="2727"/>
      <c r="O163" s="2726">
        <f>('5. T4 FINANCING PLAN'!I43)/1000</f>
        <v>0</v>
      </c>
      <c r="P163" s="2727"/>
      <c r="Q163" s="2726">
        <f>('5. T4 FINANCING PLAN'!J43)/1000</f>
        <v>0</v>
      </c>
      <c r="R163" s="2733"/>
    </row>
    <row r="164" spans="1:18" ht="12" customHeight="1" x14ac:dyDescent="0.2">
      <c r="B164" s="130"/>
      <c r="C164" s="490"/>
      <c r="D164" s="490"/>
      <c r="E164" s="490"/>
      <c r="F164" s="490"/>
      <c r="G164" s="499"/>
      <c r="H164" s="463"/>
      <c r="I164" s="463"/>
      <c r="J164" s="463"/>
      <c r="K164" s="774"/>
      <c r="L164" s="774"/>
      <c r="M164" s="774"/>
      <c r="N164" s="774"/>
      <c r="O164" s="774"/>
      <c r="P164" s="774"/>
      <c r="Q164" s="774"/>
      <c r="R164" s="774"/>
    </row>
    <row r="165" spans="1:18" ht="12" customHeight="1" x14ac:dyDescent="0.2">
      <c r="B165" s="440">
        <f>'Front Page'!F6</f>
        <v>0</v>
      </c>
      <c r="C165" s="438"/>
      <c r="D165" s="438"/>
      <c r="E165" s="438"/>
      <c r="F165" s="438"/>
      <c r="G165" s="439"/>
      <c r="H165" s="439"/>
      <c r="I165" s="439"/>
      <c r="J165" s="439"/>
      <c r="K165" s="439"/>
      <c r="L165" s="439"/>
      <c r="M165" s="439"/>
      <c r="N165" s="439"/>
      <c r="O165" s="439"/>
      <c r="P165" s="439"/>
      <c r="Q165" s="439"/>
      <c r="R165" s="686"/>
    </row>
    <row r="166" spans="1:18" x14ac:dyDescent="0.2">
      <c r="B166" s="2571" t="str">
        <f>'Front Page'!G8</f>
        <v>Enontekiö, Kittilä, Kolari, Muonio, Pello</v>
      </c>
      <c r="C166" s="2571"/>
      <c r="D166" s="2571"/>
      <c r="E166" s="2571"/>
      <c r="F166" s="2571"/>
      <c r="G166" s="2571"/>
      <c r="H166" s="2571"/>
      <c r="I166" s="2571"/>
      <c r="J166" s="2571"/>
      <c r="K166" s="2571"/>
      <c r="L166" s="2571"/>
      <c r="M166" s="2571"/>
      <c r="N166" s="85"/>
      <c r="O166" s="85"/>
      <c r="P166" s="85"/>
      <c r="Q166" s="85"/>
      <c r="R166" s="85" t="s">
        <v>333</v>
      </c>
    </row>
    <row r="167" spans="1:18" ht="12" customHeight="1" x14ac:dyDescent="0.2">
      <c r="B167" s="130"/>
      <c r="C167" s="490"/>
      <c r="D167" s="490"/>
      <c r="E167" s="490"/>
      <c r="F167" s="490"/>
      <c r="G167" s="499"/>
      <c r="H167" s="463"/>
      <c r="I167" s="463"/>
      <c r="J167" s="463"/>
      <c r="K167" s="683"/>
      <c r="L167" s="683"/>
      <c r="M167" s="683"/>
      <c r="N167" s="683"/>
      <c r="O167" s="683"/>
      <c r="P167" s="683"/>
      <c r="Q167" s="683"/>
      <c r="R167" s="683"/>
    </row>
    <row r="168" spans="1:18" ht="11.25" customHeight="1" x14ac:dyDescent="0.2">
      <c r="B168" s="184" t="s">
        <v>0</v>
      </c>
      <c r="C168" s="519" t="s">
        <v>0</v>
      </c>
      <c r="F168" s="138"/>
      <c r="G168" s="129"/>
      <c r="H168" s="129"/>
      <c r="I168" s="129"/>
      <c r="J168" s="129"/>
      <c r="L168" s="129"/>
      <c r="M168" s="2615"/>
      <c r="N168" s="2616"/>
      <c r="O168" s="587"/>
      <c r="P168" s="587"/>
      <c r="Q168" s="443"/>
      <c r="R168" s="153"/>
    </row>
    <row r="169" spans="1:18" ht="11.25" customHeight="1" x14ac:dyDescent="0.2">
      <c r="B169" s="2617">
        <f>B7</f>
        <v>0</v>
      </c>
      <c r="C169" s="2617"/>
      <c r="D169" s="2617"/>
      <c r="E169" s="2617"/>
      <c r="F169" s="2617"/>
      <c r="G169" s="2617"/>
      <c r="H169" s="2617"/>
      <c r="I169" s="2617"/>
      <c r="J169" s="2617"/>
      <c r="L169" s="587"/>
      <c r="M169" s="2618"/>
      <c r="N169" s="2618"/>
      <c r="O169" s="587"/>
      <c r="P169" s="587"/>
      <c r="Q169" s="443"/>
      <c r="R169" s="153"/>
    </row>
    <row r="170" spans="1:18" ht="11.25" customHeight="1" x14ac:dyDescent="0.2">
      <c r="B170" s="184"/>
      <c r="C170" s="519"/>
      <c r="F170" s="463"/>
      <c r="G170" s="434"/>
      <c r="H170" s="586"/>
      <c r="I170" s="587"/>
      <c r="J170" s="587"/>
      <c r="L170" s="587"/>
      <c r="M170" s="783"/>
      <c r="N170" s="783"/>
      <c r="O170" s="587"/>
      <c r="P170" s="587"/>
      <c r="Q170" s="443"/>
      <c r="R170" s="153"/>
    </row>
    <row r="171" spans="1:18" ht="11.25" customHeight="1" x14ac:dyDescent="0.2">
      <c r="A171">
        <v>0</v>
      </c>
      <c r="B171" s="440"/>
      <c r="C171" s="441"/>
      <c r="D171" s="441"/>
      <c r="E171" s="441"/>
      <c r="F171" s="441"/>
      <c r="G171" s="442"/>
      <c r="H171" s="434"/>
      <c r="I171" s="586"/>
      <c r="J171" s="587"/>
      <c r="K171" s="587"/>
      <c r="L171" s="587"/>
      <c r="M171" s="587"/>
      <c r="N171" s="587"/>
      <c r="O171" s="587"/>
      <c r="P171" s="587"/>
      <c r="Q171" s="443"/>
      <c r="R171" s="153"/>
    </row>
    <row r="172" spans="1:18" ht="11.25" customHeight="1" x14ac:dyDescent="0.2">
      <c r="B172" s="2933" t="s">
        <v>284</v>
      </c>
      <c r="C172" s="2934"/>
      <c r="D172" s="2934"/>
      <c r="E172" s="2934"/>
      <c r="F172" s="2934"/>
      <c r="G172" s="2934"/>
      <c r="H172" s="2934"/>
      <c r="I172" s="1238"/>
      <c r="J172" s="1238"/>
      <c r="K172" s="2747" t="str">
        <f>K135</f>
        <v>Ennuste 1</v>
      </c>
      <c r="L172" s="2748"/>
      <c r="M172" s="2747" t="str">
        <f>M135</f>
        <v>Ennuste 2</v>
      </c>
      <c r="N172" s="2748"/>
      <c r="O172" s="2747" t="str">
        <f>O135</f>
        <v>Ennuste 3</v>
      </c>
      <c r="P172" s="2748"/>
      <c r="Q172" s="2747" t="str">
        <f>Q135</f>
        <v>Ennuste 4</v>
      </c>
      <c r="R172" s="2748"/>
    </row>
    <row r="173" spans="1:18" ht="11.25" customHeight="1" x14ac:dyDescent="0.2">
      <c r="B173" s="2935"/>
      <c r="C173" s="2936"/>
      <c r="D173" s="2936"/>
      <c r="E173" s="2936"/>
      <c r="F173" s="2936"/>
      <c r="G173" s="2936"/>
      <c r="H173" s="2936"/>
      <c r="I173" s="1304"/>
      <c r="J173" s="1304"/>
      <c r="K173" s="2734">
        <f>K136</f>
        <v>2027</v>
      </c>
      <c r="L173" s="2735"/>
      <c r="M173" s="2734">
        <f>M136</f>
        <v>2028</v>
      </c>
      <c r="N173" s="2735"/>
      <c r="O173" s="2734">
        <f>O136</f>
        <v>2029</v>
      </c>
      <c r="P173" s="2735"/>
      <c r="Q173" s="2734">
        <f>Q136</f>
        <v>2030</v>
      </c>
      <c r="R173" s="2735"/>
    </row>
    <row r="174" spans="1:18" ht="12" customHeight="1" x14ac:dyDescent="0.2">
      <c r="B174" s="1239" t="s">
        <v>264</v>
      </c>
      <c r="C174" s="275" t="str">
        <f>'5. T4 FINANCING PLAN'!C47</f>
        <v>Inventory</v>
      </c>
      <c r="D174" s="275"/>
      <c r="E174" s="275"/>
      <c r="F174" s="275"/>
      <c r="G174" s="499"/>
      <c r="H174" s="463"/>
      <c r="I174" s="1235"/>
      <c r="J174" s="1236" t="s">
        <v>27</v>
      </c>
      <c r="K174" s="2730">
        <f>'5. T4 FINANCING PLAN'!G47/1000</f>
        <v>0</v>
      </c>
      <c r="L174" s="2731"/>
      <c r="M174" s="2730">
        <f>'5. T4 FINANCING PLAN'!H47/1000</f>
        <v>0</v>
      </c>
      <c r="N174" s="2731"/>
      <c r="O174" s="2730">
        <f>'5. T4 FINANCING PLAN'!I47/1000</f>
        <v>0</v>
      </c>
      <c r="P174" s="2731"/>
      <c r="Q174" s="2730">
        <f>'5. T4 FINANCING PLAN'!J47/1000</f>
        <v>0</v>
      </c>
      <c r="R174" s="2731"/>
    </row>
    <row r="175" spans="1:18" ht="12" customHeight="1" x14ac:dyDescent="0.2">
      <c r="B175" s="665"/>
      <c r="C175" s="2683" t="str">
        <f>'5. T4 FINANCING PLAN'!C48</f>
        <v>Inventory / turnover (%)</v>
      </c>
      <c r="D175" s="2683"/>
      <c r="E175" s="2683"/>
      <c r="F175" s="2683"/>
      <c r="G175" s="2683"/>
      <c r="H175" s="2683"/>
      <c r="I175" s="2683"/>
      <c r="J175" s="649"/>
      <c r="K175" s="2728">
        <f>'5. T4 FINANCING PLAN'!G48</f>
        <v>0</v>
      </c>
      <c r="L175" s="2729"/>
      <c r="M175" s="2728">
        <f>'5. T4 FINANCING PLAN'!H48</f>
        <v>0</v>
      </c>
      <c r="N175" s="2729"/>
      <c r="O175" s="2728">
        <f>'5. T4 FINANCING PLAN'!I48</f>
        <v>0</v>
      </c>
      <c r="P175" s="2729"/>
      <c r="Q175" s="2728">
        <f>'5. T4 FINANCING PLAN'!J48</f>
        <v>0</v>
      </c>
      <c r="R175" s="2729"/>
    </row>
    <row r="176" spans="1:18" ht="12" customHeight="1" x14ac:dyDescent="0.2">
      <c r="B176" s="1240" t="s">
        <v>265</v>
      </c>
      <c r="C176" s="588" t="str">
        <f>'5. T4 FINANCING PLAN'!C49</f>
        <v>Trade receivables</v>
      </c>
      <c r="D176" s="588"/>
      <c r="E176" s="588"/>
      <c r="F176" s="588"/>
      <c r="G176" s="666"/>
      <c r="H176" s="653"/>
      <c r="I176" s="667"/>
      <c r="J176" s="668" t="s">
        <v>27</v>
      </c>
      <c r="K176" s="2695">
        <f>'5. T4 FINANCING PLAN'!G49/1000</f>
        <v>0</v>
      </c>
      <c r="L176" s="2696"/>
      <c r="M176" s="2695">
        <f>'5. T4 FINANCING PLAN'!H49/1000</f>
        <v>0</v>
      </c>
      <c r="N176" s="2696"/>
      <c r="O176" s="2695">
        <f>'5. T4 FINANCING PLAN'!I49/1000</f>
        <v>0</v>
      </c>
      <c r="P176" s="2696"/>
      <c r="Q176" s="2695">
        <f>'5. T4 FINANCING PLAN'!J49/1000</f>
        <v>0</v>
      </c>
      <c r="R176" s="2696"/>
    </row>
    <row r="177" spans="1:22" ht="12" customHeight="1" x14ac:dyDescent="0.2">
      <c r="B177" s="665"/>
      <c r="C177" s="2906" t="str">
        <f>'5. T4 FINANCING PLAN'!C50</f>
        <v>Trade receivables paid (in days)</v>
      </c>
      <c r="D177" s="2906"/>
      <c r="E177" s="2906"/>
      <c r="F177" s="2906"/>
      <c r="G177" s="2906"/>
      <c r="H177" s="2906"/>
      <c r="I177" s="2906"/>
      <c r="J177" s="1237"/>
      <c r="K177" s="2697">
        <f>'5. T4 FINANCING PLAN'!G50</f>
        <v>14</v>
      </c>
      <c r="L177" s="2698"/>
      <c r="M177" s="2697">
        <f>'5. T4 FINANCING PLAN'!H50</f>
        <v>14</v>
      </c>
      <c r="N177" s="2698"/>
      <c r="O177" s="2697">
        <f>'5. T4 FINANCING PLAN'!I50</f>
        <v>14</v>
      </c>
      <c r="P177" s="2698"/>
      <c r="Q177" s="2697">
        <f>'5. T4 FINANCING PLAN'!J50</f>
        <v>14</v>
      </c>
      <c r="R177" s="2698"/>
    </row>
    <row r="178" spans="1:22" ht="12" customHeight="1" x14ac:dyDescent="0.2">
      <c r="B178" s="1240" t="s">
        <v>266</v>
      </c>
      <c r="C178" s="588" t="str">
        <f>'5. T4 FINANCING PLAN'!C51</f>
        <v>Other receivables</v>
      </c>
      <c r="D178" s="588"/>
      <c r="E178" s="588"/>
      <c r="F178" s="588"/>
      <c r="G178" s="666"/>
      <c r="H178" s="653"/>
      <c r="I178" s="667"/>
      <c r="J178" s="668" t="s">
        <v>27</v>
      </c>
      <c r="K178" s="2695">
        <f>'5. T4 FINANCING PLAN'!G51/1000</f>
        <v>0</v>
      </c>
      <c r="L178" s="2696"/>
      <c r="M178" s="2695">
        <f>'5. T4 FINANCING PLAN'!H51/1000</f>
        <v>0</v>
      </c>
      <c r="N178" s="2696"/>
      <c r="O178" s="2695">
        <f>'5. T4 FINANCING PLAN'!I51/1000</f>
        <v>0</v>
      </c>
      <c r="P178" s="2696"/>
      <c r="Q178" s="2695">
        <f>'5. T4 FINANCING PLAN'!J51/1000</f>
        <v>0</v>
      </c>
      <c r="R178" s="2696"/>
    </row>
    <row r="179" spans="1:22" ht="12" customHeight="1" x14ac:dyDescent="0.2">
      <c r="B179" s="1240" t="s">
        <v>267</v>
      </c>
      <c r="C179" s="588" t="str">
        <f>'5. T4 FINANCING PLAN'!C52</f>
        <v>Accrued income</v>
      </c>
      <c r="D179" s="588"/>
      <c r="E179" s="588"/>
      <c r="F179" s="588"/>
      <c r="G179" s="666"/>
      <c r="H179" s="653"/>
      <c r="I179" s="667"/>
      <c r="J179" s="668" t="s">
        <v>27</v>
      </c>
      <c r="K179" s="2695">
        <f>'5. T4 FINANCING PLAN'!G52/1000</f>
        <v>0</v>
      </c>
      <c r="L179" s="2696"/>
      <c r="M179" s="2695">
        <f>'5. T4 FINANCING PLAN'!H52/1000</f>
        <v>0</v>
      </c>
      <c r="N179" s="2696"/>
      <c r="O179" s="2695">
        <f>'5. T4 FINANCING PLAN'!I52/1000</f>
        <v>0</v>
      </c>
      <c r="P179" s="2696"/>
      <c r="Q179" s="2695">
        <f>'5. T4 FINANCING PLAN'!J52/1000</f>
        <v>0</v>
      </c>
      <c r="R179" s="2696"/>
    </row>
    <row r="180" spans="1:22" ht="12" customHeight="1" x14ac:dyDescent="0.2">
      <c r="B180" s="1240" t="s">
        <v>268</v>
      </c>
      <c r="C180" s="588" t="str" cm="1">
        <f t="array" ref="C180:D180">'5. T4 FINANCING PLAN'!C53:D53</f>
        <v>Receivables from partial revenue recognition</v>
      </c>
      <c r="D180" s="588">
        <v>0</v>
      </c>
      <c r="E180" s="588"/>
      <c r="F180" s="588"/>
      <c r="G180" s="666"/>
      <c r="H180" s="653"/>
      <c r="I180" s="667"/>
      <c r="J180" s="668" t="s">
        <v>27</v>
      </c>
      <c r="K180" s="2695">
        <f>'5. T4 FINANCING PLAN'!G53/1000</f>
        <v>0</v>
      </c>
      <c r="L180" s="2696"/>
      <c r="M180" s="2695">
        <f>'5. T4 FINANCING PLAN'!H53/1000</f>
        <v>0</v>
      </c>
      <c r="N180" s="2696"/>
      <c r="O180" s="2695">
        <f>'5. T4 FINANCING PLAN'!I53/1000</f>
        <v>0</v>
      </c>
      <c r="P180" s="2696"/>
      <c r="Q180" s="2695">
        <f>'5. T4 FINANCING PLAN'!J53/1000</f>
        <v>0</v>
      </c>
      <c r="R180" s="2696"/>
    </row>
    <row r="181" spans="1:22" ht="12" customHeight="1" x14ac:dyDescent="0.2">
      <c r="B181" s="1240"/>
      <c r="C181" s="2683" t="str">
        <f>'5. T4 FINANCING PLAN'!C54</f>
        <v>Partial revenue share of turnover (%)</v>
      </c>
      <c r="D181" s="2683"/>
      <c r="E181" s="2683"/>
      <c r="F181" s="2683"/>
      <c r="G181" s="2683"/>
      <c r="H181" s="2683"/>
      <c r="I181" s="2683"/>
      <c r="J181" s="649"/>
      <c r="K181" s="2728">
        <f>'5. T4 FINANCING PLAN'!G54</f>
        <v>0</v>
      </c>
      <c r="L181" s="2729"/>
      <c r="M181" s="2728">
        <f>'5. T4 FINANCING PLAN'!H54</f>
        <v>0</v>
      </c>
      <c r="N181" s="2729"/>
      <c r="O181" s="2728">
        <f>'5. T4 FINANCING PLAN'!I54</f>
        <v>0</v>
      </c>
      <c r="P181" s="2729"/>
      <c r="Q181" s="2728">
        <f>'5. T4 FINANCING PLAN'!J54</f>
        <v>0</v>
      </c>
      <c r="R181" s="2729"/>
    </row>
    <row r="182" spans="1:22" ht="12" customHeight="1" x14ac:dyDescent="0.2">
      <c r="B182" s="1240" t="s">
        <v>269</v>
      </c>
      <c r="C182" s="588" t="str">
        <f>'5. T4 FINANCING PLAN'!C55</f>
        <v>Accounts payable</v>
      </c>
      <c r="D182" s="588"/>
      <c r="E182" s="588"/>
      <c r="F182" s="588"/>
      <c r="G182" s="666"/>
      <c r="H182" s="653"/>
      <c r="I182" s="667"/>
      <c r="J182" s="668" t="s">
        <v>28</v>
      </c>
      <c r="K182" s="2736">
        <f>'5. T4 FINANCING PLAN'!G55/1000</f>
        <v>0</v>
      </c>
      <c r="L182" s="2737"/>
      <c r="M182" s="2736">
        <f>'5. T4 FINANCING PLAN'!H55/1000</f>
        <v>0</v>
      </c>
      <c r="N182" s="2737"/>
      <c r="O182" s="2736">
        <f>'5. T4 FINANCING PLAN'!I55/1000</f>
        <v>0</v>
      </c>
      <c r="P182" s="2737"/>
      <c r="Q182" s="2736">
        <f>'5. T4 FINANCING PLAN'!J55/1000</f>
        <v>0</v>
      </c>
      <c r="R182" s="2737"/>
    </row>
    <row r="183" spans="1:22" ht="12" customHeight="1" x14ac:dyDescent="0.2">
      <c r="B183" s="1240"/>
      <c r="C183" s="2683" t="str">
        <f>'5. T4 FINANCING PLAN'!C56</f>
        <v>Accounts payable turnover (days)</v>
      </c>
      <c r="D183" s="2683"/>
      <c r="E183" s="2683"/>
      <c r="F183" s="2683"/>
      <c r="G183" s="2683"/>
      <c r="H183" s="2683"/>
      <c r="I183" s="2683"/>
      <c r="J183" s="649"/>
      <c r="K183" s="2745">
        <f>'5. T4 FINANCING PLAN'!G56</f>
        <v>14</v>
      </c>
      <c r="L183" s="2746"/>
      <c r="M183" s="2745">
        <f>'5. T4 FINANCING PLAN'!H56</f>
        <v>14</v>
      </c>
      <c r="N183" s="2746"/>
      <c r="O183" s="2745">
        <f>'5. T4 FINANCING PLAN'!I56</f>
        <v>14</v>
      </c>
      <c r="P183" s="2746"/>
      <c r="Q183" s="2745">
        <f>'5. T4 FINANCING PLAN'!J56</f>
        <v>14</v>
      </c>
      <c r="R183" s="2746"/>
      <c r="V183">
        <v>0</v>
      </c>
    </row>
    <row r="184" spans="1:22" ht="12" customHeight="1" x14ac:dyDescent="0.2">
      <c r="B184" s="1240" t="s">
        <v>270</v>
      </c>
      <c r="C184" s="588" t="str">
        <f>'5. T4 FINANCING PLAN'!C57</f>
        <v>Advance payments received</v>
      </c>
      <c r="D184" s="588"/>
      <c r="E184" s="588"/>
      <c r="F184" s="588"/>
      <c r="G184" s="666"/>
      <c r="H184" s="653"/>
      <c r="I184" s="667"/>
      <c r="J184" s="668" t="s">
        <v>28</v>
      </c>
      <c r="K184" s="2695">
        <f>'5. T4 FINANCING PLAN'!G57/1000</f>
        <v>0</v>
      </c>
      <c r="L184" s="2696"/>
      <c r="M184" s="2695">
        <f>'5. T4 FINANCING PLAN'!H57/1000</f>
        <v>0</v>
      </c>
      <c r="N184" s="2696"/>
      <c r="O184" s="2695">
        <f>'5. T4 FINANCING PLAN'!I57/1000</f>
        <v>0</v>
      </c>
      <c r="P184" s="2696"/>
      <c r="Q184" s="2695">
        <f>'5. T4 FINANCING PLAN'!J57/1000</f>
        <v>0</v>
      </c>
      <c r="R184" s="2696"/>
    </row>
    <row r="185" spans="1:22" ht="12" customHeight="1" x14ac:dyDescent="0.2">
      <c r="B185" s="1240"/>
      <c r="C185" s="2683" t="str">
        <f>'5. T4 FINANCING PLAN'!C58</f>
        <v>Advance payments share of turnover (%)</v>
      </c>
      <c r="D185" s="2683"/>
      <c r="E185" s="2683"/>
      <c r="F185" s="2683"/>
      <c r="G185" s="2683"/>
      <c r="H185" s="2683"/>
      <c r="I185" s="2683"/>
      <c r="J185" s="762"/>
      <c r="K185" s="2728">
        <f>'5. T4 FINANCING PLAN'!G58</f>
        <v>0</v>
      </c>
      <c r="L185" s="2729"/>
      <c r="M185" s="2728">
        <f>'5. T4 FINANCING PLAN'!H58</f>
        <v>0</v>
      </c>
      <c r="N185" s="2729"/>
      <c r="O185" s="2728">
        <f>'5. T4 FINANCING PLAN'!I58</f>
        <v>0</v>
      </c>
      <c r="P185" s="2729"/>
      <c r="Q185" s="2728">
        <f>'5. T4 FINANCING PLAN'!J58</f>
        <v>0</v>
      </c>
      <c r="R185" s="2729"/>
    </row>
    <row r="186" spans="1:22" ht="12" customHeight="1" x14ac:dyDescent="0.2">
      <c r="B186" s="1240" t="s">
        <v>271</v>
      </c>
      <c r="C186" s="588" t="str">
        <f>'5. T4 FINANCING PLAN'!C59</f>
        <v>Working capital</v>
      </c>
      <c r="D186" s="588"/>
      <c r="E186" s="588"/>
      <c r="F186" s="588"/>
      <c r="G186" s="666"/>
      <c r="H186" s="653"/>
      <c r="I186" s="667"/>
      <c r="J186" s="668" t="s">
        <v>70</v>
      </c>
      <c r="K186" s="2695">
        <f>'5. T4 FINANCING PLAN'!G59/1000</f>
        <v>0</v>
      </c>
      <c r="L186" s="2696"/>
      <c r="M186" s="2695">
        <f>'5. T4 FINANCING PLAN'!H59/1000</f>
        <v>0</v>
      </c>
      <c r="N186" s="2696"/>
      <c r="O186" s="2695">
        <f>'5. T4 FINANCING PLAN'!I59/1000</f>
        <v>0</v>
      </c>
      <c r="P186" s="2696"/>
      <c r="Q186" s="2695">
        <f>'5. T4 FINANCING PLAN'!J59/1000</f>
        <v>0</v>
      </c>
      <c r="R186" s="2696"/>
    </row>
    <row r="187" spans="1:22" ht="12" customHeight="1" x14ac:dyDescent="0.2">
      <c r="B187" s="1241" t="s">
        <v>272</v>
      </c>
      <c r="C187" s="1157" t="str">
        <f>'5. T4 FINANCING PLAN'!C60</f>
        <v>Change in working capital</v>
      </c>
      <c r="D187" s="1157"/>
      <c r="E187" s="1157"/>
      <c r="F187" s="1157"/>
      <c r="G187" s="1242"/>
      <c r="H187" s="650"/>
      <c r="I187" s="1243"/>
      <c r="J187" s="1244" t="s">
        <v>41</v>
      </c>
      <c r="K187" s="2750" t="s">
        <v>0</v>
      </c>
      <c r="L187" s="2751"/>
      <c r="M187" s="2740">
        <f>'5. T4 FINANCING PLAN'!H60/1000</f>
        <v>0</v>
      </c>
      <c r="N187" s="2741"/>
      <c r="O187" s="2740">
        <f>'5. T4 FINANCING PLAN'!I60/1000</f>
        <v>0</v>
      </c>
      <c r="P187" s="2741"/>
      <c r="Q187" s="2740">
        <f>'5. T4 FINANCING PLAN'!J60/1000</f>
        <v>0</v>
      </c>
      <c r="R187" s="2741"/>
    </row>
    <row r="188" spans="1:22" ht="12" customHeight="1" x14ac:dyDescent="0.2">
      <c r="B188" s="749"/>
      <c r="C188" s="749"/>
      <c r="D188" s="749"/>
      <c r="E188" s="749"/>
      <c r="F188" s="749"/>
      <c r="G188" s="750"/>
      <c r="H188" s="751"/>
      <c r="I188" s="752"/>
      <c r="J188" s="753"/>
      <c r="K188" s="754"/>
      <c r="L188" s="754"/>
      <c r="M188" s="754"/>
      <c r="N188" s="754"/>
      <c r="O188" s="754"/>
      <c r="P188" s="754"/>
      <c r="Q188" s="754"/>
      <c r="R188" s="754"/>
    </row>
    <row r="189" spans="1:22" ht="11.25" customHeight="1" x14ac:dyDescent="0.2">
      <c r="B189" s="440"/>
      <c r="C189" s="441"/>
      <c r="D189" s="441"/>
      <c r="E189" s="441"/>
      <c r="F189" s="441"/>
      <c r="G189" s="442"/>
      <c r="H189" s="434"/>
      <c r="I189" s="586"/>
      <c r="J189" s="587"/>
      <c r="K189" s="587"/>
      <c r="L189" s="587"/>
      <c r="M189" s="587"/>
      <c r="N189" s="587"/>
      <c r="O189" s="587"/>
      <c r="P189" s="587"/>
      <c r="Q189" s="443"/>
      <c r="R189" s="153"/>
    </row>
    <row r="190" spans="1:22" ht="11.25" customHeight="1" x14ac:dyDescent="0.2">
      <c r="B190" s="184" t="s">
        <v>286</v>
      </c>
      <c r="C190" s="76"/>
      <c r="G190" s="434"/>
      <c r="H190" s="586"/>
      <c r="I190" s="587"/>
      <c r="J190" s="587"/>
      <c r="L190" s="587"/>
      <c r="O190" s="587"/>
      <c r="P190" s="587"/>
      <c r="Q190" s="443"/>
      <c r="R190" s="153"/>
    </row>
    <row r="191" spans="1:22" ht="11.25" customHeight="1" x14ac:dyDescent="0.2">
      <c r="A191">
        <v>0</v>
      </c>
      <c r="B191" s="440"/>
      <c r="C191" s="441"/>
      <c r="D191" s="441"/>
      <c r="E191" s="441"/>
      <c r="F191" s="441"/>
      <c r="G191" s="442"/>
      <c r="H191" s="434"/>
      <c r="I191" s="586"/>
      <c r="J191" s="587"/>
      <c r="K191" s="587"/>
      <c r="L191" s="587"/>
      <c r="M191" s="587"/>
      <c r="N191" s="587"/>
      <c r="O191" s="587"/>
      <c r="P191" s="587"/>
      <c r="Q191" s="443"/>
      <c r="R191" s="153"/>
    </row>
    <row r="192" spans="1:22" ht="11.25" customHeight="1" x14ac:dyDescent="0.2">
      <c r="B192" s="2913" t="s">
        <v>329</v>
      </c>
      <c r="C192" s="2914"/>
      <c r="D192" s="2707" t="s">
        <v>190</v>
      </c>
      <c r="E192" s="2754" t="s">
        <v>324</v>
      </c>
      <c r="F192" s="2756" t="s">
        <v>56</v>
      </c>
      <c r="G192" s="2709" t="s">
        <v>48</v>
      </c>
      <c r="H192" s="2710"/>
      <c r="I192" s="2711"/>
      <c r="J192" s="2715" t="str">
        <f>'2. T7 LOANS'!I9</f>
        <v>Forecast 2</v>
      </c>
      <c r="K192" s="2716"/>
      <c r="L192" s="2717"/>
      <c r="M192" s="2721" t="s">
        <v>44</v>
      </c>
      <c r="N192" s="2722"/>
      <c r="O192" s="2723"/>
      <c r="P192" s="2716" t="s">
        <v>146</v>
      </c>
      <c r="Q192" s="2716"/>
      <c r="R192" s="2717"/>
    </row>
    <row r="193" spans="2:21" ht="11.25" customHeight="1" x14ac:dyDescent="0.2">
      <c r="B193" s="2915"/>
      <c r="C193" s="2916"/>
      <c r="D193" s="2708"/>
      <c r="E193" s="2755"/>
      <c r="F193" s="2757"/>
      <c r="G193" s="2712"/>
      <c r="H193" s="2713"/>
      <c r="I193" s="2714"/>
      <c r="J193" s="2718"/>
      <c r="K193" s="2719"/>
      <c r="L193" s="2720"/>
      <c r="M193" s="2712"/>
      <c r="N193" s="2713"/>
      <c r="O193" s="2714"/>
      <c r="P193" s="2719"/>
      <c r="Q193" s="2719"/>
      <c r="R193" s="2720"/>
      <c r="S193" s="519" t="s">
        <v>0</v>
      </c>
    </row>
    <row r="194" spans="2:21" ht="11.25" customHeight="1" x14ac:dyDescent="0.2">
      <c r="B194" s="2915"/>
      <c r="C194" s="2916"/>
      <c r="D194" s="2708"/>
      <c r="E194" s="2755"/>
      <c r="F194" s="2757"/>
      <c r="G194" s="2942">
        <f>G16</f>
        <v>2027</v>
      </c>
      <c r="H194" s="2743"/>
      <c r="I194" s="2744"/>
      <c r="J194" s="2942">
        <f>H16</f>
        <v>2028</v>
      </c>
      <c r="K194" s="2743"/>
      <c r="L194" s="2744"/>
      <c r="M194" s="2942">
        <f>I16</f>
        <v>2029</v>
      </c>
      <c r="N194" s="2743"/>
      <c r="O194" s="2744"/>
      <c r="P194" s="2742">
        <f>J16</f>
        <v>2030</v>
      </c>
      <c r="Q194" s="2743"/>
      <c r="R194" s="2744"/>
    </row>
    <row r="195" spans="2:21" ht="12" customHeight="1" x14ac:dyDescent="0.2">
      <c r="B195" s="1224" t="s">
        <v>280</v>
      </c>
      <c r="C195" s="1498"/>
      <c r="D195" s="2708"/>
      <c r="E195" s="2755"/>
      <c r="F195" s="2757"/>
      <c r="G195" s="1227" t="s">
        <v>62</v>
      </c>
      <c r="H195" s="1474" t="s">
        <v>66</v>
      </c>
      <c r="I195" s="1226" t="s">
        <v>261</v>
      </c>
      <c r="J195" s="1227" t="s">
        <v>62</v>
      </c>
      <c r="K195" s="1474" t="s">
        <v>66</v>
      </c>
      <c r="L195" s="1226" t="s">
        <v>261</v>
      </c>
      <c r="M195" s="1227" t="s">
        <v>62</v>
      </c>
      <c r="N195" s="1474" t="s">
        <v>66</v>
      </c>
      <c r="O195" s="1226" t="s">
        <v>261</v>
      </c>
      <c r="P195" s="1474" t="s">
        <v>62</v>
      </c>
      <c r="Q195" s="1474" t="s">
        <v>66</v>
      </c>
      <c r="R195" s="1226" t="s">
        <v>261</v>
      </c>
    </row>
    <row r="196" spans="2:21" ht="12" customHeight="1" x14ac:dyDescent="0.2">
      <c r="B196" s="2699">
        <f>'2. T7 LOANS'!B13</f>
        <v>0</v>
      </c>
      <c r="C196" s="2700"/>
      <c r="D196" s="1254">
        <f>'2. T7 LOANS'!C13/1000</f>
        <v>0</v>
      </c>
      <c r="E196" s="1245">
        <f>'2. T7 LOANS'!D13</f>
        <v>0</v>
      </c>
      <c r="F196" s="1501">
        <f>'2. T7 LOANS'!E13*100</f>
        <v>0</v>
      </c>
      <c r="G196" s="1513">
        <f>'2. T7 LOANS'!F13/1000</f>
        <v>0</v>
      </c>
      <c r="H196" s="1246">
        <f>'2. T7 LOANS'!G13/1000</f>
        <v>0</v>
      </c>
      <c r="I196" s="1475">
        <f>'2. T7 LOANS'!H13/1000</f>
        <v>0</v>
      </c>
      <c r="J196" s="1513">
        <f>'2. T7 LOANS'!I13/1000</f>
        <v>0</v>
      </c>
      <c r="K196" s="1246">
        <f>'2. T7 LOANS'!J13/1000</f>
        <v>0</v>
      </c>
      <c r="L196" s="1475">
        <f>'2. T7 LOANS'!K13/1000</f>
        <v>0</v>
      </c>
      <c r="M196" s="1513">
        <f>'2. T7 LOANS'!L13/1000</f>
        <v>0</v>
      </c>
      <c r="N196" s="1246">
        <f>'2. T7 LOANS'!M13/1000</f>
        <v>0</v>
      </c>
      <c r="O196" s="1475">
        <f>'2. T7 LOANS'!N13/1000</f>
        <v>0</v>
      </c>
      <c r="P196" s="1254">
        <f>'2. T7 LOANS'!O13/1000</f>
        <v>0</v>
      </c>
      <c r="Q196" s="1246">
        <f>'2. T7 LOANS'!P13/1000</f>
        <v>0</v>
      </c>
      <c r="R196" s="1475">
        <f>'2. T7 LOANS'!Q13/1000</f>
        <v>0</v>
      </c>
      <c r="U196" s="519" t="s">
        <v>188</v>
      </c>
    </row>
    <row r="197" spans="2:21" ht="12" customHeight="1" x14ac:dyDescent="0.2">
      <c r="B197" s="2676">
        <f>'2. T7 LOANS'!B14</f>
        <v>0</v>
      </c>
      <c r="C197" s="2677"/>
      <c r="D197" s="1255">
        <f>'2. T7 LOANS'!C14/1000</f>
        <v>0</v>
      </c>
      <c r="E197" s="1247">
        <f>'2. T7 LOANS'!D14</f>
        <v>0</v>
      </c>
      <c r="F197" s="1502">
        <f>'2. T7 LOANS'!E14*100</f>
        <v>0</v>
      </c>
      <c r="G197" s="1514">
        <f>'2. T7 LOANS'!F14/1000</f>
        <v>0</v>
      </c>
      <c r="H197" s="1248">
        <f>'2. T7 LOANS'!G14/1000</f>
        <v>0</v>
      </c>
      <c r="I197" s="1476">
        <f>'2. T7 LOANS'!H14/1000</f>
        <v>0</v>
      </c>
      <c r="J197" s="1514">
        <f>'2. T7 LOANS'!I14/1000</f>
        <v>0</v>
      </c>
      <c r="K197" s="1248">
        <f>'2. T7 LOANS'!J14/1000</f>
        <v>0</v>
      </c>
      <c r="L197" s="1476">
        <f>'2. T7 LOANS'!K14/1000</f>
        <v>0</v>
      </c>
      <c r="M197" s="1514">
        <f>'2. T7 LOANS'!L14/1000</f>
        <v>0</v>
      </c>
      <c r="N197" s="1248">
        <f>'2. T7 LOANS'!M14/1000</f>
        <v>0</v>
      </c>
      <c r="O197" s="1476">
        <f>'2. T7 LOANS'!N14/1000</f>
        <v>0</v>
      </c>
      <c r="P197" s="1255">
        <f>'2. T7 LOANS'!O14/1000</f>
        <v>0</v>
      </c>
      <c r="Q197" s="1248">
        <f>'2. T7 LOANS'!P14/1000</f>
        <v>0</v>
      </c>
      <c r="R197" s="1476">
        <f>'2. T7 LOANS'!Q14/1000</f>
        <v>0</v>
      </c>
    </row>
    <row r="198" spans="2:21" ht="12" customHeight="1" x14ac:dyDescent="0.2">
      <c r="B198" s="2676">
        <f>'2. T7 LOANS'!B15</f>
        <v>0</v>
      </c>
      <c r="C198" s="2677"/>
      <c r="D198" s="1255">
        <f>'2. T7 LOANS'!C15/1000</f>
        <v>0</v>
      </c>
      <c r="E198" s="1247">
        <f>'2. T7 LOANS'!D15</f>
        <v>0</v>
      </c>
      <c r="F198" s="1502">
        <f>'2. T7 LOANS'!E15*100</f>
        <v>0</v>
      </c>
      <c r="G198" s="1514">
        <f>'2. T7 LOANS'!F15/1000</f>
        <v>0</v>
      </c>
      <c r="H198" s="1248">
        <f>'2. T7 LOANS'!G15/1000</f>
        <v>0</v>
      </c>
      <c r="I198" s="1476">
        <f>'2. T7 LOANS'!H15/1000</f>
        <v>0</v>
      </c>
      <c r="J198" s="1514">
        <f>'2. T7 LOANS'!I15/1000</f>
        <v>0</v>
      </c>
      <c r="K198" s="1248">
        <f>'2. T7 LOANS'!J15/1000</f>
        <v>0</v>
      </c>
      <c r="L198" s="1476">
        <f>'2. T7 LOANS'!K15/1000</f>
        <v>0</v>
      </c>
      <c r="M198" s="1514">
        <f>'2. T7 LOANS'!L15/1000</f>
        <v>0</v>
      </c>
      <c r="N198" s="1248">
        <f>'2. T7 LOANS'!M15/1000</f>
        <v>0</v>
      </c>
      <c r="O198" s="1476">
        <f>'2. T7 LOANS'!N15/1000</f>
        <v>0</v>
      </c>
      <c r="P198" s="1255">
        <f>'2. T7 LOANS'!O15/1000</f>
        <v>0</v>
      </c>
      <c r="Q198" s="1248">
        <f>'2. T7 LOANS'!P15/1000</f>
        <v>0</v>
      </c>
      <c r="R198" s="1476">
        <f>'2. T7 LOANS'!Q15/1000</f>
        <v>0</v>
      </c>
    </row>
    <row r="199" spans="2:21" ht="12" customHeight="1" x14ac:dyDescent="0.2">
      <c r="B199" s="2676">
        <f>'2. T7 LOANS'!B16</f>
        <v>0</v>
      </c>
      <c r="C199" s="2677"/>
      <c r="D199" s="1255">
        <f>'2. T7 LOANS'!C16/1000</f>
        <v>0</v>
      </c>
      <c r="E199" s="1247">
        <f>'2. T7 LOANS'!D16</f>
        <v>0</v>
      </c>
      <c r="F199" s="1502">
        <f>'2. T7 LOANS'!E16*100</f>
        <v>0</v>
      </c>
      <c r="G199" s="1514">
        <f>'2. T7 LOANS'!F16/1000</f>
        <v>0</v>
      </c>
      <c r="H199" s="1248">
        <f>'2. T7 LOANS'!G16/1000</f>
        <v>0</v>
      </c>
      <c r="I199" s="1476">
        <f>'2. T7 LOANS'!H16/1000</f>
        <v>0</v>
      </c>
      <c r="J199" s="1514">
        <f>'2. T7 LOANS'!I16/1000</f>
        <v>0</v>
      </c>
      <c r="K199" s="1248">
        <f>'2. T7 LOANS'!J16/1000</f>
        <v>0</v>
      </c>
      <c r="L199" s="1476">
        <f>'2. T7 LOANS'!K16/1000</f>
        <v>0</v>
      </c>
      <c r="M199" s="1514">
        <f>'2. T7 LOANS'!L16/1000</f>
        <v>0</v>
      </c>
      <c r="N199" s="1248">
        <f>'2. T7 LOANS'!M16/1000</f>
        <v>0</v>
      </c>
      <c r="O199" s="1476">
        <f>'2. T7 LOANS'!N16/1000</f>
        <v>0</v>
      </c>
      <c r="P199" s="1255">
        <f>'2. T7 LOANS'!O16/1000</f>
        <v>0</v>
      </c>
      <c r="Q199" s="1248">
        <f>'2. T7 LOANS'!P16/1000</f>
        <v>0</v>
      </c>
      <c r="R199" s="1476">
        <f>'2. T7 LOANS'!Q16/1000</f>
        <v>0</v>
      </c>
    </row>
    <row r="200" spans="2:21" ht="12" customHeight="1" x14ac:dyDescent="0.2">
      <c r="B200" s="1225" t="s">
        <v>281</v>
      </c>
      <c r="C200" s="1499"/>
      <c r="D200" s="1216"/>
      <c r="E200" s="1216"/>
      <c r="F200" s="1503"/>
      <c r="G200" s="1228" t="s">
        <v>62</v>
      </c>
      <c r="H200" s="1228" t="s">
        <v>66</v>
      </c>
      <c r="I200" s="1228" t="s">
        <v>261</v>
      </c>
      <c r="J200" s="1228" t="s">
        <v>62</v>
      </c>
      <c r="K200" s="1228" t="s">
        <v>66</v>
      </c>
      <c r="L200" s="1228" t="s">
        <v>261</v>
      </c>
      <c r="M200" s="1228" t="s">
        <v>62</v>
      </c>
      <c r="N200" s="1228" t="s">
        <v>66</v>
      </c>
      <c r="O200" s="1228" t="s">
        <v>261</v>
      </c>
      <c r="P200" s="1226" t="s">
        <v>62</v>
      </c>
      <c r="Q200" s="1228" t="s">
        <v>66</v>
      </c>
      <c r="R200" s="1226" t="s">
        <v>261</v>
      </c>
    </row>
    <row r="201" spans="2:21" ht="12" customHeight="1" x14ac:dyDescent="0.2">
      <c r="B201" s="2699">
        <f>'2. T7 LOANS'!B18</f>
        <v>0</v>
      </c>
      <c r="C201" s="2700"/>
      <c r="D201" s="1254">
        <f>'2. T7 LOANS'!C18/1000</f>
        <v>0</v>
      </c>
      <c r="E201" s="1245">
        <f>'2. T7 LOANS'!D18</f>
        <v>0</v>
      </c>
      <c r="F201" s="1501">
        <f>'2. T7 LOANS'!E18*100</f>
        <v>0</v>
      </c>
      <c r="G201" s="1513">
        <f>'2. T7 LOANS'!F18/1000</f>
        <v>0</v>
      </c>
      <c r="H201" s="1246">
        <f>'2. T7 LOANS'!G18/1000</f>
        <v>0</v>
      </c>
      <c r="I201" s="1475">
        <f>'2. T7 LOANS'!H18/1000</f>
        <v>0</v>
      </c>
      <c r="J201" s="1513">
        <f>'2. T7 LOANS'!I18/1000</f>
        <v>0</v>
      </c>
      <c r="K201" s="1246">
        <f>'2. T7 LOANS'!J18/1000</f>
        <v>0</v>
      </c>
      <c r="L201" s="1475">
        <f>'2. T7 LOANS'!K18/1000</f>
        <v>0</v>
      </c>
      <c r="M201" s="1513">
        <f>'2. T7 LOANS'!L18/1000</f>
        <v>0</v>
      </c>
      <c r="N201" s="1246">
        <f>'2. T7 LOANS'!M18/1000</f>
        <v>0</v>
      </c>
      <c r="O201" s="1475">
        <f>'2. T7 LOANS'!N18/1000</f>
        <v>0</v>
      </c>
      <c r="P201" s="1254">
        <f>'2. T7 LOANS'!O18/1000</f>
        <v>0</v>
      </c>
      <c r="Q201" s="1246">
        <f>'2. T7 LOANS'!P18/1000</f>
        <v>0</v>
      </c>
      <c r="R201" s="1475">
        <f>'2. T7 LOANS'!Q18/1000</f>
        <v>0</v>
      </c>
    </row>
    <row r="202" spans="2:21" ht="12" customHeight="1" x14ac:dyDescent="0.2">
      <c r="B202" s="2703">
        <f>'2. T7 LOANS'!B19</f>
        <v>0</v>
      </c>
      <c r="C202" s="2704"/>
      <c r="D202" s="1255">
        <f>'2. T7 LOANS'!C19/1000</f>
        <v>0</v>
      </c>
      <c r="E202" s="1247">
        <f>'2. T7 LOANS'!D19</f>
        <v>0</v>
      </c>
      <c r="F202" s="1502">
        <f>'2. T7 LOANS'!E19*100</f>
        <v>0</v>
      </c>
      <c r="G202" s="1514">
        <f>'2. T7 LOANS'!F19/1000</f>
        <v>0</v>
      </c>
      <c r="H202" s="1248">
        <f>'2. T7 LOANS'!G19/1000</f>
        <v>0</v>
      </c>
      <c r="I202" s="1476">
        <f>'2. T7 LOANS'!H19/1000</f>
        <v>0</v>
      </c>
      <c r="J202" s="1514">
        <f>'2. T7 LOANS'!I19/1000</f>
        <v>0</v>
      </c>
      <c r="K202" s="1248">
        <f>'2. T7 LOANS'!J19/1000</f>
        <v>0</v>
      </c>
      <c r="L202" s="1476">
        <f>'2. T7 LOANS'!K19/1000</f>
        <v>0</v>
      </c>
      <c r="M202" s="1514">
        <f>'2. T7 LOANS'!L19/1000</f>
        <v>0</v>
      </c>
      <c r="N202" s="1248">
        <f>'2. T7 LOANS'!M19/1000</f>
        <v>0</v>
      </c>
      <c r="O202" s="1476">
        <f>'2. T7 LOANS'!N19/1000</f>
        <v>0</v>
      </c>
      <c r="P202" s="1255">
        <f>'2. T7 LOANS'!O19/1000</f>
        <v>0</v>
      </c>
      <c r="Q202" s="1248">
        <f>'2. T7 LOANS'!P19/1000</f>
        <v>0</v>
      </c>
      <c r="R202" s="1476">
        <f>'2. T7 LOANS'!Q19/1000</f>
        <v>0</v>
      </c>
    </row>
    <row r="203" spans="2:21" ht="12" customHeight="1" x14ac:dyDescent="0.2">
      <c r="B203" s="2699">
        <f>'2. T7 LOANS'!B20</f>
        <v>0</v>
      </c>
      <c r="C203" s="2700"/>
      <c r="D203" s="1256">
        <f>'2. T7 LOANS'!C20/1000</f>
        <v>0</v>
      </c>
      <c r="E203" s="1249">
        <f>'2. T7 LOANS'!D20</f>
        <v>0</v>
      </c>
      <c r="F203" s="1504">
        <f>'2. T7 LOANS'!E20*100</f>
        <v>0</v>
      </c>
      <c r="G203" s="1515">
        <f>'2. T7 LOANS'!F20/1000</f>
        <v>0</v>
      </c>
      <c r="H203" s="1250">
        <f>'2. T7 LOANS'!G20/1000</f>
        <v>0</v>
      </c>
      <c r="I203" s="1477">
        <f>'2. T7 LOANS'!H20/1000</f>
        <v>0</v>
      </c>
      <c r="J203" s="1515">
        <f>'2. T7 LOANS'!I20/1000</f>
        <v>0</v>
      </c>
      <c r="K203" s="1250">
        <f>'2. T7 LOANS'!J20/1000</f>
        <v>0</v>
      </c>
      <c r="L203" s="1477">
        <f>'2. T7 LOANS'!K20/1000</f>
        <v>0</v>
      </c>
      <c r="M203" s="1515">
        <f>'2. T7 LOANS'!L20/1000</f>
        <v>0</v>
      </c>
      <c r="N203" s="1250">
        <f>'2. T7 LOANS'!M20/1000</f>
        <v>0</v>
      </c>
      <c r="O203" s="1477">
        <f>'2. T7 LOANS'!N20/1000</f>
        <v>0</v>
      </c>
      <c r="P203" s="1256">
        <f>'2. T7 LOANS'!O20/1000</f>
        <v>0</v>
      </c>
      <c r="Q203" s="1250">
        <f>'2. T7 LOANS'!P20/1000</f>
        <v>0</v>
      </c>
      <c r="R203" s="1477">
        <f>'2. T7 LOANS'!Q20/1000</f>
        <v>0</v>
      </c>
    </row>
    <row r="204" spans="2:21" ht="12" customHeight="1" x14ac:dyDescent="0.2">
      <c r="B204" s="2703">
        <f>'2. T7 LOANS'!B21</f>
        <v>0</v>
      </c>
      <c r="C204" s="2704"/>
      <c r="D204" s="1256">
        <f>'2. T7 LOANS'!C21/1000</f>
        <v>0</v>
      </c>
      <c r="E204" s="1249">
        <f>'2. T7 LOANS'!D21</f>
        <v>0</v>
      </c>
      <c r="F204" s="1504">
        <f>'2. T7 LOANS'!E21*100</f>
        <v>0</v>
      </c>
      <c r="G204" s="1515">
        <f>'2. T7 LOANS'!F21/1000</f>
        <v>0</v>
      </c>
      <c r="H204" s="1250">
        <f>'2. T7 LOANS'!G21/1000</f>
        <v>0</v>
      </c>
      <c r="I204" s="1477">
        <f>'2. T7 LOANS'!H21/1000</f>
        <v>0</v>
      </c>
      <c r="J204" s="1515">
        <f>'2. T7 LOANS'!I21/1000</f>
        <v>0</v>
      </c>
      <c r="K204" s="1250">
        <f>'2. T7 LOANS'!J21/1000</f>
        <v>0</v>
      </c>
      <c r="L204" s="1477">
        <f>'2. T7 LOANS'!K21/1000</f>
        <v>0</v>
      </c>
      <c r="M204" s="1515">
        <f>'2. T7 LOANS'!L21/1000</f>
        <v>0</v>
      </c>
      <c r="N204" s="1250">
        <f>'2. T7 LOANS'!M21/1000</f>
        <v>0</v>
      </c>
      <c r="O204" s="1477">
        <f>'2. T7 LOANS'!N21/1000</f>
        <v>0</v>
      </c>
      <c r="P204" s="1256">
        <f>'2. T7 LOANS'!O21/1000</f>
        <v>0</v>
      </c>
      <c r="Q204" s="1250">
        <f>'2. T7 LOANS'!P21/1000</f>
        <v>0</v>
      </c>
      <c r="R204" s="1477">
        <f>'2. T7 LOANS'!Q21/1000</f>
        <v>0</v>
      </c>
    </row>
    <row r="205" spans="2:21" ht="12" customHeight="1" x14ac:dyDescent="0.2">
      <c r="B205" s="1225" t="s">
        <v>282</v>
      </c>
      <c r="C205" s="1499"/>
      <c r="D205" s="1216"/>
      <c r="E205" s="1216"/>
      <c r="F205" s="1503"/>
      <c r="G205" s="1228" t="s">
        <v>62</v>
      </c>
      <c r="H205" s="1228" t="s">
        <v>66</v>
      </c>
      <c r="I205" s="1228" t="s">
        <v>261</v>
      </c>
      <c r="J205" s="1228" t="s">
        <v>62</v>
      </c>
      <c r="K205" s="1228" t="s">
        <v>66</v>
      </c>
      <c r="L205" s="1228" t="s">
        <v>261</v>
      </c>
      <c r="M205" s="1228" t="s">
        <v>62</v>
      </c>
      <c r="N205" s="1228" t="s">
        <v>66</v>
      </c>
      <c r="O205" s="1228" t="s">
        <v>261</v>
      </c>
      <c r="P205" s="1226" t="s">
        <v>62</v>
      </c>
      <c r="Q205" s="1228" t="s">
        <v>66</v>
      </c>
      <c r="R205" s="1228" t="s">
        <v>261</v>
      </c>
    </row>
    <row r="206" spans="2:21" ht="12" customHeight="1" x14ac:dyDescent="0.2">
      <c r="B206" s="2705">
        <f>'2. T7 LOANS'!B23</f>
        <v>0</v>
      </c>
      <c r="C206" s="2706"/>
      <c r="D206" s="1257">
        <f>'2. T7 LOANS'!C23/1000</f>
        <v>0</v>
      </c>
      <c r="E206" s="1229">
        <f>'2. T7 LOANS'!D23</f>
        <v>0</v>
      </c>
      <c r="F206" s="1505">
        <f>'2. T7 LOANS'!E23*100</f>
        <v>0</v>
      </c>
      <c r="G206" s="1516">
        <f>'2. T7 LOANS'!F23/1000</f>
        <v>0</v>
      </c>
      <c r="H206" s="1230">
        <f>'2. T7 LOANS'!G23/1000</f>
        <v>0</v>
      </c>
      <c r="I206" s="1478">
        <f>'2. T7 LOANS'!H23/1000</f>
        <v>0</v>
      </c>
      <c r="J206" s="1516">
        <f>'2. T7 LOANS'!I23/1000</f>
        <v>0</v>
      </c>
      <c r="K206" s="1230">
        <f>'2. T7 LOANS'!J23/1000</f>
        <v>0</v>
      </c>
      <c r="L206" s="1478">
        <f>'2. T7 LOANS'!K23/1000</f>
        <v>0</v>
      </c>
      <c r="M206" s="1516">
        <f>'2. T7 LOANS'!L23/1000</f>
        <v>0</v>
      </c>
      <c r="N206" s="1230">
        <f>'2. T7 LOANS'!M23/1000</f>
        <v>0</v>
      </c>
      <c r="O206" s="1478">
        <f>'2. T7 LOANS'!N23/1000</f>
        <v>0</v>
      </c>
      <c r="P206" s="1257">
        <f>'2. T7 LOANS'!O23/1000</f>
        <v>0</v>
      </c>
      <c r="Q206" s="1230">
        <f>'2. T7 LOANS'!P23/1000</f>
        <v>0</v>
      </c>
      <c r="R206" s="1478">
        <f>'2. T7 LOANS'!Q23/1000</f>
        <v>0</v>
      </c>
    </row>
    <row r="207" spans="2:21" ht="12" customHeight="1" x14ac:dyDescent="0.2">
      <c r="B207" s="2701">
        <f>'2. T7 LOANS'!B24</f>
        <v>0</v>
      </c>
      <c r="C207" s="2702"/>
      <c r="D207" s="1258">
        <f>'2. T7 LOANS'!C24/1000</f>
        <v>0</v>
      </c>
      <c r="E207" s="1231">
        <f>'2. T7 LOANS'!D24</f>
        <v>0</v>
      </c>
      <c r="F207" s="1506">
        <f>'2. T7 LOANS'!E24*100</f>
        <v>0</v>
      </c>
      <c r="G207" s="1517">
        <f>'2. T7 LOANS'!F24/1000</f>
        <v>0</v>
      </c>
      <c r="H207" s="1232">
        <f>'2. T7 LOANS'!G24/1000</f>
        <v>0</v>
      </c>
      <c r="I207" s="1479">
        <f>'2. T7 LOANS'!H24/1000</f>
        <v>0</v>
      </c>
      <c r="J207" s="1517">
        <f>'2. T7 LOANS'!I24/1000</f>
        <v>0</v>
      </c>
      <c r="K207" s="1232">
        <f>'2. T7 LOANS'!J24/1000</f>
        <v>0</v>
      </c>
      <c r="L207" s="1479">
        <f>'2. T7 LOANS'!K24/1000</f>
        <v>0</v>
      </c>
      <c r="M207" s="1517">
        <f>'2. T7 LOANS'!L24/1000</f>
        <v>0</v>
      </c>
      <c r="N207" s="1232">
        <f>'2. T7 LOANS'!M24/1000</f>
        <v>0</v>
      </c>
      <c r="O207" s="1479">
        <f>'2. T7 LOANS'!N24/1000</f>
        <v>0</v>
      </c>
      <c r="P207" s="1258">
        <f>'2. T7 LOANS'!O24/1000</f>
        <v>0</v>
      </c>
      <c r="Q207" s="1232">
        <f>'2. T7 LOANS'!P24/1000</f>
        <v>0</v>
      </c>
      <c r="R207" s="1479">
        <f>'2. T7 LOANS'!Q24/1000</f>
        <v>0</v>
      </c>
    </row>
    <row r="208" spans="2:21" ht="12" customHeight="1" x14ac:dyDescent="0.2">
      <c r="B208" s="2701">
        <f>'2. T7 LOANS'!B25</f>
        <v>0</v>
      </c>
      <c r="C208" s="2702"/>
      <c r="D208" s="1258">
        <f>'2. T7 LOANS'!C25/1000</f>
        <v>0</v>
      </c>
      <c r="E208" s="1231">
        <f>'2. T7 LOANS'!D25</f>
        <v>0</v>
      </c>
      <c r="F208" s="1506">
        <f>'2. T7 LOANS'!E25*100</f>
        <v>0</v>
      </c>
      <c r="G208" s="1517">
        <f>'2. T7 LOANS'!F25/1000</f>
        <v>0</v>
      </c>
      <c r="H208" s="1232">
        <f>'2. T7 LOANS'!G25/1000</f>
        <v>0</v>
      </c>
      <c r="I208" s="1479">
        <f>'2. T7 LOANS'!H25/1000</f>
        <v>0</v>
      </c>
      <c r="J208" s="1517">
        <f>'2. T7 LOANS'!I25/1000</f>
        <v>0</v>
      </c>
      <c r="K208" s="1232">
        <f>'2. T7 LOANS'!J25/1000</f>
        <v>0</v>
      </c>
      <c r="L208" s="1479">
        <f>'2. T7 LOANS'!K25/1000</f>
        <v>0</v>
      </c>
      <c r="M208" s="1517">
        <f>'2. T7 LOANS'!L25/1000</f>
        <v>0</v>
      </c>
      <c r="N208" s="1232">
        <f>'2. T7 LOANS'!M25/1000</f>
        <v>0</v>
      </c>
      <c r="O208" s="1479">
        <f>'2. T7 LOANS'!N25/1000</f>
        <v>0</v>
      </c>
      <c r="P208" s="1258">
        <f>'2. T7 LOANS'!O25/1000</f>
        <v>0</v>
      </c>
      <c r="Q208" s="1232">
        <f>'2. T7 LOANS'!P25/1000</f>
        <v>0</v>
      </c>
      <c r="R208" s="1479">
        <f>'2. T7 LOANS'!Q25/1000</f>
        <v>0</v>
      </c>
    </row>
    <row r="209" spans="2:19" ht="12" customHeight="1" x14ac:dyDescent="0.2">
      <c r="B209" s="2917">
        <f>'2. T7 LOANS'!B26</f>
        <v>0</v>
      </c>
      <c r="C209" s="2918"/>
      <c r="D209" s="1259">
        <f>'2. T7 LOANS'!C26/1000</f>
        <v>0</v>
      </c>
      <c r="E209" s="1233">
        <f>'2. T7 LOANS'!D26</f>
        <v>0</v>
      </c>
      <c r="F209" s="1507">
        <f>'2. T7 LOANS'!E26*100</f>
        <v>0</v>
      </c>
      <c r="G209" s="1518">
        <f>'2. T7 LOANS'!F26/1000</f>
        <v>0</v>
      </c>
      <c r="H209" s="1234">
        <f>'2. T7 LOANS'!G26/1000</f>
        <v>0</v>
      </c>
      <c r="I209" s="1480">
        <f>'2. T7 LOANS'!H26/1000</f>
        <v>0</v>
      </c>
      <c r="J209" s="1518">
        <f>'2. T7 LOANS'!I26/1000</f>
        <v>0</v>
      </c>
      <c r="K209" s="1234">
        <f>'2. T7 LOANS'!J26/1000</f>
        <v>0</v>
      </c>
      <c r="L209" s="1480">
        <f>'2. T7 LOANS'!K26/1000</f>
        <v>0</v>
      </c>
      <c r="M209" s="1518">
        <f>'2. T7 LOANS'!L26/1000</f>
        <v>0</v>
      </c>
      <c r="N209" s="1234">
        <f>'2. T7 LOANS'!M26/1000</f>
        <v>0</v>
      </c>
      <c r="O209" s="1480">
        <f>'2. T7 LOANS'!N26/1000</f>
        <v>0</v>
      </c>
      <c r="P209" s="1259">
        <f>'2. T7 LOANS'!O26/1000</f>
        <v>0</v>
      </c>
      <c r="Q209" s="1234">
        <f>'2. T7 LOANS'!P26/1000</f>
        <v>0</v>
      </c>
      <c r="R209" s="1480">
        <f>'2. T7 LOANS'!Q26/1000</f>
        <v>0</v>
      </c>
    </row>
    <row r="210" spans="2:19" ht="12" customHeight="1" x14ac:dyDescent="0.2">
      <c r="B210" s="1225" t="s">
        <v>283</v>
      </c>
      <c r="C210" s="1499"/>
      <c r="D210" s="1216"/>
      <c r="E210" s="1216"/>
      <c r="F210" s="1503"/>
      <c r="G210" s="1228" t="s">
        <v>62</v>
      </c>
      <c r="H210" s="1228" t="s">
        <v>66</v>
      </c>
      <c r="I210" s="1228" t="s">
        <v>261</v>
      </c>
      <c r="J210" s="1228" t="s">
        <v>62</v>
      </c>
      <c r="K210" s="1228" t="s">
        <v>66</v>
      </c>
      <c r="L210" s="1228" t="s">
        <v>261</v>
      </c>
      <c r="M210" s="1228" t="s">
        <v>62</v>
      </c>
      <c r="N210" s="1228" t="s">
        <v>66</v>
      </c>
      <c r="O210" s="1228" t="s">
        <v>261</v>
      </c>
      <c r="P210" s="1226" t="s">
        <v>62</v>
      </c>
      <c r="Q210" s="1228" t="s">
        <v>66</v>
      </c>
      <c r="R210" s="1228" t="s">
        <v>261</v>
      </c>
    </row>
    <row r="211" spans="2:19" ht="12" customHeight="1" x14ac:dyDescent="0.2">
      <c r="B211" s="2699">
        <f>'2. T7 LOANS'!B28</f>
        <v>0</v>
      </c>
      <c r="C211" s="2700"/>
      <c r="D211" s="1260">
        <f>'2. T7 LOANS'!C28/1000</f>
        <v>0</v>
      </c>
      <c r="E211" s="1251">
        <f>'2. T7 LOANS'!D28</f>
        <v>0</v>
      </c>
      <c r="F211" s="1508">
        <f>'2. T7 LOANS'!E28*100</f>
        <v>0</v>
      </c>
      <c r="G211" s="1519">
        <f>'2. T7 LOANS'!F28/1000</f>
        <v>0</v>
      </c>
      <c r="H211" s="1252">
        <f>'2. T7 LOANS'!G28/1000</f>
        <v>0</v>
      </c>
      <c r="I211" s="1481">
        <f>'2. T7 LOANS'!H28/1000</f>
        <v>0</v>
      </c>
      <c r="J211" s="1519">
        <f>'2. T7 LOANS'!I28/1000</f>
        <v>0</v>
      </c>
      <c r="K211" s="1252">
        <f>'2. T7 LOANS'!J28/1000</f>
        <v>0</v>
      </c>
      <c r="L211" s="1481">
        <f>'2. T7 LOANS'!K28/1000</f>
        <v>0</v>
      </c>
      <c r="M211" s="1519">
        <f>'2. T7 LOANS'!L28/1000</f>
        <v>0</v>
      </c>
      <c r="N211" s="1252">
        <f>'2. T7 LOANS'!M28/1000</f>
        <v>0</v>
      </c>
      <c r="O211" s="1481">
        <f>'2. T7 LOANS'!N28/1000</f>
        <v>0</v>
      </c>
      <c r="P211" s="1260">
        <f>'2. T7 LOANS'!O28/1000</f>
        <v>0</v>
      </c>
      <c r="Q211" s="1252">
        <f>'2. T7 LOANS'!P28/1000</f>
        <v>0</v>
      </c>
      <c r="R211" s="1481">
        <f>'2. T7 LOANS'!Q28/1000</f>
        <v>0</v>
      </c>
    </row>
    <row r="212" spans="2:19" ht="12" customHeight="1" x14ac:dyDescent="0.2">
      <c r="B212" s="2676">
        <f>'2. T7 LOANS'!B29</f>
        <v>0</v>
      </c>
      <c r="C212" s="2677"/>
      <c r="D212" s="1255">
        <f>'2. T7 LOANS'!C29/1000</f>
        <v>0</v>
      </c>
      <c r="E212" s="1247">
        <f>'2. T7 LOANS'!D29</f>
        <v>0</v>
      </c>
      <c r="F212" s="1502">
        <f>'2. T7 LOANS'!E29*100</f>
        <v>0</v>
      </c>
      <c r="G212" s="1514">
        <f>'2. T7 LOANS'!F29/1000</f>
        <v>0</v>
      </c>
      <c r="H212" s="1248">
        <f>'2. T7 LOANS'!G29/1000</f>
        <v>0</v>
      </c>
      <c r="I212" s="1476">
        <f>'2. T7 LOANS'!H29/1000</f>
        <v>0</v>
      </c>
      <c r="J212" s="1514">
        <f>'2. T7 LOANS'!I29/1000</f>
        <v>0</v>
      </c>
      <c r="K212" s="1248">
        <f>'2. T7 LOANS'!J29/1000</f>
        <v>0</v>
      </c>
      <c r="L212" s="1476">
        <f>'2. T7 LOANS'!K29/1000</f>
        <v>0</v>
      </c>
      <c r="M212" s="1514">
        <f>'2. T7 LOANS'!L29/1000</f>
        <v>0</v>
      </c>
      <c r="N212" s="1248">
        <f>'2. T7 LOANS'!M29/1000</f>
        <v>0</v>
      </c>
      <c r="O212" s="1476">
        <f>'2. T7 LOANS'!N29/1000</f>
        <v>0</v>
      </c>
      <c r="P212" s="1255">
        <f>'2. T7 LOANS'!O29/1000</f>
        <v>0</v>
      </c>
      <c r="Q212" s="1248">
        <f>'2. T7 LOANS'!P29/1000</f>
        <v>0</v>
      </c>
      <c r="R212" s="1476">
        <f>'2. T7 LOANS'!Q29/1000</f>
        <v>0</v>
      </c>
    </row>
    <row r="213" spans="2:19" ht="12" customHeight="1" x14ac:dyDescent="0.2">
      <c r="B213" s="2676">
        <f>'2. T7 LOANS'!B30</f>
        <v>0</v>
      </c>
      <c r="C213" s="2677"/>
      <c r="D213" s="1255">
        <f>'2. T7 LOANS'!C30/1000</f>
        <v>0</v>
      </c>
      <c r="E213" s="1249">
        <f>'2. T7 LOANS'!D30</f>
        <v>0</v>
      </c>
      <c r="F213" s="1504">
        <f>'2. T7 LOANS'!E30*100</f>
        <v>0</v>
      </c>
      <c r="G213" s="1514">
        <f>'2. T7 LOANS'!F30/1000</f>
        <v>0</v>
      </c>
      <c r="H213" s="1248">
        <f>'2. T7 LOANS'!G30/1000</f>
        <v>0</v>
      </c>
      <c r="I213" s="1476">
        <f>'2. T7 LOANS'!H30/1000</f>
        <v>0</v>
      </c>
      <c r="J213" s="1514">
        <f>'2. T7 LOANS'!I30/1000</f>
        <v>0</v>
      </c>
      <c r="K213" s="1248">
        <f>'2. T7 LOANS'!J30/1000</f>
        <v>0</v>
      </c>
      <c r="L213" s="1476">
        <f>'2. T7 LOANS'!K30/1000</f>
        <v>0</v>
      </c>
      <c r="M213" s="1514">
        <f>'2. T7 LOANS'!L30/1000</f>
        <v>0</v>
      </c>
      <c r="N213" s="1248">
        <f>'2. T7 LOANS'!M30/1000</f>
        <v>0</v>
      </c>
      <c r="O213" s="1476">
        <f>'2. T7 LOANS'!N30/1000</f>
        <v>0</v>
      </c>
      <c r="P213" s="1255">
        <f>'2. T7 LOANS'!O30/1000</f>
        <v>0</v>
      </c>
      <c r="Q213" s="1248">
        <f>'2. T7 LOANS'!P30/1000</f>
        <v>0</v>
      </c>
      <c r="R213" s="1476">
        <f>'2. T7 LOANS'!Q30/1000</f>
        <v>0</v>
      </c>
    </row>
    <row r="214" spans="2:19" ht="12" customHeight="1" x14ac:dyDescent="0.2">
      <c r="B214" s="2678">
        <f>'2. T7 LOANS'!B31</f>
        <v>0</v>
      </c>
      <c r="C214" s="2679"/>
      <c r="D214" s="1256">
        <f>'2. T7 LOANS'!C31/1000</f>
        <v>0</v>
      </c>
      <c r="E214" s="1249">
        <f>'2. T7 LOANS'!D31</f>
        <v>0</v>
      </c>
      <c r="F214" s="1509">
        <f>'2. T7 LOANS'!E31*100</f>
        <v>0</v>
      </c>
      <c r="G214" s="1515">
        <f>'2. T7 LOANS'!F31/1000</f>
        <v>0</v>
      </c>
      <c r="H214" s="1253">
        <f>'2. T7 LOANS'!G31/1000</f>
        <v>0</v>
      </c>
      <c r="I214" s="1482">
        <f>'2. T7 LOANS'!H31/1000</f>
        <v>0</v>
      </c>
      <c r="J214" s="1523">
        <f>'2. T7 LOANS'!I31/1000</f>
        <v>0</v>
      </c>
      <c r="K214" s="1253">
        <f>'2. T7 LOANS'!J31/1000</f>
        <v>0</v>
      </c>
      <c r="L214" s="1482">
        <f>'2. T7 LOANS'!K31/1000</f>
        <v>0</v>
      </c>
      <c r="M214" s="1523">
        <f>'2. T7 LOANS'!L31/1000</f>
        <v>0</v>
      </c>
      <c r="N214" s="1253">
        <f>'2. T7 LOANS'!M31/1000</f>
        <v>0</v>
      </c>
      <c r="O214" s="1482">
        <f>'2. T7 LOANS'!N31/1000</f>
        <v>0</v>
      </c>
      <c r="P214" s="1261">
        <f>'2. T7 LOANS'!O31/1000</f>
        <v>0</v>
      </c>
      <c r="Q214" s="1253">
        <f>'2. T7 LOANS'!P31/1000</f>
        <v>0</v>
      </c>
      <c r="R214" s="1482">
        <f>'2. T7 LOANS'!Q31/1000</f>
        <v>0</v>
      </c>
    </row>
    <row r="215" spans="2:19" ht="12" customHeight="1" x14ac:dyDescent="0.2">
      <c r="B215" s="2909" t="s">
        <v>294</v>
      </c>
      <c r="C215" s="2910"/>
      <c r="D215" s="1497">
        <f>'2. T7 LOANS'!C32/1000</f>
        <v>0</v>
      </c>
      <c r="E215" s="1321"/>
      <c r="F215" s="1510"/>
      <c r="G215" s="1520">
        <f>'2. T7 LOANS'!F32/1000</f>
        <v>0</v>
      </c>
      <c r="H215" s="1262">
        <f>'2. T7 LOANS'!G32/1000</f>
        <v>0</v>
      </c>
      <c r="I215" s="1483">
        <f>'2. T7 LOANS'!H32/1000</f>
        <v>0</v>
      </c>
      <c r="J215" s="1520">
        <f>'2. T7 LOANS'!I32/1000</f>
        <v>0</v>
      </c>
      <c r="K215" s="1262">
        <f>'2. T7 LOANS'!J32/1000</f>
        <v>0</v>
      </c>
      <c r="L215" s="1483">
        <f>'2. T7 LOANS'!K32/1000</f>
        <v>0</v>
      </c>
      <c r="M215" s="1520">
        <f>'2. T7 LOANS'!L32/1000</f>
        <v>0</v>
      </c>
      <c r="N215" s="1262">
        <f>'2. T7 LOANS'!M32/1000</f>
        <v>0</v>
      </c>
      <c r="O215" s="1483">
        <f>'2. T7 LOANS'!N32/1000</f>
        <v>0</v>
      </c>
      <c r="P215" s="1319">
        <f>'2. T7 LOANS'!O32/1000</f>
        <v>0</v>
      </c>
      <c r="Q215" s="1262">
        <f>'2. T7 LOANS'!P32/1000</f>
        <v>0</v>
      </c>
      <c r="R215" s="1483">
        <f>'2. T7 LOANS'!Q32/1000</f>
        <v>0</v>
      </c>
    </row>
    <row r="216" spans="2:19" ht="3.6" customHeight="1" x14ac:dyDescent="0.2">
      <c r="B216" s="1472"/>
      <c r="C216" s="1500"/>
      <c r="D216" s="989"/>
      <c r="E216" s="1217"/>
      <c r="F216" s="1511"/>
      <c r="G216" s="1521"/>
      <c r="H216" s="774"/>
      <c r="I216" s="1484"/>
      <c r="J216" s="1521"/>
      <c r="K216" s="774"/>
      <c r="L216" s="1484"/>
      <c r="M216" s="1521"/>
      <c r="N216" s="774"/>
      <c r="O216" s="1484"/>
      <c r="P216" s="989"/>
      <c r="Q216" s="774"/>
      <c r="R216" s="1484"/>
    </row>
    <row r="217" spans="2:19" ht="12" customHeight="1" x14ac:dyDescent="0.2">
      <c r="B217" s="2680" t="str">
        <f>'2. T7 LOANS'!B34</f>
        <v xml:space="preserve"> Credit 1st Forecast Year</v>
      </c>
      <c r="C217" s="2681"/>
      <c r="D217" s="1320">
        <f>'2. T7 LOANS'!C34/1000</f>
        <v>0</v>
      </c>
      <c r="E217" s="1263">
        <f>'2. T7 LOANS'!D34</f>
        <v>0</v>
      </c>
      <c r="F217" s="1512">
        <f>'2. T7 LOANS'!E34*100</f>
        <v>0</v>
      </c>
      <c r="G217" s="1522">
        <f>'2. T7 LOANS'!F34/1000</f>
        <v>0</v>
      </c>
      <c r="H217" s="1264">
        <f>'2. T7 LOANS'!G34/1000</f>
        <v>0</v>
      </c>
      <c r="I217" s="1485">
        <f>'2. T7 LOANS'!H34/1000</f>
        <v>0</v>
      </c>
      <c r="J217" s="1522">
        <f>'2. T7 LOANS'!I34/1000</f>
        <v>0</v>
      </c>
      <c r="K217" s="1264">
        <f>'2. T7 LOANS'!J34/1000</f>
        <v>0</v>
      </c>
      <c r="L217" s="1485">
        <f>'2. T7 LOANS'!K34/1000</f>
        <v>0</v>
      </c>
      <c r="M217" s="1522">
        <f>'2. T7 LOANS'!L34/1000</f>
        <v>0</v>
      </c>
      <c r="N217" s="1264">
        <f>'2. T7 LOANS'!M34/1000</f>
        <v>0</v>
      </c>
      <c r="O217" s="1485">
        <f>'2. T7 LOANS'!N34/1000</f>
        <v>0</v>
      </c>
      <c r="P217" s="1320">
        <f>'2. T7 LOANS'!O34/1000</f>
        <v>0</v>
      </c>
      <c r="Q217" s="1264">
        <f>'2. T7 LOANS'!P34/1000</f>
        <v>0</v>
      </c>
      <c r="R217" s="1485">
        <f>'2. T7 LOANS'!Q34/1000</f>
        <v>0</v>
      </c>
      <c r="S217" s="1018" t="s">
        <v>0</v>
      </c>
    </row>
    <row r="218" spans="2:19" ht="12" customHeight="1" x14ac:dyDescent="0.2">
      <c r="B218" s="2676" t="str">
        <f>'2. T7 LOANS'!B35</f>
        <v xml:space="preserve"> Credit 2nd Forecast Year</v>
      </c>
      <c r="C218" s="2677"/>
      <c r="D218" s="1255">
        <f>'2. T7 LOANS'!C35/1000</f>
        <v>0</v>
      </c>
      <c r="E218" s="1247">
        <f>'2. T7 LOANS'!D35</f>
        <v>0</v>
      </c>
      <c r="F218" s="1502">
        <f>'2. T7 LOANS'!E35*100</f>
        <v>0</v>
      </c>
      <c r="G218" s="1514">
        <f>'2. T7 LOANS'!F35/1000</f>
        <v>0</v>
      </c>
      <c r="H218" s="1248">
        <f>'2. T7 LOANS'!G35/1000</f>
        <v>0</v>
      </c>
      <c r="I218" s="1476">
        <f>'2. T7 LOANS'!H35/1000</f>
        <v>0</v>
      </c>
      <c r="J218" s="1514">
        <f>'2. T7 LOANS'!I35/1000</f>
        <v>0</v>
      </c>
      <c r="K218" s="1248">
        <f>'2. T7 LOANS'!J35/1000</f>
        <v>0</v>
      </c>
      <c r="L218" s="1476">
        <f>'2. T7 LOANS'!K35/1000</f>
        <v>0</v>
      </c>
      <c r="M218" s="1514">
        <f>'2. T7 LOANS'!L35/1000</f>
        <v>0</v>
      </c>
      <c r="N218" s="1248">
        <f>'2. T7 LOANS'!M35/1000</f>
        <v>0</v>
      </c>
      <c r="O218" s="1476">
        <f>'2. T7 LOANS'!N35/1000</f>
        <v>0</v>
      </c>
      <c r="P218" s="1255">
        <f>'2. T7 LOANS'!O35/1000</f>
        <v>0</v>
      </c>
      <c r="Q218" s="1248">
        <f>'2. T7 LOANS'!P35/1000</f>
        <v>0</v>
      </c>
      <c r="R218" s="1476">
        <f>'2. T7 LOANS'!Q35/1000</f>
        <v>0</v>
      </c>
      <c r="S218" s="1018"/>
    </row>
    <row r="219" spans="2:19" ht="12" customHeight="1" x14ac:dyDescent="0.2">
      <c r="B219" s="2676" t="str">
        <f>'2. T7 LOANS'!B36</f>
        <v xml:space="preserve"> Credit 3th Forecast Year</v>
      </c>
      <c r="C219" s="2677"/>
      <c r="D219" s="1255">
        <f>'2. T7 LOANS'!C36/1000</f>
        <v>0</v>
      </c>
      <c r="E219" s="1247">
        <f>'2. T7 LOANS'!D36</f>
        <v>0</v>
      </c>
      <c r="F219" s="1502">
        <f>'2. T7 LOANS'!E36*100</f>
        <v>0</v>
      </c>
      <c r="G219" s="1514">
        <f>'2. T7 LOANS'!F36/1000</f>
        <v>0</v>
      </c>
      <c r="H219" s="1248">
        <f>'2. T7 LOANS'!G36/1000</f>
        <v>0</v>
      </c>
      <c r="I219" s="1476">
        <f>'2. T7 LOANS'!H36/1000</f>
        <v>0</v>
      </c>
      <c r="J219" s="1514">
        <f>'2. T7 LOANS'!I36/1000</f>
        <v>0</v>
      </c>
      <c r="K219" s="1248">
        <f>'2. T7 LOANS'!J36/1000</f>
        <v>0</v>
      </c>
      <c r="L219" s="1476">
        <f>'2. T7 LOANS'!K36/1000</f>
        <v>0</v>
      </c>
      <c r="M219" s="1514">
        <f>'2. T7 LOANS'!L36/1000</f>
        <v>0</v>
      </c>
      <c r="N219" s="1248">
        <f>'2. T7 LOANS'!M36/1000</f>
        <v>0</v>
      </c>
      <c r="O219" s="1476">
        <f>'2. T7 LOANS'!N36/1000</f>
        <v>0</v>
      </c>
      <c r="P219" s="1255">
        <f>'2. T7 LOANS'!O36/1000</f>
        <v>0</v>
      </c>
      <c r="Q219" s="1248">
        <f>'2. T7 LOANS'!P36/1000</f>
        <v>0</v>
      </c>
      <c r="R219" s="1476">
        <f>'2. T7 LOANS'!Q36/1000</f>
        <v>0</v>
      </c>
      <c r="S219" s="1018"/>
    </row>
    <row r="220" spans="2:19" ht="12" customHeight="1" x14ac:dyDescent="0.2">
      <c r="B220" s="2678" t="str">
        <f>'2. T7 LOANS'!B37</f>
        <v xml:space="preserve"> Credit 4th Forecast Year</v>
      </c>
      <c r="C220" s="2679"/>
      <c r="D220" s="1256">
        <f>'2. T7 LOANS'!C37/1000</f>
        <v>0</v>
      </c>
      <c r="E220" s="1249">
        <f>'2. T7 LOANS'!D37</f>
        <v>0</v>
      </c>
      <c r="F220" s="1509">
        <f>'2. T7 LOANS'!E37*100</f>
        <v>0</v>
      </c>
      <c r="G220" s="1523">
        <f>'2. T7 LOANS'!F37/1000</f>
        <v>0</v>
      </c>
      <c r="H220" s="1253">
        <f>'2. T7 LOANS'!G37/1000</f>
        <v>0</v>
      </c>
      <c r="I220" s="1482">
        <f>'2. T7 LOANS'!H37/1000</f>
        <v>0</v>
      </c>
      <c r="J220" s="1523">
        <f>'2. T7 LOANS'!I37/1000</f>
        <v>0</v>
      </c>
      <c r="K220" s="1253">
        <f>'2. T7 LOANS'!J37/1000</f>
        <v>0</v>
      </c>
      <c r="L220" s="1482">
        <f>'2. T7 LOANS'!K37/1000</f>
        <v>0</v>
      </c>
      <c r="M220" s="1523">
        <f>'2. T7 LOANS'!L37/1000</f>
        <v>0</v>
      </c>
      <c r="N220" s="1253">
        <f>'2. T7 LOANS'!M37/1000</f>
        <v>0</v>
      </c>
      <c r="O220" s="1482">
        <f>'2. T7 LOANS'!N37/1000</f>
        <v>0</v>
      </c>
      <c r="P220" s="1261">
        <f>'2. T7 LOANS'!O37/1000</f>
        <v>0</v>
      </c>
      <c r="Q220" s="1253">
        <f>'2. T7 LOANS'!P37/1000</f>
        <v>0</v>
      </c>
      <c r="R220" s="1482">
        <f>'2. T7 LOANS'!Q37/1000</f>
        <v>0</v>
      </c>
      <c r="S220" s="1018"/>
    </row>
    <row r="221" spans="2:19" ht="12" customHeight="1" x14ac:dyDescent="0.2">
      <c r="B221" s="2911" t="s">
        <v>295</v>
      </c>
      <c r="C221" s="2912"/>
      <c r="D221" s="1319">
        <f>'2. T7 LOANS'!C38/1000</f>
        <v>0</v>
      </c>
      <c r="E221" s="1321"/>
      <c r="F221" s="1510"/>
      <c r="G221" s="1520">
        <f>'2. T7 LOANS'!F38/1000</f>
        <v>0</v>
      </c>
      <c r="H221" s="1262">
        <f>'2. T7 LOANS'!G38/1000</f>
        <v>0</v>
      </c>
      <c r="I221" s="1483">
        <f>'2. T7 LOANS'!H38/1000</f>
        <v>0</v>
      </c>
      <c r="J221" s="1520">
        <f>'2. T7 LOANS'!I38/1000</f>
        <v>0</v>
      </c>
      <c r="K221" s="1262">
        <f>'2. T7 LOANS'!J38/1000</f>
        <v>0</v>
      </c>
      <c r="L221" s="1483">
        <f>'2. T7 LOANS'!K38/1000</f>
        <v>0</v>
      </c>
      <c r="M221" s="1520">
        <f>'2. T7 LOANS'!L38/1000</f>
        <v>0</v>
      </c>
      <c r="N221" s="1262">
        <f>'2. T7 LOANS'!M38/1000</f>
        <v>0</v>
      </c>
      <c r="O221" s="1483">
        <f>'2. T7 LOANS'!N38/1000</f>
        <v>0</v>
      </c>
      <c r="P221" s="1319">
        <f>'2. T7 LOANS'!O38/1000</f>
        <v>0</v>
      </c>
      <c r="Q221" s="1262">
        <f>'2. T7 LOANS'!P38/1000</f>
        <v>0</v>
      </c>
      <c r="R221" s="1483">
        <f>'2. T7 LOANS'!Q38/1000</f>
        <v>0</v>
      </c>
      <c r="S221" s="1018"/>
    </row>
    <row r="222" spans="2:19" ht="3.6" customHeight="1" x14ac:dyDescent="0.2">
      <c r="B222" s="1473"/>
      <c r="C222" s="490"/>
      <c r="D222" s="496"/>
      <c r="E222" s="496"/>
      <c r="F222" s="496"/>
      <c r="G222" s="989"/>
      <c r="H222" s="496"/>
      <c r="I222" s="1218"/>
      <c r="J222" s="1219"/>
      <c r="K222" s="1219"/>
      <c r="L222" s="1220"/>
      <c r="M222" s="1219"/>
      <c r="N222" s="1219"/>
      <c r="O222" s="1220"/>
      <c r="P222" s="1219"/>
      <c r="Q222" s="774"/>
      <c r="R222" s="1486"/>
    </row>
    <row r="223" spans="2:19" ht="12.6" customHeight="1" x14ac:dyDescent="0.2">
      <c r="B223" s="2654" t="s">
        <v>296</v>
      </c>
      <c r="C223" s="2939"/>
      <c r="D223" s="1525">
        <f>'2. T7 LOANS'!C40/1000</f>
        <v>0</v>
      </c>
      <c r="E223" s="1322"/>
      <c r="F223" s="1361">
        <f>'2. T7 LOANS'!E40*100</f>
        <v>10</v>
      </c>
      <c r="G223" s="1524"/>
      <c r="H223" s="1323"/>
      <c r="I223" s="1361">
        <f>'2. T7 LOANS'!H40/1000</f>
        <v>0</v>
      </c>
      <c r="J223" s="1526"/>
      <c r="K223" s="1323"/>
      <c r="L223" s="1262">
        <f>'2. T7 LOANS'!K40/1000</f>
        <v>0</v>
      </c>
      <c r="M223" s="1524"/>
      <c r="N223" s="1323"/>
      <c r="O223" s="1262">
        <f>'2. T7 LOANS'!N40/1000</f>
        <v>0</v>
      </c>
      <c r="P223" s="1524"/>
      <c r="Q223" s="1323"/>
      <c r="R223" s="1483">
        <f>'2. T7 LOANS'!Q40/1000</f>
        <v>0</v>
      </c>
    </row>
    <row r="224" spans="2:19" ht="3.6" customHeight="1" x14ac:dyDescent="0.2">
      <c r="B224" s="1557"/>
      <c r="C224" s="1558"/>
      <c r="D224" s="496"/>
      <c r="E224" s="496"/>
      <c r="F224" s="496"/>
      <c r="G224" s="989"/>
      <c r="H224" s="496"/>
      <c r="I224" s="1221"/>
      <c r="J224" s="1222"/>
      <c r="K224" s="1222"/>
      <c r="L224" s="1529"/>
      <c r="M224" s="1222"/>
      <c r="N224" s="1222"/>
      <c r="O224" s="1529"/>
      <c r="P224" s="1222"/>
      <c r="Q224" s="774"/>
      <c r="R224" s="1484"/>
    </row>
    <row r="225" spans="2:18" ht="12.6" customHeight="1" x14ac:dyDescent="0.2">
      <c r="B225" s="2654" t="s">
        <v>341</v>
      </c>
      <c r="C225" s="2655"/>
      <c r="D225" s="1319">
        <f>'2. T7 LOANS'!C42/1000</f>
        <v>0</v>
      </c>
      <c r="E225" s="1322"/>
      <c r="F225" s="1361">
        <f>'2. T7 LOANS'!E42*100</f>
        <v>10</v>
      </c>
      <c r="G225" s="1524"/>
      <c r="H225" s="1323"/>
      <c r="I225" s="1361">
        <f>'2. T7 LOANS'!H42/1000</f>
        <v>0</v>
      </c>
      <c r="J225" s="1524"/>
      <c r="K225" s="1323"/>
      <c r="L225" s="1262">
        <f>'2. T7 LOANS'!K42/1000</f>
        <v>0</v>
      </c>
      <c r="M225" s="1524"/>
      <c r="N225" s="1323"/>
      <c r="O225" s="1262">
        <f>'2. T7 LOANS'!N42/1000</f>
        <v>0</v>
      </c>
      <c r="P225" s="1524"/>
      <c r="Q225" s="1323"/>
      <c r="R225" s="1483">
        <f>'2. T7 LOANS'!Q42/1000</f>
        <v>0</v>
      </c>
    </row>
    <row r="226" spans="2:18" ht="3.6" customHeight="1" x14ac:dyDescent="0.2">
      <c r="B226" s="1557"/>
      <c r="C226" s="1558"/>
      <c r="D226" s="496"/>
      <c r="E226" s="496"/>
      <c r="F226" s="496"/>
      <c r="G226" s="989"/>
      <c r="H226" s="496"/>
      <c r="I226" s="1221"/>
      <c r="J226" s="1222"/>
      <c r="K226" s="1222"/>
      <c r="L226" s="1223"/>
      <c r="M226" s="1222"/>
      <c r="N226" s="1222"/>
      <c r="O226" s="1223"/>
      <c r="P226" s="1222"/>
      <c r="Q226" s="774"/>
      <c r="R226" s="1484"/>
    </row>
    <row r="227" spans="2:18" ht="11.25" customHeight="1" x14ac:dyDescent="0.2">
      <c r="B227" s="2883" t="s">
        <v>297</v>
      </c>
      <c r="C227" s="2884"/>
      <c r="D227" s="2887">
        <f>'2. T7 LOANS'!C44/1000</f>
        <v>0</v>
      </c>
      <c r="E227" s="2889"/>
      <c r="F227" s="2891">
        <f>'2. T7 LOANS'!E44*100</f>
        <v>10</v>
      </c>
      <c r="G227" s="2893"/>
      <c r="H227" s="2895"/>
      <c r="I227" s="2891">
        <f>'2. T7 LOANS'!H44/1000</f>
        <v>0</v>
      </c>
      <c r="J227" s="2893"/>
      <c r="K227" s="2895"/>
      <c r="L227" s="2897">
        <f>'2. T7 LOANS'!K44/1000</f>
        <v>0</v>
      </c>
      <c r="M227" s="2893"/>
      <c r="N227" s="2895"/>
      <c r="O227" s="2897">
        <f>'2. T7 LOANS'!N44/1000</f>
        <v>0</v>
      </c>
      <c r="P227" s="2893"/>
      <c r="Q227" s="2895"/>
      <c r="R227" s="2899">
        <f>'2. T7 LOANS'!Q44/1000</f>
        <v>0</v>
      </c>
    </row>
    <row r="228" spans="2:18" ht="11.65" customHeight="1" x14ac:dyDescent="0.2">
      <c r="B228" s="2885"/>
      <c r="C228" s="2886"/>
      <c r="D228" s="2888"/>
      <c r="E228" s="2890"/>
      <c r="F228" s="2892">
        <f>'2. T7 LOANS'!E45*100</f>
        <v>0</v>
      </c>
      <c r="G228" s="2894"/>
      <c r="H228" s="2896"/>
      <c r="I228" s="2892">
        <f>'2. T7 LOANS'!H45/1000</f>
        <v>0</v>
      </c>
      <c r="J228" s="2894"/>
      <c r="K228" s="2896"/>
      <c r="L228" s="2898">
        <f>'2. T7 LOANS'!K45/1000</f>
        <v>0</v>
      </c>
      <c r="M228" s="2894"/>
      <c r="N228" s="2896"/>
      <c r="O228" s="2898">
        <f>'2. T7 LOANS'!N45/1000</f>
        <v>0</v>
      </c>
      <c r="P228" s="2894"/>
      <c r="Q228" s="2896"/>
      <c r="R228" s="2900">
        <f>'2. T7 LOANS'!Q45/1000</f>
        <v>0</v>
      </c>
    </row>
    <row r="229" spans="2:18" ht="3.6" customHeight="1" x14ac:dyDescent="0.2">
      <c r="B229" s="1557"/>
      <c r="C229" s="1558"/>
      <c r="D229" s="496"/>
      <c r="E229" s="496"/>
      <c r="F229" s="496"/>
      <c r="G229" s="989"/>
      <c r="H229" s="496"/>
      <c r="I229" s="1218"/>
      <c r="J229" s="1219"/>
      <c r="K229" s="1219"/>
      <c r="L229" s="1220"/>
      <c r="M229" s="1219"/>
      <c r="N229" s="1219"/>
      <c r="O229" s="1220"/>
      <c r="P229" s="1219"/>
      <c r="Q229" s="774"/>
      <c r="R229" s="1486"/>
    </row>
    <row r="230" spans="2:18" ht="24" customHeight="1" x14ac:dyDescent="0.2">
      <c r="B230" s="2907" t="s">
        <v>184</v>
      </c>
      <c r="C230" s="2908"/>
      <c r="D230" s="1527"/>
      <c r="E230" s="1324"/>
      <c r="F230" s="1360"/>
      <c r="G230" s="1528"/>
      <c r="H230" s="1324"/>
      <c r="I230" s="1361">
        <f>'2. T7 LOANS'!H46/1000</f>
        <v>0</v>
      </c>
      <c r="J230" s="1524"/>
      <c r="K230" s="1323"/>
      <c r="L230" s="1262">
        <f>'2. T7 LOANS'!K46/1000</f>
        <v>0</v>
      </c>
      <c r="M230" s="1524"/>
      <c r="N230" s="1323"/>
      <c r="O230" s="1262">
        <f>'2. T7 LOANS'!N46/1000</f>
        <v>0</v>
      </c>
      <c r="P230" s="1524"/>
      <c r="Q230" s="1323"/>
      <c r="R230" s="1483">
        <f>'2. T7 LOANS'!Q46/1000</f>
        <v>0</v>
      </c>
    </row>
    <row r="231" spans="2:18" ht="3.6" customHeight="1" x14ac:dyDescent="0.2">
      <c r="B231" s="1557"/>
      <c r="C231" s="1558"/>
      <c r="D231" s="496"/>
      <c r="E231" s="496"/>
      <c r="F231" s="496"/>
      <c r="G231" s="989"/>
      <c r="H231" s="496"/>
      <c r="I231" s="1218"/>
      <c r="J231" s="1219"/>
      <c r="K231" s="1219"/>
      <c r="L231" s="1220"/>
      <c r="M231" s="1219"/>
      <c r="N231" s="1219"/>
      <c r="O231" s="1220"/>
      <c r="P231" s="1219"/>
      <c r="Q231" s="774"/>
      <c r="R231" s="1486"/>
    </row>
    <row r="232" spans="2:18" ht="12" customHeight="1" x14ac:dyDescent="0.2">
      <c r="B232" s="2654" t="s">
        <v>60</v>
      </c>
      <c r="C232" s="2655"/>
      <c r="D232" s="1319">
        <f>'2. T7 LOANS'!C48/1000</f>
        <v>0</v>
      </c>
      <c r="E232" s="1360"/>
      <c r="F232" s="1360"/>
      <c r="G232" s="1319">
        <f>'2. T7 LOANS'!F48/1000</f>
        <v>0</v>
      </c>
      <c r="H232" s="1361">
        <f>'2. T7 LOANS'!G48/1000</f>
        <v>0</v>
      </c>
      <c r="I232" s="1361">
        <f>'2. T7 LOANS'!H48/1000</f>
        <v>0</v>
      </c>
      <c r="J232" s="1319">
        <f>'2. T7 LOANS'!I48/1000</f>
        <v>0</v>
      </c>
      <c r="K232" s="1361">
        <f>'2. T7 LOANS'!J48/1000</f>
        <v>0</v>
      </c>
      <c r="L232" s="1262">
        <f>'2. T7 LOANS'!K48/1000</f>
        <v>0</v>
      </c>
      <c r="M232" s="1319">
        <f>'2. T7 LOANS'!L48/1000</f>
        <v>0</v>
      </c>
      <c r="N232" s="1361">
        <f>'2. T7 LOANS'!M48/1000</f>
        <v>0</v>
      </c>
      <c r="O232" s="1262">
        <f>'2. T7 LOANS'!N48/1000</f>
        <v>0</v>
      </c>
      <c r="P232" s="1319">
        <f>'2. T7 LOANS'!O48/1000</f>
        <v>0</v>
      </c>
      <c r="Q232" s="1361">
        <f>'2. T7 LOANS'!P48/1000</f>
        <v>0</v>
      </c>
      <c r="R232" s="1483">
        <f>'2. T7 LOANS'!Q48/1000</f>
        <v>0</v>
      </c>
    </row>
    <row r="233" spans="2:18" ht="11.25" customHeight="1" x14ac:dyDescent="0.2">
      <c r="B233" s="440"/>
      <c r="C233" s="441"/>
      <c r="D233" s="441"/>
      <c r="E233" s="441"/>
      <c r="F233" s="441"/>
      <c r="G233" s="442"/>
      <c r="H233" s="434"/>
      <c r="I233" s="586"/>
      <c r="J233" s="587"/>
      <c r="K233" s="587"/>
      <c r="L233" s="587"/>
      <c r="M233" s="587"/>
      <c r="N233" s="587"/>
      <c r="O233" s="587"/>
      <c r="P233" s="587"/>
      <c r="Q233" s="443"/>
      <c r="R233" s="153"/>
    </row>
    <row r="234" spans="2:18" ht="12" customHeight="1" x14ac:dyDescent="0.2">
      <c r="B234" s="619"/>
      <c r="C234" s="619"/>
      <c r="D234" s="619"/>
      <c r="E234" s="619"/>
      <c r="O234" s="129"/>
      <c r="P234" s="129"/>
      <c r="Q234" s="129"/>
      <c r="R234" s="129"/>
    </row>
    <row r="235" spans="2:18" ht="11.25" customHeight="1" x14ac:dyDescent="0.2">
      <c r="C235" s="2553" t="s">
        <v>285</v>
      </c>
      <c r="D235" s="2553"/>
      <c r="E235" s="2553"/>
      <c r="F235" s="2553"/>
      <c r="G235" s="2553"/>
      <c r="H235" s="2553"/>
      <c r="I235" s="2553"/>
      <c r="J235" s="2738" t="str">
        <f>K110</f>
        <v>Ennuste 1</v>
      </c>
      <c r="K235" s="2739"/>
      <c r="L235" s="2738" t="str">
        <f>M110</f>
        <v>Ennuste 2</v>
      </c>
      <c r="M235" s="2739"/>
      <c r="N235" s="2738" t="str">
        <f>O110</f>
        <v>Ennuste 3</v>
      </c>
      <c r="O235" s="2739"/>
      <c r="P235" s="2738" t="str">
        <f>Q110</f>
        <v>Ennuste 4</v>
      </c>
      <c r="Q235" s="2739"/>
    </row>
    <row r="236" spans="2:18" ht="11.25" customHeight="1" x14ac:dyDescent="0.2">
      <c r="B236" s="464"/>
      <c r="C236" s="2553"/>
      <c r="D236" s="2553"/>
      <c r="E236" s="2553"/>
      <c r="F236" s="2553"/>
      <c r="G236" s="2553"/>
      <c r="H236" s="2553"/>
      <c r="I236" s="2553"/>
      <c r="J236" s="2760">
        <f>K136</f>
        <v>2027</v>
      </c>
      <c r="K236" s="2761"/>
      <c r="L236" s="2760">
        <f>M136</f>
        <v>2028</v>
      </c>
      <c r="M236" s="2761"/>
      <c r="N236" s="2760">
        <f>O136</f>
        <v>2029</v>
      </c>
      <c r="O236" s="2761"/>
      <c r="P236" s="2760">
        <f>Q136</f>
        <v>2030</v>
      </c>
      <c r="Q236" s="2761"/>
      <c r="R236" s="1215"/>
    </row>
    <row r="237" spans="2:18" ht="12.6" customHeight="1" x14ac:dyDescent="0.2">
      <c r="B237" s="463" t="s">
        <v>0</v>
      </c>
      <c r="C237" s="652" t="s">
        <v>166</v>
      </c>
      <c r="D237" s="462"/>
      <c r="E237" s="462"/>
      <c r="F237" s="462"/>
      <c r="G237" s="2660"/>
      <c r="H237" s="2660"/>
      <c r="J237" s="148"/>
      <c r="K237" s="148"/>
      <c r="L237" s="148"/>
      <c r="M237" s="148"/>
      <c r="N237" s="756"/>
      <c r="O237" s="756"/>
      <c r="P237" s="756"/>
      <c r="Q237" s="756"/>
      <c r="R237" s="758"/>
    </row>
    <row r="238" spans="2:18" ht="12.6" customHeight="1" x14ac:dyDescent="0.2">
      <c r="C238" s="2328" t="s">
        <v>167</v>
      </c>
      <c r="D238" s="2328"/>
      <c r="E238" s="2328"/>
      <c r="F238" s="2328"/>
      <c r="G238" s="2328"/>
      <c r="H238" s="2328"/>
      <c r="I238" s="2328"/>
      <c r="J238" s="2752">
        <f>'5. T4 FINANCING PLAN'!Q27</f>
        <v>0</v>
      </c>
      <c r="K238" s="2752"/>
      <c r="L238" s="2752">
        <f>'5. T4 FINANCING PLAN'!R27</f>
        <v>0</v>
      </c>
      <c r="M238" s="2752"/>
      <c r="N238" s="2752">
        <f>'5. T4 FINANCING PLAN'!S27</f>
        <v>0</v>
      </c>
      <c r="O238" s="2752"/>
      <c r="P238" s="2752">
        <f>'5. T4 FINANCING PLAN'!T27</f>
        <v>0</v>
      </c>
      <c r="Q238" s="2752"/>
      <c r="R238" s="757"/>
    </row>
    <row r="239" spans="2:18" ht="12.6" customHeight="1" x14ac:dyDescent="0.2">
      <c r="B239" s="349"/>
      <c r="C239" s="1487"/>
      <c r="D239" s="2749" t="s">
        <v>183</v>
      </c>
      <c r="E239" s="2749"/>
      <c r="F239" s="2749"/>
      <c r="G239" s="2749"/>
      <c r="H239" s="2749"/>
      <c r="I239" s="2749"/>
      <c r="J239" s="2753">
        <f>'5. T4 FINANCING PLAN'!Q28</f>
        <v>0</v>
      </c>
      <c r="K239" s="2753"/>
      <c r="L239" s="2753">
        <f>'5. T4 FINANCING PLAN'!R28</f>
        <v>0</v>
      </c>
      <c r="M239" s="2753"/>
      <c r="N239" s="2753">
        <f>'5. T4 FINANCING PLAN'!S28</f>
        <v>0</v>
      </c>
      <c r="O239" s="2753"/>
      <c r="P239" s="2753">
        <f>'5. T4 FINANCING PLAN'!T28</f>
        <v>0</v>
      </c>
      <c r="Q239" s="2753"/>
      <c r="R239" s="759"/>
    </row>
    <row r="240" spans="2:18" ht="12.6" customHeight="1" x14ac:dyDescent="0.2">
      <c r="C240" s="2685" t="s">
        <v>168</v>
      </c>
      <c r="D240" s="2685"/>
      <c r="E240" s="2685"/>
      <c r="F240" s="2685"/>
      <c r="G240" s="2685"/>
      <c r="H240" s="2685"/>
      <c r="I240" s="2685"/>
      <c r="J240" s="2752">
        <f>'5. T4 FINANCING PLAN'!Q29</f>
        <v>0</v>
      </c>
      <c r="K240" s="2752"/>
      <c r="L240" s="2752">
        <f>'5. T4 FINANCING PLAN'!R29</f>
        <v>0</v>
      </c>
      <c r="M240" s="2752"/>
      <c r="N240" s="2752">
        <f>'5. T4 FINANCING PLAN'!S29</f>
        <v>0</v>
      </c>
      <c r="O240" s="2752"/>
      <c r="P240" s="2752">
        <f>'5. T4 FINANCING PLAN'!T29</f>
        <v>0</v>
      </c>
      <c r="Q240" s="2752"/>
      <c r="R240" s="757"/>
    </row>
    <row r="241" spans="2:18" ht="12.6" customHeight="1" x14ac:dyDescent="0.2">
      <c r="B241" s="349"/>
      <c r="C241" s="1487"/>
      <c r="D241" s="2749" t="s">
        <v>183</v>
      </c>
      <c r="E241" s="2749"/>
      <c r="F241" s="2749"/>
      <c r="G241" s="2749"/>
      <c r="H241" s="2749"/>
      <c r="I241" s="2749"/>
      <c r="J241" s="2753">
        <f>'5. T4 FINANCING PLAN'!Q30</f>
        <v>0</v>
      </c>
      <c r="K241" s="2753"/>
      <c r="L241" s="2753">
        <f>'5. T4 FINANCING PLAN'!R30</f>
        <v>0</v>
      </c>
      <c r="M241" s="2753"/>
      <c r="N241" s="2753">
        <f>'5. T4 FINANCING PLAN'!S30</f>
        <v>0</v>
      </c>
      <c r="O241" s="2753"/>
      <c r="P241" s="2753">
        <f>'5. T4 FINANCING PLAN'!T30</f>
        <v>0</v>
      </c>
      <c r="Q241" s="2753"/>
      <c r="R241" s="759"/>
    </row>
    <row r="242" spans="2:18" ht="12.6" customHeight="1" x14ac:dyDescent="0.2">
      <c r="C242" s="2685" t="s">
        <v>246</v>
      </c>
      <c r="D242" s="2685"/>
      <c r="E242" s="2685"/>
      <c r="F242" s="2685"/>
      <c r="G242" s="2685"/>
      <c r="H242" s="2685"/>
      <c r="I242" s="2685"/>
      <c r="J242" s="2752">
        <f>'5. T4 FINANCING PLAN'!Q31</f>
        <v>0</v>
      </c>
      <c r="K242" s="2752"/>
      <c r="L242" s="2752">
        <f>'5. T4 FINANCING PLAN'!R31</f>
        <v>0</v>
      </c>
      <c r="M242" s="2752"/>
      <c r="N242" s="2752">
        <f>'5. T4 FINANCING PLAN'!S31</f>
        <v>0</v>
      </c>
      <c r="O242" s="2752"/>
      <c r="P242" s="2752">
        <f>'5. T4 FINANCING PLAN'!T31</f>
        <v>0</v>
      </c>
      <c r="Q242" s="2752"/>
      <c r="R242" s="757"/>
    </row>
    <row r="243" spans="2:18" ht="12.6" customHeight="1" x14ac:dyDescent="0.2">
      <c r="C243" s="2685" t="s">
        <v>177</v>
      </c>
      <c r="D243" s="2685"/>
      <c r="E243" s="2685"/>
      <c r="F243" s="2685"/>
      <c r="G243" s="2685"/>
      <c r="H243" s="2685"/>
      <c r="I243" s="2685"/>
      <c r="J243" s="2752">
        <f>'5. T4 FINANCING PLAN'!Q32</f>
        <v>0</v>
      </c>
      <c r="K243" s="2752"/>
      <c r="L243" s="2752">
        <f>'5. T4 FINANCING PLAN'!R32</f>
        <v>0</v>
      </c>
      <c r="M243" s="2752"/>
      <c r="N243" s="2752">
        <f>'5. T4 FINANCING PLAN'!S32</f>
        <v>0</v>
      </c>
      <c r="O243" s="2752"/>
      <c r="P243" s="2752">
        <f>'5. T4 FINANCING PLAN'!T32</f>
        <v>0</v>
      </c>
      <c r="Q243" s="2752"/>
      <c r="R243" s="757"/>
    </row>
    <row r="244" spans="2:18" ht="12.6" customHeight="1" x14ac:dyDescent="0.2">
      <c r="B244" s="349"/>
      <c r="C244" s="1488"/>
      <c r="D244" s="2904" t="s">
        <v>183</v>
      </c>
      <c r="E244" s="2904"/>
      <c r="F244" s="2904"/>
      <c r="G244" s="2904"/>
      <c r="H244" s="2904"/>
      <c r="I244" s="2904"/>
      <c r="J244" s="2902">
        <f>'5. T4 FINANCING PLAN'!Q33</f>
        <v>0</v>
      </c>
      <c r="K244" s="2902"/>
      <c r="L244" s="2902">
        <f>'5. T4 FINANCING PLAN'!R33</f>
        <v>0</v>
      </c>
      <c r="M244" s="2902"/>
      <c r="N244" s="2902">
        <f>'5. T4 FINANCING PLAN'!S33</f>
        <v>0</v>
      </c>
      <c r="O244" s="2902"/>
      <c r="P244" s="2902">
        <f>'5. T4 FINANCING PLAN'!T33</f>
        <v>0</v>
      </c>
      <c r="Q244" s="2902"/>
      <c r="R244" s="759"/>
    </row>
    <row r="245" spans="2:18" ht="12.6" customHeight="1" x14ac:dyDescent="0.2">
      <c r="C245" s="645" t="s">
        <v>342</v>
      </c>
      <c r="D245" s="645"/>
      <c r="E245" s="645"/>
      <c r="F245" s="645"/>
      <c r="G245" s="131"/>
      <c r="H245" s="131"/>
      <c r="J245" s="834"/>
      <c r="K245" s="834"/>
      <c r="L245" s="834"/>
      <c r="M245" s="834"/>
      <c r="N245" s="834"/>
      <c r="O245" s="834"/>
      <c r="P245" s="834"/>
      <c r="Q245" s="834"/>
      <c r="R245" s="131"/>
    </row>
    <row r="246" spans="2:18" ht="12.6" customHeight="1" x14ac:dyDescent="0.2">
      <c r="C246" s="2685" t="s">
        <v>169</v>
      </c>
      <c r="D246" s="2685"/>
      <c r="E246" s="2685"/>
      <c r="F246" s="2685"/>
      <c r="G246" s="2685"/>
      <c r="H246" s="2685"/>
      <c r="I246" s="2685"/>
      <c r="J246" s="2903">
        <f>'5. T4 FINANCING PLAN'!Q35</f>
        <v>0</v>
      </c>
      <c r="K246" s="2903"/>
      <c r="L246" s="2903">
        <f>'5. T4 FINANCING PLAN'!R35</f>
        <v>0</v>
      </c>
      <c r="M246" s="2903"/>
      <c r="N246" s="2903">
        <f>'5. T4 FINANCING PLAN'!S35</f>
        <v>0</v>
      </c>
      <c r="O246" s="2903"/>
      <c r="P246" s="2903">
        <f>'5. T4 FINANCING PLAN'!T35</f>
        <v>0</v>
      </c>
      <c r="Q246" s="2903"/>
      <c r="R246" s="761"/>
    </row>
    <row r="247" spans="2:18" ht="12.6" customHeight="1" x14ac:dyDescent="0.2">
      <c r="B247" s="349"/>
      <c r="C247" s="1487"/>
      <c r="D247" s="2905" t="s">
        <v>183</v>
      </c>
      <c r="E247" s="2905"/>
      <c r="F247" s="2905"/>
      <c r="G247" s="2905"/>
      <c r="H247" s="2905"/>
      <c r="I247" s="2905"/>
      <c r="J247" s="2759">
        <f>'5. T4 FINANCING PLAN'!Q36</f>
        <v>0</v>
      </c>
      <c r="K247" s="2759"/>
      <c r="L247" s="2759">
        <f>'5. T4 FINANCING PLAN'!R36</f>
        <v>0</v>
      </c>
      <c r="M247" s="2759"/>
      <c r="N247" s="2759">
        <f>'5. T4 FINANCING PLAN'!S36</f>
        <v>0</v>
      </c>
      <c r="O247" s="2759"/>
      <c r="P247" s="2759">
        <f>'5. T4 FINANCING PLAN'!T36</f>
        <v>0</v>
      </c>
      <c r="Q247" s="2759"/>
      <c r="R247" s="620"/>
    </row>
    <row r="248" spans="2:18" ht="12.6" customHeight="1" x14ac:dyDescent="0.2">
      <c r="C248" s="2685" t="s">
        <v>289</v>
      </c>
      <c r="D248" s="2685"/>
      <c r="E248" s="2685"/>
      <c r="F248" s="2685"/>
      <c r="G248" s="2685"/>
      <c r="H248" s="2685"/>
      <c r="I248" s="2685"/>
      <c r="J248" s="2758">
        <f>'5. T4 FINANCING PLAN'!Q37</f>
        <v>0</v>
      </c>
      <c r="K248" s="2758"/>
      <c r="L248" s="2758">
        <f>'5. T4 FINANCING PLAN'!R37</f>
        <v>0</v>
      </c>
      <c r="M248" s="2758"/>
      <c r="N248" s="2758">
        <f>'5. T4 FINANCING PLAN'!S37</f>
        <v>0</v>
      </c>
      <c r="O248" s="2758"/>
      <c r="P248" s="2758">
        <f>'5. T4 FINANCING PLAN'!T37</f>
        <v>0</v>
      </c>
      <c r="Q248" s="2758"/>
      <c r="R248" s="760"/>
    </row>
    <row r="249" spans="2:18" ht="12.6" customHeight="1" x14ac:dyDescent="0.2">
      <c r="B249" s="349"/>
      <c r="C249" s="1488"/>
      <c r="D249" s="2901" t="s">
        <v>183</v>
      </c>
      <c r="E249" s="2901"/>
      <c r="F249" s="2901"/>
      <c r="G249" s="2901"/>
      <c r="H249" s="2901"/>
      <c r="I249" s="2901"/>
      <c r="J249" s="2759" t="str">
        <f>'5. T4 FINANCING PLAN'!Q38</f>
        <v/>
      </c>
      <c r="K249" s="2759"/>
      <c r="L249" s="2759" t="str">
        <f>'5. T4 FINANCING PLAN'!R38</f>
        <v/>
      </c>
      <c r="M249" s="2759"/>
      <c r="N249" s="2759" t="str">
        <f>'5. T4 FINANCING PLAN'!S38</f>
        <v/>
      </c>
      <c r="O249" s="2759"/>
      <c r="P249" s="2759" t="str">
        <f>'5. T4 FINANCING PLAN'!T38</f>
        <v/>
      </c>
      <c r="Q249" s="2759"/>
      <c r="R249" s="620"/>
    </row>
    <row r="250" spans="2:18" ht="6.6" customHeight="1" x14ac:dyDescent="0.2">
      <c r="B250" s="349"/>
      <c r="C250" s="4"/>
      <c r="D250" s="679"/>
      <c r="E250" s="680"/>
      <c r="F250" s="4"/>
      <c r="G250" s="679"/>
      <c r="H250" s="680"/>
      <c r="I250" s="782"/>
      <c r="J250" s="782"/>
      <c r="K250" s="782"/>
      <c r="L250" s="782"/>
      <c r="M250" s="782"/>
      <c r="N250" s="782"/>
      <c r="O250" s="782"/>
      <c r="P250" s="782"/>
      <c r="Q250" s="682"/>
      <c r="R250" s="620"/>
    </row>
    <row r="251" spans="2:18" x14ac:dyDescent="0.2">
      <c r="B251" s="52">
        <f>'Front Page'!F6</f>
        <v>0</v>
      </c>
      <c r="H251" s="129"/>
      <c r="I251" s="687"/>
      <c r="J251" s="688"/>
      <c r="K251" s="688"/>
      <c r="L251" s="688"/>
      <c r="M251" s="688"/>
      <c r="N251" s="688"/>
      <c r="O251" s="688"/>
      <c r="P251" s="688"/>
      <c r="Q251" s="441"/>
      <c r="R251" s="1342"/>
    </row>
    <row r="252" spans="2:18" ht="12.6" customHeight="1" x14ac:dyDescent="0.2">
      <c r="B252" s="2571" t="str">
        <f>'Front Page'!G8</f>
        <v>Enontekiö, Kittilä, Kolari, Muonio, Pello</v>
      </c>
      <c r="C252" s="2571"/>
      <c r="D252" s="2571"/>
      <c r="E252" s="2571"/>
      <c r="F252" s="2571"/>
      <c r="G252" s="2571"/>
      <c r="H252" s="2571"/>
      <c r="I252" s="2571"/>
      <c r="J252" s="2571"/>
      <c r="K252" s="2571"/>
      <c r="L252" s="2571"/>
      <c r="M252" s="2571"/>
      <c r="N252" s="681"/>
      <c r="O252" s="681"/>
      <c r="P252" s="681"/>
      <c r="Q252" s="682"/>
      <c r="R252" s="1355" t="s">
        <v>333</v>
      </c>
    </row>
    <row r="253" spans="2:18" ht="12.6" customHeight="1" x14ac:dyDescent="0.2">
      <c r="B253" s="349"/>
      <c r="C253" s="4"/>
      <c r="D253" s="679"/>
      <c r="E253" s="680"/>
      <c r="F253" s="4"/>
      <c r="G253" s="679"/>
      <c r="H253" s="680"/>
      <c r="I253" s="681"/>
      <c r="J253" s="681"/>
      <c r="K253" s="681"/>
      <c r="L253" s="681"/>
      <c r="M253" s="681"/>
      <c r="N253" s="681"/>
      <c r="O253" s="681"/>
      <c r="P253" s="681"/>
      <c r="Q253" s="682"/>
      <c r="R253" s="620"/>
    </row>
    <row r="254" spans="2:18" ht="11.25" customHeight="1" x14ac:dyDescent="0.2">
      <c r="B254" s="440" t="s">
        <v>0</v>
      </c>
      <c r="C254" s="441"/>
      <c r="D254" s="441"/>
      <c r="E254" s="441"/>
      <c r="F254" s="441"/>
      <c r="G254" s="442"/>
      <c r="H254" s="434"/>
      <c r="J254" s="2670"/>
      <c r="K254" s="2670"/>
      <c r="L254" s="2670"/>
      <c r="M254" s="2670"/>
      <c r="N254" s="2670"/>
      <c r="O254" s="2670"/>
      <c r="P254" s="2670"/>
      <c r="Q254" s="2670"/>
      <c r="R254" s="2670"/>
    </row>
    <row r="255" spans="2:18" ht="15" x14ac:dyDescent="0.25">
      <c r="B255" s="1359" t="s">
        <v>159</v>
      </c>
      <c r="C255" s="685"/>
      <c r="D255" s="619"/>
      <c r="E255" s="619"/>
      <c r="F255" s="138"/>
      <c r="G255" s="129"/>
      <c r="H255" s="129"/>
      <c r="I255" s="129"/>
      <c r="J255" s="129"/>
      <c r="K255" s="129"/>
      <c r="M255" s="138"/>
      <c r="N255" s="129"/>
      <c r="O255" s="129"/>
      <c r="P255" s="129"/>
      <c r="Q255" s="129"/>
      <c r="R255" s="129"/>
    </row>
    <row r="256" spans="2:18" x14ac:dyDescent="0.2">
      <c r="B256" s="619"/>
      <c r="C256" s="619"/>
      <c r="D256" s="619"/>
      <c r="E256" s="619"/>
      <c r="F256" s="645"/>
      <c r="G256" s="648"/>
      <c r="H256" s="648"/>
      <c r="I256" s="648"/>
      <c r="J256" s="648"/>
      <c r="K256" s="648"/>
      <c r="M256" s="2575"/>
      <c r="N256" s="2575"/>
      <c r="O256" s="129"/>
      <c r="P256" s="129"/>
      <c r="Q256" s="129"/>
      <c r="R256" s="129"/>
    </row>
    <row r="257" spans="2:18" x14ac:dyDescent="0.2">
      <c r="B257" s="1358">
        <f>B7</f>
        <v>0</v>
      </c>
      <c r="C257" s="619"/>
      <c r="D257" s="619"/>
      <c r="E257" s="619"/>
      <c r="F257" s="645"/>
      <c r="G257" s="648"/>
      <c r="H257" s="648"/>
      <c r="I257" s="648"/>
      <c r="J257" s="648"/>
      <c r="K257" s="648"/>
      <c r="M257" s="684"/>
      <c r="N257" s="684"/>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21" x14ac:dyDescent="0.2">
      <c r="B289" s="129"/>
      <c r="C289" s="129"/>
      <c r="D289" s="129"/>
      <c r="E289" s="129"/>
      <c r="F289" s="129"/>
      <c r="G289" s="129"/>
      <c r="H289" s="129"/>
      <c r="I289" s="129"/>
      <c r="J289" s="129"/>
      <c r="K289" s="129"/>
      <c r="L289" s="129"/>
      <c r="M289" s="129"/>
      <c r="N289" s="129"/>
      <c r="O289" s="129"/>
      <c r="P289" s="129"/>
      <c r="Q289" s="129"/>
      <c r="R289" s="129"/>
    </row>
    <row r="290" spans="2:21" x14ac:dyDescent="0.2">
      <c r="B290" s="129"/>
      <c r="C290" s="129"/>
      <c r="D290" s="129"/>
      <c r="E290" s="129"/>
      <c r="F290" s="129"/>
      <c r="G290" s="129"/>
      <c r="H290" s="129"/>
      <c r="I290" s="129"/>
      <c r="J290" s="129"/>
      <c r="K290" s="129"/>
      <c r="L290" s="129"/>
      <c r="M290" s="129"/>
      <c r="N290" s="129"/>
      <c r="O290" s="129"/>
      <c r="P290" s="129"/>
      <c r="Q290" s="129"/>
      <c r="R290" s="129"/>
    </row>
    <row r="291" spans="2:21" x14ac:dyDescent="0.2">
      <c r="B291" s="129"/>
      <c r="C291" s="129"/>
      <c r="D291" s="129"/>
      <c r="E291" s="129"/>
      <c r="F291" s="129"/>
      <c r="G291" s="129"/>
      <c r="H291" s="129"/>
      <c r="I291" s="129"/>
      <c r="J291" s="129"/>
      <c r="K291" s="129"/>
      <c r="L291" s="129"/>
      <c r="M291" s="129"/>
      <c r="N291" s="129"/>
      <c r="O291" s="129"/>
      <c r="P291" s="129"/>
      <c r="Q291" s="129"/>
      <c r="R291" s="129"/>
    </row>
    <row r="292" spans="2:21" x14ac:dyDescent="0.2">
      <c r="B292" s="129"/>
      <c r="C292" s="129"/>
      <c r="D292" s="129"/>
      <c r="E292" s="129"/>
      <c r="F292" s="129"/>
      <c r="G292" s="129"/>
      <c r="H292" s="129"/>
      <c r="I292" s="129"/>
      <c r="J292" s="129"/>
      <c r="K292" s="129"/>
      <c r="L292" s="129"/>
      <c r="M292" s="129"/>
      <c r="N292" s="129"/>
      <c r="O292" s="129"/>
      <c r="P292" s="129"/>
      <c r="Q292" s="129"/>
      <c r="R292" s="129"/>
    </row>
    <row r="293" spans="2:21" x14ac:dyDescent="0.2">
      <c r="B293" s="129"/>
      <c r="C293" s="129"/>
      <c r="D293" s="129"/>
      <c r="E293" s="129"/>
      <c r="F293" s="129"/>
      <c r="G293" s="129"/>
      <c r="H293" s="129"/>
      <c r="I293" s="129"/>
      <c r="J293" s="129"/>
      <c r="K293" s="129"/>
      <c r="L293" s="129"/>
      <c r="M293" s="129"/>
      <c r="N293" s="129"/>
      <c r="O293" s="129"/>
      <c r="P293" s="129"/>
      <c r="Q293" s="129"/>
      <c r="R293" s="129"/>
      <c r="U293" s="519" t="s">
        <v>0</v>
      </c>
    </row>
    <row r="294" spans="2:21" x14ac:dyDescent="0.2">
      <c r="B294" s="129"/>
      <c r="C294" s="129"/>
      <c r="D294" s="129"/>
      <c r="E294" s="129"/>
      <c r="F294" s="129"/>
      <c r="G294" s="129"/>
      <c r="H294" s="129"/>
      <c r="I294" s="129"/>
      <c r="J294" s="129"/>
      <c r="K294" s="129"/>
      <c r="L294" s="129"/>
      <c r="M294" s="129"/>
      <c r="N294" s="129"/>
      <c r="O294" s="129"/>
      <c r="P294" s="129"/>
      <c r="Q294" s="129"/>
      <c r="R294" s="129"/>
    </row>
    <row r="295" spans="2:21" x14ac:dyDescent="0.2">
      <c r="B295" s="129"/>
      <c r="C295" s="129"/>
      <c r="D295" s="129"/>
      <c r="E295" s="129"/>
      <c r="F295" s="129"/>
      <c r="G295" s="129"/>
      <c r="H295" s="129"/>
      <c r="I295" s="129"/>
      <c r="J295" s="129"/>
      <c r="K295" s="129"/>
      <c r="L295" s="129"/>
      <c r="M295" s="129"/>
      <c r="N295" s="129"/>
      <c r="O295" s="129"/>
      <c r="P295" s="129"/>
      <c r="Q295" s="129"/>
      <c r="R295" s="129"/>
    </row>
    <row r="296" spans="2:21" ht="13.5" customHeight="1" x14ac:dyDescent="0.2">
      <c r="B296" s="129"/>
      <c r="C296" s="129"/>
      <c r="D296" s="129"/>
      <c r="E296" s="129"/>
      <c r="F296" s="129"/>
      <c r="G296" s="129"/>
      <c r="H296" s="129"/>
      <c r="I296" s="129"/>
      <c r="J296" s="129"/>
      <c r="K296" s="129"/>
      <c r="L296" s="129"/>
      <c r="M296" s="129"/>
      <c r="N296" s="129"/>
      <c r="O296" s="129"/>
      <c r="P296" s="129"/>
      <c r="Q296" s="129"/>
      <c r="R296" s="129"/>
    </row>
    <row r="297" spans="2:21" ht="12" customHeight="1" x14ac:dyDescent="0.2">
      <c r="B297" s="129"/>
      <c r="C297" s="129"/>
      <c r="D297" s="129"/>
      <c r="E297" s="129"/>
      <c r="F297" s="129"/>
      <c r="G297" s="129"/>
      <c r="H297" s="129"/>
      <c r="I297" s="129"/>
      <c r="J297" s="129"/>
      <c r="K297" s="129"/>
      <c r="L297" s="129"/>
      <c r="M297" s="129"/>
      <c r="N297" s="129"/>
      <c r="O297" s="129"/>
      <c r="P297" s="129"/>
      <c r="Q297" s="129"/>
      <c r="R297" s="129"/>
    </row>
    <row r="298" spans="2:21" x14ac:dyDescent="0.2">
      <c r="B298" s="129"/>
      <c r="C298" s="129"/>
      <c r="D298" s="129"/>
      <c r="E298" s="129"/>
      <c r="F298" s="129"/>
      <c r="G298" s="129"/>
      <c r="H298" s="129"/>
      <c r="I298" s="129"/>
      <c r="J298" s="129"/>
      <c r="K298" s="129"/>
      <c r="L298" s="129"/>
      <c r="M298" s="129"/>
      <c r="N298" s="129"/>
      <c r="O298" s="129"/>
      <c r="P298" s="129"/>
      <c r="Q298" s="129"/>
      <c r="R298" s="129"/>
    </row>
    <row r="299" spans="2:21" x14ac:dyDescent="0.2">
      <c r="B299" s="129"/>
      <c r="C299" s="129"/>
      <c r="D299" s="129"/>
      <c r="E299" s="129"/>
      <c r="F299" s="129"/>
      <c r="G299" s="129"/>
      <c r="H299" s="129"/>
      <c r="I299" s="129"/>
      <c r="J299" s="129"/>
      <c r="K299" s="129"/>
      <c r="L299" s="129"/>
      <c r="M299" s="129"/>
      <c r="N299" s="129"/>
      <c r="O299" s="129"/>
      <c r="P299" s="129"/>
      <c r="Q299" s="129"/>
      <c r="R299" s="129"/>
    </row>
    <row r="300" spans="2:21" x14ac:dyDescent="0.2">
      <c r="B300" s="129"/>
      <c r="C300" s="129"/>
      <c r="D300" s="129"/>
      <c r="E300" s="129"/>
      <c r="F300" s="129"/>
      <c r="G300" s="129"/>
      <c r="H300" s="129"/>
      <c r="I300" s="129"/>
      <c r="J300" s="129"/>
      <c r="K300" s="129"/>
      <c r="L300" s="129"/>
      <c r="M300" s="129"/>
      <c r="N300" s="129"/>
      <c r="O300" s="129"/>
      <c r="P300" s="129"/>
      <c r="Q300" s="129"/>
      <c r="R300" s="129"/>
    </row>
    <row r="301" spans="2:21" x14ac:dyDescent="0.2">
      <c r="B301" s="129"/>
      <c r="C301" s="129"/>
      <c r="D301" s="129"/>
      <c r="E301" s="129"/>
      <c r="F301" s="129"/>
      <c r="G301" s="129"/>
      <c r="H301" s="129"/>
      <c r="I301" s="129"/>
      <c r="J301" s="129"/>
      <c r="K301" s="129"/>
      <c r="L301" s="129"/>
      <c r="M301" s="129"/>
      <c r="N301" s="129"/>
      <c r="O301" s="129"/>
      <c r="P301" s="129"/>
      <c r="Q301" s="129"/>
      <c r="R301" s="129"/>
    </row>
    <row r="302" spans="2:21" x14ac:dyDescent="0.2">
      <c r="B302" s="129"/>
      <c r="C302" s="129"/>
      <c r="D302" s="129"/>
      <c r="E302" s="129"/>
      <c r="F302" s="129"/>
      <c r="G302" s="129"/>
      <c r="H302" s="129"/>
      <c r="I302" s="129"/>
      <c r="J302" s="129"/>
      <c r="K302" s="129"/>
      <c r="L302" s="129"/>
      <c r="M302" s="129"/>
      <c r="N302" s="129"/>
      <c r="O302" s="129"/>
      <c r="P302" s="129"/>
      <c r="Q302" s="129"/>
      <c r="R302" s="129"/>
    </row>
    <row r="303" spans="2:21" x14ac:dyDescent="0.2">
      <c r="B303" s="129"/>
      <c r="C303" s="129"/>
      <c r="D303" s="129"/>
      <c r="E303" s="129"/>
      <c r="F303" s="129"/>
      <c r="G303" s="129"/>
      <c r="H303" s="129"/>
      <c r="I303" s="129"/>
      <c r="J303" s="129"/>
      <c r="K303" s="129"/>
      <c r="L303" s="129"/>
      <c r="M303" s="129"/>
      <c r="N303" s="129"/>
      <c r="O303" s="129"/>
      <c r="P303" s="129"/>
      <c r="Q303" s="129"/>
      <c r="R303" s="129"/>
    </row>
    <row r="304" spans="2:21"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ht="72.599999999999994" customHeight="1"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74">
        <f>'Front Page'!F6</f>
        <v>0</v>
      </c>
      <c r="I323" s="1336"/>
      <c r="J323" s="1336"/>
      <c r="K323" s="1336"/>
      <c r="L323" s="1336"/>
      <c r="M323" s="1336"/>
      <c r="N323" s="1336"/>
      <c r="O323" s="1336"/>
      <c r="P323" s="1336"/>
      <c r="Q323" s="52"/>
      <c r="R323" s="155"/>
    </row>
    <row r="324" spans="2:18" x14ac:dyDescent="0.2">
      <c r="B324" s="2571" t="str">
        <f>'Front Page'!G8</f>
        <v>Enontekiö, Kittilä, Kolari, Muonio, Pello</v>
      </c>
      <c r="C324" s="2571"/>
      <c r="D324" s="2571"/>
      <c r="E324" s="2571"/>
      <c r="F324" s="2571"/>
      <c r="G324" s="2571"/>
      <c r="H324" s="2571"/>
      <c r="I324" s="2571"/>
      <c r="J324" s="2571"/>
      <c r="K324" s="2571"/>
      <c r="L324" s="2571"/>
      <c r="M324" s="2571"/>
      <c r="R324" s="1354" t="s">
        <v>333</v>
      </c>
    </row>
    <row r="325" spans="2:18" x14ac:dyDescent="0.2">
      <c r="B325" s="2149" t="s">
        <v>0</v>
      </c>
      <c r="C325" s="2149"/>
      <c r="D325" s="74"/>
      <c r="E325" s="74"/>
      <c r="F325" s="74"/>
    </row>
  </sheetData>
  <sheetProtection algorithmName="SHA-512" hashValue="34mDL4InVW0mUIoLgXF9ivcabU50OHrusSXROT0D1EIbm6tCbtsyBxSKymomNy8a21WEli+o+mbwoTquzxHbjQ==" saltValue="G6suNyLs6A9GthkE/viN+A==" spinCount="100000" sheet="1" objects="1" scenarios="1" selectLockedCells="1"/>
  <mergeCells count="699">
    <mergeCell ref="B252:M252"/>
    <mergeCell ref="B324:M324"/>
    <mergeCell ref="B84:J84"/>
    <mergeCell ref="B86:L86"/>
    <mergeCell ref="B169:J169"/>
    <mergeCell ref="B7:H7"/>
    <mergeCell ref="B9:H9"/>
    <mergeCell ref="B55:E57"/>
    <mergeCell ref="B223:C223"/>
    <mergeCell ref="B225:C225"/>
    <mergeCell ref="C100:J100"/>
    <mergeCell ref="G194:I194"/>
    <mergeCell ref="J194:L194"/>
    <mergeCell ref="M194:O194"/>
    <mergeCell ref="G80:H80"/>
    <mergeCell ref="G99:H99"/>
    <mergeCell ref="G112:H112"/>
    <mergeCell ref="G115:H115"/>
    <mergeCell ref="G117:H117"/>
    <mergeCell ref="G119:H119"/>
    <mergeCell ref="G121:H121"/>
    <mergeCell ref="G123:H123"/>
    <mergeCell ref="G101:H101"/>
    <mergeCell ref="G104:H104"/>
    <mergeCell ref="P192:R193"/>
    <mergeCell ref="O80:P80"/>
    <mergeCell ref="Q80:R80"/>
    <mergeCell ref="G79:H79"/>
    <mergeCell ref="I79:J79"/>
    <mergeCell ref="K79:L79"/>
    <mergeCell ref="M79:N79"/>
    <mergeCell ref="O79:P79"/>
    <mergeCell ref="Q79:R79"/>
    <mergeCell ref="I80:J80"/>
    <mergeCell ref="M85:N85"/>
    <mergeCell ref="G88:H88"/>
    <mergeCell ref="I88:J88"/>
    <mergeCell ref="K88:L88"/>
    <mergeCell ref="M88:N88"/>
    <mergeCell ref="B83:M83"/>
    <mergeCell ref="B166:M166"/>
    <mergeCell ref="I104:J104"/>
    <mergeCell ref="K104:L104"/>
    <mergeCell ref="M104:N104"/>
    <mergeCell ref="O104:P104"/>
    <mergeCell ref="Q104:R104"/>
    <mergeCell ref="B172:H173"/>
    <mergeCell ref="G102:H102"/>
    <mergeCell ref="G108:H108"/>
    <mergeCell ref="B110:E111"/>
    <mergeCell ref="G113:H113"/>
    <mergeCell ref="I103:J103"/>
    <mergeCell ref="K103:L103"/>
    <mergeCell ref="M103:N103"/>
    <mergeCell ref="O103:P103"/>
    <mergeCell ref="Q103:R103"/>
    <mergeCell ref="G125:H125"/>
    <mergeCell ref="G103:H103"/>
    <mergeCell ref="I108:J108"/>
    <mergeCell ref="K108:L108"/>
    <mergeCell ref="M108:N108"/>
    <mergeCell ref="O108:P108"/>
    <mergeCell ref="Q108:R108"/>
    <mergeCell ref="G107:H107"/>
    <mergeCell ref="I107:J107"/>
    <mergeCell ref="K107:L107"/>
    <mergeCell ref="M107:N107"/>
    <mergeCell ref="O107:P107"/>
    <mergeCell ref="Q107:R107"/>
    <mergeCell ref="M106:N106"/>
    <mergeCell ref="O106:P106"/>
    <mergeCell ref="Q106:R106"/>
    <mergeCell ref="C242:I242"/>
    <mergeCell ref="C238:I238"/>
    <mergeCell ref="C240:I240"/>
    <mergeCell ref="D244:I244"/>
    <mergeCell ref="C246:I246"/>
    <mergeCell ref="D247:I247"/>
    <mergeCell ref="C153:E153"/>
    <mergeCell ref="C155:G155"/>
    <mergeCell ref="C159:G159"/>
    <mergeCell ref="C160:G160"/>
    <mergeCell ref="C175:I175"/>
    <mergeCell ref="C177:I177"/>
    <mergeCell ref="C181:I181"/>
    <mergeCell ref="C183:I183"/>
    <mergeCell ref="B230:C230"/>
    <mergeCell ref="C157:G157"/>
    <mergeCell ref="C185:I185"/>
    <mergeCell ref="G237:H237"/>
    <mergeCell ref="B215:C215"/>
    <mergeCell ref="B221:C221"/>
    <mergeCell ref="B232:C232"/>
    <mergeCell ref="B192:C194"/>
    <mergeCell ref="B208:C208"/>
    <mergeCell ref="B209:C209"/>
    <mergeCell ref="P243:Q243"/>
    <mergeCell ref="J244:K244"/>
    <mergeCell ref="J247:K247"/>
    <mergeCell ref="L247:M247"/>
    <mergeCell ref="N247:O247"/>
    <mergeCell ref="P247:Q247"/>
    <mergeCell ref="J243:K243"/>
    <mergeCell ref="N243:O243"/>
    <mergeCell ref="L243:M243"/>
    <mergeCell ref="L244:M244"/>
    <mergeCell ref="N244:O244"/>
    <mergeCell ref="P244:Q244"/>
    <mergeCell ref="J246:K246"/>
    <mergeCell ref="L246:M246"/>
    <mergeCell ref="N246:O246"/>
    <mergeCell ref="P246:Q246"/>
    <mergeCell ref="J240:K240"/>
    <mergeCell ref="L240:M240"/>
    <mergeCell ref="N240:O240"/>
    <mergeCell ref="P240:Q240"/>
    <mergeCell ref="J241:K241"/>
    <mergeCell ref="L241:M241"/>
    <mergeCell ref="N241:O241"/>
    <mergeCell ref="P241:Q241"/>
    <mergeCell ref="J242:K242"/>
    <mergeCell ref="L242:M242"/>
    <mergeCell ref="N242:O242"/>
    <mergeCell ref="P242:Q242"/>
    <mergeCell ref="J254:R254"/>
    <mergeCell ref="B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D241:I241"/>
    <mergeCell ref="C243:I243"/>
    <mergeCell ref="C248:I248"/>
    <mergeCell ref="D249:I249"/>
    <mergeCell ref="J238:K238"/>
    <mergeCell ref="L238:M238"/>
    <mergeCell ref="C235:I236"/>
    <mergeCell ref="I58:J58"/>
    <mergeCell ref="K58:L58"/>
    <mergeCell ref="M58:N58"/>
    <mergeCell ref="G89:H89"/>
    <mergeCell ref="I89:J89"/>
    <mergeCell ref="K89:L89"/>
    <mergeCell ref="M89:N89"/>
    <mergeCell ref="K94:L94"/>
    <mergeCell ref="K56:L56"/>
    <mergeCell ref="M56:N56"/>
    <mergeCell ref="M94:N94"/>
    <mergeCell ref="G58:H58"/>
    <mergeCell ref="O56:P56"/>
    <mergeCell ref="Q56:R56"/>
    <mergeCell ref="C19:F19"/>
    <mergeCell ref="C20:F20"/>
    <mergeCell ref="C21:F21"/>
    <mergeCell ref="C22:F22"/>
    <mergeCell ref="C23:F23"/>
    <mergeCell ref="C24:F24"/>
    <mergeCell ref="C33:F33"/>
    <mergeCell ref="K35:K36"/>
    <mergeCell ref="L35:R36"/>
    <mergeCell ref="L47:M47"/>
    <mergeCell ref="L48:M48"/>
    <mergeCell ref="L44:M44"/>
    <mergeCell ref="C25:F25"/>
    <mergeCell ref="C27:F27"/>
    <mergeCell ref="C28:F28"/>
    <mergeCell ref="C29:F29"/>
    <mergeCell ref="C30:F30"/>
    <mergeCell ref="C31:F31"/>
    <mergeCell ref="C32:F32"/>
    <mergeCell ref="C34:F34"/>
    <mergeCell ref="B325:C325"/>
    <mergeCell ref="L8:R8"/>
    <mergeCell ref="L9:R9"/>
    <mergeCell ref="L10:R10"/>
    <mergeCell ref="L11:R11"/>
    <mergeCell ref="K80:L80"/>
    <mergeCell ref="M80:N80"/>
    <mergeCell ref="B88:E89"/>
    <mergeCell ref="G90:H90"/>
    <mergeCell ref="I90:J90"/>
    <mergeCell ref="K90:L90"/>
    <mergeCell ref="M90:N90"/>
    <mergeCell ref="M84:N84"/>
    <mergeCell ref="O90:P90"/>
    <mergeCell ref="Q90:R90"/>
    <mergeCell ref="O88:P88"/>
    <mergeCell ref="Q88:R88"/>
    <mergeCell ref="O58:P58"/>
    <mergeCell ref="Q58:R58"/>
    <mergeCell ref="M55:N55"/>
    <mergeCell ref="O55:P55"/>
    <mergeCell ref="Q55:R55"/>
    <mergeCell ref="G56:H56"/>
    <mergeCell ref="I56:J56"/>
    <mergeCell ref="L3:M3"/>
    <mergeCell ref="H5:I5"/>
    <mergeCell ref="L6:R6"/>
    <mergeCell ref="L7:R7"/>
    <mergeCell ref="B37:C37"/>
    <mergeCell ref="B44:C44"/>
    <mergeCell ref="G55:H55"/>
    <mergeCell ref="I55:J55"/>
    <mergeCell ref="K55:L55"/>
    <mergeCell ref="L12:R12"/>
    <mergeCell ref="L13:R13"/>
    <mergeCell ref="K15:K16"/>
    <mergeCell ref="L15:R16"/>
    <mergeCell ref="B35:C36"/>
    <mergeCell ref="B15:F16"/>
    <mergeCell ref="C17:F17"/>
    <mergeCell ref="C18:F18"/>
    <mergeCell ref="O47:P47"/>
    <mergeCell ref="O48:P48"/>
    <mergeCell ref="O44:P44"/>
    <mergeCell ref="O45:P45"/>
    <mergeCell ref="O46:P46"/>
    <mergeCell ref="L45:M45"/>
    <mergeCell ref="L46:M46"/>
    <mergeCell ref="O89:P89"/>
    <mergeCell ref="Q89:R89"/>
    <mergeCell ref="K92:L92"/>
    <mergeCell ref="M92:N92"/>
    <mergeCell ref="O92:P92"/>
    <mergeCell ref="Q92:R92"/>
    <mergeCell ref="G91:H91"/>
    <mergeCell ref="I91:J91"/>
    <mergeCell ref="K91:L91"/>
    <mergeCell ref="M91:N91"/>
    <mergeCell ref="O91:P91"/>
    <mergeCell ref="Q91:R91"/>
    <mergeCell ref="G92:H92"/>
    <mergeCell ref="I92:J92"/>
    <mergeCell ref="O94:P94"/>
    <mergeCell ref="Q94:R94"/>
    <mergeCell ref="G93:H93"/>
    <mergeCell ref="I93:J93"/>
    <mergeCell ref="K93:L93"/>
    <mergeCell ref="M93:N93"/>
    <mergeCell ref="O93:P93"/>
    <mergeCell ref="Q93:R93"/>
    <mergeCell ref="G94:H94"/>
    <mergeCell ref="I94:J94"/>
    <mergeCell ref="K96:L96"/>
    <mergeCell ref="M96:N96"/>
    <mergeCell ref="O96:P96"/>
    <mergeCell ref="Q96:R96"/>
    <mergeCell ref="G95:H95"/>
    <mergeCell ref="I95:J95"/>
    <mergeCell ref="K95:L95"/>
    <mergeCell ref="M95:N95"/>
    <mergeCell ref="O95:P95"/>
    <mergeCell ref="Q95:R95"/>
    <mergeCell ref="G96:H96"/>
    <mergeCell ref="I96:J96"/>
    <mergeCell ref="K98:L98"/>
    <mergeCell ref="M98:N98"/>
    <mergeCell ref="O98:P98"/>
    <mergeCell ref="Q98:R98"/>
    <mergeCell ref="G97:H97"/>
    <mergeCell ref="I97:J97"/>
    <mergeCell ref="K97:L97"/>
    <mergeCell ref="M97:N97"/>
    <mergeCell ref="O97:P97"/>
    <mergeCell ref="Q97:R97"/>
    <mergeCell ref="G98:H98"/>
    <mergeCell ref="I98:J98"/>
    <mergeCell ref="I99:J99"/>
    <mergeCell ref="K99:L99"/>
    <mergeCell ref="M99:N99"/>
    <mergeCell ref="O99:P99"/>
    <mergeCell ref="Q99:R99"/>
    <mergeCell ref="I102:J102"/>
    <mergeCell ref="K102:L102"/>
    <mergeCell ref="M102:N102"/>
    <mergeCell ref="O102:P102"/>
    <mergeCell ref="Q102:R102"/>
    <mergeCell ref="I101:J101"/>
    <mergeCell ref="K101:L101"/>
    <mergeCell ref="M101:N101"/>
    <mergeCell ref="O101:P101"/>
    <mergeCell ref="Q101:R101"/>
    <mergeCell ref="K100:L100"/>
    <mergeCell ref="M100:N100"/>
    <mergeCell ref="O100:P100"/>
    <mergeCell ref="Q100:R100"/>
    <mergeCell ref="G105:H105"/>
    <mergeCell ref="I105:J105"/>
    <mergeCell ref="K105:L105"/>
    <mergeCell ref="M105:N105"/>
    <mergeCell ref="O105:P105"/>
    <mergeCell ref="Q105:R105"/>
    <mergeCell ref="G106:H106"/>
    <mergeCell ref="I106:J106"/>
    <mergeCell ref="K106:L106"/>
    <mergeCell ref="Q109:R109"/>
    <mergeCell ref="G110:H110"/>
    <mergeCell ref="I110:J110"/>
    <mergeCell ref="K110:L110"/>
    <mergeCell ref="M110:N110"/>
    <mergeCell ref="O110:P110"/>
    <mergeCell ref="Q110:R110"/>
    <mergeCell ref="G111:H111"/>
    <mergeCell ref="I111:J111"/>
    <mergeCell ref="G109:H109"/>
    <mergeCell ref="I109:J109"/>
    <mergeCell ref="K109:L109"/>
    <mergeCell ref="M109:N109"/>
    <mergeCell ref="O109:P109"/>
    <mergeCell ref="K111:L111"/>
    <mergeCell ref="M111:N111"/>
    <mergeCell ref="O111:P111"/>
    <mergeCell ref="Q111:R111"/>
    <mergeCell ref="I112:J112"/>
    <mergeCell ref="K112:L112"/>
    <mergeCell ref="M112:N112"/>
    <mergeCell ref="O112:P112"/>
    <mergeCell ref="Q112:R112"/>
    <mergeCell ref="G114:H114"/>
    <mergeCell ref="I114:J114"/>
    <mergeCell ref="K114:L114"/>
    <mergeCell ref="M114:N114"/>
    <mergeCell ref="O114:P114"/>
    <mergeCell ref="Q114:R114"/>
    <mergeCell ref="I113:J113"/>
    <mergeCell ref="K113:L113"/>
    <mergeCell ref="M113:N113"/>
    <mergeCell ref="O113:P113"/>
    <mergeCell ref="Q113:R113"/>
    <mergeCell ref="G116:H116"/>
    <mergeCell ref="I116:J116"/>
    <mergeCell ref="K116:L116"/>
    <mergeCell ref="M116:N116"/>
    <mergeCell ref="O116:P116"/>
    <mergeCell ref="Q116:R116"/>
    <mergeCell ref="I115:J115"/>
    <mergeCell ref="K115:L115"/>
    <mergeCell ref="M115:N115"/>
    <mergeCell ref="O115:P115"/>
    <mergeCell ref="Q115:R115"/>
    <mergeCell ref="G118:H118"/>
    <mergeCell ref="I118:J118"/>
    <mergeCell ref="K118:L118"/>
    <mergeCell ref="M118:N118"/>
    <mergeCell ref="O118:P118"/>
    <mergeCell ref="Q118:R118"/>
    <mergeCell ref="I117:J117"/>
    <mergeCell ref="K117:L117"/>
    <mergeCell ref="M117:N117"/>
    <mergeCell ref="O117:P117"/>
    <mergeCell ref="Q117:R117"/>
    <mergeCell ref="G120:H120"/>
    <mergeCell ref="I120:J120"/>
    <mergeCell ref="K120:L120"/>
    <mergeCell ref="M120:N120"/>
    <mergeCell ref="O120:P120"/>
    <mergeCell ref="Q120:R120"/>
    <mergeCell ref="I119:J119"/>
    <mergeCell ref="K119:L119"/>
    <mergeCell ref="M119:N119"/>
    <mergeCell ref="O119:P119"/>
    <mergeCell ref="Q119:R119"/>
    <mergeCell ref="G122:H122"/>
    <mergeCell ref="I122:J122"/>
    <mergeCell ref="K122:L122"/>
    <mergeCell ref="M122:N122"/>
    <mergeCell ref="O122:P122"/>
    <mergeCell ref="Q122:R122"/>
    <mergeCell ref="I121:J121"/>
    <mergeCell ref="K121:L121"/>
    <mergeCell ref="M121:N121"/>
    <mergeCell ref="O121:P121"/>
    <mergeCell ref="Q121:R121"/>
    <mergeCell ref="I124:J124"/>
    <mergeCell ref="K124:L124"/>
    <mergeCell ref="M124:N124"/>
    <mergeCell ref="O124:P124"/>
    <mergeCell ref="Q124:R124"/>
    <mergeCell ref="I123:J123"/>
    <mergeCell ref="K123:L123"/>
    <mergeCell ref="M123:N123"/>
    <mergeCell ref="O123:P123"/>
    <mergeCell ref="Q123:R123"/>
    <mergeCell ref="K126:L126"/>
    <mergeCell ref="M126:N126"/>
    <mergeCell ref="O126:P126"/>
    <mergeCell ref="Q126:R126"/>
    <mergeCell ref="I125:J125"/>
    <mergeCell ref="K125:L125"/>
    <mergeCell ref="M125:N125"/>
    <mergeCell ref="O125:P125"/>
    <mergeCell ref="Q125:R125"/>
    <mergeCell ref="K128:L128"/>
    <mergeCell ref="M128:N128"/>
    <mergeCell ref="O128:P128"/>
    <mergeCell ref="Q128:R128"/>
    <mergeCell ref="G127:H127"/>
    <mergeCell ref="I127:J127"/>
    <mergeCell ref="K127:L127"/>
    <mergeCell ref="M127:N127"/>
    <mergeCell ref="O127:P127"/>
    <mergeCell ref="Q127:R127"/>
    <mergeCell ref="K130:L130"/>
    <mergeCell ref="M130:N130"/>
    <mergeCell ref="O130:P130"/>
    <mergeCell ref="Q130:R130"/>
    <mergeCell ref="G129:H129"/>
    <mergeCell ref="I129:J129"/>
    <mergeCell ref="K129:L129"/>
    <mergeCell ref="M129:N129"/>
    <mergeCell ref="O129:P129"/>
    <mergeCell ref="Q129:R129"/>
    <mergeCell ref="K132:L132"/>
    <mergeCell ref="M132:N132"/>
    <mergeCell ref="O132:P132"/>
    <mergeCell ref="Q132:R132"/>
    <mergeCell ref="G131:H131"/>
    <mergeCell ref="I131:J131"/>
    <mergeCell ref="K131:L131"/>
    <mergeCell ref="M131:N131"/>
    <mergeCell ref="O131:P131"/>
    <mergeCell ref="Q131:R131"/>
    <mergeCell ref="K135:L135"/>
    <mergeCell ref="M135:N135"/>
    <mergeCell ref="O135:P135"/>
    <mergeCell ref="Q135:R135"/>
    <mergeCell ref="K136:L136"/>
    <mergeCell ref="M136:N136"/>
    <mergeCell ref="O136:P136"/>
    <mergeCell ref="Q136:R136"/>
    <mergeCell ref="G133:H133"/>
    <mergeCell ref="I133:J133"/>
    <mergeCell ref="K133:L133"/>
    <mergeCell ref="M133:N133"/>
    <mergeCell ref="O133:P133"/>
    <mergeCell ref="Q133:R133"/>
    <mergeCell ref="K137:L137"/>
    <mergeCell ref="M137:N137"/>
    <mergeCell ref="O137:P137"/>
    <mergeCell ref="Q137:R137"/>
    <mergeCell ref="C138:G138"/>
    <mergeCell ref="K138:L138"/>
    <mergeCell ref="M138:N138"/>
    <mergeCell ref="O138:P138"/>
    <mergeCell ref="Q138:R138"/>
    <mergeCell ref="K139:L139"/>
    <mergeCell ref="M139:N139"/>
    <mergeCell ref="O139:P139"/>
    <mergeCell ref="Q139:R139"/>
    <mergeCell ref="C140:G140"/>
    <mergeCell ref="K140:L140"/>
    <mergeCell ref="M140:N140"/>
    <mergeCell ref="O140:P140"/>
    <mergeCell ref="Q140:R140"/>
    <mergeCell ref="K145:L145"/>
    <mergeCell ref="M145:N145"/>
    <mergeCell ref="O145:P145"/>
    <mergeCell ref="Q145:R145"/>
    <mergeCell ref="C141:G141"/>
    <mergeCell ref="K141:L141"/>
    <mergeCell ref="M141:N141"/>
    <mergeCell ref="O141:P141"/>
    <mergeCell ref="Q141:R141"/>
    <mergeCell ref="C142:G142"/>
    <mergeCell ref="K142:L142"/>
    <mergeCell ref="M142:N142"/>
    <mergeCell ref="O142:P142"/>
    <mergeCell ref="Q142:R142"/>
    <mergeCell ref="C143:J143"/>
    <mergeCell ref="K143:L143"/>
    <mergeCell ref="M143:N143"/>
    <mergeCell ref="O143:P143"/>
    <mergeCell ref="Q143:R143"/>
    <mergeCell ref="K144:L144"/>
    <mergeCell ref="M144:N144"/>
    <mergeCell ref="O144:P144"/>
    <mergeCell ref="Q144:R144"/>
    <mergeCell ref="K147:L147"/>
    <mergeCell ref="M147:N147"/>
    <mergeCell ref="O147:P147"/>
    <mergeCell ref="Q147:R147"/>
    <mergeCell ref="C148:G148"/>
    <mergeCell ref="K148:L148"/>
    <mergeCell ref="M148:N148"/>
    <mergeCell ref="O148:P148"/>
    <mergeCell ref="Q148:R148"/>
    <mergeCell ref="K146:L146"/>
    <mergeCell ref="M146:N146"/>
    <mergeCell ref="O146:P146"/>
    <mergeCell ref="Q146:R146"/>
    <mergeCell ref="Q149:R149"/>
    <mergeCell ref="C154:G154"/>
    <mergeCell ref="K154:L154"/>
    <mergeCell ref="M154:N154"/>
    <mergeCell ref="O154:P154"/>
    <mergeCell ref="Q154:R154"/>
    <mergeCell ref="K150:L150"/>
    <mergeCell ref="K151:L151"/>
    <mergeCell ref="K152:L152"/>
    <mergeCell ref="K153:L153"/>
    <mergeCell ref="M150:N150"/>
    <mergeCell ref="O150:P150"/>
    <mergeCell ref="Q150:R150"/>
    <mergeCell ref="M151:N151"/>
    <mergeCell ref="O151:P151"/>
    <mergeCell ref="Q151:R151"/>
    <mergeCell ref="M152:N152"/>
    <mergeCell ref="O152:P152"/>
    <mergeCell ref="Q152:R152"/>
    <mergeCell ref="C147:G147"/>
    <mergeCell ref="C149:J149"/>
    <mergeCell ref="K149:L149"/>
    <mergeCell ref="M149:N149"/>
    <mergeCell ref="K155:L155"/>
    <mergeCell ref="M155:N155"/>
    <mergeCell ref="O155:P155"/>
    <mergeCell ref="Q155:R155"/>
    <mergeCell ref="O149:P149"/>
    <mergeCell ref="C150:F150"/>
    <mergeCell ref="C151:E151"/>
    <mergeCell ref="M256:N256"/>
    <mergeCell ref="K162:L162"/>
    <mergeCell ref="M162:N162"/>
    <mergeCell ref="O162:P162"/>
    <mergeCell ref="K172:L172"/>
    <mergeCell ref="M172:N172"/>
    <mergeCell ref="O172:P172"/>
    <mergeCell ref="K186:L186"/>
    <mergeCell ref="M186:N186"/>
    <mergeCell ref="O186:P186"/>
    <mergeCell ref="P235:Q235"/>
    <mergeCell ref="J248:K248"/>
    <mergeCell ref="L248:M248"/>
    <mergeCell ref="N248:O248"/>
    <mergeCell ref="P248:Q248"/>
    <mergeCell ref="J249:K249"/>
    <mergeCell ref="L249:M249"/>
    <mergeCell ref="N249:O249"/>
    <mergeCell ref="P249:Q249"/>
    <mergeCell ref="L235:M235"/>
    <mergeCell ref="P236:Q236"/>
    <mergeCell ref="N236:O236"/>
    <mergeCell ref="L236:M236"/>
    <mergeCell ref="J236:K236"/>
    <mergeCell ref="D239:I239"/>
    <mergeCell ref="K156:L156"/>
    <mergeCell ref="M156:N156"/>
    <mergeCell ref="O156:P156"/>
    <mergeCell ref="M163:N163"/>
    <mergeCell ref="O163:P163"/>
    <mergeCell ref="K187:L187"/>
    <mergeCell ref="M187:N187"/>
    <mergeCell ref="O187:P187"/>
    <mergeCell ref="K185:L185"/>
    <mergeCell ref="M185:N185"/>
    <mergeCell ref="O185:P185"/>
    <mergeCell ref="K174:L174"/>
    <mergeCell ref="M174:N174"/>
    <mergeCell ref="M168:N168"/>
    <mergeCell ref="O159:P159"/>
    <mergeCell ref="N238:O238"/>
    <mergeCell ref="P238:Q238"/>
    <mergeCell ref="J239:K239"/>
    <mergeCell ref="L239:M239"/>
    <mergeCell ref="N239:O239"/>
    <mergeCell ref="P239:Q239"/>
    <mergeCell ref="E192:E195"/>
    <mergeCell ref="F192:F195"/>
    <mergeCell ref="K157:L157"/>
    <mergeCell ref="L2:M2"/>
    <mergeCell ref="O153:P153"/>
    <mergeCell ref="Q153:R153"/>
    <mergeCell ref="K180:L180"/>
    <mergeCell ref="M180:N180"/>
    <mergeCell ref="O180:P180"/>
    <mergeCell ref="K183:L183"/>
    <mergeCell ref="M183:N183"/>
    <mergeCell ref="O183:P183"/>
    <mergeCell ref="Q183:R183"/>
    <mergeCell ref="Q180:R180"/>
    <mergeCell ref="K182:L182"/>
    <mergeCell ref="M182:N182"/>
    <mergeCell ref="O182:P182"/>
    <mergeCell ref="M176:N176"/>
    <mergeCell ref="Q172:R172"/>
    <mergeCell ref="K173:L173"/>
    <mergeCell ref="Q156:R156"/>
    <mergeCell ref="M157:N157"/>
    <mergeCell ref="O157:P157"/>
    <mergeCell ref="Q157:R157"/>
    <mergeCell ref="Q173:R173"/>
    <mergeCell ref="M153:N153"/>
    <mergeCell ref="N235:O235"/>
    <mergeCell ref="Q187:R187"/>
    <mergeCell ref="K158:L158"/>
    <mergeCell ref="M158:N158"/>
    <mergeCell ref="O158:P158"/>
    <mergeCell ref="Q158:R158"/>
    <mergeCell ref="K161:L161"/>
    <mergeCell ref="M161:N161"/>
    <mergeCell ref="O161:P161"/>
    <mergeCell ref="Q161:R161"/>
    <mergeCell ref="K184:L184"/>
    <mergeCell ref="M184:N184"/>
    <mergeCell ref="O184:P184"/>
    <mergeCell ref="Q184:R184"/>
    <mergeCell ref="K175:L175"/>
    <mergeCell ref="M175:N175"/>
    <mergeCell ref="O175:P175"/>
    <mergeCell ref="Q175:R175"/>
    <mergeCell ref="K177:L177"/>
    <mergeCell ref="K181:L181"/>
    <mergeCell ref="Q179:R179"/>
    <mergeCell ref="J235:K235"/>
    <mergeCell ref="O174:P174"/>
    <mergeCell ref="P194:R194"/>
    <mergeCell ref="Q159:R159"/>
    <mergeCell ref="Q162:R162"/>
    <mergeCell ref="K179:L179"/>
    <mergeCell ref="M179:N179"/>
    <mergeCell ref="O179:P179"/>
    <mergeCell ref="K163:L163"/>
    <mergeCell ref="Q185:R185"/>
    <mergeCell ref="Q174:R174"/>
    <mergeCell ref="M169:N169"/>
    <mergeCell ref="K159:L159"/>
    <mergeCell ref="M159:N159"/>
    <mergeCell ref="Q163:R163"/>
    <mergeCell ref="K160:L160"/>
    <mergeCell ref="M160:N160"/>
    <mergeCell ref="O160:P160"/>
    <mergeCell ref="Q160:R160"/>
    <mergeCell ref="M173:N173"/>
    <mergeCell ref="O173:P173"/>
    <mergeCell ref="Q182:R182"/>
    <mergeCell ref="M181:N181"/>
    <mergeCell ref="O181:P181"/>
    <mergeCell ref="Q181:R181"/>
    <mergeCell ref="K176:L176"/>
    <mergeCell ref="O176:P176"/>
    <mergeCell ref="Q176:R176"/>
    <mergeCell ref="K178:L178"/>
    <mergeCell ref="M178:N178"/>
    <mergeCell ref="O178:P178"/>
    <mergeCell ref="Q178:R178"/>
    <mergeCell ref="M177:N177"/>
    <mergeCell ref="O177:P177"/>
    <mergeCell ref="Q177:R177"/>
    <mergeCell ref="B211:C211"/>
    <mergeCell ref="Q186:R186"/>
    <mergeCell ref="B207:C207"/>
    <mergeCell ref="B196:C196"/>
    <mergeCell ref="B197:C197"/>
    <mergeCell ref="B198:C198"/>
    <mergeCell ref="B199:C199"/>
    <mergeCell ref="B201:C201"/>
    <mergeCell ref="B202:C202"/>
    <mergeCell ref="B203:C203"/>
    <mergeCell ref="B204:C204"/>
    <mergeCell ref="B206:C206"/>
    <mergeCell ref="D192:D195"/>
    <mergeCell ref="G192:I193"/>
    <mergeCell ref="J192:L193"/>
    <mergeCell ref="M192:O193"/>
    <mergeCell ref="B212:C212"/>
    <mergeCell ref="B213:C213"/>
    <mergeCell ref="B214:C214"/>
    <mergeCell ref="B220:C220"/>
    <mergeCell ref="B219:C219"/>
    <mergeCell ref="B218:C218"/>
    <mergeCell ref="B217:C217"/>
    <mergeCell ref="B11:H11"/>
    <mergeCell ref="B13:H13"/>
    <mergeCell ref="C103:D103"/>
    <mergeCell ref="C129:D129"/>
    <mergeCell ref="C146:G146"/>
    <mergeCell ref="C139:G139"/>
    <mergeCell ref="B135:J136"/>
    <mergeCell ref="G132:H132"/>
    <mergeCell ref="I132:J132"/>
    <mergeCell ref="G130:H130"/>
    <mergeCell ref="I130:J130"/>
    <mergeCell ref="G128:H128"/>
    <mergeCell ref="I128:J128"/>
    <mergeCell ref="G126:H126"/>
    <mergeCell ref="I126:J126"/>
    <mergeCell ref="G124:H124"/>
    <mergeCell ref="C152:F152"/>
  </mergeCells>
  <phoneticPr fontId="10" type="noConversion"/>
  <conditionalFormatting sqref="J247 L247 N247 P247">
    <cfRule type="containsText" dxfId="18" priority="1" operator="containsText" text="Hyvä">
      <formula>NOT(ISERROR(SEARCH("Hyvä",J247)))</formula>
    </cfRule>
    <cfRule type="containsText" dxfId="17" priority="2" operator="containsText" text="Tyydyttävä">
      <formula>NOT(ISERROR(SEARCH("Tyydyttävä",J247)))</formula>
    </cfRule>
    <cfRule type="containsText" dxfId="16" priority="3" operator="containsText" text="Heikko">
      <formula>NOT(ISERROR(SEARCH("Heikko",J247)))</formula>
    </cfRule>
  </conditionalFormatting>
  <conditionalFormatting sqref="J249 L249 N249 P249">
    <cfRule type="containsText" dxfId="15" priority="4" operator="containsText" text="Nettovelaton">
      <formula>NOT(ISERROR(SEARCH("Nettovelaton",J249)))</formula>
    </cfRule>
    <cfRule type="containsText" dxfId="14" priority="5" operator="containsText" text="Nettovelaton">
      <formula>NOT(ISERROR(SEARCH("Nettovelaton",J249)))</formula>
    </cfRule>
    <cfRule type="containsText" dxfId="13" priority="6" operator="containsText" text="Hyvä">
      <formula>NOT(ISERROR(SEARCH("Hyvä",J249)))</formula>
    </cfRule>
    <cfRule type="containsText" dxfId="12" priority="7" operator="containsText" text="Heikko">
      <formula>NOT(ISERROR(SEARCH("Heikko",J249)))</formula>
    </cfRule>
    <cfRule type="containsText" dxfId="11" priority="8" operator="containsText" text="Hyvä">
      <formula>NOT(ISERROR(SEARCH("Hyvä",J249)))</formula>
    </cfRule>
    <cfRule type="containsText" dxfId="10" priority="9" operator="containsText" text="Tyydyttävä">
      <formula>NOT(ISERROR(SEARCH("Tyydyttävä",J249)))</formula>
    </cfRule>
    <cfRule type="containsText" dxfId="9" priority="10" operator="containsText" text="Heikko">
      <formula>NOT(ISERROR(SEARCH("Heikko",J249)))</formula>
    </cfRule>
  </conditionalFormatting>
  <conditionalFormatting sqref="J239:Q239">
    <cfRule type="containsText" dxfId="8" priority="29" operator="containsText" text="Hyvä">
      <formula>NOT(ISERROR(SEARCH("Hyvä",J239)))</formula>
    </cfRule>
    <cfRule type="containsText" dxfId="7" priority="30" operator="containsText" text="Tyydyttävä">
      <formula>NOT(ISERROR(SEARCH("Tyydyttävä",J239)))</formula>
    </cfRule>
    <cfRule type="containsText" dxfId="6" priority="31" operator="containsText" text="Heikko">
      <formula>NOT(ISERROR(SEARCH("Heikko",J239)))</formula>
    </cfRule>
  </conditionalFormatting>
  <conditionalFormatting sqref="J241:Q241">
    <cfRule type="containsText" dxfId="5" priority="26" operator="containsText" text="Hyvä">
      <formula>NOT(ISERROR(SEARCH("Hyvä",J241)))</formula>
    </cfRule>
    <cfRule type="containsText" dxfId="4" priority="27" operator="containsText" text="Tyydyttävä">
      <formula>NOT(ISERROR(SEARCH("Tyydyttävä",J241)))</formula>
    </cfRule>
    <cfRule type="containsText" dxfId="3" priority="28" operator="containsText" text="Heikko">
      <formula>NOT(ISERROR(SEARCH("Heikko",J241)))</formula>
    </cfRule>
  </conditionalFormatting>
  <conditionalFormatting sqref="J244:Q244">
    <cfRule type="containsText" dxfId="2" priority="11" operator="containsText" text="Hyvä">
      <formula>NOT(ISERROR(SEARCH("Hyvä",J244)))</formula>
    </cfRule>
    <cfRule type="containsText" dxfId="1" priority="12" operator="containsText" text="Tyydyttävä">
      <formula>NOT(ISERROR(SEARCH("Tyydyttävä",J244)))</formula>
    </cfRule>
    <cfRule type="containsText" dxfId="0" priority="13" operator="containsText" text="Heikko">
      <formula>NOT(ISERROR(SEARCH("Heikko",J244)))</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rowBreaks count="3" manualBreakCount="3">
    <brk id="83" min="1" max="14" man="1"/>
    <brk id="166" min="1" max="17" man="1"/>
    <brk id="252" min="1" max="1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52"/>
  <sheetViews>
    <sheetView workbookViewId="0"/>
  </sheetViews>
  <sheetFormatPr defaultRowHeight="12.75" x14ac:dyDescent="0.2"/>
  <cols>
    <col min="2" max="2" width="25.28515625" customWidth="1"/>
  </cols>
  <sheetData>
    <row r="1" spans="2:6" x14ac:dyDescent="0.2">
      <c r="B1" s="247" t="s">
        <v>161</v>
      </c>
    </row>
    <row r="2" spans="2:6" ht="13.5" thickBot="1" x14ac:dyDescent="0.25">
      <c r="C2" s="246">
        <f>'5. T4 FINANCING PLAN'!Q11</f>
        <v>2027</v>
      </c>
      <c r="D2" s="246">
        <f>'5. T4 FINANCING PLAN'!R11</f>
        <v>2028</v>
      </c>
      <c r="E2" s="246">
        <f>'5. T4 FINANCING PLAN'!S11</f>
        <v>2029</v>
      </c>
      <c r="F2" s="246">
        <f>'5. T4 FINANCING PLAN'!T11</f>
        <v>2030</v>
      </c>
    </row>
    <row r="3" spans="2:6" x14ac:dyDescent="0.2">
      <c r="B3" s="430" t="s">
        <v>160</v>
      </c>
      <c r="C3" s="1462">
        <f>'5. T4 FINANCING PLAN'!Q13/1000</f>
        <v>0</v>
      </c>
      <c r="D3" s="1462">
        <f>'5. T4 FINANCING PLAN'!R13/1000</f>
        <v>0</v>
      </c>
      <c r="E3" s="1462">
        <f>'5. T4 FINANCING PLAN'!S13/1000</f>
        <v>0</v>
      </c>
      <c r="F3" s="1462">
        <f>'5. T4 FINANCING PLAN'!T13/1000</f>
        <v>0</v>
      </c>
    </row>
    <row r="4" spans="2:6" x14ac:dyDescent="0.2">
      <c r="B4" s="512" t="s">
        <v>256</v>
      </c>
      <c r="C4" s="1462">
        <f>'6. T3 BALANCE SHEET '!G98/1000</f>
        <v>0</v>
      </c>
      <c r="D4" s="1462">
        <f>'6. T3 BALANCE SHEET '!H98/1000</f>
        <v>0</v>
      </c>
      <c r="E4" s="1462">
        <f>'6. T3 BALANCE SHEET '!I98/1000</f>
        <v>0</v>
      </c>
      <c r="F4" s="1462">
        <f>'6. T3 BALANCE SHEET '!J98/1000</f>
        <v>0</v>
      </c>
    </row>
    <row r="5" spans="2:6" x14ac:dyDescent="0.2">
      <c r="B5" s="431" t="s">
        <v>163</v>
      </c>
      <c r="C5" s="1462">
        <f>'5. T4 FINANCING PLAN'!Q16/1000</f>
        <v>0</v>
      </c>
      <c r="D5" s="1462">
        <f>'5. T4 FINANCING PLAN'!R16/1000</f>
        <v>0</v>
      </c>
      <c r="E5" s="1462">
        <f>'5. T4 FINANCING PLAN'!S16/1000</f>
        <v>0</v>
      </c>
      <c r="F5" s="1462">
        <f>'5. T4 FINANCING PLAN'!T16/1000</f>
        <v>0</v>
      </c>
    </row>
    <row r="25" spans="2:6" x14ac:dyDescent="0.2">
      <c r="B25" s="163" t="s">
        <v>162</v>
      </c>
    </row>
    <row r="26" spans="2:6" x14ac:dyDescent="0.2">
      <c r="C26" s="21">
        <f>C2</f>
        <v>2027</v>
      </c>
      <c r="D26" s="21">
        <f>D2</f>
        <v>2028</v>
      </c>
      <c r="E26" s="21">
        <f>E2</f>
        <v>2029</v>
      </c>
      <c r="F26" s="21">
        <f>F2</f>
        <v>2030</v>
      </c>
    </row>
    <row r="27" spans="2:6" x14ac:dyDescent="0.2">
      <c r="B27" s="429" t="s">
        <v>164</v>
      </c>
      <c r="C27" s="1463">
        <f>'5. T4 FINANCING PLAN'!Q19</f>
        <v>0</v>
      </c>
      <c r="D27" s="1463">
        <f>'5. T4 FINANCING PLAN'!R19</f>
        <v>0</v>
      </c>
      <c r="E27" s="1463">
        <f>'5. T4 FINANCING PLAN'!S19</f>
        <v>0</v>
      </c>
      <c r="F27" s="1463">
        <f>'5. T4 FINANCING PLAN'!T19</f>
        <v>0</v>
      </c>
    </row>
    <row r="28" spans="2:6" x14ac:dyDescent="0.2">
      <c r="B28" s="429" t="s">
        <v>165</v>
      </c>
      <c r="C28" s="1464">
        <f>'5. T4 FINANCING PLAN'!Q24</f>
        <v>0</v>
      </c>
      <c r="D28" s="1464">
        <f>'5. T4 FINANCING PLAN'!R24</f>
        <v>0</v>
      </c>
      <c r="E28" s="1464">
        <f>'5. T4 FINANCING PLAN'!S24</f>
        <v>0</v>
      </c>
      <c r="F28" s="1464">
        <f>'5. T4 FINANCING PLAN'!T24</f>
        <v>0</v>
      </c>
    </row>
    <row r="29" spans="2:6" x14ac:dyDescent="0.2">
      <c r="B29" s="431" t="s">
        <v>250</v>
      </c>
      <c r="C29" s="1464">
        <f>'5. T4 FINANCING PLAN'!Q25</f>
        <v>0</v>
      </c>
      <c r="D29" s="1464">
        <f>'5. T4 FINANCING PLAN'!R25</f>
        <v>0</v>
      </c>
      <c r="E29" s="1464">
        <f>'5. T4 FINANCING PLAN'!S25</f>
        <v>0</v>
      </c>
      <c r="F29" s="1464">
        <f>'5. T4 FINANCING PLAN'!T25</f>
        <v>0</v>
      </c>
    </row>
    <row r="30" spans="2:6" x14ac:dyDescent="0.2">
      <c r="B30" s="519" t="s">
        <v>298</v>
      </c>
      <c r="C30" s="1465">
        <f>'5. T4 FINANCING PLAN'!Q21</f>
        <v>0</v>
      </c>
      <c r="D30" s="1465">
        <f>'5. T4 FINANCING PLAN'!R21</f>
        <v>0</v>
      </c>
      <c r="E30" s="1465">
        <f>'5. T4 FINANCING PLAN'!S21</f>
        <v>0</v>
      </c>
      <c r="F30" s="1465">
        <f>'5. T4 FINANCING PLAN'!T21</f>
        <v>0</v>
      </c>
    </row>
    <row r="48" spans="2:2" x14ac:dyDescent="0.2">
      <c r="B48" s="322" t="s">
        <v>178</v>
      </c>
    </row>
    <row r="49" spans="2:6" x14ac:dyDescent="0.2">
      <c r="C49" s="445">
        <f>C2</f>
        <v>2027</v>
      </c>
      <c r="D49" s="445">
        <f>D2</f>
        <v>2028</v>
      </c>
      <c r="E49" s="445">
        <f>E2</f>
        <v>2029</v>
      </c>
      <c r="F49" s="445">
        <f>F2</f>
        <v>2030</v>
      </c>
    </row>
    <row r="50" spans="2:6" x14ac:dyDescent="0.2">
      <c r="B50" s="430" t="s">
        <v>157</v>
      </c>
      <c r="C50" s="1462">
        <f>'5. T4 FINANCING PLAN'!Q43/1000</f>
        <v>0</v>
      </c>
      <c r="D50" s="1462">
        <f>'5. T4 FINANCING PLAN'!R43/1000</f>
        <v>0</v>
      </c>
      <c r="E50" s="1462">
        <f>'5. T4 FINANCING PLAN'!S43/1000</f>
        <v>0</v>
      </c>
      <c r="F50" s="1462">
        <f>'5. T4 FINANCING PLAN'!T43/1000</f>
        <v>0</v>
      </c>
    </row>
    <row r="51" spans="2:6" x14ac:dyDescent="0.2">
      <c r="B51" s="429" t="s">
        <v>251</v>
      </c>
      <c r="C51" s="1462">
        <f>-'5. T4 FINANCING PLAN'!Q44/1000</f>
        <v>0</v>
      </c>
      <c r="D51" s="1462">
        <f>-'5. T4 FINANCING PLAN'!R44/1000</f>
        <v>0</v>
      </c>
      <c r="E51" s="1462">
        <f>-'5. T4 FINANCING PLAN'!S44/1000</f>
        <v>0</v>
      </c>
      <c r="F51" s="1462">
        <f>-'5. T4 FINANCING PLAN'!T44/1000</f>
        <v>0</v>
      </c>
    </row>
    <row r="52" spans="2:6" x14ac:dyDescent="0.2">
      <c r="B52" s="429" t="s">
        <v>156</v>
      </c>
      <c r="C52" s="1466">
        <f>'5. T4 FINANCING PLAN'!Q47/1000</f>
        <v>0</v>
      </c>
      <c r="D52" s="1466">
        <f>'5. T4 FINANCING PLAN'!R47/1000</f>
        <v>0</v>
      </c>
      <c r="E52" s="1466">
        <f>'5. T4 FINANCING PLAN'!S47/1000</f>
        <v>0</v>
      </c>
      <c r="F52" s="1466">
        <f>'5. T4 FINANCING PLAN'!T47/1000</f>
        <v>0</v>
      </c>
    </row>
  </sheetData>
  <sheetProtection algorithmName="SHA-512" hashValue="iAljKOIer9ycs7lU9HqblkIN7PWLO5yvv4rpMqTpA3B06t/2RdfQRrtvtEdZtprjl+3o0purFcZ+P2RABwv9uw==" saltValue="2edTYYeLWuRwzo6Ik40C0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52A1"/>
  </sheetPr>
  <dimension ref="A1:W103"/>
  <sheetViews>
    <sheetView showGridLines="0" showZeros="0" zoomScaleNormal="100" workbookViewId="0">
      <selection activeCell="B7" sqref="B7:E7"/>
    </sheetView>
  </sheetViews>
  <sheetFormatPr defaultRowHeight="12.75" x14ac:dyDescent="0.2"/>
  <cols>
    <col min="1" max="1" width="9.140625" customWidth="1"/>
    <col min="2" max="2" width="3.28515625" style="40" customWidth="1"/>
    <col min="3" max="3" width="32" customWidth="1"/>
    <col min="4" max="4" width="17.85546875" customWidth="1"/>
    <col min="5" max="9" width="11" customWidth="1"/>
    <col min="10" max="10" width="5.140625" customWidth="1"/>
    <col min="11" max="11" width="10.7109375" style="40" customWidth="1"/>
    <col min="12" max="20" width="10.7109375" customWidth="1"/>
  </cols>
  <sheetData>
    <row r="1" spans="1:19" ht="15" x14ac:dyDescent="0.25">
      <c r="B1" s="78" t="s">
        <v>0</v>
      </c>
      <c r="J1" s="61"/>
    </row>
    <row r="3" spans="1:19" ht="14.25" customHeight="1" x14ac:dyDescent="0.25">
      <c r="B3" s="2170" t="s">
        <v>484</v>
      </c>
      <c r="C3" s="2170"/>
      <c r="D3" s="2170"/>
      <c r="E3" s="1533"/>
      <c r="F3" s="1536" t="s">
        <v>447</v>
      </c>
      <c r="O3" s="24" t="str">
        <f>B3</f>
        <v xml:space="preserve">  T1 INVESTMENT PLAN</v>
      </c>
    </row>
    <row r="4" spans="1:19" ht="14.25" customHeight="1" x14ac:dyDescent="0.2">
      <c r="A4" s="1469" t="s">
        <v>782</v>
      </c>
      <c r="B4" s="2170"/>
      <c r="C4" s="2170"/>
      <c r="D4" s="2170"/>
      <c r="E4" s="1533"/>
      <c r="F4" s="1537">
        <v>0</v>
      </c>
      <c r="G4" s="1546"/>
      <c r="H4" s="1538"/>
      <c r="O4" s="2173"/>
      <c r="P4" s="2173"/>
      <c r="Q4" s="525"/>
    </row>
    <row r="5" spans="1:19" ht="7.5" customHeight="1" thickBot="1" x14ac:dyDescent="0.3">
      <c r="E5" s="1533"/>
      <c r="F5" s="2177"/>
      <c r="G5" s="2178"/>
      <c r="H5" s="40"/>
      <c r="I5" s="24"/>
    </row>
    <row r="6" spans="1:19" x14ac:dyDescent="0.2">
      <c r="B6" s="49" t="s">
        <v>491</v>
      </c>
      <c r="C6" s="64"/>
      <c r="D6" s="64"/>
      <c r="E6" s="1534"/>
      <c r="F6" s="1532" t="s">
        <v>490</v>
      </c>
      <c r="G6" s="1532"/>
      <c r="H6" s="1532"/>
      <c r="I6" s="1539"/>
      <c r="J6" s="64"/>
      <c r="K6" s="1638" t="s">
        <v>492</v>
      </c>
      <c r="L6" s="79"/>
      <c r="M6" s="79"/>
      <c r="N6" s="79"/>
      <c r="O6" s="79"/>
      <c r="P6" s="79"/>
      <c r="Q6" s="79"/>
      <c r="R6" s="79"/>
      <c r="S6" s="341"/>
    </row>
    <row r="7" spans="1:19" s="53" customFormat="1" ht="14.25" customHeight="1" x14ac:dyDescent="0.2">
      <c r="B7" s="2180"/>
      <c r="C7" s="2180"/>
      <c r="D7" s="2180"/>
      <c r="E7" s="2181"/>
      <c r="F7" s="2182">
        <v>0</v>
      </c>
      <c r="G7" s="2183"/>
      <c r="H7" s="2184"/>
      <c r="I7" s="2184"/>
      <c r="K7" s="337"/>
      <c r="L7" s="278"/>
      <c r="M7" s="278"/>
      <c r="N7" s="278"/>
      <c r="O7" s="278"/>
      <c r="P7" s="278"/>
      <c r="Q7" s="278"/>
      <c r="R7" s="278"/>
      <c r="S7" s="314"/>
    </row>
    <row r="8" spans="1:19" x14ac:dyDescent="0.2">
      <c r="B8" s="1540" t="s">
        <v>810</v>
      </c>
      <c r="C8" s="63"/>
      <c r="D8" s="63"/>
      <c r="E8" s="1535"/>
      <c r="F8" s="1530" t="s">
        <v>450</v>
      </c>
      <c r="G8" s="1530"/>
      <c r="H8" s="1530"/>
      <c r="I8" s="1541"/>
      <c r="J8" s="65"/>
      <c r="K8" s="394"/>
      <c r="L8" s="278"/>
      <c r="M8" s="278"/>
      <c r="N8" s="278"/>
      <c r="O8" s="278"/>
      <c r="P8" s="278"/>
      <c r="Q8" s="278"/>
      <c r="R8" s="278"/>
      <c r="S8" s="314"/>
    </row>
    <row r="9" spans="1:19" s="53" customFormat="1" ht="14.25" customHeight="1" x14ac:dyDescent="0.2">
      <c r="B9" s="2180"/>
      <c r="C9" s="2180"/>
      <c r="D9" s="2180"/>
      <c r="E9" s="2181"/>
      <c r="F9" s="2185"/>
      <c r="G9" s="2186"/>
      <c r="H9" s="2186"/>
      <c r="I9" s="2186"/>
      <c r="J9" s="71"/>
      <c r="K9" s="395"/>
      <c r="L9" s="278"/>
      <c r="M9" s="278"/>
      <c r="N9" s="278"/>
      <c r="O9" s="278"/>
      <c r="P9" s="278"/>
      <c r="Q9" s="278"/>
      <c r="R9" s="278"/>
      <c r="S9" s="314"/>
    </row>
    <row r="10" spans="1:19" s="2" customFormat="1" x14ac:dyDescent="0.2">
      <c r="A10"/>
      <c r="B10" s="1540" t="s">
        <v>811</v>
      </c>
      <c r="C10" s="63"/>
      <c r="D10" s="63"/>
      <c r="E10" s="1535"/>
      <c r="F10" s="2179" t="s">
        <v>451</v>
      </c>
      <c r="G10" s="2179"/>
      <c r="H10" s="2179"/>
      <c r="I10" s="2179"/>
      <c r="K10" s="395"/>
      <c r="L10" s="1542"/>
      <c r="M10" s="1542"/>
      <c r="N10" s="1542"/>
      <c r="O10" s="1542"/>
      <c r="P10" s="1542"/>
      <c r="Q10" s="1542"/>
      <c r="R10" s="1542"/>
      <c r="S10" s="396"/>
    </row>
    <row r="11" spans="1:19" s="53" customFormat="1" ht="14.25" customHeight="1" x14ac:dyDescent="0.2">
      <c r="B11" s="2187"/>
      <c r="C11" s="2187"/>
      <c r="D11" s="2187"/>
      <c r="E11" s="2188"/>
      <c r="F11" s="2185"/>
      <c r="G11" s="2186"/>
      <c r="H11" s="2186"/>
      <c r="I11" s="2186"/>
      <c r="J11" s="72"/>
      <c r="K11" s="395"/>
      <c r="L11" s="278"/>
      <c r="M11" s="278"/>
      <c r="N11" s="278"/>
      <c r="O11" s="278"/>
      <c r="P11" s="278"/>
      <c r="Q11" s="278"/>
      <c r="R11" s="278"/>
      <c r="S11" s="314"/>
    </row>
    <row r="12" spans="1:19" ht="14.25" customHeight="1" x14ac:dyDescent="0.2">
      <c r="B12" s="2187"/>
      <c r="C12" s="2187"/>
      <c r="D12" s="2187"/>
      <c r="E12" s="2188"/>
      <c r="F12" s="2179" t="s">
        <v>812</v>
      </c>
      <c r="G12" s="2179"/>
      <c r="H12" s="2179"/>
      <c r="I12" s="2179"/>
      <c r="K12" s="337"/>
      <c r="L12" s="278"/>
      <c r="M12" s="278"/>
      <c r="N12" s="278"/>
      <c r="O12" s="278"/>
      <c r="P12" s="278"/>
      <c r="Q12" s="278"/>
      <c r="R12" s="278"/>
      <c r="S12" s="314"/>
    </row>
    <row r="13" spans="1:19" ht="14.25" customHeight="1" thickBot="1" x14ac:dyDescent="0.3">
      <c r="A13" s="53"/>
      <c r="B13" s="2189"/>
      <c r="C13" s="2189"/>
      <c r="D13" s="2189"/>
      <c r="E13" s="2190"/>
      <c r="F13" s="2171"/>
      <c r="G13" s="2172"/>
      <c r="H13" s="2172"/>
      <c r="I13" s="2172"/>
      <c r="J13" s="66"/>
      <c r="K13" s="337"/>
      <c r="L13" s="278"/>
      <c r="M13" s="278"/>
      <c r="N13" s="278"/>
      <c r="O13" s="278"/>
      <c r="P13" s="278"/>
      <c r="Q13" s="278"/>
      <c r="R13" s="278"/>
      <c r="S13" s="314"/>
    </row>
    <row r="14" spans="1:19" ht="3" customHeight="1" x14ac:dyDescent="0.2">
      <c r="A14" s="2"/>
      <c r="K14" s="312"/>
      <c r="L14" s="164"/>
      <c r="M14" s="164"/>
      <c r="N14" s="164"/>
      <c r="O14" s="164"/>
      <c r="P14" s="164"/>
      <c r="Q14" s="164"/>
      <c r="R14" s="164"/>
      <c r="S14" s="313"/>
    </row>
    <row r="15" spans="1:19" ht="13.5" customHeight="1" x14ac:dyDescent="0.2">
      <c r="A15" s="53"/>
      <c r="B15" s="2195" t="s">
        <v>809</v>
      </c>
      <c r="C15" s="2196"/>
      <c r="D15" s="2090"/>
      <c r="E15" s="2091" t="s">
        <v>485</v>
      </c>
      <c r="F15" s="2091" t="s">
        <v>486</v>
      </c>
      <c r="G15" s="2091" t="s">
        <v>487</v>
      </c>
      <c r="H15" s="2092" t="s">
        <v>488</v>
      </c>
      <c r="I15" s="2174" t="s">
        <v>489</v>
      </c>
      <c r="J15" s="62"/>
      <c r="K15" s="397"/>
      <c r="L15" s="1542"/>
      <c r="M15" s="278"/>
      <c r="N15" s="278"/>
      <c r="O15" s="278"/>
      <c r="P15" s="278"/>
      <c r="Q15" s="278"/>
      <c r="R15" s="278"/>
      <c r="S15" s="314"/>
    </row>
    <row r="16" spans="1:19" ht="13.5" customHeight="1" x14ac:dyDescent="0.2">
      <c r="B16" s="2197"/>
      <c r="C16" s="2198"/>
      <c r="D16" s="2093"/>
      <c r="E16" s="2094">
        <v>2027</v>
      </c>
      <c r="F16" s="2095">
        <f>E16+1</f>
        <v>2028</v>
      </c>
      <c r="G16" s="2095">
        <f>F16+1</f>
        <v>2029</v>
      </c>
      <c r="H16" s="2095">
        <f>G16+1</f>
        <v>2030</v>
      </c>
      <c r="I16" s="2176"/>
      <c r="J16" s="62"/>
      <c r="K16" s="397"/>
      <c r="L16" s="1542"/>
      <c r="M16" s="278"/>
      <c r="N16" s="278"/>
      <c r="O16" s="278"/>
      <c r="P16" s="278"/>
      <c r="Q16" s="278"/>
      <c r="R16" s="278"/>
      <c r="S16" s="314"/>
    </row>
    <row r="17" spans="1:19" ht="12.75" customHeight="1" x14ac:dyDescent="0.2">
      <c r="B17" s="2096" t="s">
        <v>2</v>
      </c>
      <c r="C17" s="177" t="s">
        <v>473</v>
      </c>
      <c r="D17" s="542"/>
      <c r="E17" s="577">
        <v>0</v>
      </c>
      <c r="F17" s="577">
        <v>0</v>
      </c>
      <c r="G17" s="577">
        <v>0</v>
      </c>
      <c r="H17" s="577">
        <v>0</v>
      </c>
      <c r="I17" s="580">
        <f>SUM(D17:H17)</f>
        <v>0</v>
      </c>
      <c r="J17" s="67"/>
      <c r="K17" s="337" t="s">
        <v>0</v>
      </c>
      <c r="L17" s="278"/>
      <c r="M17" s="278"/>
      <c r="N17" s="278"/>
      <c r="O17" s="278"/>
      <c r="P17" s="278"/>
      <c r="Q17" s="278"/>
      <c r="R17" s="278"/>
      <c r="S17" s="314"/>
    </row>
    <row r="18" spans="1:19" s="4" customFormat="1" ht="12.75" customHeight="1" x14ac:dyDescent="0.2">
      <c r="A18"/>
      <c r="B18" s="2096"/>
      <c r="C18" s="835" t="s">
        <v>888</v>
      </c>
      <c r="D18" s="513"/>
      <c r="E18" s="573" t="s">
        <v>0</v>
      </c>
      <c r="F18" s="573"/>
      <c r="G18" s="573" t="s">
        <v>0</v>
      </c>
      <c r="H18" s="573"/>
      <c r="I18" s="2097"/>
      <c r="J18" s="178"/>
      <c r="K18" s="337"/>
      <c r="L18" s="278"/>
      <c r="M18" s="278"/>
      <c r="N18" s="278"/>
      <c r="O18" s="278"/>
      <c r="P18" s="278"/>
      <c r="Q18" s="278"/>
      <c r="R18" s="278"/>
      <c r="S18" s="314"/>
    </row>
    <row r="19" spans="1:19" s="4" customFormat="1" ht="12.75" customHeight="1" thickBot="1" x14ac:dyDescent="0.25">
      <c r="A19"/>
      <c r="B19" s="1040"/>
      <c r="C19" s="164" t="s">
        <v>890</v>
      </c>
      <c r="D19" s="1659"/>
      <c r="E19" s="1388">
        <v>0</v>
      </c>
      <c r="F19" s="1388">
        <v>0</v>
      </c>
      <c r="G19" s="1388">
        <v>0</v>
      </c>
      <c r="H19" s="1388">
        <v>0</v>
      </c>
      <c r="I19" s="2097"/>
      <c r="J19" s="178"/>
      <c r="K19" s="337"/>
      <c r="L19" s="278"/>
      <c r="M19" s="278"/>
      <c r="N19" s="278"/>
      <c r="O19" s="278"/>
      <c r="P19" s="278"/>
      <c r="Q19" s="278"/>
      <c r="R19" s="278"/>
      <c r="S19" s="314"/>
    </row>
    <row r="20" spans="1:19" ht="12.75" customHeight="1" x14ac:dyDescent="0.2">
      <c r="B20" s="2098" t="s">
        <v>3</v>
      </c>
      <c r="C20" s="2201" t="s">
        <v>813</v>
      </c>
      <c r="D20" s="2202"/>
      <c r="E20" s="1660">
        <v>0</v>
      </c>
      <c r="F20" s="1660">
        <v>0</v>
      </c>
      <c r="G20" s="1660">
        <v>0</v>
      </c>
      <c r="H20" s="1660">
        <v>0</v>
      </c>
      <c r="I20" s="584">
        <f>SUM(D20:H20)</f>
        <v>0</v>
      </c>
      <c r="J20" s="68"/>
      <c r="K20" s="337"/>
      <c r="L20" s="1543"/>
      <c r="M20" s="278"/>
      <c r="N20" s="278"/>
      <c r="O20" s="278"/>
      <c r="P20" s="278"/>
      <c r="Q20" s="278"/>
      <c r="R20" s="278"/>
      <c r="S20" s="314"/>
    </row>
    <row r="21" spans="1:19" s="4" customFormat="1" ht="12.75" customHeight="1" x14ac:dyDescent="0.2">
      <c r="A21"/>
      <c r="B21" s="2096"/>
      <c r="C21" s="177" t="s">
        <v>889</v>
      </c>
      <c r="D21" s="516"/>
      <c r="E21" s="1385">
        <v>0</v>
      </c>
      <c r="F21" s="527">
        <v>0</v>
      </c>
      <c r="G21" s="527">
        <v>0</v>
      </c>
      <c r="H21" s="527">
        <v>0</v>
      </c>
      <c r="I21" s="2097"/>
      <c r="J21" s="180"/>
      <c r="K21" s="337"/>
      <c r="L21" s="1543"/>
      <c r="M21" s="278"/>
      <c r="N21" s="278"/>
      <c r="O21" s="278"/>
      <c r="P21" s="278"/>
      <c r="Q21" s="278"/>
      <c r="R21" s="278"/>
      <c r="S21" s="314"/>
    </row>
    <row r="22" spans="1:19" s="4" customFormat="1" ht="12.75" customHeight="1" x14ac:dyDescent="0.2">
      <c r="A22"/>
      <c r="B22" s="2096"/>
      <c r="C22" s="177" t="s">
        <v>891</v>
      </c>
      <c r="D22" s="514"/>
      <c r="E22" s="336">
        <v>0.255</v>
      </c>
      <c r="F22" s="336">
        <v>0.255</v>
      </c>
      <c r="G22" s="336">
        <v>0.255</v>
      </c>
      <c r="H22" s="336">
        <v>0.255</v>
      </c>
      <c r="I22" s="2097"/>
      <c r="J22" s="180"/>
      <c r="K22" s="337"/>
      <c r="L22" s="1543"/>
      <c r="M22" s="278"/>
      <c r="N22" s="278"/>
      <c r="O22" s="278"/>
      <c r="P22" s="278"/>
      <c r="Q22" s="278"/>
      <c r="R22" s="278"/>
      <c r="S22" s="314"/>
    </row>
    <row r="23" spans="1:19" s="4" customFormat="1" ht="12.75" customHeight="1" thickBot="1" x14ac:dyDescent="0.25">
      <c r="A23"/>
      <c r="B23" s="1040"/>
      <c r="C23" s="164" t="s">
        <v>890</v>
      </c>
      <c r="D23" s="1659"/>
      <c r="E23" s="1388">
        <v>0</v>
      </c>
      <c r="F23" s="1388">
        <v>0</v>
      </c>
      <c r="G23" s="1388">
        <v>0</v>
      </c>
      <c r="H23" s="1388">
        <v>0</v>
      </c>
      <c r="I23" s="2097"/>
      <c r="J23" s="180"/>
      <c r="K23" s="337"/>
      <c r="L23" s="1543"/>
      <c r="M23" s="278"/>
      <c r="N23" s="278"/>
      <c r="O23" s="278"/>
      <c r="P23" s="278"/>
      <c r="Q23" s="278"/>
      <c r="R23" s="278"/>
      <c r="S23" s="314"/>
    </row>
    <row r="24" spans="1:19" ht="12.75" customHeight="1" x14ac:dyDescent="0.2">
      <c r="B24" s="2098" t="s">
        <v>4</v>
      </c>
      <c r="C24" s="2201" t="s">
        <v>474</v>
      </c>
      <c r="D24" s="2202"/>
      <c r="E24" s="1660">
        <v>0</v>
      </c>
      <c r="F24" s="1660">
        <v>0</v>
      </c>
      <c r="G24" s="1660">
        <v>0</v>
      </c>
      <c r="H24" s="1660">
        <v>0</v>
      </c>
      <c r="I24" s="584">
        <f>SUM(D24:H24)</f>
        <v>0</v>
      </c>
      <c r="J24" s="68"/>
      <c r="K24" s="337"/>
      <c r="L24" s="1543"/>
      <c r="M24" s="278"/>
      <c r="N24" s="278"/>
      <c r="O24" s="278"/>
      <c r="P24" s="278"/>
      <c r="Q24" s="278"/>
      <c r="R24" s="278"/>
      <c r="S24" s="314"/>
    </row>
    <row r="25" spans="1:19" s="4" customFormat="1" ht="12.75" customHeight="1" x14ac:dyDescent="0.2">
      <c r="A25"/>
      <c r="B25" s="2096"/>
      <c r="C25" s="835" t="s">
        <v>889</v>
      </c>
      <c r="D25" s="516"/>
      <c r="E25" s="527">
        <v>0</v>
      </c>
      <c r="F25" s="527">
        <v>0</v>
      </c>
      <c r="G25" s="527">
        <v>0</v>
      </c>
      <c r="H25" s="527">
        <v>0</v>
      </c>
      <c r="I25" s="2097"/>
      <c r="J25" s="180"/>
      <c r="K25" s="337"/>
      <c r="L25" s="1543"/>
      <c r="M25" s="278"/>
      <c r="N25" s="278"/>
      <c r="O25" s="278"/>
      <c r="P25" s="278"/>
      <c r="Q25" s="278"/>
      <c r="R25" s="278"/>
      <c r="S25" s="314"/>
    </row>
    <row r="26" spans="1:19" s="4" customFormat="1" ht="12.75" customHeight="1" thickBot="1" x14ac:dyDescent="0.25">
      <c r="A26"/>
      <c r="B26" s="1040"/>
      <c r="C26" s="164" t="s">
        <v>890</v>
      </c>
      <c r="D26" s="1659"/>
      <c r="E26" s="1388">
        <v>0</v>
      </c>
      <c r="F26" s="1388">
        <v>0</v>
      </c>
      <c r="G26" s="1388">
        <v>0</v>
      </c>
      <c r="H26" s="1388">
        <v>0</v>
      </c>
      <c r="I26" s="2097"/>
      <c r="J26" s="180"/>
      <c r="K26" s="337"/>
      <c r="L26" s="1543" t="s">
        <v>49</v>
      </c>
      <c r="M26" s="278"/>
      <c r="N26" s="278"/>
      <c r="O26" s="278"/>
      <c r="P26" s="278"/>
      <c r="Q26" s="278"/>
      <c r="R26" s="278"/>
      <c r="S26" s="314"/>
    </row>
    <row r="27" spans="1:19" ht="12.75" customHeight="1" x14ac:dyDescent="0.2">
      <c r="B27" s="2098" t="s">
        <v>5</v>
      </c>
      <c r="C27" s="2201" t="s">
        <v>475</v>
      </c>
      <c r="D27" s="2202"/>
      <c r="E27" s="1660">
        <v>0</v>
      </c>
      <c r="F27" s="1660">
        <v>0</v>
      </c>
      <c r="G27" s="1660">
        <v>0</v>
      </c>
      <c r="H27" s="1660">
        <v>0</v>
      </c>
      <c r="I27" s="584">
        <f>SUM(D27:H27)</f>
        <v>0</v>
      </c>
      <c r="J27" s="68"/>
      <c r="K27" s="337"/>
      <c r="L27" s="1543"/>
      <c r="M27" s="278"/>
      <c r="N27" s="278"/>
      <c r="O27" s="278"/>
      <c r="P27" s="278"/>
      <c r="Q27" s="278"/>
      <c r="R27" s="278"/>
      <c r="S27" s="314"/>
    </row>
    <row r="28" spans="1:19" s="4" customFormat="1" ht="12.75" customHeight="1" x14ac:dyDescent="0.2">
      <c r="A28"/>
      <c r="B28" s="2096"/>
      <c r="C28" s="177" t="s">
        <v>891</v>
      </c>
      <c r="D28" s="514"/>
      <c r="E28" s="336">
        <v>0.255</v>
      </c>
      <c r="F28" s="336">
        <v>0.255</v>
      </c>
      <c r="G28" s="336">
        <v>0.255</v>
      </c>
      <c r="H28" s="336">
        <v>0.255</v>
      </c>
      <c r="I28" s="2097"/>
      <c r="J28" s="180"/>
      <c r="K28" s="337"/>
      <c r="L28" s="1543"/>
      <c r="M28" s="278"/>
      <c r="N28" s="278"/>
      <c r="O28" s="278"/>
      <c r="P28" s="278"/>
      <c r="Q28" s="278"/>
      <c r="R28" s="278"/>
      <c r="S28" s="314"/>
    </row>
    <row r="29" spans="1:19" s="4" customFormat="1" ht="12.75" customHeight="1" thickBot="1" x14ac:dyDescent="0.25">
      <c r="A29"/>
      <c r="B29" s="1040"/>
      <c r="C29" s="164" t="s">
        <v>890</v>
      </c>
      <c r="D29" s="1659"/>
      <c r="E29" s="1388">
        <v>0</v>
      </c>
      <c r="F29" s="1388">
        <v>0</v>
      </c>
      <c r="G29" s="1388">
        <v>0</v>
      </c>
      <c r="H29" s="1388">
        <v>0</v>
      </c>
      <c r="I29" s="2097"/>
      <c r="J29" s="180"/>
      <c r="K29" s="337"/>
      <c r="L29" s="1543"/>
      <c r="M29" s="278"/>
      <c r="N29" s="1544"/>
      <c r="O29" s="278"/>
      <c r="P29" s="278"/>
      <c r="Q29" s="278"/>
      <c r="R29" s="278"/>
      <c r="S29" s="314"/>
    </row>
    <row r="30" spans="1:19" ht="12.75" customHeight="1" x14ac:dyDescent="0.2">
      <c r="B30" s="2098" t="s">
        <v>6</v>
      </c>
      <c r="C30" s="2201" t="s">
        <v>476</v>
      </c>
      <c r="D30" s="2202"/>
      <c r="E30" s="1660">
        <v>0</v>
      </c>
      <c r="F30" s="1660">
        <v>0</v>
      </c>
      <c r="G30" s="1660">
        <v>0</v>
      </c>
      <c r="H30" s="1660">
        <v>0</v>
      </c>
      <c r="I30" s="584">
        <f>SUM(D30:H30)</f>
        <v>0</v>
      </c>
      <c r="J30" s="68"/>
      <c r="K30" s="337"/>
      <c r="L30" s="1543"/>
      <c r="M30" s="278"/>
      <c r="N30" s="278"/>
      <c r="O30" s="278" t="s">
        <v>49</v>
      </c>
      <c r="P30" s="278"/>
      <c r="Q30" s="278"/>
      <c r="R30" s="278"/>
      <c r="S30" s="314"/>
    </row>
    <row r="31" spans="1:19" s="4" customFormat="1" ht="12.75" customHeight="1" thickBot="1" x14ac:dyDescent="0.25">
      <c r="A31"/>
      <c r="B31" s="1040"/>
      <c r="C31" s="164" t="s">
        <v>890</v>
      </c>
      <c r="D31" s="1659"/>
      <c r="E31" s="1388">
        <v>0</v>
      </c>
      <c r="F31" s="1388">
        <v>0</v>
      </c>
      <c r="G31" s="1388">
        <v>0</v>
      </c>
      <c r="H31" s="1388">
        <v>0</v>
      </c>
      <c r="I31" s="2097"/>
      <c r="J31" s="180"/>
      <c r="K31" s="337"/>
      <c r="L31" s="1543"/>
      <c r="M31" s="278"/>
      <c r="N31" s="278"/>
      <c r="O31" s="278"/>
      <c r="P31" s="278"/>
      <c r="Q31" s="278"/>
      <c r="R31" s="278"/>
      <c r="S31" s="314"/>
    </row>
    <row r="32" spans="1:19" ht="12.75" customHeight="1" x14ac:dyDescent="0.2">
      <c r="B32" s="2098" t="s">
        <v>7</v>
      </c>
      <c r="C32" s="2201" t="s">
        <v>912</v>
      </c>
      <c r="D32" s="2202"/>
      <c r="E32" s="1660">
        <v>0</v>
      </c>
      <c r="F32" s="1660">
        <v>0</v>
      </c>
      <c r="G32" s="1660">
        <v>0</v>
      </c>
      <c r="H32" s="1660">
        <v>0</v>
      </c>
      <c r="I32" s="584">
        <f>SUM(D32:H32)</f>
        <v>0</v>
      </c>
      <c r="J32" s="68"/>
      <c r="K32" s="337"/>
      <c r="L32" s="1543"/>
      <c r="M32" s="278"/>
      <c r="N32" s="278"/>
      <c r="O32" s="278"/>
      <c r="P32" s="278"/>
      <c r="Q32" s="278"/>
      <c r="R32" s="278"/>
      <c r="S32" s="314"/>
    </row>
    <row r="33" spans="1:23" s="4" customFormat="1" ht="12.75" customHeight="1" x14ac:dyDescent="0.2">
      <c r="A33"/>
      <c r="B33" s="2096"/>
      <c r="C33" s="177" t="s">
        <v>891</v>
      </c>
      <c r="D33" s="514"/>
      <c r="E33" s="336">
        <v>0.255</v>
      </c>
      <c r="F33" s="336">
        <v>0.255</v>
      </c>
      <c r="G33" s="336">
        <v>0.255</v>
      </c>
      <c r="H33" s="336">
        <v>0.255</v>
      </c>
      <c r="I33" s="2097"/>
      <c r="J33" s="180"/>
      <c r="K33" s="337"/>
      <c r="L33" s="1543"/>
      <c r="M33" s="278"/>
      <c r="N33" s="278"/>
      <c r="O33" s="278"/>
      <c r="P33" s="278"/>
      <c r="Q33" s="278"/>
      <c r="R33" s="278"/>
      <c r="S33" s="314"/>
    </row>
    <row r="34" spans="1:23" s="4" customFormat="1" ht="12.75" customHeight="1" thickBot="1" x14ac:dyDescent="0.25">
      <c r="A34"/>
      <c r="B34" s="1040"/>
      <c r="C34" s="164" t="s">
        <v>890</v>
      </c>
      <c r="D34" s="1659"/>
      <c r="E34" s="1388">
        <v>0</v>
      </c>
      <c r="F34" s="1388">
        <v>0</v>
      </c>
      <c r="G34" s="1388">
        <v>0</v>
      </c>
      <c r="H34" s="1388">
        <v>0</v>
      </c>
      <c r="I34" s="2097"/>
      <c r="J34" s="180"/>
      <c r="K34" s="337"/>
      <c r="L34" s="1543"/>
      <c r="M34" s="278"/>
      <c r="N34" s="278"/>
      <c r="O34" s="278"/>
      <c r="P34" s="278"/>
      <c r="Q34" s="278"/>
      <c r="R34" s="278"/>
      <c r="S34" s="314"/>
    </row>
    <row r="35" spans="1:23" ht="12.75" customHeight="1" x14ac:dyDescent="0.2">
      <c r="B35" s="2098" t="s">
        <v>8</v>
      </c>
      <c r="C35" s="2201" t="s">
        <v>360</v>
      </c>
      <c r="D35" s="2202"/>
      <c r="E35" s="1660">
        <v>0</v>
      </c>
      <c r="F35" s="1660">
        <v>0</v>
      </c>
      <c r="G35" s="1660">
        <v>0</v>
      </c>
      <c r="H35" s="1660">
        <v>0</v>
      </c>
      <c r="I35" s="584">
        <f>SUM(D35:H35)</f>
        <v>0</v>
      </c>
      <c r="J35" s="68"/>
      <c r="K35" s="337"/>
      <c r="L35" s="1543"/>
      <c r="M35" s="278"/>
      <c r="N35" s="278"/>
      <c r="O35" s="278"/>
      <c r="P35" s="278"/>
      <c r="Q35" s="278"/>
      <c r="R35" s="278"/>
      <c r="S35" s="314"/>
    </row>
    <row r="36" spans="1:23" s="4" customFormat="1" ht="12.75" customHeight="1" x14ac:dyDescent="0.2">
      <c r="A36"/>
      <c r="B36" s="2096"/>
      <c r="C36" s="177" t="s">
        <v>891</v>
      </c>
      <c r="D36" s="514"/>
      <c r="E36" s="336">
        <v>0</v>
      </c>
      <c r="F36" s="336">
        <v>0</v>
      </c>
      <c r="G36" s="336">
        <v>0</v>
      </c>
      <c r="H36" s="336">
        <v>0</v>
      </c>
      <c r="I36" s="2097"/>
      <c r="J36" s="180"/>
      <c r="K36" s="337"/>
      <c r="L36" s="1543"/>
      <c r="M36" s="278"/>
      <c r="N36" s="278"/>
      <c r="O36" s="278"/>
      <c r="P36" s="278"/>
      <c r="Q36" s="278"/>
      <c r="R36" s="278"/>
      <c r="S36" s="314"/>
      <c r="W36" s="4">
        <v>0</v>
      </c>
    </row>
    <row r="37" spans="1:23" s="4" customFormat="1" ht="12.75" customHeight="1" thickBot="1" x14ac:dyDescent="0.25">
      <c r="A37"/>
      <c r="B37" s="1040"/>
      <c r="C37" s="164" t="s">
        <v>890</v>
      </c>
      <c r="D37" s="1659"/>
      <c r="E37" s="1388">
        <v>0</v>
      </c>
      <c r="F37" s="1388">
        <v>0</v>
      </c>
      <c r="G37" s="1388">
        <v>0</v>
      </c>
      <c r="H37" s="1388">
        <v>0</v>
      </c>
      <c r="I37" s="2097"/>
      <c r="J37" s="180"/>
      <c r="K37" s="337"/>
      <c r="L37" s="1543"/>
      <c r="M37" s="278"/>
      <c r="N37" s="278"/>
      <c r="O37" s="278"/>
      <c r="P37" s="278"/>
      <c r="Q37" s="278"/>
      <c r="R37" s="278"/>
      <c r="S37" s="314"/>
    </row>
    <row r="38" spans="1:23" s="4" customFormat="1" ht="12.75" customHeight="1" x14ac:dyDescent="0.2">
      <c r="A38"/>
      <c r="B38" s="2099" t="s">
        <v>9</v>
      </c>
      <c r="C38" s="1661" t="s">
        <v>791</v>
      </c>
      <c r="D38" s="1662"/>
      <c r="E38" s="1663">
        <v>0</v>
      </c>
      <c r="F38" s="1663">
        <v>0</v>
      </c>
      <c r="G38" s="1663">
        <v>0</v>
      </c>
      <c r="H38" s="1663">
        <v>0</v>
      </c>
      <c r="I38" s="584">
        <f>SUM(D38:H38)</f>
        <v>0</v>
      </c>
      <c r="J38" s="180"/>
      <c r="K38" s="337"/>
      <c r="L38" s="1543"/>
      <c r="M38" s="278"/>
      <c r="N38" s="278"/>
      <c r="O38" s="278"/>
      <c r="P38" s="278"/>
      <c r="Q38" s="278"/>
      <c r="R38" s="278"/>
      <c r="S38" s="314"/>
    </row>
    <row r="39" spans="1:23" ht="13.5" customHeight="1" x14ac:dyDescent="0.2">
      <c r="B39" s="2100" t="s">
        <v>10</v>
      </c>
      <c r="C39" s="1664" t="s">
        <v>426</v>
      </c>
      <c r="D39" s="1665"/>
      <c r="E39" s="1666">
        <v>0</v>
      </c>
      <c r="F39" s="1666">
        <v>0</v>
      </c>
      <c r="G39" s="1666">
        <v>0</v>
      </c>
      <c r="H39" s="1666">
        <v>0</v>
      </c>
      <c r="I39" s="584">
        <f>SUM(E39:H39)</f>
        <v>0</v>
      </c>
      <c r="J39" s="1562"/>
      <c r="K39" s="1560"/>
      <c r="L39" s="1544"/>
      <c r="M39" s="1544"/>
      <c r="N39" s="1544"/>
      <c r="O39" s="1544"/>
      <c r="P39" s="1544"/>
      <c r="Q39" s="1544"/>
      <c r="R39" s="1544"/>
      <c r="S39" s="1562"/>
      <c r="T39" s="1563"/>
    </row>
    <row r="40" spans="1:23" ht="12.75" customHeight="1" x14ac:dyDescent="0.2">
      <c r="B40" s="2096" t="s">
        <v>11</v>
      </c>
      <c r="C40" s="330" t="s">
        <v>477</v>
      </c>
      <c r="D40" s="515"/>
      <c r="E40" s="573">
        <v>0</v>
      </c>
      <c r="F40" s="1581">
        <v>0</v>
      </c>
      <c r="G40" s="1581">
        <v>0</v>
      </c>
      <c r="H40" s="1581">
        <v>0</v>
      </c>
      <c r="I40" s="584">
        <f>SUM(D40:H40)</f>
        <v>0</v>
      </c>
      <c r="J40" s="68"/>
      <c r="K40" s="337"/>
      <c r="L40" s="1543"/>
      <c r="M40" s="278"/>
      <c r="N40" s="278"/>
      <c r="O40" s="278"/>
      <c r="P40" s="278"/>
      <c r="Q40" s="278"/>
      <c r="R40" s="278"/>
      <c r="S40" s="314"/>
    </row>
    <row r="41" spans="1:23" ht="12.75" customHeight="1" x14ac:dyDescent="0.2">
      <c r="B41" s="2096"/>
      <c r="C41" s="177" t="s">
        <v>891</v>
      </c>
      <c r="D41" s="1559"/>
      <c r="E41" s="336">
        <v>0</v>
      </c>
      <c r="F41" s="1582">
        <v>0</v>
      </c>
      <c r="G41" s="1582">
        <v>0</v>
      </c>
      <c r="H41" s="1582">
        <f>G41</f>
        <v>0</v>
      </c>
      <c r="I41" s="584"/>
      <c r="J41" s="68"/>
      <c r="K41" s="337"/>
      <c r="L41" s="1543"/>
      <c r="M41" s="278"/>
      <c r="N41" s="278"/>
      <c r="O41" s="278"/>
      <c r="P41" s="278"/>
      <c r="Q41" s="278"/>
      <c r="R41" s="278"/>
      <c r="S41" s="314"/>
    </row>
    <row r="42" spans="1:23" ht="13.5" customHeight="1" x14ac:dyDescent="0.2">
      <c r="B42" s="2101" t="s">
        <v>74</v>
      </c>
      <c r="C42" s="2102" t="s">
        <v>814</v>
      </c>
      <c r="D42" s="2103"/>
      <c r="E42" s="993">
        <f>E17+E20+E24+E27+E30+E32+E40+E35+E38+E39</f>
        <v>0</v>
      </c>
      <c r="F42" s="993">
        <f>F17+F20+F24+F27+F30+F32+F40+F35+F38+F39</f>
        <v>0</v>
      </c>
      <c r="G42" s="993">
        <f>G17+G20+G24+G27+G30+G32+G40+G35+G38+G39</f>
        <v>0</v>
      </c>
      <c r="H42" s="993">
        <f>H17+H20+H24+H27+H30+H32+H40+H35+H38+H39</f>
        <v>0</v>
      </c>
      <c r="I42" s="993">
        <f>SUM(D42:H42)</f>
        <v>0</v>
      </c>
      <c r="J42" s="68"/>
      <c r="K42" s="337"/>
      <c r="L42" s="278"/>
      <c r="M42" s="278"/>
      <c r="N42" s="278"/>
      <c r="O42" s="278"/>
      <c r="P42" s="278"/>
      <c r="Q42" s="278"/>
      <c r="R42" s="278"/>
      <c r="S42" s="314"/>
    </row>
    <row r="43" spans="1:23" ht="9" customHeight="1" x14ac:dyDescent="0.2">
      <c r="I43" s="1804"/>
      <c r="K43" s="181"/>
      <c r="L43" s="182"/>
      <c r="M43" s="182"/>
      <c r="N43" s="182"/>
      <c r="O43" s="182"/>
      <c r="P43" s="182"/>
      <c r="Q43" s="182"/>
      <c r="R43" s="182"/>
      <c r="S43" s="183"/>
    </row>
    <row r="44" spans="1:23" ht="13.5" customHeight="1" x14ac:dyDescent="0.2">
      <c r="B44" s="2195" t="s">
        <v>478</v>
      </c>
      <c r="C44" s="2196"/>
      <c r="D44" s="2090"/>
      <c r="E44" s="2091" t="str">
        <f>E15</f>
        <v>Forecast 1</v>
      </c>
      <c r="F44" s="2091" t="str">
        <f>F15</f>
        <v>Forecast 2</v>
      </c>
      <c r="G44" s="2091" t="str">
        <f>G15</f>
        <v>Forecast 3</v>
      </c>
      <c r="H44" s="2104" t="str">
        <f>H15</f>
        <v>Forecast 4</v>
      </c>
      <c r="I44" s="2174" t="str">
        <f>I15</f>
        <v>In Total</v>
      </c>
      <c r="K44" s="337"/>
      <c r="L44" s="278"/>
      <c r="M44" s="278"/>
      <c r="N44" s="278"/>
      <c r="O44" s="278"/>
      <c r="P44" s="278"/>
      <c r="Q44" s="278"/>
      <c r="R44" s="278"/>
      <c r="S44" s="314"/>
    </row>
    <row r="45" spans="1:23" ht="13.5" customHeight="1" thickBot="1" x14ac:dyDescent="0.25">
      <c r="B45" s="2199"/>
      <c r="C45" s="2200"/>
      <c r="D45" s="1161"/>
      <c r="E45" s="171">
        <f>E16</f>
        <v>2027</v>
      </c>
      <c r="F45" s="171">
        <f>F16</f>
        <v>2028</v>
      </c>
      <c r="G45" s="171">
        <f>G16</f>
        <v>2029</v>
      </c>
      <c r="H45" s="244">
        <f>H16</f>
        <v>2030</v>
      </c>
      <c r="I45" s="2175"/>
      <c r="K45" s="337"/>
      <c r="L45" s="278"/>
      <c r="M45" s="278"/>
      <c r="N45" s="278"/>
      <c r="O45" s="278"/>
      <c r="P45" s="278"/>
      <c r="Q45" s="278"/>
      <c r="R45" s="278"/>
      <c r="S45" s="314"/>
    </row>
    <row r="46" spans="1:23" ht="12.75" customHeight="1" x14ac:dyDescent="0.2">
      <c r="B46" s="2193" t="s">
        <v>792</v>
      </c>
      <c r="C46" s="2194"/>
      <c r="D46" s="517"/>
      <c r="E46" s="242"/>
      <c r="F46" s="242"/>
      <c r="G46" s="242"/>
      <c r="H46" s="243"/>
      <c r="I46" s="2105" t="s">
        <v>0</v>
      </c>
      <c r="J46" s="53"/>
      <c r="K46" s="337"/>
      <c r="L46" s="278"/>
      <c r="M46" s="278"/>
      <c r="N46" s="278"/>
      <c r="O46" s="278"/>
      <c r="P46" s="278"/>
      <c r="Q46" s="278"/>
      <c r="R46" s="278"/>
      <c r="S46" s="314"/>
    </row>
    <row r="47" spans="1:23" ht="12.75" customHeight="1" x14ac:dyDescent="0.2">
      <c r="B47" s="1040" t="s">
        <v>75</v>
      </c>
      <c r="C47" s="190" t="s">
        <v>479</v>
      </c>
      <c r="D47" s="420"/>
      <c r="E47" s="576"/>
      <c r="F47" s="576"/>
      <c r="G47" s="576"/>
      <c r="H47" s="576"/>
      <c r="I47" s="2106"/>
      <c r="J47" s="53"/>
      <c r="K47" s="337"/>
      <c r="L47" s="278"/>
      <c r="M47" s="278"/>
      <c r="N47" s="278"/>
      <c r="O47" s="278"/>
      <c r="P47" s="278"/>
      <c r="Q47" s="278"/>
      <c r="R47" s="278"/>
      <c r="S47" s="314"/>
    </row>
    <row r="48" spans="1:23" ht="12.75" customHeight="1" x14ac:dyDescent="0.2">
      <c r="B48" s="2096"/>
      <c r="C48" s="392" t="s">
        <v>869</v>
      </c>
      <c r="D48" s="542"/>
      <c r="E48" s="577">
        <v>0</v>
      </c>
      <c r="F48" s="577">
        <v>0</v>
      </c>
      <c r="G48" s="577">
        <v>0</v>
      </c>
      <c r="H48" s="577">
        <v>0</v>
      </c>
      <c r="I48" s="580">
        <f>SUM(D48:H48)</f>
        <v>0</v>
      </c>
      <c r="J48" s="69"/>
      <c r="K48" s="337"/>
      <c r="L48" s="278"/>
      <c r="M48" s="278"/>
      <c r="N48" s="278"/>
      <c r="O48" s="278"/>
      <c r="P48" s="278"/>
      <c r="Q48" s="278"/>
      <c r="R48" s="278"/>
      <c r="S48" s="314"/>
    </row>
    <row r="49" spans="2:21" ht="12.75" customHeight="1" x14ac:dyDescent="0.2">
      <c r="B49" s="2107"/>
      <c r="C49" s="2203" t="s">
        <v>779</v>
      </c>
      <c r="D49" s="2204"/>
      <c r="E49" s="573">
        <v>0</v>
      </c>
      <c r="F49" s="573">
        <v>0</v>
      </c>
      <c r="G49" s="573">
        <v>0</v>
      </c>
      <c r="H49" s="573">
        <v>0</v>
      </c>
      <c r="I49" s="584">
        <f>SUM(D49:H49)</f>
        <v>0</v>
      </c>
      <c r="J49" s="69"/>
      <c r="K49" s="491">
        <v>0</v>
      </c>
      <c r="L49" s="278"/>
      <c r="M49" s="278"/>
      <c r="N49" s="278"/>
      <c r="O49" s="278"/>
      <c r="P49" s="278"/>
      <c r="Q49" s="278"/>
      <c r="R49" s="278"/>
      <c r="S49" s="314"/>
    </row>
    <row r="50" spans="2:21" ht="12.75" customHeight="1" x14ac:dyDescent="0.2">
      <c r="B50" s="2107" t="s">
        <v>236</v>
      </c>
      <c r="C50" s="330" t="s">
        <v>914</v>
      </c>
      <c r="D50" s="543"/>
      <c r="E50" s="580">
        <f>E62-E61-E60-E57-E56-E55-E52-E51-E48-E49-E58-E59</f>
        <v>0</v>
      </c>
      <c r="F50" s="580">
        <f>F62-F61-F60-F57-F56-F55-F52-F51-F48-F49-F58-F59</f>
        <v>0</v>
      </c>
      <c r="G50" s="580">
        <f>G62-G61-G60-G57-G56-G55-G52-G51-G48-G49-G58-G59</f>
        <v>0</v>
      </c>
      <c r="H50" s="580">
        <f>H62-H61-H60-H57-H56-H55-H52-H51-H48-H49-H58-H59</f>
        <v>0</v>
      </c>
      <c r="I50" s="580">
        <f>I62-I61-I60-I57-I56-I55-I52-I51-I48-I49-I58-I59</f>
        <v>0</v>
      </c>
      <c r="J50" s="68"/>
      <c r="K50" s="393" t="str">
        <f>IF(E50&lt;0,"Add the figure to the line 9. Working capital ",IF(F50&lt;0,"Add the figure to the line 9. Working capital",IF(G50&lt;0,"Add the figure to the line 9. Working capital",IF(H50&lt;0,"Add the figure to the line 9. Working capital",""))))</f>
        <v/>
      </c>
      <c r="L50" s="275"/>
      <c r="M50" s="275"/>
      <c r="N50" s="275"/>
      <c r="O50" s="275"/>
      <c r="P50" s="275"/>
      <c r="Q50" s="275"/>
      <c r="R50" s="275"/>
      <c r="S50" s="390"/>
    </row>
    <row r="51" spans="2:21" ht="12.75" customHeight="1" x14ac:dyDescent="0.2">
      <c r="B51" s="2107" t="s">
        <v>76</v>
      </c>
      <c r="C51" s="2203" t="s">
        <v>868</v>
      </c>
      <c r="D51" s="2204"/>
      <c r="E51" s="573">
        <v>0</v>
      </c>
      <c r="F51" s="573">
        <v>0</v>
      </c>
      <c r="G51" s="573">
        <v>0</v>
      </c>
      <c r="H51" s="573">
        <v>0</v>
      </c>
      <c r="I51" s="580">
        <f>SUM(D51:H51)</f>
        <v>0</v>
      </c>
      <c r="J51" s="70"/>
      <c r="K51" s="398"/>
      <c r="L51" s="278"/>
      <c r="M51" s="278"/>
      <c r="N51" s="278"/>
      <c r="O51" s="278"/>
      <c r="P51" s="278"/>
      <c r="Q51" s="278"/>
      <c r="R51" s="278"/>
      <c r="S51" s="314"/>
    </row>
    <row r="52" spans="2:21" ht="12.75" customHeight="1" x14ac:dyDescent="0.2">
      <c r="B52" s="2107" t="s">
        <v>77</v>
      </c>
      <c r="C52" s="2203" t="s">
        <v>913</v>
      </c>
      <c r="D52" s="2204"/>
      <c r="E52" s="816">
        <v>0</v>
      </c>
      <c r="F52" s="573">
        <v>0</v>
      </c>
      <c r="G52" s="573">
        <v>0</v>
      </c>
      <c r="H52" s="573">
        <v>0</v>
      </c>
      <c r="I52" s="580">
        <f>SUM(D52:H52)</f>
        <v>0</v>
      </c>
      <c r="J52" s="68"/>
      <c r="K52" s="393" t="str">
        <f>IF(E$52&gt;0,"If a company assets are sold, enter the sales price in the T3 Balance sheet: Reductions during the financial year",IF(F52&gt;0,"If a company assets are sold, enter the sales price in the T3 Balance sheet: Reductions during the financial year",IF(G52&gt;0,"If a company assets are sold, enter the sales price in the T3 Balance sheet: Reductions during the financial year",IF(H52&gt;0,"If a company assets are sold, enter the sales price in the T3 Balance sheet: Reductions during the financial year",""))))</f>
        <v/>
      </c>
      <c r="L52" s="152"/>
      <c r="M52" s="152"/>
      <c r="N52" s="152"/>
      <c r="O52" s="152"/>
      <c r="P52" s="152"/>
      <c r="Q52" s="152"/>
      <c r="R52" s="152"/>
      <c r="S52" s="391"/>
    </row>
    <row r="53" spans="2:21" ht="12.75" customHeight="1" x14ac:dyDescent="0.2">
      <c r="B53" s="2191" t="s">
        <v>879</v>
      </c>
      <c r="C53" s="2192"/>
      <c r="D53" s="546"/>
      <c r="E53" s="582"/>
      <c r="F53" s="582"/>
      <c r="G53" s="582"/>
      <c r="H53" s="583"/>
      <c r="I53" s="2108"/>
      <c r="K53" s="784"/>
      <c r="L53" s="1542"/>
      <c r="M53" s="1531"/>
      <c r="N53" s="1542"/>
      <c r="O53" s="1542"/>
      <c r="P53" s="278"/>
      <c r="Q53" s="278"/>
      <c r="R53" s="278"/>
      <c r="S53" s="314"/>
      <c r="T53" s="164"/>
      <c r="U53" s="164"/>
    </row>
    <row r="54" spans="2:21" ht="12.75" customHeight="1" x14ac:dyDescent="0.2">
      <c r="B54" s="1040" t="s">
        <v>0</v>
      </c>
      <c r="C54" s="190" t="s">
        <v>793</v>
      </c>
      <c r="D54" s="420"/>
      <c r="E54" s="576"/>
      <c r="F54" s="576"/>
      <c r="G54" s="576"/>
      <c r="H54" s="576"/>
      <c r="I54" s="2106"/>
      <c r="K54" s="1726"/>
      <c r="L54" s="278"/>
      <c r="M54" s="1727"/>
      <c r="N54" s="1728"/>
      <c r="O54" s="2205"/>
      <c r="P54" s="2205"/>
      <c r="Q54" s="2205"/>
      <c r="R54" s="2205"/>
      <c r="S54" s="2206"/>
      <c r="T54" s="164"/>
      <c r="U54" s="164"/>
    </row>
    <row r="55" spans="2:21" ht="12.75" customHeight="1" x14ac:dyDescent="0.2">
      <c r="B55" s="2096" t="s">
        <v>78</v>
      </c>
      <c r="C55" s="547" t="s">
        <v>916</v>
      </c>
      <c r="D55" s="545"/>
      <c r="E55" s="577">
        <v>0</v>
      </c>
      <c r="F55" s="577">
        <v>0</v>
      </c>
      <c r="G55" s="577">
        <v>0</v>
      </c>
      <c r="H55" s="577">
        <v>0</v>
      </c>
      <c r="I55" s="580">
        <f t="shared" ref="I55:I61" si="0">SUM(D55:H55)</f>
        <v>0</v>
      </c>
      <c r="J55" s="68"/>
      <c r="K55" s="1726"/>
      <c r="L55" s="278"/>
      <c r="M55" s="1727"/>
      <c r="N55" s="1728"/>
      <c r="O55" s="2205"/>
      <c r="P55" s="2205"/>
      <c r="Q55" s="2205"/>
      <c r="R55" s="2205"/>
      <c r="S55" s="2206"/>
      <c r="T55" s="164"/>
      <c r="U55" s="164"/>
    </row>
    <row r="56" spans="2:21" ht="12.75" customHeight="1" x14ac:dyDescent="0.2">
      <c r="B56" s="2107" t="s">
        <v>79</v>
      </c>
      <c r="C56" s="544"/>
      <c r="D56" s="545"/>
      <c r="E56" s="573">
        <v>0</v>
      </c>
      <c r="F56" s="573">
        <v>0</v>
      </c>
      <c r="G56" s="573">
        <v>0</v>
      </c>
      <c r="H56" s="573">
        <v>0</v>
      </c>
      <c r="I56" s="580">
        <f t="shared" si="0"/>
        <v>0</v>
      </c>
      <c r="J56" s="68"/>
      <c r="K56" s="1726"/>
      <c r="L56" s="278"/>
      <c r="M56" s="1727"/>
      <c r="N56" s="1728"/>
      <c r="O56" s="2205"/>
      <c r="P56" s="2205"/>
      <c r="Q56" s="2205"/>
      <c r="R56" s="2205"/>
      <c r="S56" s="2206"/>
      <c r="T56" s="164"/>
      <c r="U56" s="164"/>
    </row>
    <row r="57" spans="2:21" ht="12.75" customHeight="1" x14ac:dyDescent="0.2">
      <c r="B57" s="2107" t="s">
        <v>80</v>
      </c>
      <c r="C57" s="544"/>
      <c r="D57" s="548"/>
      <c r="E57" s="573">
        <v>0</v>
      </c>
      <c r="F57" s="573">
        <v>0</v>
      </c>
      <c r="G57" s="573">
        <v>0</v>
      </c>
      <c r="H57" s="573">
        <v>0</v>
      </c>
      <c r="I57" s="580">
        <f>SUM(E57:H57)</f>
        <v>0</v>
      </c>
      <c r="J57" s="278"/>
      <c r="K57" s="1726"/>
      <c r="L57" s="278"/>
      <c r="M57" s="1727"/>
      <c r="N57" s="1728"/>
      <c r="O57" s="2205"/>
      <c r="P57" s="2205"/>
      <c r="Q57" s="2205"/>
      <c r="R57" s="2205"/>
      <c r="S57" s="2206"/>
      <c r="T57" s="164"/>
      <c r="U57" s="164"/>
    </row>
    <row r="58" spans="2:21" ht="12.75" hidden="1" customHeight="1" x14ac:dyDescent="0.2">
      <c r="B58" s="2107" t="s">
        <v>81</v>
      </c>
      <c r="C58" s="524" t="s">
        <v>480</v>
      </c>
      <c r="D58" s="549"/>
      <c r="E58" s="1842">
        <v>0</v>
      </c>
      <c r="F58" s="1842">
        <v>0</v>
      </c>
      <c r="G58" s="1842">
        <v>0</v>
      </c>
      <c r="H58" s="1842">
        <v>0</v>
      </c>
      <c r="I58" s="580">
        <f>SUM(E58:H58)</f>
        <v>0</v>
      </c>
      <c r="J58" s="50"/>
      <c r="K58" s="393" t="str">
        <f>IF(E58&gt;0,"LISÄÄ LEASINGKUSTANNUKSET TAULUKON E1 KUSTANNUKSET KOHTAAN 3.3!",IF(F58&gt;0,"LISÄÄ LEASINGKUSTANNUKSET TAULUKON E1 KUSTANNUKSET RIVILLE 63!",IF(G58&gt;0,"LISÄÄ LEASINGKUSTANNUKSET TAULUKON E1 KUSTANNUKSET RIVILLE 63",IF(H58&gt;0,"LISÄÄ LEASINGKUSTANNUKSET TAULUKON E1 KUSTANNUKSET RIVILLE 63",""))))</f>
        <v/>
      </c>
      <c r="L58" s="278"/>
      <c r="M58" s="278"/>
      <c r="N58" s="278"/>
      <c r="O58" s="278"/>
      <c r="P58" s="278"/>
      <c r="Q58" s="278"/>
      <c r="R58" s="278"/>
      <c r="S58" s="314"/>
      <c r="T58" s="337"/>
    </row>
    <row r="59" spans="2:21" ht="12.75" hidden="1" customHeight="1" x14ac:dyDescent="0.2">
      <c r="B59" s="2096" t="s">
        <v>30</v>
      </c>
      <c r="C59" s="392" t="s">
        <v>481</v>
      </c>
      <c r="D59" s="550"/>
      <c r="E59" s="1842">
        <v>0</v>
      </c>
      <c r="F59" s="1842">
        <v>0</v>
      </c>
      <c r="G59" s="1842">
        <v>0</v>
      </c>
      <c r="H59" s="1842">
        <v>0</v>
      </c>
      <c r="I59" s="580">
        <f>SUM(E59:H59)</f>
        <v>0</v>
      </c>
      <c r="J59" s="50"/>
      <c r="K59" s="393" t="str">
        <f>IF(E59&gt;0,"LISÄÄ VUOKRAKULUT E1 KUSTANNUKSET-TAULUKON RIVILLE 124!",IF(F59&gt;0,"LISÄÄ VUOKRAKULUT E1 KUSTANNUKSET-TAULUKON RIVILLE 124!",IF(G59&gt;0,"LISÄÄ VUOKRAKULUT E1 KUSTANNUKSET-TAULUKON RIVILLE 124!",IF(H59&gt;0,"LISÄÄ VUOKRAKULUT E1 KUSTANNUKSET-TAULUKON RIVILLE 124!",""))))</f>
        <v/>
      </c>
      <c r="L59" s="278"/>
      <c r="M59" s="278"/>
      <c r="N59" s="278"/>
      <c r="O59" s="278"/>
      <c r="P59" s="278"/>
      <c r="Q59" s="278"/>
      <c r="R59" s="278"/>
      <c r="S59" s="314"/>
      <c r="T59" s="278"/>
    </row>
    <row r="60" spans="2:21" ht="12.75" customHeight="1" x14ac:dyDescent="0.2">
      <c r="B60" s="2107" t="s">
        <v>81</v>
      </c>
      <c r="C60" s="330" t="s">
        <v>482</v>
      </c>
      <c r="D60" s="372"/>
      <c r="E60" s="584">
        <f>'AT1 Avustus, alv'!E49</f>
        <v>0</v>
      </c>
      <c r="F60" s="584">
        <f>'AT1 Avustus, alv'!F49</f>
        <v>0</v>
      </c>
      <c r="G60" s="584">
        <f>'AT1 Avustus, alv'!G49</f>
        <v>0</v>
      </c>
      <c r="H60" s="584">
        <f>'AT1 Avustus, alv'!H49</f>
        <v>0</v>
      </c>
      <c r="I60" s="580">
        <f t="shared" si="0"/>
        <v>0</v>
      </c>
      <c r="J60" s="68"/>
      <c r="K60" s="337"/>
      <c r="L60" s="278"/>
      <c r="M60" s="278"/>
      <c r="N60" s="278"/>
      <c r="O60" s="278"/>
      <c r="P60" s="278"/>
      <c r="Q60" s="278"/>
      <c r="R60" s="278"/>
      <c r="S60" s="314"/>
    </row>
    <row r="61" spans="2:21" ht="12.75" customHeight="1" x14ac:dyDescent="0.2">
      <c r="B61" s="2107" t="s">
        <v>30</v>
      </c>
      <c r="C61" s="330" t="s">
        <v>870</v>
      </c>
      <c r="D61" s="372"/>
      <c r="E61" s="584">
        <f>'AT1 Avustus, alv'!E50</f>
        <v>0</v>
      </c>
      <c r="F61" s="584">
        <f>'AT1 Avustus, alv'!F50</f>
        <v>0</v>
      </c>
      <c r="G61" s="584">
        <f>'AT1 Avustus, alv'!G50</f>
        <v>0</v>
      </c>
      <c r="H61" s="584">
        <f>'AT1 Avustus, alv'!H50</f>
        <v>0</v>
      </c>
      <c r="I61" s="580">
        <f t="shared" si="0"/>
        <v>0</v>
      </c>
      <c r="J61" s="68"/>
      <c r="K61" s="337"/>
      <c r="L61" s="278"/>
      <c r="M61" s="278"/>
      <c r="N61" s="278"/>
      <c r="O61" s="278"/>
      <c r="P61" s="278"/>
      <c r="Q61" s="278"/>
      <c r="R61" s="278"/>
      <c r="S61" s="314"/>
    </row>
    <row r="62" spans="2:21" ht="16.149999999999999" customHeight="1" x14ac:dyDescent="0.2">
      <c r="B62" s="2109" t="s">
        <v>254</v>
      </c>
      <c r="C62" s="2102" t="s">
        <v>483</v>
      </c>
      <c r="D62" s="2110"/>
      <c r="E62" s="2111">
        <f>E42</f>
        <v>0</v>
      </c>
      <c r="F62" s="993">
        <f>F42</f>
        <v>0</v>
      </c>
      <c r="G62" s="993">
        <f>G42</f>
        <v>0</v>
      </c>
      <c r="H62" s="993">
        <f>H42</f>
        <v>0</v>
      </c>
      <c r="I62" s="993">
        <f>SUM(D62:H62)</f>
        <v>0</v>
      </c>
      <c r="J62" s="68"/>
      <c r="K62" s="397"/>
      <c r="L62" s="278"/>
      <c r="M62" s="278"/>
      <c r="N62" s="278"/>
      <c r="O62" s="278"/>
      <c r="P62" s="278"/>
      <c r="Q62" s="278"/>
      <c r="R62" s="278"/>
      <c r="S62" s="314"/>
    </row>
    <row r="63" spans="2:21" ht="3" customHeight="1" x14ac:dyDescent="0.2">
      <c r="B63" s="77"/>
      <c r="C63" s="73"/>
      <c r="D63" s="73"/>
      <c r="E63" s="1343"/>
      <c r="F63" s="77"/>
      <c r="G63" s="77"/>
      <c r="H63" s="77"/>
      <c r="I63" s="585"/>
      <c r="J63" s="68"/>
      <c r="K63" s="181"/>
      <c r="L63" s="182"/>
      <c r="M63" s="182"/>
      <c r="N63" s="182"/>
      <c r="O63" s="182"/>
      <c r="P63" s="182"/>
      <c r="Q63" s="182"/>
      <c r="R63" s="182"/>
      <c r="S63" s="183"/>
    </row>
    <row r="64" spans="2:21" ht="12.75" customHeight="1" thickBot="1" x14ac:dyDescent="0.25">
      <c r="B64" s="2087"/>
      <c r="C64" s="521"/>
      <c r="D64" s="73"/>
      <c r="E64" s="1343">
        <v>0</v>
      </c>
      <c r="F64" s="1343">
        <v>0</v>
      </c>
      <c r="G64" s="1343">
        <v>0</v>
      </c>
      <c r="H64" s="1343">
        <v>0</v>
      </c>
      <c r="I64" s="2088">
        <v>0</v>
      </c>
      <c r="J64" s="68"/>
      <c r="K64" s="331"/>
      <c r="L64" s="332"/>
      <c r="M64" s="332"/>
      <c r="N64" s="332"/>
      <c r="O64" s="332"/>
      <c r="P64" s="332"/>
      <c r="Q64" s="332"/>
      <c r="R64" s="332"/>
      <c r="S64" s="335"/>
    </row>
    <row r="65" spans="2:9" ht="3" customHeight="1" x14ac:dyDescent="0.2"/>
    <row r="66" spans="2:9" x14ac:dyDescent="0.2">
      <c r="B66" s="74"/>
      <c r="C66" s="52"/>
      <c r="D66" s="2089" t="str">
        <f>IF(E50&lt;0,"13. Cash flow must not be negative!",IF(F50&lt;0,"13. Cash flow must not be negative!",IF(G50&lt;0,"13. Cash flow must not be negative!",IF(H50&lt;0,"13. Cash flow must not be negative!",""))))</f>
        <v/>
      </c>
      <c r="E66" s="52"/>
      <c r="F66" s="52"/>
      <c r="G66" s="52"/>
      <c r="H66" s="52"/>
      <c r="I66" s="85">
        <f>'Front Page'!F6</f>
        <v>0</v>
      </c>
    </row>
    <row r="67" spans="2:9" x14ac:dyDescent="0.2">
      <c r="B67" s="52" t="s">
        <v>805</v>
      </c>
      <c r="C67" s="52"/>
      <c r="I67" s="405" t="str">
        <f>'Front Page'!G8</f>
        <v>Enontekiö, Kittilä, Kolari, Muonio, Pello</v>
      </c>
    </row>
    <row r="68" spans="2:9" x14ac:dyDescent="0.2">
      <c r="B68" s="2149"/>
      <c r="C68" s="2149"/>
    </row>
    <row r="69" spans="2:9" x14ac:dyDescent="0.2">
      <c r="B69" s="348"/>
    </row>
    <row r="70" spans="2:9" x14ac:dyDescent="0.2">
      <c r="B70" s="52" t="s">
        <v>616</v>
      </c>
    </row>
    <row r="71" spans="2:9" x14ac:dyDescent="0.2">
      <c r="B71" s="52" t="s">
        <v>617</v>
      </c>
    </row>
    <row r="72" spans="2:9" ht="14.25" x14ac:dyDescent="0.2">
      <c r="B72" s="75"/>
      <c r="C72" s="76"/>
      <c r="D72" s="76"/>
    </row>
    <row r="73" spans="2:9" ht="14.25" x14ac:dyDescent="0.2">
      <c r="B73" s="75"/>
      <c r="C73" s="76"/>
      <c r="D73" s="76"/>
    </row>
    <row r="74" spans="2:9" ht="14.25" x14ac:dyDescent="0.2">
      <c r="B74" s="75"/>
      <c r="C74" s="76"/>
      <c r="D74" s="76"/>
    </row>
    <row r="75" spans="2:9" ht="14.25" x14ac:dyDescent="0.2">
      <c r="B75" s="75"/>
      <c r="C75" s="76"/>
      <c r="D75" s="76"/>
    </row>
    <row r="76" spans="2:9" ht="14.25" x14ac:dyDescent="0.2">
      <c r="B76" s="75"/>
      <c r="C76" s="76"/>
      <c r="D76" s="76"/>
    </row>
    <row r="77" spans="2:9" ht="14.25" x14ac:dyDescent="0.2">
      <c r="B77" s="75" t="s">
        <v>253</v>
      </c>
      <c r="C77" s="76"/>
    </row>
    <row r="78" spans="2:9" x14ac:dyDescent="0.2">
      <c r="B78" s="348"/>
    </row>
    <row r="79" spans="2:9" x14ac:dyDescent="0.2">
      <c r="B79" s="52"/>
    </row>
    <row r="80" spans="2:9" x14ac:dyDescent="0.2">
      <c r="B80" s="52"/>
    </row>
    <row r="103" spans="3:3" x14ac:dyDescent="0.2">
      <c r="C103" s="18"/>
    </row>
  </sheetData>
  <sheetProtection algorithmName="SHA-512" hashValue="+yrKAagbDov02gi1SOReIfabAVJVxHlOd2DeEkTFBqD5Yq5APCwiov6gv2Lc5mM55A+1G4JTR87V/wybdm0B1A==" saltValue="6NslpCxOUrDZpL7E6+zWvg==" spinCount="100000" sheet="1" objects="1" scenarios="1"/>
  <mergeCells count="34">
    <mergeCell ref="O54:S54"/>
    <mergeCell ref="O56:S56"/>
    <mergeCell ref="O55:S55"/>
    <mergeCell ref="O57:S57"/>
    <mergeCell ref="B68:C68"/>
    <mergeCell ref="B53:C53"/>
    <mergeCell ref="B46:C46"/>
    <mergeCell ref="B9:E9"/>
    <mergeCell ref="B15:C16"/>
    <mergeCell ref="B44:C45"/>
    <mergeCell ref="C20:D20"/>
    <mergeCell ref="C24:D24"/>
    <mergeCell ref="C27:D27"/>
    <mergeCell ref="C30:D30"/>
    <mergeCell ref="C32:D32"/>
    <mergeCell ref="C35:D35"/>
    <mergeCell ref="C51:D51"/>
    <mergeCell ref="C49:D49"/>
    <mergeCell ref="C52:D52"/>
    <mergeCell ref="B3:D4"/>
    <mergeCell ref="F13:I13"/>
    <mergeCell ref="O4:P4"/>
    <mergeCell ref="I44:I45"/>
    <mergeCell ref="I15:I16"/>
    <mergeCell ref="F5:G5"/>
    <mergeCell ref="F12:I12"/>
    <mergeCell ref="B7:E7"/>
    <mergeCell ref="F7:I7"/>
    <mergeCell ref="F9:I9"/>
    <mergeCell ref="F11:I11"/>
    <mergeCell ref="F10:I10"/>
    <mergeCell ref="B11:E11"/>
    <mergeCell ref="B12:E12"/>
    <mergeCell ref="B13:E13"/>
  </mergeCells>
  <printOptions horizontalCentered="1"/>
  <pageMargins left="0.25" right="0.25" top="0.75" bottom="0.75" header="0.3" footer="0.3"/>
  <pageSetup paperSize="9" scale="95" orientation="portrait" verticalDpi="4" r:id="rId1"/>
  <colBreaks count="1" manualBreakCount="1">
    <brk id="9" min="1" max="6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152A1"/>
  </sheetPr>
  <dimension ref="A1:S56"/>
  <sheetViews>
    <sheetView showGridLines="0" showZeros="0" zoomScale="120" zoomScaleNormal="120" workbookViewId="0">
      <selection activeCell="E16" sqref="E16"/>
    </sheetView>
  </sheetViews>
  <sheetFormatPr defaultRowHeight="12.75" x14ac:dyDescent="0.2"/>
  <cols>
    <col min="1" max="1" width="8.7109375" customWidth="1"/>
    <col min="2" max="2" width="27.28515625" customWidth="1"/>
    <col min="3" max="3" width="9.5703125" customWidth="1"/>
    <col min="4" max="4" width="6.85546875" customWidth="1"/>
    <col min="5" max="5" width="7.28515625" customWidth="1"/>
    <col min="6" max="17" width="10.7109375" customWidth="1"/>
    <col min="18" max="18" width="4.28515625" customWidth="1"/>
  </cols>
  <sheetData>
    <row r="1" spans="1:19" ht="14.1" customHeight="1" x14ac:dyDescent="0.2">
      <c r="A1" s="345"/>
    </row>
    <row r="2" spans="1:19" ht="14.65" customHeight="1" x14ac:dyDescent="0.25">
      <c r="A2" s="346"/>
      <c r="B2" s="2142" t="s">
        <v>795</v>
      </c>
      <c r="C2" s="2142"/>
      <c r="D2" s="1"/>
      <c r="E2" s="96"/>
      <c r="F2" s="569" t="s">
        <v>16</v>
      </c>
      <c r="G2" s="95"/>
      <c r="H2" s="1"/>
      <c r="I2" s="1"/>
      <c r="J2" s="1"/>
      <c r="K2" s="1"/>
      <c r="L2" s="1"/>
      <c r="M2" s="1"/>
      <c r="N2" s="61" t="s">
        <v>0</v>
      </c>
      <c r="O2" s="1"/>
      <c r="P2" s="1"/>
      <c r="Q2" s="61" t="s">
        <v>0</v>
      </c>
    </row>
    <row r="3" spans="1:19" ht="6" customHeight="1" x14ac:dyDescent="0.2">
      <c r="A3" s="346"/>
      <c r="B3" s="2142"/>
      <c r="C3" s="2142"/>
      <c r="D3" s="1"/>
      <c r="E3" s="526"/>
      <c r="F3" s="1"/>
      <c r="G3" s="1"/>
      <c r="H3" s="1"/>
      <c r="I3" s="1"/>
      <c r="J3" s="1"/>
      <c r="K3" s="1"/>
      <c r="L3" s="1"/>
      <c r="M3" s="1"/>
      <c r="N3" s="1"/>
      <c r="O3" s="1"/>
      <c r="P3" s="1"/>
      <c r="Q3" s="1"/>
    </row>
    <row r="4" spans="1:19" ht="4.1500000000000004" customHeight="1" x14ac:dyDescent="0.2">
      <c r="A4" s="347"/>
      <c r="B4" s="1"/>
      <c r="C4" s="1"/>
      <c r="D4" s="1"/>
      <c r="E4" s="698"/>
      <c r="F4" s="1"/>
      <c r="G4" s="1"/>
      <c r="H4" s="1"/>
      <c r="I4" s="1"/>
      <c r="J4" s="1"/>
      <c r="K4" s="1"/>
      <c r="L4" s="1"/>
      <c r="M4" s="1"/>
      <c r="N4" s="1"/>
      <c r="O4" s="1"/>
      <c r="P4" s="1"/>
      <c r="Q4" s="1"/>
    </row>
    <row r="5" spans="1:19" s="52" customFormat="1" ht="14.65" customHeight="1" x14ac:dyDescent="0.2">
      <c r="A5" s="1470" t="s">
        <v>782</v>
      </c>
      <c r="B5" s="45" t="str">
        <f>'1. T1 INVESTMENT PLAN'!B6</f>
        <v>Company name</v>
      </c>
      <c r="C5" s="45"/>
      <c r="D5" s="45"/>
      <c r="E5" s="45"/>
      <c r="F5" s="49"/>
      <c r="G5" s="49"/>
      <c r="H5" s="45"/>
      <c r="I5" s="45"/>
      <c r="J5" s="45"/>
      <c r="K5" s="45"/>
      <c r="L5" s="45"/>
      <c r="M5" s="45"/>
      <c r="N5" s="45"/>
      <c r="O5" s="45" t="str">
        <f>'1. T1 INVESTMENT PLAN'!F3</f>
        <v>Date</v>
      </c>
      <c r="P5" s="45"/>
      <c r="Q5" s="45"/>
    </row>
    <row r="6" spans="1:19" x14ac:dyDescent="0.2">
      <c r="B6" s="2145">
        <f>'1. T1 INVESTMENT PLAN'!B7:E7</f>
        <v>0</v>
      </c>
      <c r="C6" s="2145"/>
      <c r="D6" s="2145"/>
      <c r="E6" s="73"/>
      <c r="F6" s="1317"/>
      <c r="G6" s="1317"/>
      <c r="H6" s="558"/>
      <c r="I6" s="558"/>
      <c r="J6" s="2145"/>
      <c r="K6" s="2145"/>
      <c r="L6" s="2145"/>
      <c r="M6" s="2145"/>
      <c r="N6" s="788"/>
      <c r="O6" s="2148">
        <f>'1. T1 INVESTMENT PLAN'!F4</f>
        <v>0</v>
      </c>
      <c r="P6" s="2148"/>
      <c r="Q6" s="789"/>
    </row>
    <row r="7" spans="1:19" ht="9" customHeight="1" thickBot="1" x14ac:dyDescent="0.25">
      <c r="B7" s="1"/>
      <c r="C7" s="1"/>
      <c r="D7" s="1"/>
      <c r="E7" s="1"/>
      <c r="F7" s="1"/>
      <c r="G7" s="1"/>
      <c r="H7" s="1"/>
      <c r="I7" s="1"/>
      <c r="J7" s="1"/>
      <c r="K7" s="1"/>
      <c r="L7" s="1"/>
      <c r="M7" s="1"/>
      <c r="N7" s="1"/>
      <c r="O7" s="1"/>
      <c r="P7" s="1"/>
      <c r="Q7" s="1"/>
    </row>
    <row r="8" spans="1:19" s="53" customFormat="1" ht="24" customHeight="1" x14ac:dyDescent="0.2">
      <c r="A8"/>
      <c r="B8" s="2159" t="s">
        <v>493</v>
      </c>
      <c r="C8" s="2150" t="s">
        <v>494</v>
      </c>
      <c r="D8" s="2150" t="s">
        <v>800</v>
      </c>
      <c r="E8" s="2153" t="s">
        <v>798</v>
      </c>
      <c r="F8" s="2156" t="s">
        <v>796</v>
      </c>
      <c r="G8" s="2157"/>
      <c r="H8" s="2157"/>
      <c r="I8" s="2157"/>
      <c r="J8" s="2157"/>
      <c r="K8" s="2157"/>
      <c r="L8" s="2157"/>
      <c r="M8" s="2157"/>
      <c r="N8" s="2157"/>
      <c r="O8" s="2157"/>
      <c r="P8" s="2157"/>
      <c r="Q8" s="2158"/>
    </row>
    <row r="9" spans="1:19" s="53" customFormat="1" ht="12.75" customHeight="1" x14ac:dyDescent="0.2">
      <c r="B9" s="2160"/>
      <c r="C9" s="2151"/>
      <c r="D9" s="2151"/>
      <c r="E9" s="2154"/>
      <c r="F9" s="2143" t="str">
        <f>'1. T1 INVESTMENT PLAN'!E15</f>
        <v>Forecast 1</v>
      </c>
      <c r="G9" s="2144"/>
      <c r="H9" s="2144"/>
      <c r="I9" s="2143" t="str">
        <f>'1. T1 INVESTMENT PLAN'!F15</f>
        <v>Forecast 2</v>
      </c>
      <c r="J9" s="2144"/>
      <c r="K9" s="2144"/>
      <c r="L9" s="2143" t="str">
        <f>'1. T1 INVESTMENT PLAN'!G15</f>
        <v>Forecast 3</v>
      </c>
      <c r="M9" s="2144"/>
      <c r="N9" s="2147"/>
      <c r="O9" s="2144" t="str">
        <f>'1. T1 INVESTMENT PLAN'!H15</f>
        <v>Forecast 4</v>
      </c>
      <c r="P9" s="2144"/>
      <c r="Q9" s="2147"/>
    </row>
    <row r="10" spans="1:19" s="53" customFormat="1" ht="12.75" customHeight="1" thickBot="1" x14ac:dyDescent="0.25">
      <c r="B10" s="2160"/>
      <c r="C10" s="2151"/>
      <c r="D10" s="2151"/>
      <c r="E10" s="2154"/>
      <c r="F10" s="2143">
        <f>'1. T1 INVESTMENT PLAN'!E16</f>
        <v>2027</v>
      </c>
      <c r="G10" s="2144"/>
      <c r="H10" s="2144"/>
      <c r="I10" s="2143">
        <f>'1. T1 INVESTMENT PLAN'!F16</f>
        <v>2028</v>
      </c>
      <c r="J10" s="2144"/>
      <c r="K10" s="2144"/>
      <c r="L10" s="2143">
        <f>'1. T1 INVESTMENT PLAN'!G16</f>
        <v>2029</v>
      </c>
      <c r="M10" s="2144"/>
      <c r="N10" s="2147"/>
      <c r="O10" s="2146">
        <f>'1. T1 INVESTMENT PLAN'!H16</f>
        <v>2030</v>
      </c>
      <c r="P10" s="2144"/>
      <c r="Q10" s="2147"/>
    </row>
    <row r="11" spans="1:19" s="53" customFormat="1" ht="3" hidden="1" customHeight="1" thickBot="1" x14ac:dyDescent="0.25">
      <c r="B11" s="790"/>
      <c r="C11" s="2152"/>
      <c r="D11" s="2152"/>
      <c r="E11" s="2155"/>
      <c r="F11" s="369"/>
      <c r="G11" s="367"/>
      <c r="H11" s="370"/>
      <c r="I11" s="366"/>
      <c r="J11" s="367"/>
      <c r="K11" s="370"/>
      <c r="L11" s="366"/>
      <c r="M11" s="367"/>
      <c r="N11" s="370"/>
      <c r="O11" s="366"/>
      <c r="P11" s="367"/>
      <c r="Q11" s="368"/>
    </row>
    <row r="12" spans="1:19" s="53" customFormat="1" ht="16.149999999999999" customHeight="1" x14ac:dyDescent="0.2">
      <c r="B12" s="1162" t="s">
        <v>498</v>
      </c>
      <c r="C12" s="1163"/>
      <c r="D12" s="1164"/>
      <c r="E12" s="1164"/>
      <c r="F12" s="1165" t="s">
        <v>797</v>
      </c>
      <c r="G12" s="1165" t="s">
        <v>871</v>
      </c>
      <c r="H12" s="1165" t="s">
        <v>799</v>
      </c>
      <c r="I12" s="1165" t="s">
        <v>797</v>
      </c>
      <c r="J12" s="1165" t="s">
        <v>871</v>
      </c>
      <c r="K12" s="1165" t="s">
        <v>799</v>
      </c>
      <c r="L12" s="1165" t="s">
        <v>797</v>
      </c>
      <c r="M12" s="1165" t="s">
        <v>871</v>
      </c>
      <c r="N12" s="1165" t="s">
        <v>799</v>
      </c>
      <c r="O12" s="1165" t="s">
        <v>797</v>
      </c>
      <c r="P12" s="1165" t="s">
        <v>871</v>
      </c>
      <c r="Q12" s="1165" t="s">
        <v>799</v>
      </c>
    </row>
    <row r="13" spans="1:19" s="53" customFormat="1" ht="12.75" customHeight="1" x14ac:dyDescent="0.2">
      <c r="B13" s="651"/>
      <c r="C13" s="577">
        <v>0</v>
      </c>
      <c r="D13" s="359">
        <v>0</v>
      </c>
      <c r="E13" s="836">
        <v>0</v>
      </c>
      <c r="F13" s="837">
        <f>C13</f>
        <v>0</v>
      </c>
      <c r="G13" s="838">
        <v>0</v>
      </c>
      <c r="H13" s="812">
        <f>'AT2 Lainat, alv'!P8</f>
        <v>0</v>
      </c>
      <c r="I13" s="818">
        <v>0</v>
      </c>
      <c r="J13" s="838">
        <f>G13</f>
        <v>0</v>
      </c>
      <c r="K13" s="812">
        <f>'AT2 Lainat, alv'!V8</f>
        <v>0</v>
      </c>
      <c r="L13" s="818">
        <v>0</v>
      </c>
      <c r="M13" s="838">
        <f>J13</f>
        <v>0</v>
      </c>
      <c r="N13" s="578">
        <f>'AT2 Lainat, alv'!AB8</f>
        <v>0</v>
      </c>
      <c r="O13" s="818">
        <v>0</v>
      </c>
      <c r="P13" s="838">
        <f>IF(D13&lt;4,0,M13)</f>
        <v>0</v>
      </c>
      <c r="Q13" s="578">
        <f>IF(D13&lt;4,0,'AT2 Lainat, alv'!AH8)</f>
        <v>0</v>
      </c>
      <c r="S13" s="98"/>
    </row>
    <row r="14" spans="1:19" s="53" customFormat="1" ht="12.75" customHeight="1" x14ac:dyDescent="0.2">
      <c r="B14" s="651">
        <v>0</v>
      </c>
      <c r="C14" s="577">
        <v>0</v>
      </c>
      <c r="D14" s="359">
        <v>0</v>
      </c>
      <c r="E14" s="836">
        <v>0</v>
      </c>
      <c r="F14" s="837">
        <f>C14</f>
        <v>0</v>
      </c>
      <c r="G14" s="838"/>
      <c r="H14" s="812">
        <f>'AT2 Lainat, alv'!P9</f>
        <v>0</v>
      </c>
      <c r="I14" s="818"/>
      <c r="J14" s="838">
        <f t="shared" ref="J14:J16" si="0">G14</f>
        <v>0</v>
      </c>
      <c r="K14" s="812">
        <f>'AT2 Lainat, alv'!V9</f>
        <v>0</v>
      </c>
      <c r="L14" s="818"/>
      <c r="M14" s="838">
        <f t="shared" ref="M14:M16" si="1">J14</f>
        <v>0</v>
      </c>
      <c r="N14" s="578">
        <f>'AT2 Lainat, alv'!AB9</f>
        <v>0</v>
      </c>
      <c r="O14" s="818"/>
      <c r="P14" s="838">
        <f t="shared" ref="P14:P16" si="2">IF(D14&lt;4,0,M14)</f>
        <v>0</v>
      </c>
      <c r="Q14" s="578">
        <f>IF(D14&lt;4,0,'AT2 Lainat, alv'!AH9)</f>
        <v>0</v>
      </c>
      <c r="S14" s="98"/>
    </row>
    <row r="15" spans="1:19" s="53" customFormat="1" ht="12.75" customHeight="1" x14ac:dyDescent="0.2">
      <c r="B15" s="651">
        <v>0</v>
      </c>
      <c r="C15" s="577">
        <v>0</v>
      </c>
      <c r="D15" s="359">
        <v>0</v>
      </c>
      <c r="E15" s="836">
        <v>0</v>
      </c>
      <c r="F15" s="837">
        <f>C15</f>
        <v>0</v>
      </c>
      <c r="G15" s="838">
        <v>0</v>
      </c>
      <c r="H15" s="812">
        <f>'AT2 Lainat, alv'!P10</f>
        <v>0</v>
      </c>
      <c r="I15" s="818"/>
      <c r="J15" s="838">
        <f t="shared" si="0"/>
        <v>0</v>
      </c>
      <c r="K15" s="812">
        <f>'AT2 Lainat, alv'!V10</f>
        <v>0</v>
      </c>
      <c r="L15" s="818"/>
      <c r="M15" s="838">
        <f t="shared" si="1"/>
        <v>0</v>
      </c>
      <c r="N15" s="578">
        <f>'AT2 Lainat, alv'!AB10</f>
        <v>0</v>
      </c>
      <c r="O15" s="818"/>
      <c r="P15" s="838">
        <f t="shared" si="2"/>
        <v>0</v>
      </c>
      <c r="Q15" s="578">
        <f>IF(D15&lt;4,0,'AT2 Lainat, alv'!AH10)</f>
        <v>0</v>
      </c>
      <c r="S15" s="98"/>
    </row>
    <row r="16" spans="1:19" s="53" customFormat="1" ht="12.75" customHeight="1" thickBot="1" x14ac:dyDescent="0.25">
      <c r="B16" s="693">
        <v>0</v>
      </c>
      <c r="C16" s="839">
        <v>0</v>
      </c>
      <c r="D16" s="539">
        <v>0</v>
      </c>
      <c r="E16" s="840">
        <v>0</v>
      </c>
      <c r="F16" s="837">
        <f>C16</f>
        <v>0</v>
      </c>
      <c r="G16" s="842">
        <v>0</v>
      </c>
      <c r="H16" s="843">
        <f>'AT2 Lainat, alv'!P11</f>
        <v>0</v>
      </c>
      <c r="I16" s="844"/>
      <c r="J16" s="838">
        <f t="shared" si="0"/>
        <v>0</v>
      </c>
      <c r="K16" s="843">
        <f>'AT2 Lainat, alv'!V11</f>
        <v>0</v>
      </c>
      <c r="L16" s="844"/>
      <c r="M16" s="838">
        <f t="shared" si="1"/>
        <v>0</v>
      </c>
      <c r="N16" s="796">
        <f>'AT2 Lainat, alv'!AB11</f>
        <v>0</v>
      </c>
      <c r="O16" s="844"/>
      <c r="P16" s="838">
        <f t="shared" si="2"/>
        <v>0</v>
      </c>
      <c r="Q16" s="578">
        <f>IF(D16&lt;4,0,'AT2 Lainat, alv'!AH11)</f>
        <v>0</v>
      </c>
      <c r="S16" s="98"/>
    </row>
    <row r="17" spans="2:19" s="53" customFormat="1" ht="16.149999999999999" customHeight="1" x14ac:dyDescent="0.2">
      <c r="B17" s="1162" t="s">
        <v>495</v>
      </c>
      <c r="C17" s="1163"/>
      <c r="D17" s="1164"/>
      <c r="E17" s="1164"/>
      <c r="F17" s="1165" t="str">
        <f t="shared" ref="F17:Q17" si="3">F12</f>
        <v xml:space="preserve">Withdrawal </v>
      </c>
      <c r="G17" s="1165" t="str">
        <f t="shared" si="3"/>
        <v>Instalment</v>
      </c>
      <c r="H17" s="1165" t="str">
        <f t="shared" si="3"/>
        <v xml:space="preserve">Interest </v>
      </c>
      <c r="I17" s="1165" t="str">
        <f t="shared" si="3"/>
        <v xml:space="preserve">Withdrawal </v>
      </c>
      <c r="J17" s="1165" t="str">
        <f t="shared" si="3"/>
        <v>Instalment</v>
      </c>
      <c r="K17" s="1165" t="str">
        <f t="shared" si="3"/>
        <v xml:space="preserve">Interest </v>
      </c>
      <c r="L17" s="1165" t="str">
        <f t="shared" si="3"/>
        <v xml:space="preserve">Withdrawal </v>
      </c>
      <c r="M17" s="1165" t="str">
        <f t="shared" si="3"/>
        <v>Instalment</v>
      </c>
      <c r="N17" s="1165" t="str">
        <f t="shared" si="3"/>
        <v xml:space="preserve">Interest </v>
      </c>
      <c r="O17" s="1165" t="str">
        <f t="shared" si="3"/>
        <v xml:space="preserve">Withdrawal </v>
      </c>
      <c r="P17" s="1165" t="str">
        <f t="shared" si="3"/>
        <v>Instalment</v>
      </c>
      <c r="Q17" s="1165" t="str">
        <f t="shared" si="3"/>
        <v xml:space="preserve">Interest </v>
      </c>
    </row>
    <row r="18" spans="2:19" s="53" customFormat="1" ht="12.75" customHeight="1" x14ac:dyDescent="0.2">
      <c r="B18" s="538">
        <v>0</v>
      </c>
      <c r="C18" s="577">
        <v>0</v>
      </c>
      <c r="D18" s="359">
        <v>0</v>
      </c>
      <c r="E18" s="836">
        <v>0</v>
      </c>
      <c r="F18" s="818"/>
      <c r="G18" s="814"/>
      <c r="H18" s="812"/>
      <c r="I18" s="837">
        <f>C18</f>
        <v>0</v>
      </c>
      <c r="J18" s="838">
        <v>0</v>
      </c>
      <c r="K18" s="812">
        <f>'AT2 Lainat, alv'!V12</f>
        <v>0</v>
      </c>
      <c r="L18" s="818"/>
      <c r="M18" s="838">
        <f>J18</f>
        <v>0</v>
      </c>
      <c r="N18" s="578">
        <f>'AT2 Lainat, alv'!AB12</f>
        <v>0</v>
      </c>
      <c r="O18" s="818"/>
      <c r="P18" s="838">
        <f>M18</f>
        <v>0</v>
      </c>
      <c r="Q18" s="578">
        <f>'AT2 Lainat, alv'!AH12</f>
        <v>0</v>
      </c>
      <c r="S18" s="98"/>
    </row>
    <row r="19" spans="2:19" s="53" customFormat="1" ht="12.75" customHeight="1" x14ac:dyDescent="0.2">
      <c r="B19" s="360">
        <v>0</v>
      </c>
      <c r="C19" s="577">
        <v>0</v>
      </c>
      <c r="D19" s="359">
        <v>0</v>
      </c>
      <c r="E19" s="836">
        <v>0</v>
      </c>
      <c r="F19" s="818"/>
      <c r="G19" s="814"/>
      <c r="H19" s="812"/>
      <c r="I19" s="837">
        <f>C19</f>
        <v>0</v>
      </c>
      <c r="J19" s="838">
        <v>0</v>
      </c>
      <c r="K19" s="812">
        <f>'AT2 Lainat, alv'!V13</f>
        <v>0</v>
      </c>
      <c r="L19" s="818"/>
      <c r="M19" s="838">
        <f t="shared" ref="M19:M21" si="4">J19</f>
        <v>0</v>
      </c>
      <c r="N19" s="578">
        <f>'AT2 Lainat, alv'!AB13</f>
        <v>0</v>
      </c>
      <c r="O19" s="818"/>
      <c r="P19" s="838">
        <f t="shared" ref="P19:P21" si="5">M19</f>
        <v>0</v>
      </c>
      <c r="Q19" s="578">
        <f>'AT2 Lainat, alv'!AH13</f>
        <v>0</v>
      </c>
      <c r="S19" s="98"/>
    </row>
    <row r="20" spans="2:19" s="53" customFormat="1" ht="12.75" customHeight="1" x14ac:dyDescent="0.2">
      <c r="B20" s="360">
        <v>0</v>
      </c>
      <c r="C20" s="577">
        <v>0</v>
      </c>
      <c r="D20" s="359">
        <v>0</v>
      </c>
      <c r="E20" s="836">
        <v>0</v>
      </c>
      <c r="F20" s="818"/>
      <c r="G20" s="814"/>
      <c r="H20" s="812"/>
      <c r="I20" s="837">
        <f>C20</f>
        <v>0</v>
      </c>
      <c r="J20" s="838">
        <v>0</v>
      </c>
      <c r="K20" s="812">
        <f>'AT2 Lainat, alv'!V14</f>
        <v>0</v>
      </c>
      <c r="L20" s="818"/>
      <c r="M20" s="838">
        <f t="shared" si="4"/>
        <v>0</v>
      </c>
      <c r="N20" s="578">
        <f>'AT2 Lainat, alv'!AB14</f>
        <v>0</v>
      </c>
      <c r="O20" s="818"/>
      <c r="P20" s="838">
        <f t="shared" si="5"/>
        <v>0</v>
      </c>
      <c r="Q20" s="578">
        <f>'AT2 Lainat, alv'!AH14</f>
        <v>0</v>
      </c>
      <c r="S20" s="98"/>
    </row>
    <row r="21" spans="2:19" s="53" customFormat="1" ht="12.75" customHeight="1" thickBot="1" x14ac:dyDescent="0.25">
      <c r="B21" s="540">
        <v>0</v>
      </c>
      <c r="C21" s="839">
        <v>0</v>
      </c>
      <c r="D21" s="539">
        <v>0</v>
      </c>
      <c r="E21" s="840">
        <v>0</v>
      </c>
      <c r="F21" s="844"/>
      <c r="G21" s="845"/>
      <c r="H21" s="843"/>
      <c r="I21" s="837">
        <f>C21</f>
        <v>0</v>
      </c>
      <c r="J21" s="842">
        <v>0</v>
      </c>
      <c r="K21" s="843">
        <f>'AT2 Lainat, alv'!V15</f>
        <v>0</v>
      </c>
      <c r="L21" s="844"/>
      <c r="M21" s="838">
        <f t="shared" si="4"/>
        <v>0</v>
      </c>
      <c r="N21" s="796">
        <f>'AT2 Lainat, alv'!AB15</f>
        <v>0</v>
      </c>
      <c r="O21" s="844"/>
      <c r="P21" s="838">
        <f t="shared" si="5"/>
        <v>0</v>
      </c>
      <c r="Q21" s="796">
        <f>'AT2 Lainat, alv'!AH15</f>
        <v>0</v>
      </c>
      <c r="S21" s="98"/>
    </row>
    <row r="22" spans="2:19" s="53" customFormat="1" ht="16.149999999999999" customHeight="1" x14ac:dyDescent="0.2">
      <c r="B22" s="1162" t="s">
        <v>496</v>
      </c>
      <c r="C22" s="1163"/>
      <c r="D22" s="1164"/>
      <c r="E22" s="1164"/>
      <c r="F22" s="1165" t="str">
        <f t="shared" ref="F22:Q22" si="6">F17</f>
        <v xml:space="preserve">Withdrawal </v>
      </c>
      <c r="G22" s="1165" t="str">
        <f t="shared" si="6"/>
        <v>Instalment</v>
      </c>
      <c r="H22" s="1165" t="str">
        <f t="shared" si="6"/>
        <v xml:space="preserve">Interest </v>
      </c>
      <c r="I22" s="1165" t="str">
        <f t="shared" si="6"/>
        <v xml:space="preserve">Withdrawal </v>
      </c>
      <c r="J22" s="1165" t="str">
        <f t="shared" si="6"/>
        <v>Instalment</v>
      </c>
      <c r="K22" s="1165" t="str">
        <f t="shared" si="6"/>
        <v xml:space="preserve">Interest </v>
      </c>
      <c r="L22" s="1165" t="str">
        <f t="shared" si="6"/>
        <v xml:space="preserve">Withdrawal </v>
      </c>
      <c r="M22" s="1165" t="str">
        <f t="shared" si="6"/>
        <v>Instalment</v>
      </c>
      <c r="N22" s="1165" t="str">
        <f t="shared" si="6"/>
        <v xml:space="preserve">Interest </v>
      </c>
      <c r="O22" s="1165" t="str">
        <f t="shared" si="6"/>
        <v xml:space="preserve">Withdrawal </v>
      </c>
      <c r="P22" s="1165" t="str">
        <f t="shared" si="6"/>
        <v>Instalment</v>
      </c>
      <c r="Q22" s="1165" t="str">
        <f t="shared" si="6"/>
        <v xml:space="preserve">Interest </v>
      </c>
    </row>
    <row r="23" spans="2:19" s="53" customFormat="1" ht="12.75" customHeight="1" x14ac:dyDescent="0.2">
      <c r="B23" s="538">
        <v>0</v>
      </c>
      <c r="C23" s="577">
        <v>0</v>
      </c>
      <c r="D23" s="359">
        <v>0</v>
      </c>
      <c r="E23" s="836">
        <v>0</v>
      </c>
      <c r="F23" s="818"/>
      <c r="G23" s="814"/>
      <c r="H23" s="812"/>
      <c r="I23" s="818">
        <v>0</v>
      </c>
      <c r="J23" s="814"/>
      <c r="K23" s="812"/>
      <c r="L23" s="837">
        <f>C23</f>
        <v>0</v>
      </c>
      <c r="M23" s="838">
        <v>0</v>
      </c>
      <c r="N23" s="578">
        <f>'AT2 Lainat, alv'!AB16</f>
        <v>0</v>
      </c>
      <c r="O23" s="818"/>
      <c r="P23" s="838">
        <f>M23</f>
        <v>0</v>
      </c>
      <c r="Q23" s="578">
        <f>'AT2 Lainat, alv'!AH16</f>
        <v>0</v>
      </c>
      <c r="S23" s="98"/>
    </row>
    <row r="24" spans="2:19" s="53" customFormat="1" ht="12.75" customHeight="1" x14ac:dyDescent="0.2">
      <c r="B24" s="651">
        <v>0</v>
      </c>
      <c r="C24" s="577">
        <v>0</v>
      </c>
      <c r="D24" s="359">
        <v>0</v>
      </c>
      <c r="E24" s="836">
        <v>0</v>
      </c>
      <c r="F24" s="818"/>
      <c r="G24" s="814"/>
      <c r="H24" s="812"/>
      <c r="I24" s="818"/>
      <c r="J24" s="814"/>
      <c r="K24" s="812"/>
      <c r="L24" s="837">
        <f>C24</f>
        <v>0</v>
      </c>
      <c r="M24" s="838">
        <v>0</v>
      </c>
      <c r="N24" s="578">
        <f>'AT2 Lainat, alv'!AB17</f>
        <v>0</v>
      </c>
      <c r="O24" s="818"/>
      <c r="P24" s="838">
        <f t="shared" ref="P24:P26" si="7">M24</f>
        <v>0</v>
      </c>
      <c r="Q24" s="578">
        <f>'AT2 Lainat, alv'!AH17</f>
        <v>0</v>
      </c>
      <c r="S24" s="98"/>
    </row>
    <row r="25" spans="2:19" s="53" customFormat="1" ht="12.75" customHeight="1" x14ac:dyDescent="0.2">
      <c r="B25" s="651">
        <v>0</v>
      </c>
      <c r="C25" s="577">
        <v>0</v>
      </c>
      <c r="D25" s="359">
        <v>0</v>
      </c>
      <c r="E25" s="836">
        <v>0</v>
      </c>
      <c r="F25" s="818">
        <v>0</v>
      </c>
      <c r="G25" s="846"/>
      <c r="H25" s="847"/>
      <c r="I25" s="818"/>
      <c r="J25" s="814"/>
      <c r="K25" s="812"/>
      <c r="L25" s="837">
        <f>C25</f>
        <v>0</v>
      </c>
      <c r="M25" s="838">
        <v>0</v>
      </c>
      <c r="N25" s="578">
        <f>'AT2 Lainat, alv'!AB18</f>
        <v>0</v>
      </c>
      <c r="O25" s="818">
        <v>0</v>
      </c>
      <c r="P25" s="838">
        <f t="shared" si="7"/>
        <v>0</v>
      </c>
      <c r="Q25" s="578">
        <f>'AT2 Lainat, alv'!AH18</f>
        <v>0</v>
      </c>
      <c r="S25" s="98"/>
    </row>
    <row r="26" spans="2:19" s="53" customFormat="1" ht="12.75" customHeight="1" thickBot="1" x14ac:dyDescent="0.25">
      <c r="B26" s="693">
        <v>0</v>
      </c>
      <c r="C26" s="839">
        <v>0</v>
      </c>
      <c r="D26" s="539">
        <v>0</v>
      </c>
      <c r="E26" s="840">
        <v>0</v>
      </c>
      <c r="F26" s="844"/>
      <c r="G26" s="848"/>
      <c r="H26" s="849"/>
      <c r="I26" s="844"/>
      <c r="J26" s="845"/>
      <c r="K26" s="843"/>
      <c r="L26" s="841">
        <f>C26</f>
        <v>0</v>
      </c>
      <c r="M26" s="842">
        <v>0</v>
      </c>
      <c r="N26" s="796">
        <f>'AT2 Lainat, alv'!AB19</f>
        <v>0</v>
      </c>
      <c r="O26" s="844"/>
      <c r="P26" s="838">
        <f t="shared" si="7"/>
        <v>0</v>
      </c>
      <c r="Q26" s="796">
        <f>'AT2 Lainat, alv'!AH19</f>
        <v>0</v>
      </c>
      <c r="S26" s="98"/>
    </row>
    <row r="27" spans="2:19" s="53" customFormat="1" ht="16.149999999999999" customHeight="1" x14ac:dyDescent="0.2">
      <c r="B27" s="1162" t="s">
        <v>497</v>
      </c>
      <c r="C27" s="1163"/>
      <c r="D27" s="1164"/>
      <c r="E27" s="1164"/>
      <c r="F27" s="1165" t="str">
        <f t="shared" ref="F27:Q27" si="8">F22</f>
        <v xml:space="preserve">Withdrawal </v>
      </c>
      <c r="G27" s="1165" t="str">
        <f t="shared" si="8"/>
        <v>Instalment</v>
      </c>
      <c r="H27" s="1165" t="str">
        <f t="shared" si="8"/>
        <v xml:space="preserve">Interest </v>
      </c>
      <c r="I27" s="1165" t="str">
        <f t="shared" si="8"/>
        <v xml:space="preserve">Withdrawal </v>
      </c>
      <c r="J27" s="1165" t="str">
        <f t="shared" si="8"/>
        <v>Instalment</v>
      </c>
      <c r="K27" s="1165" t="str">
        <f t="shared" si="8"/>
        <v xml:space="preserve">Interest </v>
      </c>
      <c r="L27" s="1165" t="str">
        <f t="shared" si="8"/>
        <v xml:space="preserve">Withdrawal </v>
      </c>
      <c r="M27" s="1165" t="str">
        <f t="shared" si="8"/>
        <v>Instalment</v>
      </c>
      <c r="N27" s="1165" t="str">
        <f t="shared" si="8"/>
        <v xml:space="preserve">Interest </v>
      </c>
      <c r="O27" s="1165" t="str">
        <f t="shared" si="8"/>
        <v xml:space="preserve">Withdrawal </v>
      </c>
      <c r="P27" s="1165" t="str">
        <f t="shared" si="8"/>
        <v>Instalment</v>
      </c>
      <c r="Q27" s="1165" t="str">
        <f t="shared" si="8"/>
        <v xml:space="preserve">Interest </v>
      </c>
    </row>
    <row r="28" spans="2:19" s="53" customFormat="1" ht="12.75" customHeight="1" x14ac:dyDescent="0.2">
      <c r="B28" s="538">
        <v>0</v>
      </c>
      <c r="C28" s="577">
        <v>0</v>
      </c>
      <c r="D28" s="359">
        <v>0</v>
      </c>
      <c r="E28" s="836">
        <v>0</v>
      </c>
      <c r="F28" s="818">
        <v>0</v>
      </c>
      <c r="G28" s="846"/>
      <c r="H28" s="847"/>
      <c r="I28" s="818">
        <v>0</v>
      </c>
      <c r="J28" s="846">
        <v>0</v>
      </c>
      <c r="K28" s="812"/>
      <c r="L28" s="818">
        <v>0</v>
      </c>
      <c r="M28" s="814"/>
      <c r="N28" s="578"/>
      <c r="O28" s="837">
        <f>C28</f>
        <v>0</v>
      </c>
      <c r="P28" s="838">
        <v>0</v>
      </c>
      <c r="Q28" s="578">
        <f>'AT2 Lainat, alv'!AH20</f>
        <v>0</v>
      </c>
      <c r="S28" s="98"/>
    </row>
    <row r="29" spans="2:19" s="53" customFormat="1" ht="12.75" customHeight="1" x14ac:dyDescent="0.2">
      <c r="B29" s="651">
        <v>0</v>
      </c>
      <c r="C29" s="577">
        <v>0</v>
      </c>
      <c r="D29" s="359">
        <v>0</v>
      </c>
      <c r="E29" s="836">
        <v>0</v>
      </c>
      <c r="F29" s="818"/>
      <c r="G29" s="846"/>
      <c r="H29" s="847"/>
      <c r="I29" s="818"/>
      <c r="J29" s="846"/>
      <c r="K29" s="812"/>
      <c r="L29" s="818"/>
      <c r="M29" s="814"/>
      <c r="N29" s="578"/>
      <c r="O29" s="837">
        <f>C29</f>
        <v>0</v>
      </c>
      <c r="P29" s="838">
        <v>0</v>
      </c>
      <c r="Q29" s="578">
        <f>'AT2 Lainat, alv'!AH21</f>
        <v>0</v>
      </c>
      <c r="S29" s="98"/>
    </row>
    <row r="30" spans="2:19" s="53" customFormat="1" ht="12.75" customHeight="1" x14ac:dyDescent="0.2">
      <c r="B30" s="651">
        <v>0</v>
      </c>
      <c r="C30" s="577">
        <v>0</v>
      </c>
      <c r="D30" s="359">
        <v>0</v>
      </c>
      <c r="E30" s="836">
        <v>0</v>
      </c>
      <c r="F30" s="850"/>
      <c r="G30" s="178"/>
      <c r="H30" s="851"/>
      <c r="I30" s="850"/>
      <c r="J30" s="178"/>
      <c r="K30" s="852"/>
      <c r="L30" s="850"/>
      <c r="M30" s="691"/>
      <c r="N30" s="853"/>
      <c r="O30" s="837">
        <f>C30</f>
        <v>0</v>
      </c>
      <c r="P30" s="1782">
        <v>0</v>
      </c>
      <c r="Q30" s="578">
        <f>'AT2 Lainat, alv'!AH22</f>
        <v>0</v>
      </c>
      <c r="S30" s="98"/>
    </row>
    <row r="31" spans="2:19" s="53" customFormat="1" ht="12.75" customHeight="1" thickBot="1" x14ac:dyDescent="0.25">
      <c r="B31" s="399">
        <v>0</v>
      </c>
      <c r="C31" s="854">
        <v>0</v>
      </c>
      <c r="D31" s="361">
        <v>0</v>
      </c>
      <c r="E31" s="855">
        <v>0</v>
      </c>
      <c r="F31" s="856">
        <v>0</v>
      </c>
      <c r="G31" s="857"/>
      <c r="H31" s="858"/>
      <c r="I31" s="856">
        <v>0</v>
      </c>
      <c r="J31" s="857"/>
      <c r="K31" s="859"/>
      <c r="L31" s="856">
        <v>0</v>
      </c>
      <c r="M31" s="857"/>
      <c r="N31" s="860"/>
      <c r="O31" s="861">
        <f>C31</f>
        <v>0</v>
      </c>
      <c r="P31" s="862">
        <v>0</v>
      </c>
      <c r="Q31" s="860">
        <f>'AT2 Lainat, alv'!AH23</f>
        <v>0</v>
      </c>
      <c r="S31" s="98"/>
    </row>
    <row r="32" spans="2:19" s="53" customFormat="1" ht="17.100000000000001" customHeight="1" thickTop="1" thickBot="1" x14ac:dyDescent="0.25">
      <c r="B32" s="1818" t="s">
        <v>504</v>
      </c>
      <c r="C32" s="863">
        <f>SUM(C13:C31)</f>
        <v>0</v>
      </c>
      <c r="D32" s="864"/>
      <c r="E32" s="864"/>
      <c r="F32" s="865">
        <f t="shared" ref="F32:Q32" si="9">SUM(F13:F31)</f>
        <v>0</v>
      </c>
      <c r="G32" s="863">
        <f t="shared" si="9"/>
        <v>0</v>
      </c>
      <c r="H32" s="866">
        <f t="shared" si="9"/>
        <v>0</v>
      </c>
      <c r="I32" s="865">
        <f t="shared" si="9"/>
        <v>0</v>
      </c>
      <c r="J32" s="866">
        <f t="shared" si="9"/>
        <v>0</v>
      </c>
      <c r="K32" s="867">
        <f t="shared" si="9"/>
        <v>0</v>
      </c>
      <c r="L32" s="865">
        <f t="shared" si="9"/>
        <v>0</v>
      </c>
      <c r="M32" s="863">
        <f t="shared" si="9"/>
        <v>0</v>
      </c>
      <c r="N32" s="868">
        <f t="shared" si="9"/>
        <v>0</v>
      </c>
      <c r="O32" s="869">
        <f t="shared" si="9"/>
        <v>0</v>
      </c>
      <c r="P32" s="863">
        <f>SUM(P13:P31)</f>
        <v>0</v>
      </c>
      <c r="Q32" s="868">
        <f t="shared" si="9"/>
        <v>0</v>
      </c>
    </row>
    <row r="33" spans="1:19" s="53" customFormat="1" ht="16.149999999999999" customHeight="1" thickBot="1" x14ac:dyDescent="0.25">
      <c r="B33" s="1783" t="s">
        <v>863</v>
      </c>
      <c r="C33" s="1784"/>
      <c r="D33" s="1785"/>
      <c r="E33" s="1785"/>
      <c r="F33" s="989"/>
      <c r="G33" s="989"/>
      <c r="H33" s="989"/>
      <c r="I33" s="989"/>
      <c r="J33" s="989"/>
      <c r="K33" s="989"/>
      <c r="L33" s="989"/>
      <c r="M33" s="989"/>
      <c r="N33" s="989"/>
      <c r="O33" s="989"/>
      <c r="P33" s="989"/>
      <c r="Q33" s="989"/>
    </row>
    <row r="34" spans="1:19" s="53" customFormat="1" ht="12.75" customHeight="1" x14ac:dyDescent="0.2">
      <c r="B34" s="1792" t="s">
        <v>882</v>
      </c>
      <c r="C34" s="1658">
        <v>0</v>
      </c>
      <c r="D34" s="1793">
        <v>0</v>
      </c>
      <c r="E34" s="1794">
        <v>0</v>
      </c>
      <c r="F34" s="1795">
        <f>C34</f>
        <v>0</v>
      </c>
      <c r="G34" s="1796">
        <f>'AT2 Lainat, alv'!M29</f>
        <v>0</v>
      </c>
      <c r="H34" s="1797">
        <f>'AT2 Lainat, alv'!P29</f>
        <v>0</v>
      </c>
      <c r="I34" s="1798"/>
      <c r="J34" s="1799">
        <f>'AT2 Lainat, alv'!S29</f>
        <v>0</v>
      </c>
      <c r="K34" s="1800">
        <f>'AT2 Lainat, alv'!V29</f>
        <v>0</v>
      </c>
      <c r="L34" s="1801"/>
      <c r="M34" s="1799">
        <f>'AT2 Lainat, alv'!Y29</f>
        <v>0</v>
      </c>
      <c r="N34" s="1802">
        <f>'AT2 Lainat, alv'!AB29</f>
        <v>0</v>
      </c>
      <c r="O34" s="1734"/>
      <c r="P34" s="1799">
        <f>'AT2 Lainat, alv'!AE29</f>
        <v>0</v>
      </c>
      <c r="Q34" s="1802">
        <f>'AT2 Lainat, alv'!AH29</f>
        <v>0</v>
      </c>
      <c r="S34" s="98"/>
    </row>
    <row r="35" spans="1:19" s="53" customFormat="1" ht="12.75" customHeight="1" x14ac:dyDescent="0.2">
      <c r="B35" s="362" t="s">
        <v>883</v>
      </c>
      <c r="C35" s="573">
        <v>0</v>
      </c>
      <c r="D35" s="357">
        <v>0</v>
      </c>
      <c r="E35" s="873">
        <v>0</v>
      </c>
      <c r="F35" s="874"/>
      <c r="G35" s="875"/>
      <c r="H35" s="876"/>
      <c r="I35" s="837">
        <f>C35</f>
        <v>0</v>
      </c>
      <c r="J35" s="870">
        <f>'AT2 Lainat, alv'!S32</f>
        <v>0</v>
      </c>
      <c r="K35" s="578">
        <f>'AT2 Lainat, alv'!V32</f>
        <v>0</v>
      </c>
      <c r="L35" s="871">
        <v>0</v>
      </c>
      <c r="M35" s="870">
        <f>'AT2 Lainat, alv'!Y32</f>
        <v>0</v>
      </c>
      <c r="N35" s="578">
        <f>'AT2 Lainat, alv'!AB32</f>
        <v>0</v>
      </c>
      <c r="O35" s="872">
        <v>0</v>
      </c>
      <c r="P35" s="870">
        <f>IF(I35=0,0,'AT2 Lainat, alv'!AE32)</f>
        <v>0</v>
      </c>
      <c r="Q35" s="578">
        <f>'AT2 Lainat, alv'!AH32</f>
        <v>0</v>
      </c>
      <c r="S35" s="98"/>
    </row>
    <row r="36" spans="1:19" s="53" customFormat="1" ht="12.75" customHeight="1" x14ac:dyDescent="0.2">
      <c r="B36" s="362" t="s">
        <v>884</v>
      </c>
      <c r="C36" s="573">
        <v>0</v>
      </c>
      <c r="D36" s="357">
        <v>0</v>
      </c>
      <c r="E36" s="873">
        <v>0</v>
      </c>
      <c r="F36" s="822"/>
      <c r="G36" s="877"/>
      <c r="H36" s="815"/>
      <c r="I36" s="822"/>
      <c r="J36" s="878"/>
      <c r="K36" s="879"/>
      <c r="L36" s="880">
        <f>C36</f>
        <v>0</v>
      </c>
      <c r="M36" s="881">
        <f>'AT2 Lainat, alv'!Y35</f>
        <v>0</v>
      </c>
      <c r="N36" s="575">
        <f>'AT2 Lainat, alv'!AB35</f>
        <v>0</v>
      </c>
      <c r="O36" s="882">
        <v>0</v>
      </c>
      <c r="P36" s="870">
        <f>IF(L36=0,0,'AT2 Lainat, alv'!AE35)</f>
        <v>0</v>
      </c>
      <c r="Q36" s="578">
        <f>'AT2 Lainat, alv'!AH35</f>
        <v>0</v>
      </c>
      <c r="S36" s="98"/>
    </row>
    <row r="37" spans="1:19" s="53" customFormat="1" ht="12.75" customHeight="1" thickBot="1" x14ac:dyDescent="0.25">
      <c r="A37" s="73"/>
      <c r="B37" s="363" t="s">
        <v>885</v>
      </c>
      <c r="C37" s="854">
        <v>0</v>
      </c>
      <c r="D37" s="361">
        <v>0</v>
      </c>
      <c r="E37" s="1839">
        <v>0</v>
      </c>
      <c r="F37" s="883"/>
      <c r="G37" s="884"/>
      <c r="H37" s="885"/>
      <c r="I37" s="886"/>
      <c r="J37" s="887"/>
      <c r="K37" s="888"/>
      <c r="L37" s="889"/>
      <c r="M37" s="890"/>
      <c r="N37" s="860"/>
      <c r="O37" s="861">
        <f>C37</f>
        <v>0</v>
      </c>
      <c r="P37" s="890">
        <f>IF(O37=0,0,'AT2 Lainat, alv'!AE38)</f>
        <v>0</v>
      </c>
      <c r="Q37" s="860">
        <f>'AT2 Lainat, alv'!AH38</f>
        <v>0</v>
      </c>
      <c r="S37" s="98"/>
    </row>
    <row r="38" spans="1:19" s="53" customFormat="1" ht="15" customHeight="1" thickTop="1" thickBot="1" x14ac:dyDescent="0.25">
      <c r="B38" s="364" t="s">
        <v>864</v>
      </c>
      <c r="C38" s="891">
        <f>SUM(C34:C37)</f>
        <v>0</v>
      </c>
      <c r="D38" s="572"/>
      <c r="E38" s="892"/>
      <c r="F38" s="893">
        <f t="shared" ref="F38:Q38" si="10">SUM(F34:F37)</f>
        <v>0</v>
      </c>
      <c r="G38" s="891">
        <f t="shared" si="10"/>
        <v>0</v>
      </c>
      <c r="H38" s="894">
        <f t="shared" si="10"/>
        <v>0</v>
      </c>
      <c r="I38" s="893">
        <f t="shared" si="10"/>
        <v>0</v>
      </c>
      <c r="J38" s="891">
        <f t="shared" si="10"/>
        <v>0</v>
      </c>
      <c r="K38" s="894">
        <f t="shared" si="10"/>
        <v>0</v>
      </c>
      <c r="L38" s="893">
        <f t="shared" si="10"/>
        <v>0</v>
      </c>
      <c r="M38" s="891">
        <f t="shared" si="10"/>
        <v>0</v>
      </c>
      <c r="N38" s="894">
        <f t="shared" si="10"/>
        <v>0</v>
      </c>
      <c r="O38" s="893">
        <f t="shared" si="10"/>
        <v>0</v>
      </c>
      <c r="P38" s="895">
        <f t="shared" si="10"/>
        <v>0</v>
      </c>
      <c r="Q38" s="896">
        <f t="shared" si="10"/>
        <v>0</v>
      </c>
    </row>
    <row r="39" spans="1:19" s="53" customFormat="1" ht="4.3499999999999996" customHeight="1" thickBot="1" x14ac:dyDescent="0.25">
      <c r="B39" s="190"/>
      <c r="C39" s="989"/>
      <c r="D39" s="496"/>
      <c r="E39" s="496"/>
      <c r="F39" s="989"/>
      <c r="G39" s="989"/>
      <c r="H39" s="989"/>
      <c r="I39" s="989"/>
      <c r="J39" s="989"/>
      <c r="K39" s="989"/>
      <c r="L39" s="989"/>
      <c r="M39" s="989"/>
      <c r="N39" s="989"/>
      <c r="O39" s="989"/>
      <c r="P39" s="989"/>
      <c r="Q39" s="989"/>
    </row>
    <row r="40" spans="1:19" s="73" customFormat="1" ht="15" customHeight="1" thickBot="1" x14ac:dyDescent="0.25">
      <c r="B40" s="520" t="s">
        <v>499</v>
      </c>
      <c r="C40" s="897"/>
      <c r="D40" s="898"/>
      <c r="E40" s="899">
        <v>0.1</v>
      </c>
      <c r="F40" s="900"/>
      <c r="G40" s="901"/>
      <c r="H40" s="1025">
        <f>C40*E40</f>
        <v>0</v>
      </c>
      <c r="I40" s="900"/>
      <c r="J40" s="901"/>
      <c r="K40" s="1025">
        <f>E40*'6. T3 BALANCE SHEET '!H77</f>
        <v>0</v>
      </c>
      <c r="L40" s="900"/>
      <c r="M40" s="901"/>
      <c r="N40" s="1025">
        <f>E40*'6. T3 BALANCE SHEET '!I77</f>
        <v>0</v>
      </c>
      <c r="O40" s="900"/>
      <c r="P40" s="901"/>
      <c r="Q40" s="1025">
        <f>E40*'6. T3 BALANCE SHEET '!J77</f>
        <v>0</v>
      </c>
    </row>
    <row r="41" spans="1:19" s="73" customFormat="1" ht="4.5" customHeight="1" thickBot="1" x14ac:dyDescent="0.25">
      <c r="A41"/>
      <c r="B41" s="190"/>
      <c r="C41" s="180"/>
      <c r="D41" s="496"/>
      <c r="E41" s="1786"/>
      <c r="F41" s="180"/>
      <c r="G41" s="180"/>
      <c r="H41" s="180"/>
      <c r="I41" s="180"/>
      <c r="J41" s="180"/>
      <c r="K41" s="180"/>
      <c r="L41" s="180"/>
      <c r="M41" s="180"/>
      <c r="N41" s="180"/>
      <c r="O41" s="180"/>
      <c r="P41" s="180"/>
      <c r="Q41" s="180"/>
    </row>
    <row r="42" spans="1:19" s="73" customFormat="1" ht="15" customHeight="1" thickBot="1" x14ac:dyDescent="0.25">
      <c r="B42" s="520" t="s">
        <v>500</v>
      </c>
      <c r="C42" s="903">
        <f>'1. T1 INVESTMENT PLAN'!E51</f>
        <v>0</v>
      </c>
      <c r="D42" s="898"/>
      <c r="E42" s="899">
        <v>0.1</v>
      </c>
      <c r="F42" s="900"/>
      <c r="G42" s="901"/>
      <c r="H42" s="1461">
        <f>C42*E42</f>
        <v>0</v>
      </c>
      <c r="I42" s="900"/>
      <c r="J42" s="901"/>
      <c r="K42" s="1461">
        <f>E42*('6. T3 BALANCE SHEET '!H69+'6. T3 BALANCE SHEET '!H78)</f>
        <v>0</v>
      </c>
      <c r="L42" s="900"/>
      <c r="M42" s="901"/>
      <c r="N42" s="1461">
        <f>E42*('6. T3 BALANCE SHEET '!I69+'6. T3 BALANCE SHEET '!I78)</f>
        <v>0</v>
      </c>
      <c r="O42" s="900"/>
      <c r="P42" s="901"/>
      <c r="Q42" s="1461">
        <f>E42*('6. T3 BALANCE SHEET '!J69+'6. T3 BALANCE SHEET '!J78)</f>
        <v>0</v>
      </c>
    </row>
    <row r="43" spans="1:19" s="73" customFormat="1" ht="4.5" customHeight="1" thickBot="1" x14ac:dyDescent="0.25">
      <c r="A43"/>
      <c r="B43" s="502"/>
      <c r="C43" s="180"/>
      <c r="D43" s="496"/>
      <c r="E43" s="1786"/>
      <c r="F43" s="180"/>
      <c r="G43" s="180"/>
      <c r="H43" s="180"/>
      <c r="I43" s="180"/>
      <c r="J43" s="180"/>
      <c r="K43" s="180"/>
      <c r="L43" s="180"/>
      <c r="M43" s="180"/>
      <c r="N43" s="180"/>
      <c r="O43" s="180"/>
      <c r="P43" s="180"/>
      <c r="Q43" s="180"/>
    </row>
    <row r="44" spans="1:19" s="521" customFormat="1" ht="24.6" customHeight="1" thickBot="1" x14ac:dyDescent="0.25">
      <c r="A44"/>
      <c r="B44" s="1806" t="s">
        <v>501</v>
      </c>
      <c r="C44" s="897">
        <v>0</v>
      </c>
      <c r="D44" s="898"/>
      <c r="E44" s="899">
        <v>0.1</v>
      </c>
      <c r="F44" s="900">
        <v>0</v>
      </c>
      <c r="G44" s="1789">
        <v>0</v>
      </c>
      <c r="H44" s="1025">
        <f>C44*E44/2+(C44-G44/2)*E44/2</f>
        <v>0</v>
      </c>
      <c r="I44" s="900"/>
      <c r="J44" s="1789">
        <f>G44</f>
        <v>0</v>
      </c>
      <c r="K44" s="1025">
        <f>$E44/2*(C44-G44)+(C44-G44-J44/2)*E44/2</f>
        <v>0</v>
      </c>
      <c r="L44" s="900"/>
      <c r="M44" s="1789">
        <f>J44</f>
        <v>0</v>
      </c>
      <c r="N44" s="1025">
        <f>$E44/2*(C44-G44-J44)+(C44-G44-J44-M44/2)*E44/2</f>
        <v>0</v>
      </c>
      <c r="O44" s="900"/>
      <c r="P44" s="1789">
        <f>M44</f>
        <v>0</v>
      </c>
      <c r="Q44" s="1025">
        <f>$E44/2*(C44-G44-J44-M44)+(C44-G44-J44-M44-P44/2)*E44/2</f>
        <v>0</v>
      </c>
      <c r="R44" s="1467"/>
    </row>
    <row r="45" spans="1:19" s="521" customFormat="1" ht="4.5" customHeight="1" thickBot="1" x14ac:dyDescent="0.25">
      <c r="A45" s="53"/>
      <c r="B45" s="1787"/>
      <c r="C45" s="1788"/>
      <c r="D45" s="1215"/>
      <c r="E45" s="1268"/>
      <c r="F45" s="1788"/>
      <c r="G45" s="1788"/>
      <c r="H45" s="1788"/>
      <c r="I45" s="1788"/>
      <c r="J45" s="1788"/>
      <c r="K45" s="1788"/>
      <c r="L45" s="1788"/>
      <c r="M45" s="1788"/>
      <c r="N45" s="1788"/>
      <c r="O45" s="1788"/>
      <c r="P45" s="1788"/>
      <c r="Q45" s="1788"/>
    </row>
    <row r="46" spans="1:19" s="73" customFormat="1" ht="15" customHeight="1" thickBot="1" x14ac:dyDescent="0.25">
      <c r="A46"/>
      <c r="B46" s="2161" t="s">
        <v>502</v>
      </c>
      <c r="C46" s="2162"/>
      <c r="D46" s="1790"/>
      <c r="E46" s="905"/>
      <c r="F46" s="900"/>
      <c r="G46" s="901"/>
      <c r="H46" s="1683">
        <f>(F13+F14+F15+F16)*2%</f>
        <v>0</v>
      </c>
      <c r="I46" s="900"/>
      <c r="J46" s="901"/>
      <c r="K46" s="1683">
        <f>(I18+I19+I20+I21)*2%</f>
        <v>0</v>
      </c>
      <c r="L46" s="900"/>
      <c r="M46" s="901"/>
      <c r="N46" s="1683">
        <f>(L23+L24+L25+L26)*2%</f>
        <v>0</v>
      </c>
      <c r="O46" s="900"/>
      <c r="P46" s="901"/>
      <c r="Q46" s="1683">
        <f>(O28+O29+O30+O31)*2%</f>
        <v>0</v>
      </c>
    </row>
    <row r="47" spans="1:19" s="73" customFormat="1" ht="4.5" customHeight="1" thickBot="1" x14ac:dyDescent="0.25">
      <c r="A47"/>
      <c r="B47" s="190"/>
      <c r="C47" s="989"/>
      <c r="D47" s="496"/>
      <c r="E47" s="496"/>
      <c r="F47" s="180"/>
      <c r="G47" s="180"/>
      <c r="H47" s="180"/>
      <c r="I47" s="180"/>
      <c r="J47" s="180"/>
      <c r="K47" s="180"/>
      <c r="L47" s="180"/>
      <c r="M47" s="180"/>
      <c r="N47" s="180"/>
      <c r="O47" s="180"/>
      <c r="P47" s="180"/>
      <c r="Q47" s="180"/>
    </row>
    <row r="48" spans="1:19" s="53" customFormat="1" ht="17.100000000000001" customHeight="1" thickBot="1" x14ac:dyDescent="0.25">
      <c r="A48"/>
      <c r="B48" s="365" t="s">
        <v>503</v>
      </c>
      <c r="C48" s="903">
        <f>C32+C38+C40+C44+C42</f>
        <v>0</v>
      </c>
      <c r="D48" s="904"/>
      <c r="E48" s="905"/>
      <c r="F48" s="906">
        <f>F32+F38</f>
        <v>0</v>
      </c>
      <c r="G48" s="907">
        <f>G32+G38+G44</f>
        <v>0</v>
      </c>
      <c r="H48" s="908">
        <f>H32+H38+H40+H46+H44+H42</f>
        <v>0</v>
      </c>
      <c r="I48" s="906">
        <f>I32+I38</f>
        <v>0</v>
      </c>
      <c r="J48" s="907">
        <f>J32+J38</f>
        <v>0</v>
      </c>
      <c r="K48" s="908">
        <f>K32+K38+K40+K46+K44+K42</f>
        <v>0</v>
      </c>
      <c r="L48" s="906">
        <f>L32+L38</f>
        <v>0</v>
      </c>
      <c r="M48" s="907">
        <f>M32+M38</f>
        <v>0</v>
      </c>
      <c r="N48" s="908">
        <f>N32+N38+N40+N46+N44+N42</f>
        <v>0</v>
      </c>
      <c r="O48" s="906">
        <f>O32+O38</f>
        <v>0</v>
      </c>
      <c r="P48" s="907">
        <f>P32+P38</f>
        <v>0</v>
      </c>
      <c r="Q48" s="1791">
        <f>Q32+Q38+Q40+Q46+Q44+Q42</f>
        <v>0</v>
      </c>
    </row>
    <row r="49" spans="2:17" ht="6" customHeight="1" x14ac:dyDescent="0.2">
      <c r="B49" s="1"/>
      <c r="C49" s="1"/>
      <c r="D49" s="1"/>
      <c r="E49" s="1"/>
      <c r="F49" s="1"/>
      <c r="G49" s="1"/>
      <c r="H49" s="1"/>
      <c r="I49" s="1"/>
      <c r="J49" s="1"/>
      <c r="K49" s="1"/>
      <c r="L49" s="1"/>
      <c r="M49" s="1"/>
      <c r="N49" s="1"/>
      <c r="O49" s="1"/>
      <c r="P49" s="1"/>
      <c r="Q49" s="1"/>
    </row>
    <row r="50" spans="2:17" x14ac:dyDescent="0.2">
      <c r="B50" s="74"/>
      <c r="C50" s="1"/>
      <c r="D50" s="4"/>
      <c r="E50" s="81"/>
      <c r="F50" s="81"/>
      <c r="G50" s="81"/>
      <c r="H50" s="81"/>
      <c r="I50" s="81"/>
      <c r="J50" s="81"/>
      <c r="K50" s="1"/>
      <c r="L50" s="1"/>
      <c r="M50" s="1"/>
      <c r="O50" s="1"/>
      <c r="P50" s="1"/>
      <c r="Q50" s="153">
        <f>'Front Page'!F6</f>
        <v>0</v>
      </c>
    </row>
    <row r="51" spans="2:17" x14ac:dyDescent="0.2">
      <c r="B51" s="2149" t="str">
        <f>'1. T1 INVESTMENT PLAN'!B67</f>
        <v>BP6 Financial Projection</v>
      </c>
      <c r="C51" s="2149"/>
      <c r="D51" s="2149"/>
      <c r="E51" s="4"/>
      <c r="F51" s="60"/>
      <c r="G51" s="60"/>
      <c r="H51" s="4"/>
      <c r="I51" s="60"/>
      <c r="J51" s="60"/>
      <c r="K51" s="4"/>
      <c r="L51" s="60"/>
      <c r="M51" s="60"/>
      <c r="O51" s="60"/>
      <c r="P51" s="60"/>
      <c r="Q51" s="402" t="str">
        <f>'1. T1 INVESTMENT PLAN'!I67</f>
        <v>Enontekiö, Kittilä, Kolari, Muonio, Pello</v>
      </c>
    </row>
    <row r="52" spans="2:17" x14ac:dyDescent="0.2">
      <c r="B52" s="2149"/>
      <c r="C52" s="2149"/>
    </row>
    <row r="54" spans="2:17" x14ac:dyDescent="0.2">
      <c r="B54" s="348"/>
    </row>
    <row r="55" spans="2:17" x14ac:dyDescent="0.2">
      <c r="B55" s="52" t="str">
        <f>'1. T1 INVESTMENT PLAN'!B70</f>
        <v>The user acknowledges that the program may contain errors and the results provided by the program are referential and directional.</v>
      </c>
    </row>
    <row r="56" spans="2:17" x14ac:dyDescent="0.2">
      <c r="B56" s="52" t="str">
        <f>'1. T1 INVESTMENT PLAN'!B71</f>
        <v>The user uses the program and interprets results at his own risk.</v>
      </c>
    </row>
  </sheetData>
  <sheetProtection algorithmName="SHA-512" hashValue="YrW1Ara4SEB8Ee6iTbyVdonRacT0Ed/2XUz421Qa7agDJJC5uPnq/cHIeUHy0glY8yqoyPA1vbmNRoZUoFQoyw==" saltValue="ss89DnGF6Ebja1eQdXiiHg==" spinCount="100000" sheet="1" objects="1" scenarios="1"/>
  <mergeCells count="20">
    <mergeCell ref="B52:C52"/>
    <mergeCell ref="B51:D51"/>
    <mergeCell ref="O9:Q9"/>
    <mergeCell ref="L9:N9"/>
    <mergeCell ref="F9:H9"/>
    <mergeCell ref="C8:C11"/>
    <mergeCell ref="D8:D11"/>
    <mergeCell ref="E8:E11"/>
    <mergeCell ref="F8:Q8"/>
    <mergeCell ref="B8:B10"/>
    <mergeCell ref="B46:C46"/>
    <mergeCell ref="B2:C3"/>
    <mergeCell ref="I10:K10"/>
    <mergeCell ref="B6:D6"/>
    <mergeCell ref="O10:Q10"/>
    <mergeCell ref="I9:K9"/>
    <mergeCell ref="L10:N10"/>
    <mergeCell ref="F10:H10"/>
    <mergeCell ref="J6:M6"/>
    <mergeCell ref="O6:P6"/>
  </mergeCells>
  <phoneticPr fontId="10" type="noConversion"/>
  <printOptions horizontalCentered="1"/>
  <pageMargins left="0.23622047244094491" right="0.23622047244094491" top="0.74803149606299213" bottom="0.74803149606299213" header="0.31496062992125984" footer="0.31496062992125984"/>
  <pageSetup paperSize="9" scale="85" orientation="landscape" verticalDpi="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3">
    <tabColor rgb="FF0152A1"/>
  </sheetPr>
  <dimension ref="A2:X168"/>
  <sheetViews>
    <sheetView showGridLines="0" showZeros="0" zoomScale="115" zoomScaleNormal="115" workbookViewId="0">
      <selection activeCell="D19" sqref="D19"/>
    </sheetView>
  </sheetViews>
  <sheetFormatPr defaultRowHeight="12.75" x14ac:dyDescent="0.2"/>
  <cols>
    <col min="1" max="1" width="8.7109375" customWidth="1"/>
    <col min="2" max="2" width="2.85546875" customWidth="1"/>
    <col min="3" max="3" width="50.140625" customWidth="1"/>
    <col min="4" max="4" width="9.7109375" customWidth="1"/>
    <col min="5" max="5" width="6" customWidth="1"/>
    <col min="6" max="6" width="9.7109375" customWidth="1"/>
    <col min="7" max="7" width="6" customWidth="1"/>
    <col min="8" max="8" width="9.7109375" customWidth="1"/>
    <col min="9" max="9" width="6" customWidth="1"/>
    <col min="10" max="10" width="9.7109375" customWidth="1"/>
    <col min="11" max="11" width="6" customWidth="1"/>
    <col min="12" max="12" width="2.5703125" customWidth="1"/>
    <col min="13" max="15" width="7.7109375" customWidth="1"/>
    <col min="16" max="24" width="9.5703125" customWidth="1"/>
  </cols>
  <sheetData>
    <row r="2" spans="1:24" ht="15.75" x14ac:dyDescent="0.25">
      <c r="B2" s="24" t="s">
        <v>505</v>
      </c>
      <c r="M2" s="1"/>
    </row>
    <row r="3" spans="1:24" ht="14.25" customHeight="1" x14ac:dyDescent="0.25">
      <c r="D3" s="699"/>
      <c r="S3" s="24" t="str">
        <f>B2</f>
        <v>E1 OPERATING COSTS</v>
      </c>
    </row>
    <row r="4" spans="1:24" ht="20.25" customHeight="1" x14ac:dyDescent="0.2">
      <c r="A4" s="1469" t="s">
        <v>782</v>
      </c>
      <c r="B4" s="49" t="str">
        <f>'1. T1 INVESTMENT PLAN'!B6</f>
        <v>Company name</v>
      </c>
      <c r="C4" s="45"/>
      <c r="D4" s="2217"/>
      <c r="E4" s="2217"/>
      <c r="F4" s="40"/>
      <c r="G4" s="59" t="s">
        <v>0</v>
      </c>
      <c r="H4" s="59"/>
      <c r="I4" s="47"/>
      <c r="J4" s="47" t="s">
        <v>0</v>
      </c>
      <c r="K4" s="47"/>
      <c r="L4" s="19"/>
    </row>
    <row r="5" spans="1:24" ht="12.75" customHeight="1" x14ac:dyDescent="0.2">
      <c r="B5" s="2145">
        <f>'7. T2 RESULT BUDGET '!B5:D5</f>
        <v>0</v>
      </c>
      <c r="C5" s="2145"/>
      <c r="D5" s="2148"/>
      <c r="E5" s="2145"/>
      <c r="F5" s="73"/>
      <c r="G5" s="73"/>
      <c r="H5" s="559"/>
      <c r="I5" s="73"/>
      <c r="J5" s="73"/>
      <c r="K5" s="73"/>
      <c r="L5" s="73"/>
      <c r="M5" s="2173"/>
      <c r="N5" s="2173"/>
      <c r="O5" s="2173"/>
      <c r="U5" s="8"/>
      <c r="V5" s="8"/>
      <c r="W5" s="8"/>
    </row>
    <row r="6" spans="1:24" ht="10.5" customHeight="1" thickBot="1" x14ac:dyDescent="0.25">
      <c r="B6" s="4"/>
      <c r="C6" s="4"/>
      <c r="D6" s="18"/>
      <c r="M6" s="1044"/>
      <c r="N6" s="1044"/>
      <c r="O6" s="1044"/>
      <c r="P6" s="1044"/>
      <c r="Q6" s="1044"/>
      <c r="R6" s="1044"/>
      <c r="S6" s="1044"/>
      <c r="T6" s="1044"/>
      <c r="U6" s="1045"/>
      <c r="V6" s="1045"/>
      <c r="W6" s="1045"/>
      <c r="X6" s="83"/>
    </row>
    <row r="7" spans="1:24" ht="22.35" customHeight="1" x14ac:dyDescent="0.2">
      <c r="B7" s="2218" t="str">
        <f>IF(D10=12,"PRICES EXCLUDING VAT","HINNAT ILMAN ARVONLISÄVEROA. ENNUSTE 2-TILIKAUSI. HUOMAA TILIKAUDEN PITUUS!")</f>
        <v>PRICES EXCLUDING VAT</v>
      </c>
      <c r="C7" s="2219"/>
      <c r="D7" s="2213" t="str">
        <f>'1. T1 INVESTMENT PLAN'!E15</f>
        <v>Forecast 1</v>
      </c>
      <c r="E7" s="2214"/>
      <c r="F7" s="2213" t="str">
        <f>'1. T1 INVESTMENT PLAN'!F15</f>
        <v>Forecast 2</v>
      </c>
      <c r="G7" s="2214"/>
      <c r="H7" s="2213" t="str">
        <f>'1. T1 INVESTMENT PLAN'!G15</f>
        <v>Forecast 3</v>
      </c>
      <c r="I7" s="2214"/>
      <c r="J7" s="2213" t="str">
        <f>'1. T1 INVESTMENT PLAN'!H15</f>
        <v>Forecast 4</v>
      </c>
      <c r="K7" s="2214"/>
      <c r="L7" s="25"/>
      <c r="M7" s="1639" t="s">
        <v>492</v>
      </c>
      <c r="N7" s="1041"/>
      <c r="O7" s="1042"/>
      <c r="P7" s="1043"/>
      <c r="Q7" s="1043"/>
      <c r="R7" s="1043"/>
      <c r="S7" s="1043"/>
      <c r="T7" s="278"/>
      <c r="U7" s="382"/>
      <c r="V7" s="382"/>
      <c r="W7" s="382"/>
      <c r="X7" s="383"/>
    </row>
    <row r="8" spans="1:24" ht="16.350000000000001" customHeight="1" x14ac:dyDescent="0.2">
      <c r="B8" s="2220" t="s">
        <v>613</v>
      </c>
      <c r="C8" s="2221"/>
      <c r="D8" s="2211">
        <f>'7. T2 RESULT BUDGET '!G8</f>
        <v>2027</v>
      </c>
      <c r="E8" s="2212"/>
      <c r="F8" s="2211">
        <f>'7. T2 RESULT BUDGET '!I8</f>
        <v>2028</v>
      </c>
      <c r="G8" s="2212"/>
      <c r="H8" s="2211">
        <f>'7. T2 RESULT BUDGET '!K8</f>
        <v>2029</v>
      </c>
      <c r="I8" s="2212"/>
      <c r="J8" s="2211">
        <f>'1. T1 INVESTMENT PLAN'!H16</f>
        <v>2030</v>
      </c>
      <c r="K8" s="2212"/>
      <c r="L8" s="26"/>
      <c r="M8" s="333"/>
      <c r="N8" s="278"/>
      <c r="O8" s="278"/>
      <c r="P8" s="278"/>
      <c r="Q8" s="278"/>
      <c r="R8" s="278"/>
      <c r="S8" s="278"/>
      <c r="T8" s="278"/>
      <c r="U8" s="382"/>
      <c r="V8" s="382"/>
      <c r="W8" s="382"/>
      <c r="X8" s="383"/>
    </row>
    <row r="9" spans="1:24" ht="12.75" customHeight="1" x14ac:dyDescent="0.2">
      <c r="B9" s="2222"/>
      <c r="C9" s="2223"/>
      <c r="D9" s="227" t="s">
        <v>336</v>
      </c>
      <c r="E9" s="228" t="s">
        <v>13</v>
      </c>
      <c r="F9" s="227" t="s">
        <v>336</v>
      </c>
      <c r="G9" s="228" t="s">
        <v>13</v>
      </c>
      <c r="H9" s="227" t="s">
        <v>336</v>
      </c>
      <c r="I9" s="228" t="s">
        <v>13</v>
      </c>
      <c r="J9" s="227" t="s">
        <v>336</v>
      </c>
      <c r="K9" s="228" t="s">
        <v>13</v>
      </c>
      <c r="L9" s="26"/>
      <c r="M9" s="1564"/>
      <c r="N9" s="278"/>
      <c r="O9" s="278"/>
      <c r="P9" s="278"/>
      <c r="Q9" s="278"/>
      <c r="R9" s="278"/>
      <c r="S9" s="278"/>
      <c r="T9" s="278"/>
      <c r="U9" s="382"/>
      <c r="V9" s="382"/>
      <c r="W9" s="382"/>
      <c r="X9" s="383"/>
    </row>
    <row r="10" spans="1:24" ht="15" customHeight="1" thickBot="1" x14ac:dyDescent="0.25">
      <c r="B10" s="1166"/>
      <c r="C10" s="1167" t="s">
        <v>614</v>
      </c>
      <c r="D10" s="2209">
        <v>12</v>
      </c>
      <c r="E10" s="2210"/>
      <c r="F10" s="2207" t="str">
        <f>'7. T2 RESULT BUDGET '!I10</f>
        <v>12</v>
      </c>
      <c r="G10" s="2208"/>
      <c r="H10" s="2207" t="str">
        <f>'7. T2 RESULT BUDGET '!K10</f>
        <v>12</v>
      </c>
      <c r="I10" s="2208"/>
      <c r="J10" s="2207" t="str">
        <f>'7. T2 RESULT BUDGET '!M10</f>
        <v>12</v>
      </c>
      <c r="K10" s="2208"/>
      <c r="L10" s="26"/>
      <c r="M10" s="333"/>
      <c r="N10" s="278"/>
      <c r="O10" s="278"/>
      <c r="P10" s="278"/>
      <c r="Q10" s="278"/>
      <c r="R10" s="278"/>
      <c r="S10" s="278"/>
      <c r="T10" s="278"/>
      <c r="U10" s="382"/>
      <c r="V10" s="382"/>
      <c r="W10" s="382"/>
      <c r="X10" s="383"/>
    </row>
    <row r="11" spans="1:24" s="1" customFormat="1" ht="13.5" customHeight="1" x14ac:dyDescent="0.2">
      <c r="A11" s="53"/>
      <c r="B11" s="1811">
        <v>1</v>
      </c>
      <c r="C11" s="208" t="s">
        <v>506</v>
      </c>
      <c r="D11" s="909">
        <f>D12+D17+D24-D30</f>
        <v>0</v>
      </c>
      <c r="E11" s="910">
        <f>IF(D$44=0,0,D11/D$44*100)</f>
        <v>0</v>
      </c>
      <c r="F11" s="909">
        <f>F12+F17+F24-F30</f>
        <v>0</v>
      </c>
      <c r="G11" s="910">
        <f>IF(F$44=0,0,F11/F$44*100)</f>
        <v>0</v>
      </c>
      <c r="H11" s="909">
        <f>H12+H17+H24-H30</f>
        <v>0</v>
      </c>
      <c r="I11" s="910">
        <f>IF(H$44=0,0,H11/H$44*100)</f>
        <v>0</v>
      </c>
      <c r="J11" s="909">
        <f>J12+J17+J24-J30</f>
        <v>0</v>
      </c>
      <c r="K11" s="910">
        <f>IF(J$44=0,0,J11/J$44*100)</f>
        <v>0</v>
      </c>
      <c r="L11" s="3"/>
      <c r="M11" s="2215"/>
      <c r="N11" s="2216"/>
      <c r="O11" s="2216"/>
      <c r="P11" s="278"/>
      <c r="Q11" s="278"/>
      <c r="R11" s="278"/>
      <c r="S11" s="278"/>
      <c r="T11" s="278"/>
      <c r="U11" s="382"/>
      <c r="V11" s="382"/>
      <c r="W11" s="382"/>
      <c r="X11" s="383"/>
    </row>
    <row r="12" spans="1:24" s="4" customFormat="1" ht="12.6" customHeight="1" x14ac:dyDescent="0.2">
      <c r="A12"/>
      <c r="B12" s="209"/>
      <c r="C12" s="219" t="s">
        <v>507</v>
      </c>
      <c r="D12" s="911">
        <f>(D13+D14)*D15</f>
        <v>0</v>
      </c>
      <c r="E12" s="912"/>
      <c r="F12" s="911">
        <f>F13*F15+F14*IF(F15&gt;12,12,F15)</f>
        <v>0</v>
      </c>
      <c r="G12" s="912"/>
      <c r="H12" s="911">
        <f>H13*H15+H14*IF(H15&gt;12,12,H15)</f>
        <v>0</v>
      </c>
      <c r="I12" s="912"/>
      <c r="J12" s="911">
        <f>J13*J15+J14*IF(J15&gt;12,12,J15)</f>
        <v>0</v>
      </c>
      <c r="K12" s="912"/>
      <c r="L12" s="31"/>
      <c r="M12" s="251">
        <f>F$8</f>
        <v>2028</v>
      </c>
      <c r="N12" s="251">
        <f>H8</f>
        <v>2029</v>
      </c>
      <c r="O12" s="251">
        <f>J$8</f>
        <v>2030</v>
      </c>
      <c r="P12" s="278"/>
      <c r="Q12" s="278"/>
      <c r="R12" s="278"/>
      <c r="S12" s="278"/>
      <c r="T12" s="278"/>
      <c r="U12" s="382"/>
      <c r="V12" s="382"/>
      <c r="W12" s="382"/>
      <c r="X12" s="383"/>
    </row>
    <row r="13" spans="1:24" s="52" customFormat="1" ht="12.6" customHeight="1" x14ac:dyDescent="0.2">
      <c r="A13" s="53"/>
      <c r="B13" s="210"/>
      <c r="C13" s="211" t="s">
        <v>508</v>
      </c>
      <c r="D13" s="913">
        <v>0</v>
      </c>
      <c r="E13" s="914"/>
      <c r="F13" s="913">
        <f>D13+D13*M13</f>
        <v>0</v>
      </c>
      <c r="G13" s="914"/>
      <c r="H13" s="913">
        <f>F13+F13*N13</f>
        <v>0</v>
      </c>
      <c r="I13" s="914"/>
      <c r="J13" s="913">
        <f>H13+H13*O13</f>
        <v>0</v>
      </c>
      <c r="K13" s="914"/>
      <c r="L13" s="57"/>
      <c r="M13" s="336">
        <v>0</v>
      </c>
      <c r="N13" s="336">
        <f>M13</f>
        <v>0</v>
      </c>
      <c r="O13" s="336">
        <f>N13</f>
        <v>0</v>
      </c>
      <c r="P13" s="278" t="s">
        <v>0</v>
      </c>
      <c r="R13" s="278"/>
      <c r="S13" s="278"/>
      <c r="T13" s="278"/>
      <c r="U13" s="382"/>
      <c r="V13" s="382"/>
      <c r="W13" s="382"/>
      <c r="X13" s="383"/>
    </row>
    <row r="14" spans="1:24" s="52" customFormat="1" ht="12.6" customHeight="1" x14ac:dyDescent="0.2">
      <c r="A14" s="2"/>
      <c r="B14" s="210"/>
      <c r="C14" s="211" t="s">
        <v>509</v>
      </c>
      <c r="D14" s="913">
        <v>0</v>
      </c>
      <c r="E14" s="914"/>
      <c r="F14" s="913">
        <f>D14</f>
        <v>0</v>
      </c>
      <c r="G14" s="914"/>
      <c r="H14" s="913">
        <f>F14+F14*N14</f>
        <v>0</v>
      </c>
      <c r="I14" s="914"/>
      <c r="J14" s="913">
        <f>H14+H14*O14</f>
        <v>0</v>
      </c>
      <c r="K14" s="914"/>
      <c r="L14" s="57"/>
      <c r="M14" s="336">
        <v>0</v>
      </c>
      <c r="N14" s="336">
        <f>M14</f>
        <v>0</v>
      </c>
      <c r="O14" s="336">
        <f>N14</f>
        <v>0</v>
      </c>
      <c r="P14" s="278"/>
      <c r="Q14" s="278"/>
      <c r="R14" s="278"/>
      <c r="S14" s="278"/>
      <c r="T14" s="278"/>
      <c r="U14" s="382"/>
      <c r="V14" s="382"/>
      <c r="W14" s="382"/>
      <c r="X14" s="383"/>
    </row>
    <row r="15" spans="1:24" s="52" customFormat="1" ht="12.6" customHeight="1" x14ac:dyDescent="0.2">
      <c r="A15" s="53"/>
      <c r="B15" s="210"/>
      <c r="C15" s="211" t="s">
        <v>510</v>
      </c>
      <c r="D15" s="915">
        <v>12</v>
      </c>
      <c r="E15" s="914"/>
      <c r="F15" s="915">
        <v>12.5</v>
      </c>
      <c r="G15" s="914"/>
      <c r="H15" s="915">
        <f>F15</f>
        <v>12.5</v>
      </c>
      <c r="I15" s="914"/>
      <c r="J15" s="915">
        <f>H15</f>
        <v>12.5</v>
      </c>
      <c r="K15" s="914"/>
      <c r="L15" s="57"/>
      <c r="M15" s="1040"/>
      <c r="N15" s="165"/>
      <c r="O15" s="165"/>
      <c r="P15" s="278"/>
      <c r="Q15" s="278"/>
      <c r="R15" s="278"/>
      <c r="S15" s="278"/>
      <c r="T15" s="278"/>
      <c r="U15" s="382"/>
      <c r="V15" s="382"/>
      <c r="W15" s="382"/>
      <c r="X15" s="383"/>
    </row>
    <row r="16" spans="1:24" s="52" customFormat="1" ht="12.6" customHeight="1" x14ac:dyDescent="0.2">
      <c r="A16" s="53"/>
      <c r="B16" s="210"/>
      <c r="C16" s="211" t="s">
        <v>615</v>
      </c>
      <c r="D16" s="1057">
        <v>0.28999999999999998</v>
      </c>
      <c r="E16" s="923"/>
      <c r="F16" s="1057">
        <f>D16</f>
        <v>0.28999999999999998</v>
      </c>
      <c r="G16" s="923"/>
      <c r="H16" s="1057">
        <f>F16</f>
        <v>0.28999999999999998</v>
      </c>
      <c r="I16" s="923"/>
      <c r="J16" s="1057">
        <f>H16</f>
        <v>0.28999999999999998</v>
      </c>
      <c r="K16" s="914"/>
      <c r="L16" s="57"/>
      <c r="M16" s="1390"/>
      <c r="N16" s="278"/>
      <c r="O16" s="278"/>
      <c r="P16" s="278"/>
      <c r="Q16" s="278"/>
      <c r="R16" s="278"/>
      <c r="S16" s="278"/>
      <c r="T16" s="278"/>
      <c r="U16" s="278"/>
      <c r="V16" s="382"/>
      <c r="W16" s="382"/>
      <c r="X16" s="383"/>
    </row>
    <row r="17" spans="1:24" s="4" customFormat="1" x14ac:dyDescent="0.2">
      <c r="A17"/>
      <c r="B17" s="209"/>
      <c r="C17" s="1368" t="s">
        <v>920</v>
      </c>
      <c r="D17" s="821">
        <f>D18*D19*D20*D21+D22</f>
        <v>0</v>
      </c>
      <c r="E17" s="912"/>
      <c r="F17" s="821">
        <f>F18*F19*F20*F21+F22</f>
        <v>0</v>
      </c>
      <c r="G17" s="912"/>
      <c r="H17" s="821">
        <f>H18*H19*H20*H21+H22</f>
        <v>0</v>
      </c>
      <c r="I17" s="912"/>
      <c r="J17" s="821">
        <f>J18*J19*J20*J21+J22</f>
        <v>0</v>
      </c>
      <c r="K17" s="912"/>
      <c r="L17" s="31"/>
      <c r="M17" s="1456"/>
      <c r="N17" s="1457"/>
      <c r="O17" s="1457"/>
      <c r="P17" s="278"/>
      <c r="Q17" s="278"/>
      <c r="R17" s="278"/>
      <c r="S17" s="278"/>
      <c r="T17" s="278"/>
      <c r="U17" s="382"/>
      <c r="V17" s="382"/>
      <c r="W17" s="382"/>
      <c r="X17" s="383"/>
    </row>
    <row r="18" spans="1:24" s="52" customFormat="1" ht="12.6" customHeight="1" x14ac:dyDescent="0.2">
      <c r="A18" s="53"/>
      <c r="B18" s="210"/>
      <c r="C18" s="211" t="s">
        <v>511</v>
      </c>
      <c r="D18" s="913">
        <v>0</v>
      </c>
      <c r="E18" s="2128"/>
      <c r="F18" s="913">
        <f>D18+D18*M18</f>
        <v>0</v>
      </c>
      <c r="G18" s="2128"/>
      <c r="H18" s="913">
        <f>F18+F18*N18</f>
        <v>0</v>
      </c>
      <c r="I18" s="2128"/>
      <c r="J18" s="913">
        <f>H18+H18*O18</f>
        <v>0</v>
      </c>
      <c r="K18" s="914"/>
      <c r="L18" s="55"/>
      <c r="M18" s="1386">
        <v>0.03</v>
      </c>
      <c r="N18" s="1386">
        <f>M18</f>
        <v>0.03</v>
      </c>
      <c r="O18" s="1386">
        <f>N18</f>
        <v>0.03</v>
      </c>
      <c r="P18" s="278" t="s">
        <v>0</v>
      </c>
      <c r="Q18" s="278"/>
      <c r="R18" s="278"/>
      <c r="S18" s="278"/>
      <c r="T18" s="278"/>
      <c r="U18" s="382"/>
      <c r="V18" s="382"/>
      <c r="W18" s="382"/>
      <c r="X18" s="383"/>
    </row>
    <row r="19" spans="1:24" s="52" customFormat="1" ht="12.6" customHeight="1" x14ac:dyDescent="0.2">
      <c r="A19"/>
      <c r="B19" s="210"/>
      <c r="C19" s="211" t="s">
        <v>512</v>
      </c>
      <c r="D19" s="913">
        <v>0</v>
      </c>
      <c r="E19" s="914"/>
      <c r="F19" s="913">
        <f>D19</f>
        <v>0</v>
      </c>
      <c r="G19" s="914"/>
      <c r="H19" s="913">
        <f>F19</f>
        <v>0</v>
      </c>
      <c r="I19" s="914"/>
      <c r="J19" s="913">
        <f>H19</f>
        <v>0</v>
      </c>
      <c r="K19" s="914"/>
      <c r="L19" s="55"/>
      <c r="M19" s="1037"/>
      <c r="N19" s="1038"/>
      <c r="O19" s="1038"/>
      <c r="P19" s="278"/>
      <c r="Q19" s="278"/>
      <c r="R19" s="278"/>
      <c r="S19" s="278"/>
      <c r="T19" s="278"/>
      <c r="U19" s="382"/>
      <c r="V19" s="382"/>
      <c r="W19" s="382"/>
      <c r="X19" s="383"/>
    </row>
    <row r="20" spans="1:24" s="52" customFormat="1" ht="12.6" customHeight="1" x14ac:dyDescent="0.2">
      <c r="A20" s="53"/>
      <c r="B20" s="210"/>
      <c r="C20" s="211" t="s">
        <v>513</v>
      </c>
      <c r="D20" s="915">
        <v>0</v>
      </c>
      <c r="E20" s="914"/>
      <c r="F20" s="915">
        <f>D20</f>
        <v>0</v>
      </c>
      <c r="G20" s="914"/>
      <c r="H20" s="915">
        <f>F20</f>
        <v>0</v>
      </c>
      <c r="I20" s="914"/>
      <c r="J20" s="915">
        <f>H20</f>
        <v>0</v>
      </c>
      <c r="K20" s="914"/>
      <c r="L20" s="55"/>
      <c r="M20" s="1039"/>
      <c r="N20" s="182"/>
      <c r="O20" s="182"/>
      <c r="P20" s="278"/>
      <c r="Q20" s="278"/>
      <c r="R20" s="278"/>
      <c r="S20" s="278"/>
      <c r="T20" s="278"/>
      <c r="U20" s="382"/>
      <c r="V20" s="382"/>
      <c r="W20" s="382"/>
      <c r="X20" s="383"/>
    </row>
    <row r="21" spans="1:24" s="52" customFormat="1" ht="12.6" customHeight="1" x14ac:dyDescent="0.2">
      <c r="A21" s="2"/>
      <c r="B21" s="210"/>
      <c r="C21" s="211" t="s">
        <v>510</v>
      </c>
      <c r="D21" s="915">
        <v>12</v>
      </c>
      <c r="E21" s="914"/>
      <c r="F21" s="915">
        <v>12.5</v>
      </c>
      <c r="G21" s="914"/>
      <c r="H21" s="915">
        <f>F21</f>
        <v>12.5</v>
      </c>
      <c r="I21" s="914"/>
      <c r="J21" s="915">
        <f>H21</f>
        <v>12.5</v>
      </c>
      <c r="K21" s="914"/>
      <c r="L21" s="55"/>
      <c r="M21" s="1389"/>
      <c r="N21" s="1387"/>
      <c r="O21" s="1387"/>
      <c r="P21" s="387"/>
      <c r="Q21" s="278"/>
      <c r="R21" s="278"/>
      <c r="S21" s="278"/>
      <c r="T21" s="278"/>
      <c r="U21" s="382"/>
      <c r="V21" s="382"/>
      <c r="W21" s="382"/>
      <c r="X21" s="383"/>
    </row>
    <row r="22" spans="1:24" s="52" customFormat="1" ht="12.6" customHeight="1" x14ac:dyDescent="0.2">
      <c r="A22"/>
      <c r="B22" s="210"/>
      <c r="C22" s="211" t="s">
        <v>514</v>
      </c>
      <c r="D22" s="913">
        <v>0</v>
      </c>
      <c r="E22" s="916"/>
      <c r="F22" s="913">
        <f>D22+D22*M22</f>
        <v>0</v>
      </c>
      <c r="G22" s="914"/>
      <c r="H22" s="913">
        <f>F22+F22*N22</f>
        <v>0</v>
      </c>
      <c r="I22" s="914"/>
      <c r="J22" s="913">
        <f>H22+H22*O22</f>
        <v>0</v>
      </c>
      <c r="K22" s="914"/>
      <c r="L22" s="55"/>
      <c r="M22" s="1386">
        <v>0.03</v>
      </c>
      <c r="N22" s="1386">
        <f>M22</f>
        <v>0.03</v>
      </c>
      <c r="O22" s="1386">
        <f>N22</f>
        <v>0.03</v>
      </c>
      <c r="P22" s="278"/>
      <c r="Q22" s="278"/>
      <c r="R22" s="278"/>
      <c r="S22" s="278"/>
      <c r="T22" s="278"/>
      <c r="U22" s="382"/>
      <c r="V22" s="382"/>
      <c r="W22" s="382"/>
      <c r="X22" s="383"/>
    </row>
    <row r="23" spans="1:24" s="52" customFormat="1" ht="12.6" customHeight="1" x14ac:dyDescent="0.2">
      <c r="A23" s="53"/>
      <c r="B23" s="210"/>
      <c r="C23" s="211" t="s">
        <v>515</v>
      </c>
      <c r="D23" s="1057">
        <v>0.2</v>
      </c>
      <c r="E23" s="923"/>
      <c r="F23" s="1057">
        <f>D23</f>
        <v>0.2</v>
      </c>
      <c r="G23" s="923"/>
      <c r="H23" s="1057">
        <f>F23</f>
        <v>0.2</v>
      </c>
      <c r="I23" s="923"/>
      <c r="J23" s="1057">
        <f>H23</f>
        <v>0.2</v>
      </c>
      <c r="K23" s="914"/>
      <c r="L23" s="57"/>
      <c r="M23" s="1058"/>
      <c r="N23" s="278"/>
      <c r="O23" s="278"/>
      <c r="P23" s="278"/>
      <c r="Q23" s="278"/>
      <c r="R23" s="278"/>
      <c r="S23" s="278"/>
      <c r="T23" s="278"/>
      <c r="U23" s="278"/>
      <c r="V23" s="382"/>
      <c r="W23" s="382"/>
      <c r="X23" s="383"/>
    </row>
    <row r="24" spans="1:24" s="4" customFormat="1" x14ac:dyDescent="0.2">
      <c r="A24"/>
      <c r="B24" s="209"/>
      <c r="C24" s="1368" t="s">
        <v>880</v>
      </c>
      <c r="D24" s="821">
        <f>D25*D26*D27+D28</f>
        <v>0</v>
      </c>
      <c r="E24" s="912"/>
      <c r="F24" s="821">
        <f>F25*F26*F27+F28</f>
        <v>0</v>
      </c>
      <c r="G24" s="912"/>
      <c r="H24" s="821">
        <f>H25*H26*H27+H28</f>
        <v>0</v>
      </c>
      <c r="I24" s="912"/>
      <c r="J24" s="821">
        <f>J25*J26*J27+J28</f>
        <v>0</v>
      </c>
      <c r="K24" s="912"/>
      <c r="L24" s="31"/>
      <c r="M24" s="1389"/>
      <c r="N24" s="1387"/>
      <c r="O24" s="1387"/>
      <c r="P24" s="278"/>
      <c r="Q24" s="278"/>
      <c r="R24" s="278"/>
      <c r="S24" s="278"/>
      <c r="T24" s="278"/>
      <c r="U24" s="382"/>
      <c r="V24" s="382"/>
      <c r="W24" s="382"/>
      <c r="X24" s="383"/>
    </row>
    <row r="25" spans="1:24" s="52" customFormat="1" ht="12.6" customHeight="1" x14ac:dyDescent="0.2">
      <c r="A25"/>
      <c r="B25" s="210"/>
      <c r="C25" s="211" t="s">
        <v>516</v>
      </c>
      <c r="D25" s="913">
        <v>0</v>
      </c>
      <c r="E25" s="914"/>
      <c r="F25" s="913">
        <f>D25+D25*M25</f>
        <v>0</v>
      </c>
      <c r="G25" s="914"/>
      <c r="H25" s="913">
        <f>F25+F25*N25</f>
        <v>0</v>
      </c>
      <c r="I25" s="914"/>
      <c r="J25" s="913">
        <f>H25+H25*O25</f>
        <v>0</v>
      </c>
      <c r="K25" s="914"/>
      <c r="L25" s="55"/>
      <c r="M25" s="1386">
        <v>0.03</v>
      </c>
      <c r="N25" s="1386">
        <f>M25</f>
        <v>0.03</v>
      </c>
      <c r="O25" s="1386">
        <f>N25</f>
        <v>0.03</v>
      </c>
      <c r="P25" s="278"/>
      <c r="Q25" s="278"/>
      <c r="R25" s="278"/>
      <c r="S25" s="278"/>
      <c r="T25" s="278"/>
      <c r="U25" s="382"/>
      <c r="V25" s="382"/>
      <c r="W25" s="382"/>
      <c r="X25" s="383"/>
    </row>
    <row r="26" spans="1:24" s="52" customFormat="1" ht="12.6" customHeight="1" x14ac:dyDescent="0.2">
      <c r="A26"/>
      <c r="B26" s="210"/>
      <c r="C26" s="211" t="s">
        <v>517</v>
      </c>
      <c r="D26" s="915">
        <v>0</v>
      </c>
      <c r="E26" s="914"/>
      <c r="F26" s="915">
        <f>D26</f>
        <v>0</v>
      </c>
      <c r="G26" s="914"/>
      <c r="H26" s="915">
        <f>F26</f>
        <v>0</v>
      </c>
      <c r="I26" s="914"/>
      <c r="J26" s="915">
        <f>H26</f>
        <v>0</v>
      </c>
      <c r="K26" s="914"/>
      <c r="L26" s="55"/>
      <c r="M26" s="371"/>
      <c r="N26" s="164"/>
      <c r="O26" s="164"/>
      <c r="P26" s="278"/>
      <c r="Q26" s="278"/>
      <c r="R26" s="278"/>
      <c r="S26" s="278"/>
      <c r="T26" s="278"/>
      <c r="U26" s="382"/>
      <c r="V26" s="382"/>
      <c r="W26" s="382"/>
      <c r="X26" s="383"/>
    </row>
    <row r="27" spans="1:24" s="52" customFormat="1" ht="12.6" customHeight="1" x14ac:dyDescent="0.2">
      <c r="A27"/>
      <c r="B27" s="210"/>
      <c r="C27" s="211" t="s">
        <v>510</v>
      </c>
      <c r="D27" s="915">
        <v>12</v>
      </c>
      <c r="E27" s="914"/>
      <c r="F27" s="915">
        <v>12.5</v>
      </c>
      <c r="G27" s="914"/>
      <c r="H27" s="915">
        <f>F27</f>
        <v>12.5</v>
      </c>
      <c r="I27" s="914"/>
      <c r="J27" s="915">
        <f>H27</f>
        <v>12.5</v>
      </c>
      <c r="K27" s="914"/>
      <c r="L27" s="55"/>
      <c r="M27" s="1389"/>
      <c r="N27" s="1387"/>
      <c r="O27" s="1387"/>
      <c r="P27" s="387"/>
      <c r="Q27" s="278"/>
      <c r="R27" s="278"/>
      <c r="S27" s="278"/>
      <c r="T27" s="278"/>
      <c r="U27" s="382"/>
      <c r="V27" s="382"/>
      <c r="W27" s="382"/>
      <c r="X27" s="383"/>
    </row>
    <row r="28" spans="1:24" s="52" customFormat="1" ht="12.6" customHeight="1" x14ac:dyDescent="0.2">
      <c r="A28"/>
      <c r="B28" s="210"/>
      <c r="C28" s="211" t="s">
        <v>514</v>
      </c>
      <c r="D28" s="913">
        <v>0</v>
      </c>
      <c r="E28" s="916"/>
      <c r="F28" s="913">
        <f>D28+D28*M28</f>
        <v>0</v>
      </c>
      <c r="G28" s="914"/>
      <c r="H28" s="913">
        <f>F28+F28*N28</f>
        <v>0</v>
      </c>
      <c r="I28" s="914"/>
      <c r="J28" s="913">
        <f>H28+H28*O28</f>
        <v>0</v>
      </c>
      <c r="K28" s="914"/>
      <c r="L28" s="55"/>
      <c r="M28" s="1386">
        <v>0.03</v>
      </c>
      <c r="N28" s="1386">
        <f>M28</f>
        <v>0.03</v>
      </c>
      <c r="O28" s="1386">
        <f>N28</f>
        <v>0.03</v>
      </c>
      <c r="P28" s="278"/>
      <c r="Q28" s="278"/>
      <c r="R28" s="278"/>
      <c r="S28" s="278"/>
      <c r="T28" s="278"/>
      <c r="U28" s="382"/>
      <c r="V28" s="382"/>
      <c r="W28" s="382"/>
      <c r="X28" s="383"/>
    </row>
    <row r="29" spans="1:24" s="52" customFormat="1" ht="12.6" customHeight="1" x14ac:dyDescent="0.2">
      <c r="A29" s="53"/>
      <c r="B29" s="210"/>
      <c r="C29" s="211" t="s">
        <v>518</v>
      </c>
      <c r="D29" s="1057">
        <v>0.25</v>
      </c>
      <c r="E29" s="923"/>
      <c r="F29" s="1057">
        <f>D29</f>
        <v>0.25</v>
      </c>
      <c r="G29" s="923"/>
      <c r="H29" s="1057">
        <f>F29</f>
        <v>0.25</v>
      </c>
      <c r="I29" s="923"/>
      <c r="J29" s="1057">
        <f>H29</f>
        <v>0.25</v>
      </c>
      <c r="K29" s="914"/>
      <c r="L29" s="57"/>
      <c r="M29" s="1058"/>
      <c r="N29" s="278"/>
      <c r="O29" s="278"/>
      <c r="P29" s="278"/>
      <c r="Q29" s="278"/>
      <c r="R29" s="278"/>
      <c r="S29" s="278"/>
      <c r="T29" s="278"/>
      <c r="U29" s="278"/>
      <c r="V29" s="382"/>
      <c r="W29" s="382"/>
      <c r="X29" s="383"/>
    </row>
    <row r="30" spans="1:24" s="52" customFormat="1" ht="12.6" customHeight="1" thickBot="1" x14ac:dyDescent="0.25">
      <c r="A30"/>
      <c r="B30" s="210"/>
      <c r="C30" s="1369" t="s">
        <v>519</v>
      </c>
      <c r="D30" s="917">
        <v>0</v>
      </c>
      <c r="E30" s="918"/>
      <c r="F30" s="917"/>
      <c r="G30" s="919"/>
      <c r="H30" s="917"/>
      <c r="I30" s="919"/>
      <c r="J30" s="917"/>
      <c r="K30" s="920"/>
      <c r="L30" s="55"/>
      <c r="M30" s="333"/>
      <c r="N30" s="278"/>
      <c r="O30" s="278"/>
      <c r="P30" s="278"/>
      <c r="Q30" s="278"/>
      <c r="R30" s="278"/>
      <c r="S30" s="278"/>
      <c r="T30" s="278"/>
      <c r="U30" s="382"/>
      <c r="V30" s="382"/>
      <c r="W30" s="382"/>
      <c r="X30" s="383"/>
    </row>
    <row r="31" spans="1:24" s="1" customFormat="1" ht="13.5" customHeight="1" x14ac:dyDescent="0.2">
      <c r="A31" s="53"/>
      <c r="B31" s="1811">
        <v>2</v>
      </c>
      <c r="C31" s="213" t="s">
        <v>520</v>
      </c>
      <c r="D31" s="921">
        <f>D32+D39+D41+D43+D42</f>
        <v>0</v>
      </c>
      <c r="E31" s="910">
        <f>IF(D$44=0,0,D31/D$44*100)</f>
        <v>0</v>
      </c>
      <c r="F31" s="921">
        <f>F32+F39+F41+F43+F42</f>
        <v>0</v>
      </c>
      <c r="G31" s="910">
        <f>IF(F$44=0,0,F31/F$44*100)</f>
        <v>0</v>
      </c>
      <c r="H31" s="921">
        <f>H32+H39+H41+H43+H42</f>
        <v>0</v>
      </c>
      <c r="I31" s="910">
        <f>IF(H$44=0,0,H31/H$44*100)</f>
        <v>0</v>
      </c>
      <c r="J31" s="921">
        <f>J32+J39+J41+J43+J42</f>
        <v>0</v>
      </c>
      <c r="K31" s="910">
        <f>IF(J$44=0,0,J31/J$44*100)</f>
        <v>0</v>
      </c>
      <c r="L31" s="3"/>
      <c r="M31" s="333"/>
      <c r="N31" s="278"/>
      <c r="O31" s="278"/>
      <c r="P31" s="278"/>
      <c r="Q31" s="278"/>
      <c r="R31" s="278"/>
      <c r="S31" s="278"/>
      <c r="T31" s="278"/>
      <c r="U31" s="382"/>
      <c r="V31" s="382"/>
      <c r="W31" s="382"/>
      <c r="X31" s="383"/>
    </row>
    <row r="32" spans="1:24" s="4" customFormat="1" ht="12.6" customHeight="1" x14ac:dyDescent="0.2">
      <c r="A32"/>
      <c r="B32" s="209"/>
      <c r="C32" s="1365" t="s">
        <v>521</v>
      </c>
      <c r="D32" s="821">
        <f>D34+D37+D38</f>
        <v>0</v>
      </c>
      <c r="E32" s="922"/>
      <c r="F32" s="821">
        <f>F34+F37+F38</f>
        <v>0</v>
      </c>
      <c r="G32" s="922"/>
      <c r="H32" s="821">
        <f>H34+H37+H38</f>
        <v>0</v>
      </c>
      <c r="I32" s="922"/>
      <c r="J32" s="821">
        <f>J34+J37+J38</f>
        <v>0</v>
      </c>
      <c r="K32" s="922"/>
      <c r="L32" s="32"/>
      <c r="M32" s="333"/>
      <c r="N32" s="278"/>
      <c r="O32" s="278"/>
      <c r="P32" s="278"/>
      <c r="Q32" s="278"/>
      <c r="R32" s="278"/>
      <c r="S32" s="278"/>
      <c r="T32" s="278"/>
      <c r="U32" s="382"/>
      <c r="V32" s="382"/>
      <c r="W32" s="382"/>
      <c r="X32" s="383"/>
    </row>
    <row r="33" spans="1:24" s="52" customFormat="1" ht="12.6" customHeight="1" x14ac:dyDescent="0.2">
      <c r="A33" s="53"/>
      <c r="B33" s="210"/>
      <c r="C33" s="211" t="s">
        <v>522</v>
      </c>
      <c r="D33" s="811">
        <v>0.17100000000000001</v>
      </c>
      <c r="E33" s="923"/>
      <c r="F33" s="924">
        <f>D33</f>
        <v>0.17100000000000001</v>
      </c>
      <c r="G33" s="925"/>
      <c r="H33" s="924">
        <f>F33</f>
        <v>0.17100000000000001</v>
      </c>
      <c r="I33" s="923"/>
      <c r="J33" s="924">
        <f>H33</f>
        <v>0.17100000000000001</v>
      </c>
      <c r="K33" s="923"/>
      <c r="L33" s="55"/>
      <c r="M33" s="333"/>
      <c r="N33" s="278"/>
      <c r="O33" s="278"/>
      <c r="P33" s="278"/>
      <c r="Q33" s="278"/>
      <c r="R33" s="278"/>
      <c r="S33" s="278"/>
      <c r="T33" s="278"/>
      <c r="U33" s="382"/>
      <c r="V33" s="382"/>
      <c r="W33" s="382"/>
      <c r="X33" s="383"/>
    </row>
    <row r="34" spans="1:24" s="52" customFormat="1" ht="12.6" customHeight="1" x14ac:dyDescent="0.2">
      <c r="A34"/>
      <c r="B34" s="210"/>
      <c r="C34" s="211" t="s">
        <v>523</v>
      </c>
      <c r="D34" s="926">
        <f>(D33)*(D17+D24+D22+D28)</f>
        <v>0</v>
      </c>
      <c r="E34" s="914"/>
      <c r="F34" s="926">
        <f>(F33)*(F17+F24+F22+F28)</f>
        <v>0</v>
      </c>
      <c r="G34" s="927"/>
      <c r="H34" s="926">
        <f>(H33)*(H17+H24+H22+H28)</f>
        <v>0</v>
      </c>
      <c r="I34" s="914"/>
      <c r="J34" s="926">
        <f>(J33)*(J17+J24+J22+J28)</f>
        <v>0</v>
      </c>
      <c r="K34" s="914"/>
      <c r="L34" s="55"/>
      <c r="M34" s="1458"/>
      <c r="N34" s="1459"/>
      <c r="O34" s="1459"/>
      <c r="P34" s="278"/>
      <c r="Q34" s="278"/>
      <c r="R34" s="278"/>
      <c r="S34" s="278"/>
      <c r="T34" s="278"/>
      <c r="U34" s="382"/>
      <c r="V34" s="382"/>
      <c r="W34" s="382"/>
      <c r="X34" s="383"/>
    </row>
    <row r="35" spans="1:24" s="52" customFormat="1" ht="12.6" customHeight="1" x14ac:dyDescent="0.2">
      <c r="A35" s="53"/>
      <c r="B35" s="210"/>
      <c r="C35" s="211" t="s">
        <v>783</v>
      </c>
      <c r="D35" s="928">
        <f>D12+D14*D15</f>
        <v>0</v>
      </c>
      <c r="E35" s="914"/>
      <c r="F35" s="928">
        <f>D35+D35*M35</f>
        <v>0</v>
      </c>
      <c r="G35" s="929"/>
      <c r="H35" s="928">
        <f>F35+F35*N35</f>
        <v>0</v>
      </c>
      <c r="I35" s="930"/>
      <c r="J35" s="928">
        <f>H35+H35*O35</f>
        <v>0</v>
      </c>
      <c r="K35" s="914"/>
      <c r="L35" s="55"/>
      <c r="M35" s="1386">
        <v>0.03</v>
      </c>
      <c r="N35" s="1386">
        <f>M35</f>
        <v>0.03</v>
      </c>
      <c r="O35" s="1386">
        <f>N35</f>
        <v>0.03</v>
      </c>
      <c r="P35" s="278"/>
      <c r="Q35" s="278"/>
      <c r="R35" s="278"/>
      <c r="S35" s="278"/>
      <c r="T35" s="278"/>
      <c r="U35" s="382"/>
      <c r="V35" s="382"/>
      <c r="W35" s="382"/>
      <c r="X35" s="383"/>
    </row>
    <row r="36" spans="1:24" s="52" customFormat="1" ht="12.6" customHeight="1" x14ac:dyDescent="0.2">
      <c r="A36" s="2"/>
      <c r="B36" s="210"/>
      <c r="C36" s="211" t="s">
        <v>524</v>
      </c>
      <c r="D36" s="811">
        <v>0.1903</v>
      </c>
      <c r="E36" s="923"/>
      <c r="F36" s="931">
        <f>D36</f>
        <v>0.1903</v>
      </c>
      <c r="G36" s="925"/>
      <c r="H36" s="931">
        <f>F36</f>
        <v>0.1903</v>
      </c>
      <c r="I36" s="923"/>
      <c r="J36" s="931">
        <f>H36</f>
        <v>0.1903</v>
      </c>
      <c r="K36" s="923"/>
      <c r="L36" s="55"/>
      <c r="M36" s="333"/>
      <c r="N36" s="278"/>
      <c r="O36" s="278"/>
      <c r="P36" s="278"/>
      <c r="Q36" s="278"/>
      <c r="R36" s="278"/>
      <c r="S36" s="278"/>
      <c r="T36" s="278"/>
      <c r="U36" s="382"/>
      <c r="V36" s="382"/>
      <c r="W36" s="382"/>
      <c r="X36" s="383"/>
    </row>
    <row r="37" spans="1:24" s="52" customFormat="1" ht="12.6" customHeight="1" x14ac:dyDescent="0.2">
      <c r="A37"/>
      <c r="B37" s="210"/>
      <c r="C37" s="211" t="s">
        <v>525</v>
      </c>
      <c r="D37" s="926">
        <f>IF(D35&gt;0,D35*D36,(D13+D14)*D15*D36)</f>
        <v>0</v>
      </c>
      <c r="E37" s="914"/>
      <c r="F37" s="926">
        <f>IF(F35&gt;0,F35*F36,(F13+F14)*F15*F36)</f>
        <v>0</v>
      </c>
      <c r="G37" s="927"/>
      <c r="H37" s="926">
        <f>IF(H35&gt;0,H35*H36,(H13+H14)*H15*H36)</f>
        <v>0</v>
      </c>
      <c r="I37" s="914"/>
      <c r="J37" s="926">
        <f>IF(J35&gt;0,J35*J36,(J13+J14)*J15*J36)</f>
        <v>0</v>
      </c>
      <c r="K37" s="914"/>
      <c r="L37" s="55"/>
      <c r="M37" s="333"/>
      <c r="N37" s="278"/>
      <c r="O37" s="278"/>
      <c r="P37" s="278"/>
      <c r="Q37" s="278"/>
      <c r="R37" s="278" t="s">
        <v>290</v>
      </c>
      <c r="S37" s="278"/>
      <c r="T37" s="278"/>
      <c r="U37" s="382"/>
      <c r="V37" s="382"/>
      <c r="W37" s="382"/>
      <c r="X37" s="383"/>
    </row>
    <row r="38" spans="1:24" s="52" customFormat="1" ht="12.6" customHeight="1" x14ac:dyDescent="0.2">
      <c r="A38" s="53"/>
      <c r="B38" s="210"/>
      <c r="C38" s="211" t="s">
        <v>526</v>
      </c>
      <c r="D38" s="913">
        <v>0</v>
      </c>
      <c r="E38" s="914"/>
      <c r="F38" s="913">
        <f>D38</f>
        <v>0</v>
      </c>
      <c r="G38" s="927"/>
      <c r="H38" s="913">
        <f>F38</f>
        <v>0</v>
      </c>
      <c r="I38" s="914"/>
      <c r="J38" s="913">
        <f>H38</f>
        <v>0</v>
      </c>
      <c r="K38" s="914"/>
      <c r="L38" s="55"/>
      <c r="M38" s="333"/>
      <c r="N38" s="278"/>
      <c r="O38" s="278"/>
      <c r="P38" s="278"/>
      <c r="Q38" s="278"/>
      <c r="R38" s="278"/>
      <c r="S38" s="278"/>
      <c r="T38" s="278"/>
      <c r="U38" s="382"/>
      <c r="V38" s="382"/>
      <c r="W38" s="382"/>
      <c r="X38" s="383"/>
    </row>
    <row r="39" spans="1:24" s="4" customFormat="1" x14ac:dyDescent="0.2">
      <c r="A39"/>
      <c r="B39" s="209"/>
      <c r="C39" s="1365" t="s">
        <v>528</v>
      </c>
      <c r="D39" s="926">
        <f>(D40)*(D17+D24+D22+D28)</f>
        <v>0</v>
      </c>
      <c r="E39" s="922"/>
      <c r="F39" s="926">
        <f>(F40)*(F17+F24+F22+F28)</f>
        <v>0</v>
      </c>
      <c r="G39" s="932"/>
      <c r="H39" s="926">
        <f>(H40)*(H17+H24+H22+H28)</f>
        <v>0</v>
      </c>
      <c r="I39" s="922"/>
      <c r="J39" s="926">
        <f>(J40)*(J17+J24+J22+J28)</f>
        <v>0</v>
      </c>
      <c r="K39" s="922"/>
      <c r="L39" s="32"/>
      <c r="M39" s="333">
        <v>0</v>
      </c>
      <c r="N39" s="278"/>
      <c r="O39" s="278"/>
      <c r="P39" s="278"/>
      <c r="Q39" s="278"/>
      <c r="R39" s="278"/>
      <c r="S39" s="278"/>
      <c r="T39" s="278"/>
      <c r="U39" s="382"/>
      <c r="V39" s="382"/>
      <c r="W39" s="382"/>
      <c r="X39" s="383"/>
    </row>
    <row r="40" spans="1:24" s="52" customFormat="1" ht="12.6" customHeight="1" x14ac:dyDescent="0.2">
      <c r="A40" s="53"/>
      <c r="B40" s="210"/>
      <c r="C40" s="211" t="s">
        <v>527</v>
      </c>
      <c r="D40" s="811">
        <v>2.7900000000000001E-2</v>
      </c>
      <c r="E40" s="923"/>
      <c r="F40" s="924">
        <f>D40</f>
        <v>2.7900000000000001E-2</v>
      </c>
      <c r="G40" s="925"/>
      <c r="H40" s="924">
        <f>F40</f>
        <v>2.7900000000000001E-2</v>
      </c>
      <c r="I40" s="923"/>
      <c r="J40" s="924">
        <f>H40</f>
        <v>2.7900000000000001E-2</v>
      </c>
      <c r="K40" s="923"/>
      <c r="L40" s="55"/>
      <c r="M40" s="333"/>
      <c r="N40" s="278"/>
      <c r="O40" s="278"/>
      <c r="P40" s="278"/>
      <c r="Q40" s="278"/>
      <c r="R40" s="278"/>
      <c r="S40" s="278"/>
      <c r="T40" s="278"/>
      <c r="U40" s="382"/>
      <c r="V40" s="382"/>
      <c r="W40" s="382"/>
      <c r="X40" s="383"/>
    </row>
    <row r="41" spans="1:24" s="52" customFormat="1" ht="12.6" customHeight="1" x14ac:dyDescent="0.2">
      <c r="A41" s="2"/>
      <c r="B41" s="210"/>
      <c r="C41" s="1366" t="s">
        <v>529</v>
      </c>
      <c r="D41" s="821">
        <f>1.7%*D35+1.91%*(D12+D14*D15)</f>
        <v>0</v>
      </c>
      <c r="E41" s="922"/>
      <c r="F41" s="821">
        <f>1.7%*F35+1.91%*(F12+F14*F15)</f>
        <v>0</v>
      </c>
      <c r="G41" s="933"/>
      <c r="H41" s="821">
        <f>1.7%*H35+1.91%*(H12+H14*H15)</f>
        <v>0</v>
      </c>
      <c r="I41" s="922"/>
      <c r="J41" s="821">
        <f>1.7%*J35+1.91%*(J12+J14*J15)</f>
        <v>0</v>
      </c>
      <c r="K41" s="922"/>
      <c r="L41" s="55"/>
      <c r="M41" s="1394"/>
      <c r="P41" s="278"/>
      <c r="Q41" s="278"/>
      <c r="R41" s="278"/>
      <c r="S41" s="278"/>
      <c r="T41" s="278"/>
      <c r="U41" s="382"/>
      <c r="V41" s="382"/>
      <c r="W41" s="382"/>
      <c r="X41" s="383"/>
    </row>
    <row r="42" spans="1:24" s="52" customFormat="1" ht="12.6" customHeight="1" x14ac:dyDescent="0.2">
      <c r="A42" s="53"/>
      <c r="B42" s="210"/>
      <c r="C42" s="1366" t="s">
        <v>530</v>
      </c>
      <c r="D42" s="934">
        <f>0.008*'2. T7 LOANS'!$F32</f>
        <v>0</v>
      </c>
      <c r="E42" s="935"/>
      <c r="F42" s="934">
        <f>D42+D42*M42</f>
        <v>0</v>
      </c>
      <c r="G42" s="936"/>
      <c r="H42" s="934">
        <f>F42+F42*N42</f>
        <v>0</v>
      </c>
      <c r="I42" s="935"/>
      <c r="J42" s="934">
        <f>H42+H42*O42</f>
        <v>0</v>
      </c>
      <c r="K42" s="922"/>
      <c r="L42" s="55"/>
      <c r="M42" s="336">
        <v>0.03</v>
      </c>
      <c r="N42" s="336">
        <f>M42</f>
        <v>0.03</v>
      </c>
      <c r="O42" s="336">
        <f>N42</f>
        <v>0.03</v>
      </c>
      <c r="P42" s="278"/>
      <c r="Q42" s="278"/>
      <c r="R42" s="278"/>
      <c r="S42" s="278"/>
      <c r="T42" s="278"/>
      <c r="U42" s="382"/>
      <c r="V42" s="382"/>
      <c r="W42" s="382"/>
      <c r="X42" s="383"/>
    </row>
    <row r="43" spans="1:24" s="52" customFormat="1" ht="12.6" customHeight="1" x14ac:dyDescent="0.2">
      <c r="A43"/>
      <c r="B43" s="210"/>
      <c r="C43" s="1365" t="s">
        <v>531</v>
      </c>
      <c r="D43" s="819">
        <v>0</v>
      </c>
      <c r="E43" s="922"/>
      <c r="F43" s="819">
        <f>D43+D43*M43</f>
        <v>0</v>
      </c>
      <c r="G43" s="922"/>
      <c r="H43" s="819">
        <f>F43+F43*N43</f>
        <v>0</v>
      </c>
      <c r="I43" s="922"/>
      <c r="J43" s="819">
        <f>H43+H43*O43</f>
        <v>0</v>
      </c>
      <c r="K43" s="922"/>
      <c r="L43" s="55"/>
      <c r="M43" s="336">
        <v>0.03</v>
      </c>
      <c r="N43" s="336">
        <f>M43</f>
        <v>0.03</v>
      </c>
      <c r="O43" s="336">
        <f>N43</f>
        <v>0.03</v>
      </c>
      <c r="P43" s="278"/>
      <c r="Q43" s="278"/>
      <c r="R43" s="278"/>
      <c r="S43" s="278"/>
      <c r="T43" s="278"/>
      <c r="U43" s="382"/>
      <c r="V43" s="382"/>
      <c r="W43" s="382"/>
      <c r="X43" s="383"/>
    </row>
    <row r="44" spans="1:24" s="52" customFormat="1" ht="12.6" customHeight="1" thickBot="1" x14ac:dyDescent="0.25">
      <c r="A44" s="53"/>
      <c r="B44" s="212"/>
      <c r="C44" s="1367" t="s">
        <v>532</v>
      </c>
      <c r="D44" s="937">
        <f>D31+D11</f>
        <v>0</v>
      </c>
      <c r="E44" s="938">
        <v>100</v>
      </c>
      <c r="F44" s="937">
        <f>F31+F11</f>
        <v>0</v>
      </c>
      <c r="G44" s="938">
        <v>100</v>
      </c>
      <c r="H44" s="937">
        <f>H31+H11</f>
        <v>0</v>
      </c>
      <c r="I44" s="938">
        <v>100</v>
      </c>
      <c r="J44" s="937">
        <f>J31+J11</f>
        <v>0</v>
      </c>
      <c r="K44" s="938">
        <v>100</v>
      </c>
      <c r="L44" s="55"/>
      <c r="M44" s="333"/>
      <c r="N44" s="278"/>
      <c r="O44" s="278"/>
      <c r="P44" s="278"/>
      <c r="Q44" s="278"/>
      <c r="R44" s="278"/>
      <c r="S44" s="278"/>
      <c r="T44" s="278"/>
      <c r="U44" s="382"/>
      <c r="V44" s="382"/>
      <c r="W44" s="382"/>
      <c r="X44" s="383"/>
    </row>
    <row r="45" spans="1:24" s="1" customFormat="1" ht="13.5" thickBot="1" x14ac:dyDescent="0.25">
      <c r="A45"/>
      <c r="B45" s="1811">
        <v>3</v>
      </c>
      <c r="C45" s="215" t="s">
        <v>533</v>
      </c>
      <c r="D45" s="939">
        <f>D46+D52+D65+D71+D76+D82+D86+D90+D93+D94+D95+D101+D106+D111+D115+D120+D124+D125+D126+D127+D129+D130+D131+D128</f>
        <v>0</v>
      </c>
      <c r="E45" s="940">
        <v>100</v>
      </c>
      <c r="F45" s="941">
        <f>F46+F52+F65+F71+F76+F82+F86+F90+F93+F94+F95+F101+F106+F111+F115+F120+F124+F125+F126+F127+F129+F130+F131+F128</f>
        <v>0</v>
      </c>
      <c r="G45" s="942">
        <v>100</v>
      </c>
      <c r="H45" s="941">
        <f>H46+H52+H65+H71+H76+H82+H86+H90+H93+H94+H95+H101+H106+H111+H115+H120+H124+H125+H126+H127+H129+H130+H131+H128</f>
        <v>0</v>
      </c>
      <c r="I45" s="942">
        <v>100</v>
      </c>
      <c r="J45" s="941">
        <f>J46+J52+J65+J71+J76+J82+J86+J90+J93+J94+J95+J101+J106+J111+J115+J120+J124+J125+J126+J127+J129+J130+J131+J128</f>
        <v>0</v>
      </c>
      <c r="K45" s="942">
        <v>100</v>
      </c>
      <c r="L45" s="3"/>
      <c r="M45" s="333"/>
      <c r="N45" s="278"/>
      <c r="O45" s="278"/>
      <c r="P45" s="278"/>
      <c r="Q45" s="278"/>
      <c r="R45" s="278"/>
      <c r="S45" s="278"/>
      <c r="T45" s="278"/>
      <c r="U45" s="382"/>
      <c r="V45" s="382"/>
      <c r="W45" s="382"/>
      <c r="X45" s="383"/>
    </row>
    <row r="46" spans="1:24" s="4" customFormat="1" ht="12.75" customHeight="1" x14ac:dyDescent="0.2">
      <c r="A46" s="53"/>
      <c r="B46" s="209" t="s">
        <v>0</v>
      </c>
      <c r="C46" s="216" t="s">
        <v>612</v>
      </c>
      <c r="D46" s="943">
        <f>SUM(D47:D51)</f>
        <v>0</v>
      </c>
      <c r="E46" s="944">
        <f>IF(D$45=0,0,100*D46/D$45)</f>
        <v>0</v>
      </c>
      <c r="F46" s="943">
        <f>SUM(F47:F51)</f>
        <v>0</v>
      </c>
      <c r="G46" s="944">
        <f>IF(F$45=0,0,100*F46/F$45)</f>
        <v>0</v>
      </c>
      <c r="H46" s="943">
        <f>SUM(H47:H51)</f>
        <v>0</v>
      </c>
      <c r="I46" s="944">
        <f>IF(H$45=0,0,100*H46/H$45)</f>
        <v>0</v>
      </c>
      <c r="J46" s="943">
        <f>SUM(J47:J51)</f>
        <v>0</v>
      </c>
      <c r="K46" s="944">
        <f>IF(J$45=0,0,100*J46/J$45)</f>
        <v>0</v>
      </c>
      <c r="L46" s="51"/>
      <c r="M46" s="251">
        <f>F$8</f>
        <v>2028</v>
      </c>
      <c r="N46" s="251">
        <f>H$8</f>
        <v>2029</v>
      </c>
      <c r="O46" s="251">
        <f>J$8</f>
        <v>2030</v>
      </c>
      <c r="P46" s="278"/>
      <c r="Q46" s="278"/>
      <c r="R46" s="278"/>
      <c r="S46" s="278"/>
      <c r="T46" s="278"/>
      <c r="U46" s="382"/>
      <c r="V46" s="382"/>
      <c r="W46" s="382"/>
      <c r="X46" s="383"/>
    </row>
    <row r="47" spans="1:24" s="52" customFormat="1" ht="12.6" customHeight="1" x14ac:dyDescent="0.2">
      <c r="A47" s="2"/>
      <c r="B47" s="210"/>
      <c r="C47" s="211" t="s">
        <v>534</v>
      </c>
      <c r="D47" s="913">
        <v>0</v>
      </c>
      <c r="E47" s="914"/>
      <c r="F47" s="913">
        <f>D47+D47*M47</f>
        <v>0</v>
      </c>
      <c r="G47" s="914"/>
      <c r="H47" s="913">
        <f>F47+F47*N47</f>
        <v>0</v>
      </c>
      <c r="I47" s="914"/>
      <c r="J47" s="913">
        <f>H47+H47*O47</f>
        <v>0</v>
      </c>
      <c r="K47" s="914"/>
      <c r="L47" s="56"/>
      <c r="M47" s="336">
        <v>0.03</v>
      </c>
      <c r="N47" s="336">
        <f t="shared" ref="N47:O51" si="0">M47</f>
        <v>0.03</v>
      </c>
      <c r="O47" s="336">
        <f t="shared" si="0"/>
        <v>0.03</v>
      </c>
      <c r="P47" s="278"/>
      <c r="Q47" s="278"/>
      <c r="R47" s="278"/>
      <c r="S47" s="278"/>
      <c r="T47" s="278"/>
      <c r="U47" s="382"/>
      <c r="V47" s="382"/>
      <c r="W47" s="382"/>
      <c r="X47" s="383"/>
    </row>
    <row r="48" spans="1:24" s="52" customFormat="1" ht="12.6" customHeight="1" x14ac:dyDescent="0.2">
      <c r="A48" s="53"/>
      <c r="B48" s="210"/>
      <c r="C48" s="211" t="s">
        <v>535</v>
      </c>
      <c r="D48" s="913">
        <v>0</v>
      </c>
      <c r="E48" s="914"/>
      <c r="F48" s="913">
        <f>D48+D48*M48</f>
        <v>0</v>
      </c>
      <c r="G48" s="914"/>
      <c r="H48" s="913">
        <f>F48+F48*N48</f>
        <v>0</v>
      </c>
      <c r="I48" s="914"/>
      <c r="J48" s="913">
        <f>H48+H48*O48</f>
        <v>0</v>
      </c>
      <c r="K48" s="914"/>
      <c r="L48" s="55"/>
      <c r="M48" s="336">
        <v>0.03</v>
      </c>
      <c r="N48" s="336">
        <f t="shared" si="0"/>
        <v>0.03</v>
      </c>
      <c r="O48" s="336">
        <f t="shared" si="0"/>
        <v>0.03</v>
      </c>
      <c r="P48" s="278"/>
      <c r="Q48" s="278"/>
      <c r="R48" s="278"/>
      <c r="S48" s="278"/>
      <c r="T48" s="278"/>
      <c r="U48" s="382"/>
      <c r="V48" s="382"/>
      <c r="W48" s="382"/>
      <c r="X48" s="383"/>
    </row>
    <row r="49" spans="1:24" s="52" customFormat="1" ht="12.6" customHeight="1" x14ac:dyDescent="0.2">
      <c r="A49"/>
      <c r="B49" s="210"/>
      <c r="C49" s="211" t="s">
        <v>536</v>
      </c>
      <c r="D49" s="913">
        <v>0</v>
      </c>
      <c r="E49" s="914"/>
      <c r="F49" s="913">
        <f>D49+D49*M49</f>
        <v>0</v>
      </c>
      <c r="G49" s="914"/>
      <c r="H49" s="913">
        <f>F49+F49*N49</f>
        <v>0</v>
      </c>
      <c r="I49" s="914"/>
      <c r="J49" s="913">
        <f>H49+H49*O49</f>
        <v>0</v>
      </c>
      <c r="K49" s="914"/>
      <c r="L49" s="55"/>
      <c r="M49" s="336">
        <v>0.03</v>
      </c>
      <c r="N49" s="336">
        <f t="shared" si="0"/>
        <v>0.03</v>
      </c>
      <c r="O49" s="336">
        <f t="shared" si="0"/>
        <v>0.03</v>
      </c>
      <c r="P49" s="278"/>
      <c r="Q49" s="278"/>
      <c r="R49" s="278"/>
      <c r="S49" s="278"/>
      <c r="T49" s="278"/>
      <c r="U49" s="382"/>
      <c r="V49" s="382"/>
      <c r="W49" s="382"/>
      <c r="X49" s="383"/>
    </row>
    <row r="50" spans="1:24" s="52" customFormat="1" ht="12.6" customHeight="1" x14ac:dyDescent="0.2">
      <c r="A50" s="53"/>
      <c r="B50" s="210"/>
      <c r="C50" s="211" t="s">
        <v>537</v>
      </c>
      <c r="D50" s="913">
        <v>0</v>
      </c>
      <c r="E50" s="914"/>
      <c r="F50" s="913">
        <f>D50+D50*M50</f>
        <v>0</v>
      </c>
      <c r="G50" s="914"/>
      <c r="H50" s="913">
        <f>F50+F50*N50</f>
        <v>0</v>
      </c>
      <c r="I50" s="914"/>
      <c r="J50" s="913">
        <f>H50+H50*O50</f>
        <v>0</v>
      </c>
      <c r="K50" s="914"/>
      <c r="L50" s="55"/>
      <c r="M50" s="336">
        <v>0.03</v>
      </c>
      <c r="N50" s="336">
        <f t="shared" si="0"/>
        <v>0.03</v>
      </c>
      <c r="O50" s="336">
        <f t="shared" si="0"/>
        <v>0.03</v>
      </c>
      <c r="P50" s="278"/>
      <c r="Q50" s="278"/>
      <c r="R50" s="278"/>
      <c r="S50" s="278"/>
      <c r="T50" s="278"/>
      <c r="U50" s="382"/>
      <c r="V50" s="382"/>
      <c r="W50" s="382"/>
      <c r="X50" s="383"/>
    </row>
    <row r="51" spans="1:24" s="52" customFormat="1" ht="12.6" customHeight="1" thickBot="1" x14ac:dyDescent="0.25">
      <c r="A51"/>
      <c r="B51" s="210"/>
      <c r="C51" s="220" t="s">
        <v>538</v>
      </c>
      <c r="D51" s="913">
        <v>0</v>
      </c>
      <c r="E51" s="945"/>
      <c r="F51" s="913">
        <f>D51+D51*M51</f>
        <v>0</v>
      </c>
      <c r="G51" s="945"/>
      <c r="H51" s="946">
        <f>F51+F51*N51</f>
        <v>0</v>
      </c>
      <c r="I51" s="945"/>
      <c r="J51" s="946">
        <f>H51+H51*O51</f>
        <v>0</v>
      </c>
      <c r="K51" s="945"/>
      <c r="L51" s="55"/>
      <c r="M51" s="336">
        <v>0.03</v>
      </c>
      <c r="N51" s="336">
        <f t="shared" si="0"/>
        <v>0.03</v>
      </c>
      <c r="O51" s="336">
        <f t="shared" si="0"/>
        <v>0.03</v>
      </c>
      <c r="P51" s="278"/>
      <c r="Q51" s="278"/>
      <c r="R51" s="278"/>
      <c r="S51" s="278"/>
      <c r="T51" s="278"/>
      <c r="U51" s="382"/>
      <c r="V51" s="382"/>
      <c r="W51" s="382"/>
      <c r="X51" s="383"/>
    </row>
    <row r="52" spans="1:24" s="4" customFormat="1" ht="12.75" customHeight="1" x14ac:dyDescent="0.2">
      <c r="A52" s="53"/>
      <c r="B52" s="308" t="s">
        <v>0</v>
      </c>
      <c r="C52" s="1840" t="s">
        <v>611</v>
      </c>
      <c r="D52" s="1732">
        <f>D53+D56+D57+D58+D59+D60+D61+D62+D63*0.003+D64</f>
        <v>0</v>
      </c>
      <c r="E52" s="1733">
        <f>IF(D$45=0,0,100*D52/D$45)</f>
        <v>0</v>
      </c>
      <c r="F52" s="1732">
        <f>F53+F56+F57+F58+F59+F60+F61+F62+F63*0.003+F64</f>
        <v>0</v>
      </c>
      <c r="G52" s="1733">
        <f>IF(F$45=0,0,100*F52/F$45)</f>
        <v>0</v>
      </c>
      <c r="H52" s="1732">
        <f>H53+H56+H57+H58+H59+H60+H61+H62+H63*0.003+H64</f>
        <v>0</v>
      </c>
      <c r="I52" s="1733">
        <f>IF(H$45=0,0,100*H52/H$45)</f>
        <v>0</v>
      </c>
      <c r="J52" s="1732">
        <f>J53+J56+J57+J58+J59+J60+J61+J62+J63*0.003+J64</f>
        <v>0</v>
      </c>
      <c r="K52" s="1733">
        <f>IF(J$45=0,0,100*J52/J$45)</f>
        <v>0</v>
      </c>
      <c r="L52" s="51"/>
      <c r="M52" s="1392"/>
      <c r="N52" s="1391"/>
      <c r="O52" s="1391"/>
      <c r="P52" s="278"/>
      <c r="Q52" s="278"/>
      <c r="R52" s="278" t="s">
        <v>0</v>
      </c>
      <c r="S52" s="278"/>
      <c r="T52" s="278"/>
      <c r="U52" s="382"/>
      <c r="V52" s="382"/>
      <c r="W52" s="382"/>
      <c r="X52" s="383"/>
    </row>
    <row r="53" spans="1:24" s="52" customFormat="1" ht="12.6" customHeight="1" x14ac:dyDescent="0.2">
      <c r="A53" s="2"/>
      <c r="B53" s="217"/>
      <c r="C53" s="211" t="s">
        <v>539</v>
      </c>
      <c r="D53" s="926">
        <f>D54*D55</f>
        <v>0</v>
      </c>
      <c r="E53" s="914"/>
      <c r="F53" s="926">
        <f>F54*F55</f>
        <v>0</v>
      </c>
      <c r="G53" s="914"/>
      <c r="H53" s="926">
        <f>H54*H55</f>
        <v>0</v>
      </c>
      <c r="I53" s="914"/>
      <c r="J53" s="926">
        <f>J54*J55</f>
        <v>0</v>
      </c>
      <c r="K53" s="914"/>
      <c r="L53" s="56"/>
      <c r="M53" s="336">
        <v>0.03</v>
      </c>
      <c r="N53" s="336">
        <f t="shared" ref="N53:O64" si="1">M53</f>
        <v>0.03</v>
      </c>
      <c r="O53" s="336">
        <f t="shared" si="1"/>
        <v>0.03</v>
      </c>
      <c r="P53" s="278" t="s">
        <v>0</v>
      </c>
      <c r="Q53" s="278"/>
      <c r="R53" s="278"/>
      <c r="S53" s="278"/>
      <c r="T53" s="278"/>
      <c r="U53" s="382"/>
      <c r="V53" s="382"/>
      <c r="W53" s="382"/>
      <c r="X53" s="383"/>
    </row>
    <row r="54" spans="1:24" s="52" customFormat="1" ht="12.6" customHeight="1" x14ac:dyDescent="0.2">
      <c r="A54" s="53"/>
      <c r="B54" s="217"/>
      <c r="C54" s="211" t="s">
        <v>540</v>
      </c>
      <c r="D54" s="913">
        <v>0</v>
      </c>
      <c r="E54" s="914"/>
      <c r="F54" s="913">
        <f>D54+D54*M54</f>
        <v>0</v>
      </c>
      <c r="G54" s="914"/>
      <c r="H54" s="913">
        <f>F54+F54*N54</f>
        <v>0</v>
      </c>
      <c r="I54" s="914"/>
      <c r="J54" s="913">
        <f>H54+H54*O54</f>
        <v>0</v>
      </c>
      <c r="K54" s="914"/>
      <c r="L54" s="56"/>
      <c r="M54" s="1388">
        <v>0.03</v>
      </c>
      <c r="N54" s="1388">
        <v>0.03</v>
      </c>
      <c r="O54" s="1388">
        <v>0.03</v>
      </c>
      <c r="P54" s="278"/>
      <c r="Q54" s="278"/>
      <c r="R54" s="278"/>
      <c r="S54" s="278"/>
      <c r="T54" s="278"/>
      <c r="U54" s="382"/>
      <c r="V54" s="382"/>
      <c r="W54" s="382"/>
      <c r="X54" s="383"/>
    </row>
    <row r="55" spans="1:24" s="52" customFormat="1" ht="12.6" customHeight="1" x14ac:dyDescent="0.2">
      <c r="A55"/>
      <c r="B55" s="217"/>
      <c r="C55" s="211" t="s">
        <v>541</v>
      </c>
      <c r="D55" s="913">
        <v>12</v>
      </c>
      <c r="E55" s="914"/>
      <c r="F55" s="913" t="str">
        <f>F10</f>
        <v>12</v>
      </c>
      <c r="G55" s="914"/>
      <c r="H55" s="913" t="str">
        <f>F55</f>
        <v>12</v>
      </c>
      <c r="I55" s="914"/>
      <c r="J55" s="913" t="str">
        <f>H55</f>
        <v>12</v>
      </c>
      <c r="K55" s="914"/>
      <c r="L55" s="56"/>
      <c r="M55" s="1392"/>
      <c r="N55" s="1393"/>
      <c r="O55" s="1393"/>
      <c r="P55" s="278"/>
      <c r="Q55" s="278"/>
      <c r="R55" s="278"/>
      <c r="S55" s="278"/>
      <c r="T55" s="278"/>
      <c r="U55" s="382"/>
      <c r="V55" s="382"/>
      <c r="W55" s="382"/>
      <c r="X55" s="383"/>
    </row>
    <row r="56" spans="1:24" s="52" customFormat="1" ht="12.6" customHeight="1" x14ac:dyDescent="0.2">
      <c r="A56" s="53"/>
      <c r="B56" s="210"/>
      <c r="C56" s="211" t="s">
        <v>542</v>
      </c>
      <c r="D56" s="913">
        <v>0</v>
      </c>
      <c r="E56" s="914"/>
      <c r="F56" s="913">
        <f t="shared" ref="F56:F64" si="2">D56+D56*M56</f>
        <v>0</v>
      </c>
      <c r="G56" s="914"/>
      <c r="H56" s="913">
        <f t="shared" ref="H56:H64" si="3">F56+F56*N56</f>
        <v>0</v>
      </c>
      <c r="I56" s="914"/>
      <c r="J56" s="913">
        <f t="shared" ref="J56:J64" si="4">H56+H56*O56</f>
        <v>0</v>
      </c>
      <c r="K56" s="914"/>
      <c r="L56" s="57"/>
      <c r="M56" s="1386">
        <v>0.03</v>
      </c>
      <c r="N56" s="1386">
        <f t="shared" si="1"/>
        <v>0.03</v>
      </c>
      <c r="O56" s="1386">
        <f t="shared" si="1"/>
        <v>0.03</v>
      </c>
      <c r="P56" s="278"/>
      <c r="Q56" s="278"/>
      <c r="R56" s="278"/>
      <c r="S56" s="278"/>
      <c r="T56" s="278"/>
      <c r="U56" s="382"/>
      <c r="V56" s="382"/>
      <c r="W56" s="382"/>
      <c r="X56" s="383"/>
    </row>
    <row r="57" spans="1:24" s="52" customFormat="1" ht="12.6" customHeight="1" x14ac:dyDescent="0.2">
      <c r="A57" s="2"/>
      <c r="B57" s="210"/>
      <c r="C57" s="211" t="s">
        <v>543</v>
      </c>
      <c r="D57" s="913">
        <v>0</v>
      </c>
      <c r="E57" s="914"/>
      <c r="F57" s="913">
        <f t="shared" si="2"/>
        <v>0</v>
      </c>
      <c r="G57" s="914"/>
      <c r="H57" s="913">
        <f t="shared" si="3"/>
        <v>0</v>
      </c>
      <c r="I57" s="914"/>
      <c r="J57" s="913">
        <f t="shared" si="4"/>
        <v>0</v>
      </c>
      <c r="K57" s="914"/>
      <c r="L57" s="57"/>
      <c r="M57" s="336">
        <v>0.03</v>
      </c>
      <c r="N57" s="336">
        <f t="shared" si="1"/>
        <v>0.03</v>
      </c>
      <c r="O57" s="336">
        <f t="shared" si="1"/>
        <v>0.03</v>
      </c>
      <c r="P57" s="278"/>
      <c r="Q57" s="278"/>
      <c r="R57" s="278"/>
      <c r="S57" s="278"/>
      <c r="T57" s="278"/>
      <c r="U57" s="382"/>
      <c r="V57" s="382"/>
      <c r="W57" s="382"/>
      <c r="X57" s="383"/>
    </row>
    <row r="58" spans="1:24" s="52" customFormat="1" ht="12.6" customHeight="1" x14ac:dyDescent="0.2">
      <c r="A58" s="53"/>
      <c r="B58" s="210"/>
      <c r="C58" s="211" t="s">
        <v>544</v>
      </c>
      <c r="D58" s="913">
        <v>0</v>
      </c>
      <c r="E58" s="914"/>
      <c r="F58" s="913">
        <f t="shared" si="2"/>
        <v>0</v>
      </c>
      <c r="G58" s="914"/>
      <c r="H58" s="913">
        <f t="shared" si="3"/>
        <v>0</v>
      </c>
      <c r="I58" s="914"/>
      <c r="J58" s="913">
        <f t="shared" si="4"/>
        <v>0</v>
      </c>
      <c r="K58" s="914"/>
      <c r="L58" s="57"/>
      <c r="M58" s="336">
        <v>0.03</v>
      </c>
      <c r="N58" s="336">
        <f t="shared" si="1"/>
        <v>0.03</v>
      </c>
      <c r="O58" s="336">
        <f t="shared" si="1"/>
        <v>0.03</v>
      </c>
      <c r="P58" s="278"/>
      <c r="Q58" s="278"/>
      <c r="R58" s="278"/>
      <c r="S58" s="278"/>
      <c r="T58" s="278"/>
      <c r="U58" s="382"/>
      <c r="V58" s="382"/>
      <c r="W58" s="382"/>
      <c r="X58" s="383"/>
    </row>
    <row r="59" spans="1:24" s="52" customFormat="1" ht="12.6" customHeight="1" x14ac:dyDescent="0.2">
      <c r="A59" s="4"/>
      <c r="B59" s="210"/>
      <c r="C59" s="211" t="s">
        <v>545</v>
      </c>
      <c r="D59" s="913">
        <v>0</v>
      </c>
      <c r="E59" s="914"/>
      <c r="F59" s="913">
        <f t="shared" si="2"/>
        <v>0</v>
      </c>
      <c r="G59" s="914"/>
      <c r="H59" s="913">
        <f t="shared" si="3"/>
        <v>0</v>
      </c>
      <c r="I59" s="914"/>
      <c r="J59" s="913">
        <f t="shared" si="4"/>
        <v>0</v>
      </c>
      <c r="K59" s="914"/>
      <c r="L59" s="57"/>
      <c r="M59" s="336">
        <v>0.03</v>
      </c>
      <c r="N59" s="336">
        <f t="shared" si="1"/>
        <v>0.03</v>
      </c>
      <c r="O59" s="336">
        <f t="shared" si="1"/>
        <v>0.03</v>
      </c>
      <c r="P59" s="278"/>
      <c r="Q59" s="278"/>
      <c r="R59" s="278"/>
      <c r="S59" s="278"/>
      <c r="T59" s="278"/>
      <c r="U59" s="382"/>
      <c r="V59" s="382"/>
      <c r="W59" s="382"/>
      <c r="X59" s="383"/>
    </row>
    <row r="60" spans="1:24" s="52" customFormat="1" ht="12.6" customHeight="1" x14ac:dyDescent="0.2">
      <c r="A60" s="4"/>
      <c r="B60" s="210"/>
      <c r="C60" s="211" t="s">
        <v>546</v>
      </c>
      <c r="D60" s="913">
        <v>0</v>
      </c>
      <c r="E60" s="914"/>
      <c r="F60" s="913">
        <f t="shared" si="2"/>
        <v>0</v>
      </c>
      <c r="G60" s="914"/>
      <c r="H60" s="913">
        <f t="shared" si="3"/>
        <v>0</v>
      </c>
      <c r="I60" s="914"/>
      <c r="J60" s="913">
        <f t="shared" si="4"/>
        <v>0</v>
      </c>
      <c r="K60" s="914"/>
      <c r="L60" s="57"/>
      <c r="M60" s="336">
        <v>0.03</v>
      </c>
      <c r="N60" s="336">
        <f t="shared" si="1"/>
        <v>0.03</v>
      </c>
      <c r="O60" s="336">
        <f t="shared" si="1"/>
        <v>0.03</v>
      </c>
      <c r="P60" s="278"/>
      <c r="Q60" s="278"/>
      <c r="R60" s="278"/>
      <c r="S60" s="278"/>
      <c r="T60" s="278"/>
      <c r="U60" s="382"/>
      <c r="V60" s="382"/>
      <c r="W60" s="382"/>
      <c r="X60" s="383"/>
    </row>
    <row r="61" spans="1:24" s="52" customFormat="1" ht="12.6" customHeight="1" x14ac:dyDescent="0.2">
      <c r="B61" s="210"/>
      <c r="C61" s="211" t="s">
        <v>547</v>
      </c>
      <c r="D61" s="913">
        <v>0</v>
      </c>
      <c r="E61" s="914"/>
      <c r="F61" s="913">
        <f t="shared" si="2"/>
        <v>0</v>
      </c>
      <c r="G61" s="914"/>
      <c r="H61" s="913">
        <f t="shared" si="3"/>
        <v>0</v>
      </c>
      <c r="I61" s="914"/>
      <c r="J61" s="913">
        <f t="shared" si="4"/>
        <v>0</v>
      </c>
      <c r="K61" s="914"/>
      <c r="L61" s="57"/>
      <c r="M61" s="336">
        <v>0.03</v>
      </c>
      <c r="N61" s="336">
        <f t="shared" si="1"/>
        <v>0.03</v>
      </c>
      <c r="O61" s="336">
        <f t="shared" si="1"/>
        <v>0.03</v>
      </c>
      <c r="P61" s="278"/>
      <c r="Q61" s="278"/>
      <c r="R61" s="278"/>
      <c r="S61" s="278"/>
      <c r="T61" s="278"/>
      <c r="U61" s="382"/>
      <c r="V61" s="382"/>
      <c r="W61" s="382"/>
      <c r="X61" s="383"/>
    </row>
    <row r="62" spans="1:24" s="52" customFormat="1" ht="12.6" customHeight="1" x14ac:dyDescent="0.2">
      <c r="B62" s="210"/>
      <c r="C62" s="211" t="s">
        <v>548</v>
      </c>
      <c r="D62" s="913">
        <v>0</v>
      </c>
      <c r="E62" s="914"/>
      <c r="F62" s="913">
        <f t="shared" si="2"/>
        <v>0</v>
      </c>
      <c r="G62" s="914"/>
      <c r="H62" s="913">
        <f t="shared" si="3"/>
        <v>0</v>
      </c>
      <c r="I62" s="914"/>
      <c r="J62" s="913">
        <f t="shared" si="4"/>
        <v>0</v>
      </c>
      <c r="K62" s="914"/>
      <c r="L62" s="57"/>
      <c r="M62" s="336">
        <v>0.03</v>
      </c>
      <c r="N62" s="336">
        <f t="shared" si="1"/>
        <v>0.03</v>
      </c>
      <c r="O62" s="336">
        <f t="shared" si="1"/>
        <v>0.03</v>
      </c>
      <c r="P62" s="278"/>
      <c r="Q62" s="278"/>
      <c r="R62" s="278"/>
      <c r="S62" s="278"/>
      <c r="T62" s="278"/>
      <c r="U62" s="382"/>
      <c r="V62" s="382"/>
      <c r="W62" s="382"/>
      <c r="X62" s="383"/>
    </row>
    <row r="63" spans="1:24" s="52" customFormat="1" ht="12.6" customHeight="1" x14ac:dyDescent="0.2">
      <c r="B63" s="210"/>
      <c r="C63" s="211" t="s">
        <v>549</v>
      </c>
      <c r="D63" s="913">
        <v>0</v>
      </c>
      <c r="E63" s="914"/>
      <c r="F63" s="913">
        <f t="shared" si="2"/>
        <v>0</v>
      </c>
      <c r="G63" s="914">
        <v>0</v>
      </c>
      <c r="H63" s="913">
        <f t="shared" si="3"/>
        <v>0</v>
      </c>
      <c r="I63" s="914"/>
      <c r="J63" s="913">
        <f t="shared" si="4"/>
        <v>0</v>
      </c>
      <c r="K63" s="914"/>
      <c r="L63" s="57"/>
      <c r="M63" s="336">
        <v>0.03</v>
      </c>
      <c r="N63" s="336">
        <f t="shared" si="1"/>
        <v>0.03</v>
      </c>
      <c r="O63" s="336">
        <f t="shared" si="1"/>
        <v>0.03</v>
      </c>
      <c r="P63" s="278"/>
      <c r="Q63" s="278"/>
      <c r="R63" s="278"/>
      <c r="S63" s="278"/>
      <c r="T63" s="278"/>
      <c r="U63" s="382"/>
      <c r="V63" s="382"/>
      <c r="W63" s="382"/>
      <c r="X63" s="383"/>
    </row>
    <row r="64" spans="1:24" s="52" customFormat="1" ht="12.6" customHeight="1" thickBot="1" x14ac:dyDescent="0.25">
      <c r="B64" s="210"/>
      <c r="C64" s="218" t="s">
        <v>550</v>
      </c>
      <c r="D64" s="913">
        <v>0</v>
      </c>
      <c r="E64" s="947"/>
      <c r="F64" s="913">
        <f t="shared" si="2"/>
        <v>0</v>
      </c>
      <c r="G64" s="947"/>
      <c r="H64" s="913">
        <f t="shared" si="3"/>
        <v>0</v>
      </c>
      <c r="I64" s="947"/>
      <c r="J64" s="913">
        <f t="shared" si="4"/>
        <v>0</v>
      </c>
      <c r="K64" s="947"/>
      <c r="L64" s="57"/>
      <c r="M64" s="336">
        <v>0.03</v>
      </c>
      <c r="N64" s="336">
        <f t="shared" si="1"/>
        <v>0.03</v>
      </c>
      <c r="O64" s="336">
        <f t="shared" si="1"/>
        <v>0.03</v>
      </c>
      <c r="P64" s="278"/>
      <c r="Q64" s="278"/>
      <c r="R64" s="278"/>
      <c r="S64" s="278"/>
      <c r="T64" s="278"/>
      <c r="U64" s="382"/>
      <c r="V64" s="382"/>
      <c r="W64" s="382"/>
      <c r="X64" s="383"/>
    </row>
    <row r="65" spans="1:24" s="4" customFormat="1" ht="12.75" customHeight="1" x14ac:dyDescent="0.2">
      <c r="B65" s="209"/>
      <c r="C65" s="216" t="s">
        <v>893</v>
      </c>
      <c r="D65" s="1734">
        <f>IF(D69=0,0,PMT(D69/12,D68,(-D67+D70*D67)*D66))+D67*D70*(D69+3%)+IF(D69=0,0,D66*20)</f>
        <v>0</v>
      </c>
      <c r="E65" s="944">
        <f>IF(D$45=0,0,100*D65/D$45)</f>
        <v>0</v>
      </c>
      <c r="F65" s="943">
        <f>IF(F69=0,0,PMT(F69/12,F68,(-F67+F70*F67)*F66))+F67*F70*(F69+3%)+IF(F69=0,0,F66*20)</f>
        <v>0</v>
      </c>
      <c r="G65" s="944">
        <f>IF(F$45=0,0,100*F65/F$45)</f>
        <v>0</v>
      </c>
      <c r="H65" s="943">
        <f>IF(H69=0,0,PMT(H69/12,H68,(-H67+H70*H67)*H66))+H67*H70*(H69+3%)+IF(H69=0,0,H66*20)</f>
        <v>0</v>
      </c>
      <c r="I65" s="944">
        <f>IF(H$45=0,0,100*H65/H$45)</f>
        <v>0</v>
      </c>
      <c r="J65" s="943">
        <f>IF(J69=0,0,PMT(J69/12,J68,(-J67+J70*J67)*J66))+J67*J70*(J69+3%)+IF(J69=0,0,J66*20)</f>
        <v>0</v>
      </c>
      <c r="K65" s="944">
        <f>IF(J$45=0,0,100*J65/J$45)</f>
        <v>0</v>
      </c>
      <c r="L65" s="32"/>
      <c r="M65" s="1046"/>
      <c r="N65" s="1047"/>
      <c r="O65" s="1047"/>
      <c r="P65" s="278"/>
      <c r="Q65" s="278"/>
      <c r="R65" s="278"/>
      <c r="S65" s="278"/>
      <c r="T65" s="278"/>
      <c r="U65" s="382"/>
      <c r="V65" s="382"/>
      <c r="W65" s="382"/>
      <c r="X65" s="383"/>
    </row>
    <row r="66" spans="1:24" s="4" customFormat="1" ht="12.75" customHeight="1" x14ac:dyDescent="0.2">
      <c r="B66" s="209"/>
      <c r="C66" s="211" t="s">
        <v>551</v>
      </c>
      <c r="D66" s="948">
        <v>12</v>
      </c>
      <c r="E66" s="949"/>
      <c r="F66" s="948">
        <v>12</v>
      </c>
      <c r="G66" s="949"/>
      <c r="H66" s="948">
        <v>12</v>
      </c>
      <c r="I66" s="949">
        <v>0</v>
      </c>
      <c r="J66" s="948">
        <v>12</v>
      </c>
      <c r="K66" s="914"/>
      <c r="L66" s="32"/>
      <c r="M66" s="333"/>
      <c r="N66" s="278"/>
      <c r="O66" s="278"/>
      <c r="P66" s="278"/>
      <c r="Q66" s="278"/>
      <c r="R66" s="278"/>
      <c r="S66" s="278"/>
      <c r="T66" s="278"/>
      <c r="U66" s="382"/>
      <c r="V66" s="382"/>
      <c r="W66" s="382"/>
      <c r="X66" s="383"/>
    </row>
    <row r="67" spans="1:24" s="4" customFormat="1" ht="12.75" customHeight="1" x14ac:dyDescent="0.2">
      <c r="B67" s="209"/>
      <c r="C67" s="358" t="s">
        <v>552</v>
      </c>
      <c r="D67" s="950">
        <v>0</v>
      </c>
      <c r="E67" s="920"/>
      <c r="F67" s="913">
        <f>IF(F66=0,0,D67)</f>
        <v>0</v>
      </c>
      <c r="G67" s="951"/>
      <c r="H67" s="913">
        <f>IF(H66=0,0,F67)</f>
        <v>0</v>
      </c>
      <c r="I67" s="951"/>
      <c r="J67" s="913">
        <f>IF(J66=0,0,H67)</f>
        <v>0</v>
      </c>
      <c r="K67" s="920"/>
      <c r="L67" s="32"/>
      <c r="M67" s="333"/>
      <c r="N67" s="278"/>
      <c r="O67" s="278"/>
      <c r="P67" s="278"/>
      <c r="Q67" s="278"/>
      <c r="R67" s="278"/>
      <c r="S67" s="278"/>
      <c r="T67" s="278"/>
      <c r="U67" s="382"/>
      <c r="V67" s="382"/>
      <c r="W67" s="382"/>
      <c r="X67" s="383"/>
    </row>
    <row r="68" spans="1:24" s="4" customFormat="1" ht="12.75" customHeight="1" x14ac:dyDescent="0.2">
      <c r="B68" s="209"/>
      <c r="C68" s="358" t="s">
        <v>553</v>
      </c>
      <c r="D68" s="913">
        <v>0</v>
      </c>
      <c r="E68" s="914"/>
      <c r="F68" s="948">
        <f>D68</f>
        <v>0</v>
      </c>
      <c r="G68" s="914"/>
      <c r="H68" s="948">
        <f>F68</f>
        <v>0</v>
      </c>
      <c r="I68" s="914"/>
      <c r="J68" s="948">
        <f>H68</f>
        <v>0</v>
      </c>
      <c r="K68" s="914"/>
      <c r="L68" s="32"/>
      <c r="M68" s="1645"/>
      <c r="N68" s="278"/>
      <c r="O68" s="278"/>
      <c r="P68" s="278"/>
      <c r="Q68" s="278"/>
      <c r="R68" s="278"/>
      <c r="S68" s="278"/>
      <c r="T68" s="278"/>
      <c r="U68" s="382"/>
      <c r="V68" s="382"/>
      <c r="W68" s="382"/>
      <c r="X68" s="383"/>
    </row>
    <row r="69" spans="1:24" s="4" customFormat="1" ht="12.75" customHeight="1" x14ac:dyDescent="0.2">
      <c r="B69" s="209"/>
      <c r="C69" s="358" t="s">
        <v>554</v>
      </c>
      <c r="D69" s="952">
        <v>0</v>
      </c>
      <c r="E69" s="914"/>
      <c r="F69" s="952">
        <f>IF(F66=0,0,D69)</f>
        <v>0</v>
      </c>
      <c r="G69" s="914"/>
      <c r="H69" s="952">
        <f>IF(H68=0,0,F69)</f>
        <v>0</v>
      </c>
      <c r="I69" s="914"/>
      <c r="J69" s="952">
        <f>IF(J68=0,0,H69)</f>
        <v>0</v>
      </c>
      <c r="K69" s="914"/>
      <c r="L69" s="32"/>
      <c r="M69" s="333"/>
      <c r="N69" s="278"/>
      <c r="O69" s="278"/>
      <c r="P69" s="278"/>
      <c r="Q69" s="278"/>
      <c r="R69" s="278"/>
      <c r="S69" s="278"/>
      <c r="T69" s="278"/>
      <c r="U69" s="382"/>
      <c r="V69" s="382"/>
      <c r="W69" s="382"/>
      <c r="X69" s="383"/>
    </row>
    <row r="70" spans="1:24" s="4" customFormat="1" ht="12.75" customHeight="1" thickBot="1" x14ac:dyDescent="0.25">
      <c r="B70" s="209"/>
      <c r="C70" s="358" t="s">
        <v>555</v>
      </c>
      <c r="D70" s="952">
        <v>0</v>
      </c>
      <c r="E70" s="920"/>
      <c r="F70" s="952">
        <f>D70</f>
        <v>0</v>
      </c>
      <c r="G70" s="920"/>
      <c r="H70" s="952">
        <f>F70</f>
        <v>0</v>
      </c>
      <c r="I70" s="920"/>
      <c r="J70" s="952">
        <f>H70</f>
        <v>0</v>
      </c>
      <c r="K70" s="920"/>
      <c r="L70" s="32"/>
      <c r="M70" s="1048"/>
      <c r="N70" s="695"/>
      <c r="O70" s="695"/>
      <c r="P70" s="695"/>
      <c r="Q70" s="695"/>
      <c r="R70" s="695"/>
      <c r="S70" s="695"/>
      <c r="T70" s="695"/>
      <c r="U70" s="696"/>
      <c r="V70" s="696"/>
      <c r="W70" s="696"/>
      <c r="X70" s="697"/>
    </row>
    <row r="71" spans="1:24" s="4" customFormat="1" ht="12.75" customHeight="1" x14ac:dyDescent="0.2">
      <c r="A71"/>
      <c r="B71" s="209"/>
      <c r="C71" s="216" t="s">
        <v>894</v>
      </c>
      <c r="D71" s="1734">
        <f>SUM(D72:D75)</f>
        <v>0</v>
      </c>
      <c r="E71" s="944">
        <f>IF(D$45=0,0,100*D71/D$45)</f>
        <v>0</v>
      </c>
      <c r="F71" s="943">
        <f>SUM(F72:F75)</f>
        <v>0</v>
      </c>
      <c r="G71" s="944">
        <f>IF(F$45=0,0,100*F71/F$45)</f>
        <v>0</v>
      </c>
      <c r="H71" s="943">
        <f>SUM(H72:H75)</f>
        <v>0</v>
      </c>
      <c r="I71" s="944">
        <f>IF(H$45=0,0,100*H71/H$45)</f>
        <v>0</v>
      </c>
      <c r="J71" s="943">
        <f>SUM(J72:J75)</f>
        <v>0</v>
      </c>
      <c r="K71" s="944">
        <f>IF(J$45=0,0,100*J71/J$45)</f>
        <v>0</v>
      </c>
      <c r="L71" s="32"/>
      <c r="M71" s="694">
        <f>F$8</f>
        <v>2028</v>
      </c>
      <c r="N71" s="694">
        <f>H$8</f>
        <v>2029</v>
      </c>
      <c r="O71" s="694">
        <f>J$8</f>
        <v>2030</v>
      </c>
      <c r="P71" s="278"/>
      <c r="Q71" s="278"/>
      <c r="R71" s="278"/>
      <c r="S71" s="278"/>
      <c r="T71" s="278"/>
      <c r="U71" s="382"/>
      <c r="V71" s="382"/>
      <c r="W71" s="382"/>
      <c r="X71" s="383"/>
    </row>
    <row r="72" spans="1:24" s="52" customFormat="1" ht="12.6" customHeight="1" x14ac:dyDescent="0.2">
      <c r="A72"/>
      <c r="B72" s="210"/>
      <c r="C72" s="211" t="s">
        <v>895</v>
      </c>
      <c r="D72" s="913">
        <v>0</v>
      </c>
      <c r="E72" s="914"/>
      <c r="F72" s="913">
        <f>D72+D72*M72</f>
        <v>0</v>
      </c>
      <c r="G72" s="914"/>
      <c r="H72" s="913">
        <f>F72+F72*N72</f>
        <v>0</v>
      </c>
      <c r="I72" s="914"/>
      <c r="J72" s="913">
        <f>H72+H72*O72</f>
        <v>0</v>
      </c>
      <c r="K72" s="914"/>
      <c r="L72" s="55"/>
      <c r="M72" s="336">
        <v>0.03</v>
      </c>
      <c r="N72" s="336">
        <f t="shared" ref="N72:O75" si="5">M72</f>
        <v>0.03</v>
      </c>
      <c r="O72" s="336">
        <f t="shared" si="5"/>
        <v>0.03</v>
      </c>
      <c r="P72" s="278"/>
      <c r="Q72" s="278"/>
      <c r="R72" s="278"/>
      <c r="S72" s="278"/>
      <c r="T72" s="278"/>
      <c r="U72" s="382"/>
      <c r="V72" s="382"/>
      <c r="W72" s="382"/>
      <c r="X72" s="383"/>
    </row>
    <row r="73" spans="1:24" s="52" customFormat="1" ht="12.6" customHeight="1" x14ac:dyDescent="0.2">
      <c r="A73"/>
      <c r="B73" s="210"/>
      <c r="C73" s="211" t="s">
        <v>556</v>
      </c>
      <c r="D73" s="913">
        <v>0</v>
      </c>
      <c r="E73" s="914"/>
      <c r="F73" s="913">
        <f>D73+D73*M73</f>
        <v>0</v>
      </c>
      <c r="G73" s="914"/>
      <c r="H73" s="913">
        <f>F73+F73*N73</f>
        <v>0</v>
      </c>
      <c r="I73" s="914"/>
      <c r="J73" s="913">
        <f>H73+H73*O73</f>
        <v>0</v>
      </c>
      <c r="K73" s="914"/>
      <c r="L73" s="55"/>
      <c r="M73" s="336">
        <v>0.03</v>
      </c>
      <c r="N73" s="336">
        <f t="shared" si="5"/>
        <v>0.03</v>
      </c>
      <c r="O73" s="336">
        <f t="shared" si="5"/>
        <v>0.03</v>
      </c>
      <c r="P73" s="278"/>
      <c r="Q73" s="278"/>
      <c r="R73" s="278"/>
      <c r="S73" s="278"/>
      <c r="T73" s="278"/>
      <c r="U73" s="382"/>
      <c r="V73" s="382"/>
      <c r="W73" s="382"/>
      <c r="X73" s="383"/>
    </row>
    <row r="74" spans="1:24" s="52" customFormat="1" ht="12.6" customHeight="1" x14ac:dyDescent="0.2">
      <c r="A74"/>
      <c r="B74" s="210"/>
      <c r="C74" s="211" t="s">
        <v>558</v>
      </c>
      <c r="D74" s="913">
        <v>0</v>
      </c>
      <c r="E74" s="914"/>
      <c r="F74" s="913">
        <f>D74+D74*M74</f>
        <v>0</v>
      </c>
      <c r="G74" s="914"/>
      <c r="H74" s="913">
        <f>F74+F74*N74</f>
        <v>0</v>
      </c>
      <c r="I74" s="914"/>
      <c r="J74" s="913">
        <f>H74+H74*O74</f>
        <v>0</v>
      </c>
      <c r="K74" s="914"/>
      <c r="L74" s="55"/>
      <c r="M74" s="336">
        <v>0.03</v>
      </c>
      <c r="N74" s="336">
        <f t="shared" si="5"/>
        <v>0.03</v>
      </c>
      <c r="O74" s="336">
        <f t="shared" si="5"/>
        <v>0.03</v>
      </c>
      <c r="P74" s="278"/>
      <c r="Q74" s="278"/>
      <c r="R74" s="278"/>
      <c r="S74" s="278"/>
      <c r="T74" s="278"/>
      <c r="U74" s="382"/>
      <c r="V74" s="382"/>
      <c r="W74" s="382"/>
      <c r="X74" s="383"/>
    </row>
    <row r="75" spans="1:24" s="52" customFormat="1" ht="12.6" customHeight="1" thickBot="1" x14ac:dyDescent="0.25">
      <c r="A75"/>
      <c r="B75" s="210"/>
      <c r="C75" s="218" t="s">
        <v>557</v>
      </c>
      <c r="D75" s="953">
        <v>0</v>
      </c>
      <c r="E75" s="947"/>
      <c r="F75" s="953">
        <f>D75+D75*M75</f>
        <v>0</v>
      </c>
      <c r="G75" s="947"/>
      <c r="H75" s="953">
        <f>F75+F75*N75</f>
        <v>0</v>
      </c>
      <c r="I75" s="947"/>
      <c r="J75" s="953">
        <f>H75+H75*O75</f>
        <v>0</v>
      </c>
      <c r="K75" s="947"/>
      <c r="L75" s="55"/>
      <c r="M75" s="336">
        <v>0.03</v>
      </c>
      <c r="N75" s="336">
        <f t="shared" si="5"/>
        <v>0.03</v>
      </c>
      <c r="O75" s="336">
        <f t="shared" si="5"/>
        <v>0.03</v>
      </c>
      <c r="P75" s="278"/>
      <c r="R75" s="278"/>
      <c r="S75" s="278"/>
      <c r="T75" s="278"/>
      <c r="U75" s="382"/>
      <c r="V75" s="382"/>
      <c r="W75" s="382"/>
      <c r="X75" s="383"/>
    </row>
    <row r="76" spans="1:24" s="4" customFormat="1" ht="12.75" customHeight="1" x14ac:dyDescent="0.2">
      <c r="A76"/>
      <c r="B76" s="209"/>
      <c r="C76" s="219" t="s">
        <v>559</v>
      </c>
      <c r="D76" s="872">
        <f>SUM(D77:D81)</f>
        <v>0</v>
      </c>
      <c r="E76" s="944">
        <f>IF(D$45=0,0,100*D76/D$45)</f>
        <v>0</v>
      </c>
      <c r="F76" s="818">
        <f>SUM(F77:F81)</f>
        <v>0</v>
      </c>
      <c r="G76" s="944">
        <f>IF(F$45=0,0,100*F76/F$45)</f>
        <v>0</v>
      </c>
      <c r="H76" s="818">
        <f>SUM(H77:H81)</f>
        <v>0</v>
      </c>
      <c r="I76" s="944">
        <f>IF(H$45=0,0,100*H76/H$45)</f>
        <v>0</v>
      </c>
      <c r="J76" s="818">
        <f>SUM(J77:J81)</f>
        <v>0</v>
      </c>
      <c r="K76" s="944">
        <f>IF(J$45=0,0,100*J76/J$45)</f>
        <v>0</v>
      </c>
      <c r="L76" s="32"/>
      <c r="M76" s="1395"/>
      <c r="P76" s="278"/>
      <c r="Q76" s="278"/>
      <c r="R76" s="278"/>
      <c r="S76" s="278"/>
      <c r="T76" s="278"/>
      <c r="U76" s="382"/>
      <c r="V76" s="382"/>
      <c r="W76" s="382"/>
      <c r="X76" s="383"/>
    </row>
    <row r="77" spans="1:24" s="52" customFormat="1" ht="12.6" customHeight="1" x14ac:dyDescent="0.2">
      <c r="A77"/>
      <c r="B77" s="210"/>
      <c r="C77" s="211" t="s">
        <v>892</v>
      </c>
      <c r="D77" s="913">
        <v>0</v>
      </c>
      <c r="E77" s="914"/>
      <c r="F77" s="913">
        <f>D77+D77*M77</f>
        <v>0</v>
      </c>
      <c r="G77" s="914"/>
      <c r="H77" s="913">
        <f>F77+F77*N77</f>
        <v>0</v>
      </c>
      <c r="I77" s="914"/>
      <c r="J77" s="913">
        <f>H77+H77*O77</f>
        <v>0</v>
      </c>
      <c r="K77" s="914"/>
      <c r="L77" s="55"/>
      <c r="M77" s="336">
        <v>0.03</v>
      </c>
      <c r="N77" s="336">
        <f t="shared" ref="N77:O81" si="6">M77</f>
        <v>0.03</v>
      </c>
      <c r="O77" s="336">
        <f t="shared" si="6"/>
        <v>0.03</v>
      </c>
      <c r="P77" s="278"/>
      <c r="Q77" s="278"/>
      <c r="R77" s="278"/>
      <c r="S77" s="278"/>
      <c r="T77" s="278"/>
      <c r="U77" s="382"/>
      <c r="V77" s="382"/>
      <c r="W77" s="382"/>
      <c r="X77" s="383"/>
    </row>
    <row r="78" spans="1:24" s="52" customFormat="1" ht="12.6" customHeight="1" x14ac:dyDescent="0.2">
      <c r="A78"/>
      <c r="B78" s="210"/>
      <c r="C78" s="211" t="s">
        <v>560</v>
      </c>
      <c r="D78" s="913">
        <v>0</v>
      </c>
      <c r="E78" s="914"/>
      <c r="F78" s="913">
        <f>D78+D78*M78</f>
        <v>0</v>
      </c>
      <c r="G78" s="914"/>
      <c r="H78" s="913">
        <f>F78+F78*N78</f>
        <v>0</v>
      </c>
      <c r="I78" s="914"/>
      <c r="J78" s="913">
        <f>H78+H78*O78</f>
        <v>0</v>
      </c>
      <c r="K78" s="914"/>
      <c r="L78" s="55"/>
      <c r="M78" s="336">
        <v>0.03</v>
      </c>
      <c r="N78" s="336">
        <f t="shared" si="6"/>
        <v>0.03</v>
      </c>
      <c r="O78" s="336">
        <f t="shared" si="6"/>
        <v>0.03</v>
      </c>
      <c r="P78" s="278"/>
      <c r="Q78" s="278"/>
      <c r="R78" s="278"/>
      <c r="S78" s="278"/>
      <c r="T78" s="278"/>
      <c r="U78" s="382"/>
      <c r="V78" s="382"/>
      <c r="W78" s="382"/>
      <c r="X78" s="383"/>
    </row>
    <row r="79" spans="1:24" s="52" customFormat="1" ht="12.6" customHeight="1" x14ac:dyDescent="0.2">
      <c r="A79"/>
      <c r="B79" s="210"/>
      <c r="C79" s="211" t="s">
        <v>561</v>
      </c>
      <c r="D79" s="913">
        <v>0</v>
      </c>
      <c r="E79" s="914"/>
      <c r="F79" s="913">
        <f>D79+D79*M79</f>
        <v>0</v>
      </c>
      <c r="G79" s="914"/>
      <c r="H79" s="913">
        <f>F79+F79*N79</f>
        <v>0</v>
      </c>
      <c r="I79" s="914"/>
      <c r="J79" s="913">
        <f>H79+H79*O79</f>
        <v>0</v>
      </c>
      <c r="K79" s="914"/>
      <c r="L79" s="55"/>
      <c r="M79" s="336">
        <v>0.03</v>
      </c>
      <c r="N79" s="336">
        <f t="shared" si="6"/>
        <v>0.03</v>
      </c>
      <c r="O79" s="336">
        <f t="shared" si="6"/>
        <v>0.03</v>
      </c>
      <c r="P79" s="278"/>
      <c r="Q79" s="278"/>
      <c r="R79" s="278"/>
      <c r="S79" s="278"/>
      <c r="T79" s="278"/>
      <c r="U79" s="382"/>
      <c r="V79" s="382"/>
      <c r="W79" s="382"/>
      <c r="X79" s="383"/>
    </row>
    <row r="80" spans="1:24" s="52" customFormat="1" ht="12.6" customHeight="1" x14ac:dyDescent="0.2">
      <c r="A80"/>
      <c r="B80" s="210"/>
      <c r="C80" s="211" t="s">
        <v>562</v>
      </c>
      <c r="D80" s="913">
        <v>0</v>
      </c>
      <c r="E80" s="914"/>
      <c r="F80" s="913">
        <f>D80+D80*M80</f>
        <v>0</v>
      </c>
      <c r="G80" s="914"/>
      <c r="H80" s="913">
        <f>F80+F80*N80</f>
        <v>0</v>
      </c>
      <c r="I80" s="914"/>
      <c r="J80" s="913">
        <f>H80+H80*O80</f>
        <v>0</v>
      </c>
      <c r="K80" s="914"/>
      <c r="L80" s="55"/>
      <c r="M80" s="336">
        <v>0.03</v>
      </c>
      <c r="N80" s="336">
        <f t="shared" si="6"/>
        <v>0.03</v>
      </c>
      <c r="O80" s="336">
        <f t="shared" si="6"/>
        <v>0.03</v>
      </c>
      <c r="P80" s="278"/>
      <c r="Q80" s="278"/>
      <c r="R80" s="278"/>
      <c r="S80" s="278"/>
      <c r="T80" s="278"/>
      <c r="U80" s="382"/>
      <c r="V80" s="382"/>
      <c r="W80" s="382"/>
      <c r="X80" s="383"/>
    </row>
    <row r="81" spans="1:24" s="52" customFormat="1" ht="12.6" customHeight="1" thickBot="1" x14ac:dyDescent="0.25">
      <c r="A81"/>
      <c r="B81" s="210"/>
      <c r="C81" s="218" t="s">
        <v>563</v>
      </c>
      <c r="D81" s="913">
        <v>0</v>
      </c>
      <c r="E81" s="947"/>
      <c r="F81" s="913">
        <f>D81+D81*M81</f>
        <v>0</v>
      </c>
      <c r="G81" s="947"/>
      <c r="H81" s="913">
        <f>F81+F81*N81</f>
        <v>0</v>
      </c>
      <c r="I81" s="947"/>
      <c r="J81" s="913">
        <f>H81+H81*O81</f>
        <v>0</v>
      </c>
      <c r="K81" s="947"/>
      <c r="L81" s="55"/>
      <c r="M81" s="336">
        <v>0.03</v>
      </c>
      <c r="N81" s="336">
        <f t="shared" si="6"/>
        <v>0.03</v>
      </c>
      <c r="O81" s="336">
        <f t="shared" si="6"/>
        <v>0.03</v>
      </c>
      <c r="P81" s="278"/>
      <c r="Q81" s="278"/>
      <c r="R81" s="278"/>
      <c r="S81" s="278"/>
      <c r="T81" s="278"/>
      <c r="U81" s="382"/>
      <c r="V81" s="382"/>
      <c r="W81" s="382"/>
      <c r="X81" s="383"/>
    </row>
    <row r="82" spans="1:24" s="4" customFormat="1" ht="12.75" customHeight="1" x14ac:dyDescent="0.2">
      <c r="A82"/>
      <c r="B82" s="209"/>
      <c r="C82" s="219" t="s">
        <v>594</v>
      </c>
      <c r="D82" s="1734">
        <f>SUM(D83:D85)</f>
        <v>0</v>
      </c>
      <c r="E82" s="944">
        <f>IF(D$45=0,0,100*D82/D$45)</f>
        <v>0</v>
      </c>
      <c r="F82" s="943">
        <f>SUM(F83:F85)</f>
        <v>0</v>
      </c>
      <c r="G82" s="944">
        <f>IF(F$45=0,0,100*F82/F$45)</f>
        <v>0</v>
      </c>
      <c r="H82" s="943">
        <f>SUM(H83:H85)</f>
        <v>0</v>
      </c>
      <c r="I82" s="944">
        <f>IF(H$45=0,0,100*H82/H$45)</f>
        <v>0</v>
      </c>
      <c r="J82" s="954">
        <f>SUM(J83:J85)</f>
        <v>0</v>
      </c>
      <c r="K82" s="944">
        <f>IF(J$45=0,0,100*J82/J$45)</f>
        <v>0</v>
      </c>
      <c r="L82" s="32"/>
      <c r="M82" s="179"/>
      <c r="P82" s="278"/>
      <c r="Q82" s="278"/>
      <c r="R82" s="278"/>
      <c r="S82" s="278"/>
      <c r="T82" s="278"/>
      <c r="U82" s="382"/>
      <c r="V82" s="382"/>
      <c r="W82" s="382"/>
      <c r="X82" s="383"/>
    </row>
    <row r="83" spans="1:24" s="52" customFormat="1" ht="12.6" customHeight="1" x14ac:dyDescent="0.2">
      <c r="A83"/>
      <c r="B83" s="210"/>
      <c r="C83" s="211" t="s">
        <v>564</v>
      </c>
      <c r="D83" s="913">
        <v>0</v>
      </c>
      <c r="E83" s="914"/>
      <c r="F83" s="913">
        <f>D83+D83*M83</f>
        <v>0</v>
      </c>
      <c r="G83" s="914"/>
      <c r="H83" s="913">
        <f>F83+F83*N83</f>
        <v>0</v>
      </c>
      <c r="I83" s="914"/>
      <c r="J83" s="913">
        <f>H83+H83*O83</f>
        <v>0</v>
      </c>
      <c r="K83" s="914"/>
      <c r="L83" s="55"/>
      <c r="M83" s="336">
        <v>0.03</v>
      </c>
      <c r="N83" s="336">
        <f t="shared" ref="N83:O85" si="7">M83</f>
        <v>0.03</v>
      </c>
      <c r="O83" s="336">
        <f t="shared" si="7"/>
        <v>0.03</v>
      </c>
      <c r="P83" s="278"/>
      <c r="Q83" s="278">
        <v>0</v>
      </c>
      <c r="R83" s="278"/>
      <c r="S83" s="278"/>
      <c r="T83" s="278"/>
      <c r="U83" s="382"/>
      <c r="V83" s="382"/>
      <c r="W83" s="382"/>
      <c r="X83" s="383"/>
    </row>
    <row r="84" spans="1:24" s="52" customFormat="1" ht="12.6" customHeight="1" x14ac:dyDescent="0.2">
      <c r="A84"/>
      <c r="B84" s="210"/>
      <c r="C84" s="211" t="s">
        <v>565</v>
      </c>
      <c r="D84" s="913">
        <v>0</v>
      </c>
      <c r="E84" s="914"/>
      <c r="F84" s="913">
        <f>D84+D84*M84</f>
        <v>0</v>
      </c>
      <c r="G84" s="914"/>
      <c r="H84" s="913">
        <f>F84+F84*N84</f>
        <v>0</v>
      </c>
      <c r="I84" s="914"/>
      <c r="J84" s="913">
        <f>H84+H84*O84</f>
        <v>0</v>
      </c>
      <c r="K84" s="914"/>
      <c r="L84" s="55"/>
      <c r="M84" s="336">
        <v>0.03</v>
      </c>
      <c r="N84" s="336">
        <f t="shared" si="7"/>
        <v>0.03</v>
      </c>
      <c r="O84" s="336">
        <f t="shared" si="7"/>
        <v>0.03</v>
      </c>
      <c r="P84" s="278"/>
      <c r="Q84" s="278"/>
      <c r="R84" s="278"/>
      <c r="S84" s="278"/>
      <c r="T84" s="278"/>
      <c r="U84" s="382"/>
      <c r="V84" s="382"/>
      <c r="W84" s="382"/>
      <c r="X84" s="383"/>
    </row>
    <row r="85" spans="1:24" s="52" customFormat="1" ht="12.6" customHeight="1" thickBot="1" x14ac:dyDescent="0.25">
      <c r="A85"/>
      <c r="B85" s="210"/>
      <c r="C85" s="218" t="s">
        <v>566</v>
      </c>
      <c r="D85" s="913">
        <v>0</v>
      </c>
      <c r="E85" s="947"/>
      <c r="F85" s="913">
        <f>D85+D85*M85</f>
        <v>0</v>
      </c>
      <c r="G85" s="947"/>
      <c r="H85" s="913">
        <f>F85+F85*N85</f>
        <v>0</v>
      </c>
      <c r="I85" s="947"/>
      <c r="J85" s="913">
        <f>H85+H85*O85</f>
        <v>0</v>
      </c>
      <c r="K85" s="947"/>
      <c r="L85" s="55"/>
      <c r="M85" s="336">
        <v>0.03</v>
      </c>
      <c r="N85" s="336">
        <f t="shared" si="7"/>
        <v>0.03</v>
      </c>
      <c r="O85" s="336">
        <f t="shared" si="7"/>
        <v>0.03</v>
      </c>
      <c r="P85" s="278"/>
      <c r="Q85" s="278"/>
      <c r="R85" s="278"/>
      <c r="S85" s="278"/>
      <c r="T85" s="278"/>
      <c r="U85" s="382"/>
      <c r="V85" s="382"/>
      <c r="W85" s="382"/>
      <c r="X85" s="383"/>
    </row>
    <row r="86" spans="1:24" s="4" customFormat="1" ht="12.75" customHeight="1" x14ac:dyDescent="0.2">
      <c r="A86"/>
      <c r="B86" s="209"/>
      <c r="C86" s="216" t="s">
        <v>595</v>
      </c>
      <c r="D86" s="943">
        <f>SUM(D87:D89)</f>
        <v>0</v>
      </c>
      <c r="E86" s="944">
        <f>IF(D$45=0,0,100*D86/D$45)</f>
        <v>0</v>
      </c>
      <c r="F86" s="943">
        <f>SUM(F87:F89)</f>
        <v>0</v>
      </c>
      <c r="G86" s="944">
        <f>IF(F$45=0,0,100*F86/F$45)</f>
        <v>0</v>
      </c>
      <c r="H86" s="943">
        <f>SUM(H87:H89)</f>
        <v>0</v>
      </c>
      <c r="I86" s="944">
        <f>IF(H$45=0,0,100*H86/H$45)</f>
        <v>0</v>
      </c>
      <c r="J86" s="943">
        <f>SUM(J87:J89)</f>
        <v>0</v>
      </c>
      <c r="K86" s="944">
        <f>IF(J$45=0,0,100*J86/J$45)</f>
        <v>0</v>
      </c>
      <c r="L86" s="32"/>
      <c r="M86" s="179"/>
      <c r="P86" s="278"/>
      <c r="Q86" s="278"/>
      <c r="R86" s="278"/>
      <c r="S86" s="278"/>
      <c r="T86" s="278"/>
      <c r="U86" s="382"/>
      <c r="V86" s="382"/>
      <c r="W86" s="382"/>
      <c r="X86" s="383"/>
    </row>
    <row r="87" spans="1:24" s="52" customFormat="1" ht="12.6" customHeight="1" x14ac:dyDescent="0.2">
      <c r="A87"/>
      <c r="B87" s="210"/>
      <c r="C87" s="211" t="s">
        <v>567</v>
      </c>
      <c r="D87" s="913">
        <v>0</v>
      </c>
      <c r="E87" s="914"/>
      <c r="F87" s="913">
        <f>D87+D87*M87</f>
        <v>0</v>
      </c>
      <c r="G87" s="914"/>
      <c r="H87" s="913">
        <f>F87+F87*N87</f>
        <v>0</v>
      </c>
      <c r="I87" s="914"/>
      <c r="J87" s="913">
        <f>H87+H87*O87</f>
        <v>0</v>
      </c>
      <c r="K87" s="914"/>
      <c r="L87" s="55"/>
      <c r="M87" s="336">
        <v>0.03</v>
      </c>
      <c r="N87" s="336">
        <f t="shared" ref="N87:O89" si="8">M87</f>
        <v>0.03</v>
      </c>
      <c r="O87" s="336">
        <f t="shared" si="8"/>
        <v>0.03</v>
      </c>
      <c r="P87" s="278"/>
      <c r="Q87" s="278"/>
      <c r="R87" s="278"/>
      <c r="S87" s="278"/>
      <c r="T87" s="278"/>
      <c r="U87" s="382"/>
      <c r="V87" s="382"/>
      <c r="W87" s="382"/>
      <c r="X87" s="383"/>
    </row>
    <row r="88" spans="1:24" s="52" customFormat="1" ht="12.6" customHeight="1" x14ac:dyDescent="0.2">
      <c r="A88"/>
      <c r="B88" s="210"/>
      <c r="C88" s="211" t="s">
        <v>568</v>
      </c>
      <c r="D88" s="913">
        <v>0</v>
      </c>
      <c r="E88" s="914"/>
      <c r="F88" s="913">
        <f>D88+D88*M88</f>
        <v>0</v>
      </c>
      <c r="G88" s="914"/>
      <c r="H88" s="913">
        <f>F88+F88*N88</f>
        <v>0</v>
      </c>
      <c r="I88" s="914"/>
      <c r="J88" s="913">
        <f>H88+H88*O88</f>
        <v>0</v>
      </c>
      <c r="K88" s="914"/>
      <c r="L88" s="55"/>
      <c r="M88" s="336">
        <v>0.03</v>
      </c>
      <c r="N88" s="336">
        <f t="shared" si="8"/>
        <v>0.03</v>
      </c>
      <c r="O88" s="336">
        <f t="shared" si="8"/>
        <v>0.03</v>
      </c>
      <c r="P88" s="278"/>
      <c r="Q88" s="278"/>
      <c r="R88" s="278"/>
      <c r="S88" s="278"/>
      <c r="T88" s="278"/>
      <c r="U88" s="382"/>
      <c r="V88" s="382"/>
      <c r="W88" s="382"/>
      <c r="X88" s="383"/>
    </row>
    <row r="89" spans="1:24" s="52" customFormat="1" ht="12.6" customHeight="1" thickBot="1" x14ac:dyDescent="0.25">
      <c r="A89"/>
      <c r="B89" s="210"/>
      <c r="C89" s="218" t="s">
        <v>569</v>
      </c>
      <c r="D89" s="953">
        <v>0</v>
      </c>
      <c r="E89" s="947"/>
      <c r="F89" s="913">
        <f>D89+D89*M89</f>
        <v>0</v>
      </c>
      <c r="G89" s="947"/>
      <c r="H89" s="913">
        <f>F89+F89*N89</f>
        <v>0</v>
      </c>
      <c r="I89" s="947"/>
      <c r="J89" s="913">
        <f>H89+H89*O89</f>
        <v>0</v>
      </c>
      <c r="K89" s="947"/>
      <c r="L89" s="55"/>
      <c r="M89" s="336">
        <v>0.03</v>
      </c>
      <c r="N89" s="336">
        <f t="shared" si="8"/>
        <v>0.03</v>
      </c>
      <c r="O89" s="336">
        <f t="shared" si="8"/>
        <v>0.03</v>
      </c>
      <c r="P89" s="278"/>
      <c r="Q89" s="278"/>
      <c r="R89" s="278"/>
      <c r="S89" s="278"/>
      <c r="T89" s="278"/>
      <c r="U89" s="382"/>
      <c r="V89" s="382"/>
      <c r="W89" s="382"/>
      <c r="X89" s="383"/>
    </row>
    <row r="90" spans="1:24" s="4" customFormat="1" ht="12.75" customHeight="1" x14ac:dyDescent="0.2">
      <c r="A90"/>
      <c r="B90" s="209"/>
      <c r="C90" s="219" t="s">
        <v>596</v>
      </c>
      <c r="D90" s="943">
        <f>SUM(D91:D92)</f>
        <v>0</v>
      </c>
      <c r="E90" s="944">
        <f>IF(D$45=0,0,100*D90/D$45)</f>
        <v>0</v>
      </c>
      <c r="F90" s="943">
        <f>SUM(F91:F92)</f>
        <v>0</v>
      </c>
      <c r="G90" s="944">
        <f>IF(F$45=0,0,100*F90/F$45)</f>
        <v>0</v>
      </c>
      <c r="H90" s="943">
        <f>SUM(H91:H92)</f>
        <v>0</v>
      </c>
      <c r="I90" s="944">
        <f>IF(H$45=0,0,100*H90/H$45)</f>
        <v>0</v>
      </c>
      <c r="J90" s="943">
        <f>SUM(J91:J92)</f>
        <v>0</v>
      </c>
      <c r="K90" s="944">
        <f>IF(J$45=0,0,100*J90/J$45)</f>
        <v>0</v>
      </c>
      <c r="L90" s="32"/>
      <c r="M90" s="179"/>
      <c r="P90" s="278"/>
      <c r="Q90" s="278"/>
      <c r="R90" s="278"/>
      <c r="S90" s="278"/>
      <c r="T90" s="278"/>
      <c r="U90" s="382"/>
      <c r="V90" s="382"/>
      <c r="W90" s="382"/>
      <c r="X90" s="383"/>
    </row>
    <row r="91" spans="1:24" s="52" customFormat="1" ht="12.6" customHeight="1" x14ac:dyDescent="0.2">
      <c r="A91"/>
      <c r="B91" s="210"/>
      <c r="C91" s="211" t="s">
        <v>570</v>
      </c>
      <c r="D91" s="913">
        <v>0</v>
      </c>
      <c r="E91" s="914"/>
      <c r="F91" s="913">
        <f>D91+D91*M91</f>
        <v>0</v>
      </c>
      <c r="G91" s="914"/>
      <c r="H91" s="913">
        <f>F91+F91*N91</f>
        <v>0</v>
      </c>
      <c r="I91" s="914"/>
      <c r="J91" s="913">
        <f>H91+H91*O91</f>
        <v>0</v>
      </c>
      <c r="K91" s="914"/>
      <c r="L91" s="55"/>
      <c r="M91" s="336">
        <v>0.03</v>
      </c>
      <c r="N91" s="336">
        <f t="shared" ref="N91:O94" si="9">M91</f>
        <v>0.03</v>
      </c>
      <c r="O91" s="336">
        <f t="shared" si="9"/>
        <v>0.03</v>
      </c>
      <c r="P91" s="278" t="s">
        <v>0</v>
      </c>
      <c r="Q91" s="278"/>
      <c r="R91" s="278" t="s">
        <v>0</v>
      </c>
      <c r="S91" s="278" t="s">
        <v>0</v>
      </c>
      <c r="T91" s="278"/>
      <c r="U91" s="382"/>
      <c r="V91" s="382"/>
      <c r="W91" s="382"/>
      <c r="X91" s="383"/>
    </row>
    <row r="92" spans="1:24" s="52" customFormat="1" ht="12.6" customHeight="1" thickBot="1" x14ac:dyDescent="0.25">
      <c r="A92"/>
      <c r="B92" s="210"/>
      <c r="C92" s="220" t="s">
        <v>571</v>
      </c>
      <c r="D92" s="946">
        <v>0</v>
      </c>
      <c r="E92" s="945"/>
      <c r="F92" s="913">
        <f>D92+D92*M92</f>
        <v>0</v>
      </c>
      <c r="G92" s="945"/>
      <c r="H92" s="946">
        <f>F92+F92*N92</f>
        <v>0</v>
      </c>
      <c r="I92" s="945"/>
      <c r="J92" s="946">
        <f>H92+H92*O92</f>
        <v>0</v>
      </c>
      <c r="K92" s="947"/>
      <c r="L92" s="55"/>
      <c r="M92" s="336">
        <v>0.03</v>
      </c>
      <c r="N92" s="336">
        <f t="shared" si="9"/>
        <v>0.03</v>
      </c>
      <c r="O92" s="336">
        <f t="shared" si="9"/>
        <v>0.03</v>
      </c>
      <c r="P92" s="278">
        <v>0</v>
      </c>
      <c r="Q92" s="278"/>
      <c r="R92" s="278"/>
      <c r="S92" s="278"/>
      <c r="T92" s="278"/>
      <c r="U92" s="382"/>
      <c r="V92" s="382"/>
      <c r="W92" s="382"/>
      <c r="X92" s="383"/>
    </row>
    <row r="93" spans="1:24" s="4" customFormat="1" ht="12.75" customHeight="1" thickBot="1" x14ac:dyDescent="0.25">
      <c r="A93"/>
      <c r="B93" s="209"/>
      <c r="C93" s="221" t="s">
        <v>597</v>
      </c>
      <c r="D93" s="955">
        <v>0</v>
      </c>
      <c r="E93" s="956">
        <f>IF(D$45=0,0,100*D93/D$45)</f>
        <v>0</v>
      </c>
      <c r="F93" s="957">
        <f>D93+D93*M93</f>
        <v>0</v>
      </c>
      <c r="G93" s="956">
        <f>IF(F$45=0,0,100*F93/F$45)</f>
        <v>0</v>
      </c>
      <c r="H93" s="957">
        <f>F93+F93*N93</f>
        <v>0</v>
      </c>
      <c r="I93" s="956">
        <f>IF(H$45=0,0,100*H93/H$45)</f>
        <v>0</v>
      </c>
      <c r="J93" s="955">
        <f>H93+H93*O93</f>
        <v>0</v>
      </c>
      <c r="K93" s="958">
        <f>IF(J$45=0,0,100*J93/J$45)</f>
        <v>0</v>
      </c>
      <c r="L93" s="32"/>
      <c r="M93" s="336">
        <v>0.03</v>
      </c>
      <c r="N93" s="336">
        <f t="shared" si="9"/>
        <v>0.03</v>
      </c>
      <c r="O93" s="336">
        <f t="shared" si="9"/>
        <v>0.03</v>
      </c>
      <c r="P93" s="278"/>
      <c r="Q93" s="278"/>
      <c r="R93" s="278"/>
      <c r="S93" s="278"/>
      <c r="T93" s="278"/>
      <c r="U93" s="382"/>
      <c r="V93" s="382"/>
      <c r="W93" s="382"/>
      <c r="X93" s="383"/>
    </row>
    <row r="94" spans="1:24" s="4" customFormat="1" ht="12.75" customHeight="1" thickBot="1" x14ac:dyDescent="0.25">
      <c r="A94"/>
      <c r="B94" s="209"/>
      <c r="C94" s="219" t="s">
        <v>598</v>
      </c>
      <c r="D94" s="955">
        <v>0</v>
      </c>
      <c r="E94" s="958">
        <f>IF(D$45=0,0,100*D94/D$45)</f>
        <v>0</v>
      </c>
      <c r="F94" s="955">
        <f>D94+D94*M94</f>
        <v>0</v>
      </c>
      <c r="G94" s="958">
        <f>IF(F$45=0,0,100*F94/F$45)</f>
        <v>0</v>
      </c>
      <c r="H94" s="955">
        <f>F94+F94*N94</f>
        <v>0</v>
      </c>
      <c r="I94" s="958">
        <f>IF(H$45=0,0,100*H94/H$45)</f>
        <v>0</v>
      </c>
      <c r="J94" s="955">
        <f>H94+H94*O94</f>
        <v>0</v>
      </c>
      <c r="K94" s="944">
        <f>IF(J$45=0,0,100*J94/J$45)</f>
        <v>0</v>
      </c>
      <c r="L94" s="32"/>
      <c r="M94" s="336">
        <v>0.03</v>
      </c>
      <c r="N94" s="336">
        <f t="shared" si="9"/>
        <v>0.03</v>
      </c>
      <c r="O94" s="336">
        <f t="shared" si="9"/>
        <v>0.03</v>
      </c>
      <c r="P94" s="278"/>
      <c r="Q94" s="278"/>
      <c r="R94" s="278"/>
      <c r="S94" s="278"/>
      <c r="T94" s="278"/>
      <c r="U94" s="382"/>
      <c r="V94" s="382"/>
      <c r="W94" s="382"/>
      <c r="X94" s="383"/>
    </row>
    <row r="95" spans="1:24" s="4" customFormat="1" ht="12.75" customHeight="1" x14ac:dyDescent="0.2">
      <c r="A95"/>
      <c r="B95" s="209"/>
      <c r="C95" s="216" t="s">
        <v>599</v>
      </c>
      <c r="D95" s="872">
        <f>SUM(D96:D100)</f>
        <v>0</v>
      </c>
      <c r="E95" s="959">
        <f>IF(D$45=0,0,100*D95/D$45)</f>
        <v>0</v>
      </c>
      <c r="F95" s="818">
        <f>SUM(F96:F100)</f>
        <v>0</v>
      </c>
      <c r="G95" s="959">
        <f>IF(F$45=0,0,100*F95/F$45)</f>
        <v>0</v>
      </c>
      <c r="H95" s="818">
        <f>SUM(H96:H100)</f>
        <v>0</v>
      </c>
      <c r="I95" s="959">
        <f>IF(H$45=0,0,100*H95/H$45)</f>
        <v>0</v>
      </c>
      <c r="J95" s="818">
        <f>SUM(J96:J100)</f>
        <v>0</v>
      </c>
      <c r="K95" s="944">
        <f>IF(J$45=0,0,100*J95/J$45)</f>
        <v>0</v>
      </c>
      <c r="L95" s="31"/>
      <c r="M95" s="179"/>
      <c r="P95" s="278"/>
      <c r="Q95" s="278"/>
      <c r="R95" s="278"/>
      <c r="S95" s="278"/>
      <c r="T95" s="278"/>
      <c r="U95" s="382"/>
      <c r="V95" s="382"/>
      <c r="W95" s="382"/>
      <c r="X95" s="383"/>
    </row>
    <row r="96" spans="1:24" s="52" customFormat="1" ht="12.6" customHeight="1" x14ac:dyDescent="0.2">
      <c r="A96"/>
      <c r="B96" s="210"/>
      <c r="C96" s="211" t="s">
        <v>572</v>
      </c>
      <c r="D96" s="913">
        <v>0</v>
      </c>
      <c r="E96" s="960"/>
      <c r="F96" s="913">
        <f>D96+D96*M96</f>
        <v>0</v>
      </c>
      <c r="G96" s="914"/>
      <c r="H96" s="913">
        <f>F96+F96*N96</f>
        <v>0</v>
      </c>
      <c r="I96" s="914"/>
      <c r="J96" s="913">
        <f>H96+H96*O96</f>
        <v>0</v>
      </c>
      <c r="K96" s="914"/>
      <c r="L96" s="57"/>
      <c r="M96" s="336">
        <v>0.03</v>
      </c>
      <c r="N96" s="336">
        <f t="shared" ref="N96:O100" si="10">M96</f>
        <v>0.03</v>
      </c>
      <c r="O96" s="336">
        <f t="shared" si="10"/>
        <v>0.03</v>
      </c>
      <c r="P96" s="278"/>
      <c r="Q96" s="278"/>
      <c r="R96" s="278"/>
      <c r="S96" s="278"/>
      <c r="T96" s="278"/>
      <c r="U96" s="382"/>
      <c r="V96" s="382"/>
      <c r="W96" s="382"/>
      <c r="X96" s="383"/>
    </row>
    <row r="97" spans="1:24" s="52" customFormat="1" ht="12.6" customHeight="1" x14ac:dyDescent="0.2">
      <c r="A97" s="53"/>
      <c r="B97" s="210"/>
      <c r="C97" s="211" t="s">
        <v>573</v>
      </c>
      <c r="D97" s="913">
        <v>0</v>
      </c>
      <c r="E97" s="960"/>
      <c r="F97" s="913">
        <f>D97+D97*M97</f>
        <v>0</v>
      </c>
      <c r="G97" s="914"/>
      <c r="H97" s="913">
        <f>F97+F97*N97</f>
        <v>0</v>
      </c>
      <c r="I97" s="914"/>
      <c r="J97" s="913">
        <f>H97+H97*O97</f>
        <v>0</v>
      </c>
      <c r="K97" s="914"/>
      <c r="L97" s="57"/>
      <c r="M97" s="336">
        <v>0.03</v>
      </c>
      <c r="N97" s="336">
        <f t="shared" si="10"/>
        <v>0.03</v>
      </c>
      <c r="O97" s="336">
        <f t="shared" si="10"/>
        <v>0.03</v>
      </c>
      <c r="P97" s="278"/>
      <c r="Q97" s="278"/>
      <c r="R97" s="278"/>
      <c r="S97" s="278"/>
      <c r="T97" s="278"/>
      <c r="U97" s="382"/>
      <c r="V97" s="382"/>
      <c r="W97" s="382"/>
      <c r="X97" s="383"/>
    </row>
    <row r="98" spans="1:24" s="52" customFormat="1" ht="12.6" customHeight="1" x14ac:dyDescent="0.2">
      <c r="A98"/>
      <c r="B98" s="210"/>
      <c r="C98" s="211" t="s">
        <v>574</v>
      </c>
      <c r="D98" s="913">
        <v>0</v>
      </c>
      <c r="E98" s="960"/>
      <c r="F98" s="913">
        <f>D98+D98*M98</f>
        <v>0</v>
      </c>
      <c r="G98" s="914"/>
      <c r="H98" s="913">
        <f>F98+F98*N98</f>
        <v>0</v>
      </c>
      <c r="I98" s="914"/>
      <c r="J98" s="913">
        <f>H98+H98*O98</f>
        <v>0</v>
      </c>
      <c r="K98" s="914"/>
      <c r="L98" s="57"/>
      <c r="M98" s="336">
        <v>0.03</v>
      </c>
      <c r="N98" s="336">
        <f t="shared" si="10"/>
        <v>0.03</v>
      </c>
      <c r="O98" s="336">
        <f t="shared" si="10"/>
        <v>0.03</v>
      </c>
      <c r="P98" s="278" t="s">
        <v>0</v>
      </c>
      <c r="Q98" s="278"/>
      <c r="R98" s="278"/>
      <c r="S98" s="278"/>
      <c r="T98" s="278"/>
      <c r="U98" s="382"/>
      <c r="V98" s="382"/>
      <c r="W98" s="382"/>
      <c r="X98" s="383"/>
    </row>
    <row r="99" spans="1:24" s="52" customFormat="1" ht="12.6" customHeight="1" x14ac:dyDescent="0.2">
      <c r="A99"/>
      <c r="B99" s="210"/>
      <c r="C99" s="211" t="s">
        <v>575</v>
      </c>
      <c r="D99" s="913">
        <v>0</v>
      </c>
      <c r="E99" s="960"/>
      <c r="F99" s="913">
        <f>D99+D99*M99</f>
        <v>0</v>
      </c>
      <c r="G99" s="914"/>
      <c r="H99" s="913">
        <f>F99+F99*N99</f>
        <v>0</v>
      </c>
      <c r="I99" s="914"/>
      <c r="J99" s="913">
        <f>H99+H99*O99</f>
        <v>0</v>
      </c>
      <c r="K99" s="914"/>
      <c r="L99" s="57"/>
      <c r="M99" s="336">
        <v>0.03</v>
      </c>
      <c r="N99" s="336">
        <f t="shared" si="10"/>
        <v>0.03</v>
      </c>
      <c r="O99" s="336">
        <f t="shared" si="10"/>
        <v>0.03</v>
      </c>
      <c r="P99" s="278"/>
      <c r="Q99" s="278"/>
      <c r="R99" s="278"/>
      <c r="S99" s="278"/>
      <c r="T99" s="278"/>
      <c r="U99" s="382"/>
      <c r="V99" s="382"/>
      <c r="W99" s="382"/>
      <c r="X99" s="383"/>
    </row>
    <row r="100" spans="1:24" s="52" customFormat="1" ht="12.6" customHeight="1" thickBot="1" x14ac:dyDescent="0.25">
      <c r="A100" s="53"/>
      <c r="B100" s="210"/>
      <c r="C100" s="218" t="s">
        <v>576</v>
      </c>
      <c r="D100" s="913">
        <v>0</v>
      </c>
      <c r="E100" s="961"/>
      <c r="F100" s="913">
        <f>D100+D100*M100</f>
        <v>0</v>
      </c>
      <c r="G100" s="945"/>
      <c r="H100" s="946">
        <f>F100+F100*N100</f>
        <v>0</v>
      </c>
      <c r="I100" s="945"/>
      <c r="J100" s="946">
        <f>H100+H100*O100</f>
        <v>0</v>
      </c>
      <c r="K100" s="945"/>
      <c r="L100" s="57"/>
      <c r="M100" s="336">
        <v>0.03</v>
      </c>
      <c r="N100" s="336">
        <f t="shared" si="10"/>
        <v>0.03</v>
      </c>
      <c r="O100" s="336">
        <f t="shared" si="10"/>
        <v>0.03</v>
      </c>
      <c r="P100" s="278"/>
      <c r="Q100" s="278"/>
      <c r="R100" s="278"/>
      <c r="S100" s="278"/>
      <c r="T100" s="278"/>
      <c r="U100" s="382"/>
      <c r="V100" s="382"/>
      <c r="W100" s="382"/>
      <c r="X100" s="383"/>
    </row>
    <row r="101" spans="1:24" s="4" customFormat="1" ht="12.75" customHeight="1" x14ac:dyDescent="0.2">
      <c r="A101" s="53"/>
      <c r="B101" s="209"/>
      <c r="C101" s="219" t="s">
        <v>600</v>
      </c>
      <c r="D101" s="1734">
        <f>SUM(D102:D105)</f>
        <v>0</v>
      </c>
      <c r="E101" s="944">
        <f>IF(D$45=0,0,100*D101/D$45)</f>
        <v>0</v>
      </c>
      <c r="F101" s="943">
        <f>SUM(F102:F105)</f>
        <v>0</v>
      </c>
      <c r="G101" s="944">
        <f>IF(F$45=0,0,100*F101/F$45)</f>
        <v>0</v>
      </c>
      <c r="H101" s="943">
        <f>SUM(H102:H105)</f>
        <v>0</v>
      </c>
      <c r="I101" s="944">
        <f>IF(H$45=0,0,100*H101/H$45)</f>
        <v>0</v>
      </c>
      <c r="J101" s="943">
        <f>SUM(J102:J105)</f>
        <v>0</v>
      </c>
      <c r="K101" s="944">
        <f>IF(J$45=0,0,100*J101/J$45)</f>
        <v>0</v>
      </c>
      <c r="L101" s="32"/>
      <c r="M101" s="1395"/>
      <c r="P101" s="278"/>
      <c r="Q101" s="278"/>
      <c r="R101" s="278"/>
      <c r="S101" s="278"/>
      <c r="T101" s="278"/>
      <c r="U101" s="382"/>
      <c r="V101" s="382"/>
      <c r="W101" s="382"/>
      <c r="X101" s="383"/>
    </row>
    <row r="102" spans="1:24" s="52" customFormat="1" ht="12.6" customHeight="1" x14ac:dyDescent="0.2">
      <c r="A102"/>
      <c r="B102" s="210"/>
      <c r="C102" s="211" t="s">
        <v>577</v>
      </c>
      <c r="D102" s="913">
        <v>0</v>
      </c>
      <c r="E102" s="914"/>
      <c r="F102" s="913">
        <f>D102+D102*M102</f>
        <v>0</v>
      </c>
      <c r="G102" s="914"/>
      <c r="H102" s="913">
        <f>F102+F102*N102</f>
        <v>0</v>
      </c>
      <c r="I102" s="914"/>
      <c r="J102" s="913">
        <f>H102+H102*O102</f>
        <v>0</v>
      </c>
      <c r="K102" s="914"/>
      <c r="L102" s="55"/>
      <c r="M102" s="336">
        <v>0.03</v>
      </c>
      <c r="N102" s="336">
        <f t="shared" ref="N102:O105" si="11">M102</f>
        <v>0.03</v>
      </c>
      <c r="O102" s="336">
        <f t="shared" si="11"/>
        <v>0.03</v>
      </c>
      <c r="P102" s="278"/>
      <c r="Q102" s="278"/>
      <c r="R102" s="278"/>
      <c r="S102" s="278"/>
      <c r="T102" s="278"/>
      <c r="U102" s="382"/>
      <c r="V102" s="382"/>
      <c r="W102" s="382"/>
      <c r="X102" s="383"/>
    </row>
    <row r="103" spans="1:24" s="52" customFormat="1" ht="12.6" customHeight="1" x14ac:dyDescent="0.2">
      <c r="A103" s="53"/>
      <c r="B103" s="210"/>
      <c r="C103" s="211" t="s">
        <v>578</v>
      </c>
      <c r="D103" s="913">
        <v>0</v>
      </c>
      <c r="E103" s="914"/>
      <c r="F103" s="913">
        <f>D103+D103*M103</f>
        <v>0</v>
      </c>
      <c r="G103" s="914"/>
      <c r="H103" s="913">
        <f>F103+F103*N103</f>
        <v>0</v>
      </c>
      <c r="I103" s="914"/>
      <c r="J103" s="913">
        <f>H103+H103*O103</f>
        <v>0</v>
      </c>
      <c r="K103" s="914"/>
      <c r="L103" s="55"/>
      <c r="M103" s="336">
        <v>0.03</v>
      </c>
      <c r="N103" s="336">
        <f t="shared" si="11"/>
        <v>0.03</v>
      </c>
      <c r="O103" s="336">
        <f t="shared" si="11"/>
        <v>0.03</v>
      </c>
      <c r="P103" s="278"/>
      <c r="Q103" s="278"/>
      <c r="R103" s="278"/>
      <c r="S103" s="278"/>
      <c r="T103" s="278"/>
      <c r="U103" s="382"/>
      <c r="V103" s="382"/>
      <c r="W103" s="382"/>
      <c r="X103" s="383"/>
    </row>
    <row r="104" spans="1:24" s="52" customFormat="1" ht="12.6" customHeight="1" x14ac:dyDescent="0.2">
      <c r="A104"/>
      <c r="B104" s="210"/>
      <c r="C104" s="211" t="s">
        <v>579</v>
      </c>
      <c r="D104" s="913">
        <v>0</v>
      </c>
      <c r="E104" s="914"/>
      <c r="F104" s="913">
        <f>D104+D104*M104</f>
        <v>0</v>
      </c>
      <c r="G104" s="914"/>
      <c r="H104" s="913">
        <f>F104+F104*N104</f>
        <v>0</v>
      </c>
      <c r="I104" s="914"/>
      <c r="J104" s="913">
        <f>H104+H104*O104</f>
        <v>0</v>
      </c>
      <c r="K104" s="914"/>
      <c r="L104" s="57"/>
      <c r="M104" s="336">
        <v>0.03</v>
      </c>
      <c r="N104" s="336">
        <f t="shared" si="11"/>
        <v>0.03</v>
      </c>
      <c r="O104" s="336">
        <f t="shared" si="11"/>
        <v>0.03</v>
      </c>
      <c r="P104" s="278"/>
      <c r="Q104" s="278"/>
      <c r="R104" s="278"/>
      <c r="S104" s="278"/>
      <c r="T104" s="278"/>
      <c r="U104" s="382"/>
      <c r="V104" s="382"/>
      <c r="W104" s="382"/>
      <c r="X104" s="383"/>
    </row>
    <row r="105" spans="1:24" s="52" customFormat="1" ht="12.6" customHeight="1" thickBot="1" x14ac:dyDescent="0.25">
      <c r="A105" s="53"/>
      <c r="B105" s="210"/>
      <c r="C105" s="214" t="s">
        <v>580</v>
      </c>
      <c r="D105" s="913">
        <v>0</v>
      </c>
      <c r="E105" s="962"/>
      <c r="F105" s="913">
        <f>D105+D105*M105</f>
        <v>0</v>
      </c>
      <c r="G105" s="962"/>
      <c r="H105" s="913">
        <f>F105+F105*N105</f>
        <v>0</v>
      </c>
      <c r="I105" s="962"/>
      <c r="J105" s="913">
        <f>H105+H105*O105</f>
        <v>0</v>
      </c>
      <c r="K105" s="962"/>
      <c r="L105" s="57"/>
      <c r="M105" s="336">
        <v>0.03</v>
      </c>
      <c r="N105" s="336">
        <f t="shared" si="11"/>
        <v>0.03</v>
      </c>
      <c r="O105" s="336">
        <f t="shared" si="11"/>
        <v>0.03</v>
      </c>
      <c r="P105" s="278"/>
      <c r="Q105" s="278"/>
      <c r="R105" s="278"/>
      <c r="S105" s="278"/>
      <c r="T105" s="278"/>
      <c r="U105" s="382"/>
      <c r="V105" s="382"/>
      <c r="W105" s="382"/>
      <c r="X105" s="383"/>
    </row>
    <row r="106" spans="1:24" s="4" customFormat="1" ht="12.75" customHeight="1" x14ac:dyDescent="0.2">
      <c r="A106" s="2"/>
      <c r="B106" s="209"/>
      <c r="C106" s="216" t="s">
        <v>601</v>
      </c>
      <c r="D106" s="1734">
        <f>SUM(D107:D110)</f>
        <v>0</v>
      </c>
      <c r="E106" s="944">
        <f>IF(D$45=0,0,100*D106/D$45)</f>
        <v>0</v>
      </c>
      <c r="F106" s="943">
        <f>SUM(F107:F110)</f>
        <v>0</v>
      </c>
      <c r="G106" s="944">
        <f>IF(F$45=0,0,100*F106/F$45)</f>
        <v>0</v>
      </c>
      <c r="H106" s="943">
        <f>SUM(H107:H110)</f>
        <v>0</v>
      </c>
      <c r="I106" s="944">
        <f>IF(H$45=0,0,100*H106/H$45)</f>
        <v>0</v>
      </c>
      <c r="J106" s="943">
        <f>SUM(J107:J110)</f>
        <v>0</v>
      </c>
      <c r="K106" s="944">
        <f>IF(J$45=0,0,100*J106/J$45)</f>
        <v>0</v>
      </c>
      <c r="L106" s="31"/>
      <c r="M106" s="179"/>
      <c r="P106" s="278"/>
      <c r="Q106" s="278"/>
      <c r="R106" s="278"/>
      <c r="S106" s="278"/>
      <c r="T106" s="278"/>
      <c r="U106" s="382"/>
      <c r="V106" s="382"/>
      <c r="W106" s="382"/>
      <c r="X106" s="383"/>
    </row>
    <row r="107" spans="1:24" s="52" customFormat="1" ht="12.6" customHeight="1" x14ac:dyDescent="0.2">
      <c r="A107" s="53"/>
      <c r="B107" s="210"/>
      <c r="C107" s="211" t="s">
        <v>872</v>
      </c>
      <c r="D107" s="913">
        <v>0</v>
      </c>
      <c r="E107" s="914"/>
      <c r="F107" s="913">
        <f>D107+D107*M107</f>
        <v>0</v>
      </c>
      <c r="G107" s="914"/>
      <c r="H107" s="913">
        <f>F107+F107*N107</f>
        <v>0</v>
      </c>
      <c r="I107" s="914"/>
      <c r="J107" s="913">
        <f>H107+H107*O107</f>
        <v>0</v>
      </c>
      <c r="K107" s="914"/>
      <c r="L107" s="57"/>
      <c r="M107" s="336">
        <v>0.03</v>
      </c>
      <c r="N107" s="336">
        <f t="shared" ref="N107:O110" si="12">M107</f>
        <v>0.03</v>
      </c>
      <c r="O107" s="336">
        <f t="shared" si="12"/>
        <v>0.03</v>
      </c>
      <c r="P107" s="278"/>
      <c r="Q107" s="278"/>
      <c r="R107" s="278"/>
      <c r="S107" s="278"/>
      <c r="T107" s="278"/>
      <c r="U107" s="382"/>
      <c r="V107" s="382"/>
      <c r="W107" s="382"/>
      <c r="X107" s="383"/>
    </row>
    <row r="108" spans="1:24" s="52" customFormat="1" ht="12.6" customHeight="1" x14ac:dyDescent="0.2">
      <c r="A108"/>
      <c r="B108" s="210"/>
      <c r="C108" s="211" t="s">
        <v>581</v>
      </c>
      <c r="D108" s="913">
        <v>0</v>
      </c>
      <c r="E108" s="914"/>
      <c r="F108" s="913">
        <f>D108+D108*M108</f>
        <v>0</v>
      </c>
      <c r="G108" s="914"/>
      <c r="H108" s="913">
        <f>F108+F108*N108</f>
        <v>0</v>
      </c>
      <c r="I108" s="914"/>
      <c r="J108" s="913">
        <f>H108+H108*O108</f>
        <v>0</v>
      </c>
      <c r="K108" s="914"/>
      <c r="L108" s="57"/>
      <c r="M108" s="336">
        <v>0.03</v>
      </c>
      <c r="N108" s="336">
        <f t="shared" si="12"/>
        <v>0.03</v>
      </c>
      <c r="O108" s="336">
        <f t="shared" si="12"/>
        <v>0.03</v>
      </c>
      <c r="P108" s="278"/>
      <c r="Q108" s="278"/>
      <c r="R108" s="278"/>
      <c r="S108" s="278"/>
      <c r="T108" s="278"/>
      <c r="U108" s="382"/>
      <c r="V108" s="382"/>
      <c r="W108" s="382"/>
      <c r="X108" s="383"/>
    </row>
    <row r="109" spans="1:24" s="52" customFormat="1" ht="12.6" customHeight="1" x14ac:dyDescent="0.2">
      <c r="A109" s="53"/>
      <c r="B109" s="210"/>
      <c r="C109" s="211" t="s">
        <v>582</v>
      </c>
      <c r="D109" s="913">
        <v>0</v>
      </c>
      <c r="E109" s="914"/>
      <c r="F109" s="913">
        <f>D109+D109*M109</f>
        <v>0</v>
      </c>
      <c r="G109" s="914"/>
      <c r="H109" s="913">
        <f>F109+F109*N109</f>
        <v>0</v>
      </c>
      <c r="I109" s="914"/>
      <c r="J109" s="913">
        <f>H109+H109*O109</f>
        <v>0</v>
      </c>
      <c r="K109" s="914"/>
      <c r="L109" s="57"/>
      <c r="M109" s="336">
        <v>0.03</v>
      </c>
      <c r="N109" s="336">
        <f t="shared" si="12"/>
        <v>0.03</v>
      </c>
      <c r="O109" s="336">
        <f t="shared" si="12"/>
        <v>0.03</v>
      </c>
      <c r="P109" s="278"/>
      <c r="Q109" s="278"/>
      <c r="R109" s="278"/>
      <c r="S109" s="278"/>
      <c r="T109" s="278"/>
      <c r="U109" s="382"/>
      <c r="V109" s="382"/>
      <c r="W109" s="382"/>
      <c r="X109" s="383"/>
    </row>
    <row r="110" spans="1:24" s="52" customFormat="1" ht="12.6" customHeight="1" thickBot="1" x14ac:dyDescent="0.25">
      <c r="A110"/>
      <c r="B110" s="210"/>
      <c r="C110" s="220" t="s">
        <v>583</v>
      </c>
      <c r="D110" s="913">
        <v>0</v>
      </c>
      <c r="E110" s="945"/>
      <c r="F110" s="913">
        <f>D110+D110*M110</f>
        <v>0</v>
      </c>
      <c r="G110" s="945"/>
      <c r="H110" s="913">
        <f>F110+F110*N110</f>
        <v>0</v>
      </c>
      <c r="I110" s="945"/>
      <c r="J110" s="913">
        <f>H110+H110*O110</f>
        <v>0</v>
      </c>
      <c r="K110" s="945"/>
      <c r="L110" s="57"/>
      <c r="M110" s="336">
        <v>0.03</v>
      </c>
      <c r="N110" s="336">
        <f t="shared" si="12"/>
        <v>0.03</v>
      </c>
      <c r="O110" s="336">
        <f t="shared" si="12"/>
        <v>0.03</v>
      </c>
      <c r="P110" s="278"/>
      <c r="Q110" s="278"/>
      <c r="R110" s="278"/>
      <c r="S110" s="278"/>
      <c r="T110" s="278"/>
      <c r="U110" s="382"/>
      <c r="V110" s="382"/>
      <c r="W110" s="382"/>
      <c r="X110" s="383"/>
    </row>
    <row r="111" spans="1:24" s="4" customFormat="1" ht="12.75" customHeight="1" x14ac:dyDescent="0.2">
      <c r="A111" s="53"/>
      <c r="B111" s="209"/>
      <c r="C111" s="216" t="s">
        <v>602</v>
      </c>
      <c r="D111" s="943">
        <f>SUM(D112:D114)</f>
        <v>0</v>
      </c>
      <c r="E111" s="944">
        <f>IF(D$45=0,0,100*D111/D$45)</f>
        <v>0</v>
      </c>
      <c r="F111" s="943">
        <f>SUM(F112:F114)</f>
        <v>0</v>
      </c>
      <c r="G111" s="944">
        <f>IF(F$45=0,0,100*F111/F$45)</f>
        <v>0</v>
      </c>
      <c r="H111" s="943">
        <f>SUM(H112:H114)</f>
        <v>0</v>
      </c>
      <c r="I111" s="944">
        <f>IF(H$45=0,0,100*H111/H$45)</f>
        <v>0</v>
      </c>
      <c r="J111" s="943">
        <f>SUM(J112:J114)</f>
        <v>0</v>
      </c>
      <c r="K111" s="944">
        <f>IF(J$45=0,0,100*J111/J$45)</f>
        <v>0</v>
      </c>
      <c r="L111" s="31"/>
      <c r="M111" s="179"/>
      <c r="P111" s="278"/>
      <c r="Q111" s="278"/>
      <c r="R111" s="278"/>
      <c r="S111" s="278"/>
      <c r="T111" s="278"/>
      <c r="U111" s="382"/>
      <c r="V111" s="382"/>
      <c r="W111" s="382"/>
      <c r="X111" s="383"/>
    </row>
    <row r="112" spans="1:24" s="52" customFormat="1" ht="12.6" customHeight="1" x14ac:dyDescent="0.2">
      <c r="A112" s="2"/>
      <c r="B112" s="210"/>
      <c r="C112" s="211" t="s">
        <v>584</v>
      </c>
      <c r="D112" s="913">
        <v>0</v>
      </c>
      <c r="E112" s="914"/>
      <c r="F112" s="913">
        <f>D112+D112*M112</f>
        <v>0</v>
      </c>
      <c r="G112" s="914"/>
      <c r="H112" s="913">
        <f>F112+F112*N112</f>
        <v>0</v>
      </c>
      <c r="I112" s="914"/>
      <c r="J112" s="913">
        <f>H112+H112*O112</f>
        <v>0</v>
      </c>
      <c r="K112" s="914"/>
      <c r="L112" s="57"/>
      <c r="M112" s="336">
        <v>0.03</v>
      </c>
      <c r="N112" s="336">
        <f t="shared" ref="N112:O114" si="13">M112</f>
        <v>0.03</v>
      </c>
      <c r="O112" s="336">
        <f t="shared" si="13"/>
        <v>0.03</v>
      </c>
      <c r="P112" s="278"/>
      <c r="Q112" s="278"/>
      <c r="R112" s="278"/>
      <c r="S112" s="278"/>
      <c r="T112" s="278"/>
      <c r="U112" s="382"/>
      <c r="V112" s="382"/>
      <c r="W112" s="382"/>
      <c r="X112" s="383"/>
    </row>
    <row r="113" spans="1:24" s="52" customFormat="1" ht="12.6" customHeight="1" x14ac:dyDescent="0.2">
      <c r="A113" s="2"/>
      <c r="B113" s="210"/>
      <c r="C113" s="220" t="s">
        <v>585</v>
      </c>
      <c r="D113" s="913">
        <v>0</v>
      </c>
      <c r="E113" s="945"/>
      <c r="F113" s="913">
        <f>D113+D113*M113</f>
        <v>0</v>
      </c>
      <c r="G113" s="945"/>
      <c r="H113" s="913">
        <f>F113+F113*N113</f>
        <v>0</v>
      </c>
      <c r="I113" s="945"/>
      <c r="J113" s="913">
        <f>H113+H113*O113</f>
        <v>0</v>
      </c>
      <c r="K113" s="945"/>
      <c r="L113" s="57"/>
      <c r="M113" s="336">
        <v>0.03</v>
      </c>
      <c r="N113" s="336">
        <f t="shared" si="13"/>
        <v>0.03</v>
      </c>
      <c r="O113" s="336">
        <f t="shared" si="13"/>
        <v>0.03</v>
      </c>
      <c r="P113" s="278"/>
      <c r="Q113" s="278"/>
      <c r="R113" s="278"/>
      <c r="S113" s="278"/>
      <c r="T113" s="278"/>
      <c r="U113" s="382"/>
      <c r="V113" s="382"/>
      <c r="W113" s="382"/>
      <c r="X113" s="383"/>
    </row>
    <row r="114" spans="1:24" s="52" customFormat="1" ht="12.6" customHeight="1" thickBot="1" x14ac:dyDescent="0.25">
      <c r="A114" s="53"/>
      <c r="B114" s="210"/>
      <c r="C114" s="218" t="s">
        <v>586</v>
      </c>
      <c r="D114" s="913">
        <v>0</v>
      </c>
      <c r="E114" s="947"/>
      <c r="F114" s="913">
        <f>D114+D114*M114</f>
        <v>0</v>
      </c>
      <c r="G114" s="947"/>
      <c r="H114" s="913">
        <f>F114+F114*N114</f>
        <v>0</v>
      </c>
      <c r="I114" s="947"/>
      <c r="J114" s="913">
        <f>H114+H114*O114</f>
        <v>0</v>
      </c>
      <c r="K114" s="947"/>
      <c r="L114" s="57"/>
      <c r="M114" s="336">
        <v>0.03</v>
      </c>
      <c r="N114" s="336">
        <f t="shared" si="13"/>
        <v>0.03</v>
      </c>
      <c r="O114" s="336">
        <f t="shared" si="13"/>
        <v>0.03</v>
      </c>
      <c r="P114" s="278"/>
      <c r="Q114" s="278"/>
      <c r="R114" s="278"/>
      <c r="S114" s="278"/>
      <c r="T114" s="278"/>
      <c r="U114" s="382"/>
      <c r="V114" s="382"/>
      <c r="W114" s="382"/>
      <c r="X114" s="383"/>
    </row>
    <row r="115" spans="1:24" s="4" customFormat="1" ht="12.75" customHeight="1" x14ac:dyDescent="0.2">
      <c r="A115"/>
      <c r="B115" s="209"/>
      <c r="C115" s="216" t="s">
        <v>603</v>
      </c>
      <c r="D115" s="943">
        <f>SUM(D116:D119)</f>
        <v>0</v>
      </c>
      <c r="E115" s="944">
        <f>IF(D$45=0,0,100*D115/D$45)</f>
        <v>0</v>
      </c>
      <c r="F115" s="943">
        <f>SUM(F116:F119)</f>
        <v>0</v>
      </c>
      <c r="G115" s="944">
        <f>IF(F$45=0,0,100*F115/F$45)</f>
        <v>0</v>
      </c>
      <c r="H115" s="943">
        <f>SUM(H116:H119)</f>
        <v>0</v>
      </c>
      <c r="I115" s="944">
        <f>IF(H$45=0,0,100*H115/H$45)</f>
        <v>0</v>
      </c>
      <c r="J115" s="943">
        <f>SUM(J116:J119)</f>
        <v>0</v>
      </c>
      <c r="K115" s="944">
        <f>IF(J$45=0,0,100*J115/J$45)</f>
        <v>0</v>
      </c>
      <c r="L115" s="31"/>
      <c r="M115" s="179"/>
      <c r="P115" s="278"/>
      <c r="Q115" s="278"/>
      <c r="R115" s="278"/>
      <c r="S115" s="278"/>
      <c r="T115" s="278"/>
      <c r="U115" s="382"/>
      <c r="V115" s="382"/>
      <c r="W115" s="382"/>
      <c r="X115" s="383"/>
    </row>
    <row r="116" spans="1:24" s="52" customFormat="1" ht="12.6" customHeight="1" x14ac:dyDescent="0.2">
      <c r="A116" s="53"/>
      <c r="B116" s="210"/>
      <c r="C116" s="211" t="s">
        <v>587</v>
      </c>
      <c r="D116" s="913">
        <v>0</v>
      </c>
      <c r="E116" s="914"/>
      <c r="F116" s="913">
        <f>D116+D116*M116</f>
        <v>0</v>
      </c>
      <c r="G116" s="914"/>
      <c r="H116" s="913">
        <f>F116+F116*N116</f>
        <v>0</v>
      </c>
      <c r="I116" s="914"/>
      <c r="J116" s="913">
        <f>H116+H116*O116</f>
        <v>0</v>
      </c>
      <c r="K116" s="914"/>
      <c r="L116" s="55"/>
      <c r="M116" s="336">
        <v>0.03</v>
      </c>
      <c r="N116" s="336">
        <f t="shared" ref="N116:O119" si="14">M116</f>
        <v>0.03</v>
      </c>
      <c r="O116" s="336">
        <f t="shared" si="14"/>
        <v>0.03</v>
      </c>
      <c r="P116" s="278"/>
      <c r="Q116" s="278"/>
      <c r="R116" s="278"/>
      <c r="S116" s="278"/>
      <c r="T116" s="278"/>
      <c r="U116" s="382"/>
      <c r="V116" s="382"/>
      <c r="W116" s="382"/>
      <c r="X116" s="383"/>
    </row>
    <row r="117" spans="1:24" s="52" customFormat="1" ht="12.6" customHeight="1" x14ac:dyDescent="0.2">
      <c r="A117"/>
      <c r="B117" s="210"/>
      <c r="C117" s="211" t="s">
        <v>588</v>
      </c>
      <c r="D117" s="913">
        <v>0</v>
      </c>
      <c r="E117" s="914"/>
      <c r="F117" s="913">
        <f>D117+D117*M117</f>
        <v>0</v>
      </c>
      <c r="G117" s="914"/>
      <c r="H117" s="913">
        <f>F117+F117*N117</f>
        <v>0</v>
      </c>
      <c r="I117" s="914"/>
      <c r="J117" s="913">
        <f>H117+H117*O117</f>
        <v>0</v>
      </c>
      <c r="K117" s="914"/>
      <c r="L117" s="55"/>
      <c r="M117" s="336">
        <v>0.03</v>
      </c>
      <c r="N117" s="336">
        <f t="shared" si="14"/>
        <v>0.03</v>
      </c>
      <c r="O117" s="336">
        <f t="shared" si="14"/>
        <v>0.03</v>
      </c>
      <c r="P117" s="278">
        <v>0</v>
      </c>
      <c r="Q117" s="278"/>
      <c r="R117" s="278"/>
      <c r="S117" s="278"/>
      <c r="T117" s="278"/>
      <c r="U117" s="382"/>
      <c r="V117" s="382"/>
      <c r="W117" s="382"/>
      <c r="X117" s="383"/>
    </row>
    <row r="118" spans="1:24" s="52" customFormat="1" ht="12.6" customHeight="1" x14ac:dyDescent="0.2">
      <c r="A118" s="53"/>
      <c r="B118" s="210"/>
      <c r="C118" s="211" t="s">
        <v>589</v>
      </c>
      <c r="D118" s="913">
        <v>0</v>
      </c>
      <c r="E118" s="914"/>
      <c r="F118" s="913">
        <f>D118+D118*M118</f>
        <v>0</v>
      </c>
      <c r="G118" s="914"/>
      <c r="H118" s="913">
        <f>F118+F118*N118</f>
        <v>0</v>
      </c>
      <c r="I118" s="914"/>
      <c r="J118" s="913">
        <f>H118+H118*O118</f>
        <v>0</v>
      </c>
      <c r="K118" s="914"/>
      <c r="L118" s="57"/>
      <c r="M118" s="336">
        <v>0.03</v>
      </c>
      <c r="N118" s="336">
        <f t="shared" si="14"/>
        <v>0.03</v>
      </c>
      <c r="O118" s="336">
        <f t="shared" si="14"/>
        <v>0.03</v>
      </c>
      <c r="P118" s="278"/>
      <c r="Q118" s="278"/>
      <c r="R118" s="278"/>
      <c r="S118" s="278"/>
      <c r="T118" s="278"/>
      <c r="U118" s="382"/>
      <c r="V118" s="382"/>
      <c r="W118" s="382"/>
      <c r="X118" s="383"/>
    </row>
    <row r="119" spans="1:24" s="52" customFormat="1" ht="12.6" customHeight="1" thickBot="1" x14ac:dyDescent="0.25">
      <c r="A119" s="2"/>
      <c r="B119" s="210"/>
      <c r="C119" s="218" t="s">
        <v>590</v>
      </c>
      <c r="D119" s="913">
        <v>0</v>
      </c>
      <c r="E119" s="945"/>
      <c r="F119" s="913">
        <f>D119+D119*M119</f>
        <v>0</v>
      </c>
      <c r="G119" s="945"/>
      <c r="H119" s="946">
        <f>F119+F119*N119</f>
        <v>0</v>
      </c>
      <c r="I119" s="945"/>
      <c r="J119" s="946">
        <f>H119+H119*O119</f>
        <v>0</v>
      </c>
      <c r="K119" s="945"/>
      <c r="L119" s="57"/>
      <c r="M119" s="336">
        <v>0.03</v>
      </c>
      <c r="N119" s="336">
        <f t="shared" si="14"/>
        <v>0.03</v>
      </c>
      <c r="O119" s="336">
        <f t="shared" si="14"/>
        <v>0.03</v>
      </c>
      <c r="P119" s="278"/>
      <c r="Q119" s="278"/>
      <c r="R119" s="278"/>
      <c r="S119" s="278"/>
      <c r="T119" s="278"/>
      <c r="U119" s="382"/>
      <c r="V119" s="382"/>
      <c r="W119" s="382"/>
      <c r="X119" s="383"/>
    </row>
    <row r="120" spans="1:24" s="4" customFormat="1" ht="12.75" customHeight="1" x14ac:dyDescent="0.2">
      <c r="A120" s="53"/>
      <c r="B120" s="209"/>
      <c r="C120" s="219" t="s">
        <v>604</v>
      </c>
      <c r="D120" s="943">
        <f>SUM(D121:D123)</f>
        <v>0</v>
      </c>
      <c r="E120" s="944">
        <f>IF(D$45=0,0,100*D120/D$45)</f>
        <v>0</v>
      </c>
      <c r="F120" s="943">
        <f>SUM(F121:F123)</f>
        <v>0</v>
      </c>
      <c r="G120" s="944">
        <f>IF(F$45=0,0,100*F120/F$45)</f>
        <v>0</v>
      </c>
      <c r="H120" s="943">
        <f>SUM(H121:H123)</f>
        <v>0</v>
      </c>
      <c r="I120" s="944">
        <f>IF(H$45=0,0,100*H120/H$45)</f>
        <v>0</v>
      </c>
      <c r="J120" s="943">
        <f>SUM(J121:J123)</f>
        <v>0</v>
      </c>
      <c r="K120" s="944">
        <f>IF(J$45=0,0,100*J120/J$45)</f>
        <v>0</v>
      </c>
      <c r="L120" s="31"/>
      <c r="M120" s="1389"/>
      <c r="N120" s="1387"/>
      <c r="O120" s="1387"/>
      <c r="P120" s="278"/>
      <c r="Q120" s="278"/>
      <c r="R120" s="278"/>
      <c r="S120" s="278"/>
      <c r="T120" s="278"/>
      <c r="U120" s="382"/>
      <c r="V120" s="382"/>
      <c r="W120" s="382"/>
      <c r="X120" s="383"/>
    </row>
    <row r="121" spans="1:24" s="52" customFormat="1" ht="12.6" customHeight="1" x14ac:dyDescent="0.2">
      <c r="A121"/>
      <c r="B121" s="210"/>
      <c r="C121" s="211" t="s">
        <v>591</v>
      </c>
      <c r="D121" s="913">
        <v>0</v>
      </c>
      <c r="E121" s="914"/>
      <c r="F121" s="913">
        <f t="shared" ref="F121:F131" si="15">D121+D121*M121</f>
        <v>0</v>
      </c>
      <c r="G121" s="914"/>
      <c r="H121" s="913">
        <f t="shared" ref="H121:H127" si="16">F121+F121*N121</f>
        <v>0</v>
      </c>
      <c r="I121" s="914"/>
      <c r="J121" s="913">
        <f t="shared" ref="J121:J127" si="17">H121+H121*O121</f>
        <v>0</v>
      </c>
      <c r="K121" s="914"/>
      <c r="L121" s="55"/>
      <c r="M121" s="336">
        <v>0.03</v>
      </c>
      <c r="N121" s="336">
        <f t="shared" ref="N121:O131" si="18">M121</f>
        <v>0.03</v>
      </c>
      <c r="O121" s="336">
        <f t="shared" si="18"/>
        <v>0.03</v>
      </c>
      <c r="P121" s="278"/>
      <c r="Q121" s="278"/>
      <c r="R121" s="278"/>
      <c r="S121" s="278"/>
      <c r="T121" s="382"/>
      <c r="U121" s="382"/>
      <c r="V121" s="278"/>
      <c r="W121" s="278"/>
      <c r="X121" s="383"/>
    </row>
    <row r="122" spans="1:24" s="52" customFormat="1" ht="12.6" customHeight="1" x14ac:dyDescent="0.2">
      <c r="A122" s="53"/>
      <c r="B122" s="210"/>
      <c r="C122" s="211" t="s">
        <v>592</v>
      </c>
      <c r="D122" s="913">
        <v>0</v>
      </c>
      <c r="E122" s="914"/>
      <c r="F122" s="913">
        <f t="shared" si="15"/>
        <v>0</v>
      </c>
      <c r="G122" s="914"/>
      <c r="H122" s="913">
        <f t="shared" si="16"/>
        <v>0</v>
      </c>
      <c r="I122" s="914"/>
      <c r="J122" s="913">
        <f t="shared" si="17"/>
        <v>0</v>
      </c>
      <c r="K122" s="914"/>
      <c r="L122" s="55"/>
      <c r="M122" s="336">
        <v>0.03</v>
      </c>
      <c r="N122" s="336">
        <f t="shared" si="18"/>
        <v>0.03</v>
      </c>
      <c r="O122" s="336">
        <f t="shared" si="18"/>
        <v>0.03</v>
      </c>
      <c r="P122" s="278"/>
      <c r="Q122" s="278"/>
      <c r="R122" s="278"/>
      <c r="S122" s="382"/>
      <c r="T122" s="382"/>
      <c r="U122" s="278"/>
      <c r="V122" s="278"/>
      <c r="W122" s="278"/>
      <c r="X122" s="383"/>
    </row>
    <row r="123" spans="1:24" s="52" customFormat="1" ht="12.6" customHeight="1" thickBot="1" x14ac:dyDescent="0.25">
      <c r="A123" s="2"/>
      <c r="B123" s="210"/>
      <c r="C123" s="220" t="s">
        <v>593</v>
      </c>
      <c r="D123" s="946">
        <v>0</v>
      </c>
      <c r="E123" s="945"/>
      <c r="F123" s="946">
        <f t="shared" si="15"/>
        <v>0</v>
      </c>
      <c r="G123" s="945"/>
      <c r="H123" s="946">
        <f t="shared" si="16"/>
        <v>0</v>
      </c>
      <c r="I123" s="945"/>
      <c r="J123" s="946">
        <f t="shared" si="17"/>
        <v>0</v>
      </c>
      <c r="K123" s="945"/>
      <c r="L123" s="57"/>
      <c r="M123" s="336">
        <v>0.03</v>
      </c>
      <c r="N123" s="336">
        <f t="shared" si="18"/>
        <v>0.03</v>
      </c>
      <c r="O123" s="336">
        <f t="shared" si="18"/>
        <v>0.03</v>
      </c>
      <c r="P123" s="278">
        <v>0</v>
      </c>
      <c r="Q123" s="278"/>
      <c r="R123" s="278"/>
      <c r="S123" s="382"/>
      <c r="T123" s="382"/>
      <c r="U123" s="382"/>
      <c r="V123" s="382"/>
      <c r="W123" s="382"/>
      <c r="X123" s="384"/>
    </row>
    <row r="124" spans="1:24" s="4" customFormat="1" ht="12.75" customHeight="1" thickBot="1" x14ac:dyDescent="0.25">
      <c r="A124" s="53"/>
      <c r="B124" s="209"/>
      <c r="C124" s="221" t="s">
        <v>605</v>
      </c>
      <c r="D124" s="955">
        <v>0</v>
      </c>
      <c r="E124" s="958">
        <f>IF(D$45=0,0,100*D124/D$45)</f>
        <v>0</v>
      </c>
      <c r="F124" s="955">
        <f t="shared" si="15"/>
        <v>0</v>
      </c>
      <c r="G124" s="958">
        <f t="shared" ref="G124:G131" si="19">IF(F$45=0,0,100*F124/F$45)</f>
        <v>0</v>
      </c>
      <c r="H124" s="955">
        <f t="shared" si="16"/>
        <v>0</v>
      </c>
      <c r="I124" s="944">
        <f t="shared" ref="I124:I131" si="20">IF(H$45=0,0,100*H124/H$45)</f>
        <v>0</v>
      </c>
      <c r="J124" s="955">
        <f t="shared" si="17"/>
        <v>0</v>
      </c>
      <c r="K124" s="944">
        <f t="shared" ref="K124:K131" si="21">IF(J$45=0,0,100*J124/J$45)</f>
        <v>0</v>
      </c>
      <c r="L124" s="31"/>
      <c r="M124" s="336">
        <v>0.03</v>
      </c>
      <c r="N124" s="336">
        <f t="shared" si="18"/>
        <v>0.03</v>
      </c>
      <c r="O124" s="336">
        <f t="shared" si="18"/>
        <v>0.03</v>
      </c>
      <c r="P124" s="278"/>
      <c r="Q124" s="278"/>
      <c r="R124" s="278"/>
      <c r="S124" s="382"/>
      <c r="T124" s="382"/>
      <c r="U124" s="382"/>
      <c r="V124" s="382"/>
      <c r="W124" s="382"/>
      <c r="X124" s="384"/>
    </row>
    <row r="125" spans="1:24" s="4" customFormat="1" ht="12.75" customHeight="1" thickBot="1" x14ac:dyDescent="0.25">
      <c r="B125" s="209"/>
      <c r="C125" s="221" t="s">
        <v>618</v>
      </c>
      <c r="D125" s="955">
        <v>0</v>
      </c>
      <c r="E125" s="958">
        <f>IF(D$45=0,0,100*D125/D$45)</f>
        <v>0</v>
      </c>
      <c r="F125" s="955">
        <f t="shared" si="15"/>
        <v>0</v>
      </c>
      <c r="G125" s="958">
        <f t="shared" si="19"/>
        <v>0</v>
      </c>
      <c r="H125" s="955">
        <f t="shared" si="16"/>
        <v>0</v>
      </c>
      <c r="I125" s="944">
        <f t="shared" si="20"/>
        <v>0</v>
      </c>
      <c r="J125" s="955">
        <f t="shared" si="17"/>
        <v>0</v>
      </c>
      <c r="K125" s="944">
        <f t="shared" si="21"/>
        <v>0</v>
      </c>
      <c r="L125" s="31"/>
      <c r="M125" s="336">
        <v>0.03</v>
      </c>
      <c r="N125" s="336">
        <f t="shared" si="18"/>
        <v>0.03</v>
      </c>
      <c r="O125" s="336">
        <f t="shared" si="18"/>
        <v>0.03</v>
      </c>
      <c r="P125" s="278"/>
      <c r="Q125" s="278"/>
      <c r="R125" s="278"/>
      <c r="S125" s="382"/>
      <c r="T125" s="382"/>
      <c r="U125" s="382"/>
      <c r="V125" s="382"/>
      <c r="W125" s="382"/>
      <c r="X125" s="384"/>
    </row>
    <row r="126" spans="1:24" s="4" customFormat="1" ht="12.75" customHeight="1" thickBot="1" x14ac:dyDescent="0.25">
      <c r="B126" s="209" t="s">
        <v>0</v>
      </c>
      <c r="C126" s="222" t="s">
        <v>606</v>
      </c>
      <c r="D126" s="955">
        <v>0</v>
      </c>
      <c r="E126" s="958">
        <f t="shared" ref="E126:E131" si="22">IF(D$45=0,0,100*D126/D$45)</f>
        <v>0</v>
      </c>
      <c r="F126" s="955">
        <f t="shared" si="15"/>
        <v>0</v>
      </c>
      <c r="G126" s="958">
        <f t="shared" si="19"/>
        <v>0</v>
      </c>
      <c r="H126" s="955">
        <f t="shared" si="16"/>
        <v>0</v>
      </c>
      <c r="I126" s="958">
        <f t="shared" si="20"/>
        <v>0</v>
      </c>
      <c r="J126" s="955">
        <f t="shared" si="17"/>
        <v>0</v>
      </c>
      <c r="K126" s="958">
        <f t="shared" si="21"/>
        <v>0</v>
      </c>
      <c r="L126" s="58"/>
      <c r="M126" s="336">
        <v>0.03</v>
      </c>
      <c r="N126" s="336">
        <f t="shared" si="18"/>
        <v>0.03</v>
      </c>
      <c r="O126" s="336">
        <f t="shared" si="18"/>
        <v>0.03</v>
      </c>
      <c r="P126" s="278"/>
      <c r="Q126" s="278"/>
      <c r="R126" s="278"/>
      <c r="S126" s="382"/>
      <c r="T126" s="382"/>
      <c r="U126" s="382"/>
      <c r="V126" s="382"/>
      <c r="W126" s="382"/>
      <c r="X126" s="384"/>
    </row>
    <row r="127" spans="1:24" s="4" customFormat="1" ht="12.75" customHeight="1" thickBot="1" x14ac:dyDescent="0.25">
      <c r="B127" s="223"/>
      <c r="C127" s="1808" t="s">
        <v>607</v>
      </c>
      <c r="D127" s="955">
        <v>0</v>
      </c>
      <c r="E127" s="958">
        <f t="shared" si="22"/>
        <v>0</v>
      </c>
      <c r="F127" s="955">
        <f t="shared" si="15"/>
        <v>0</v>
      </c>
      <c r="G127" s="958">
        <f t="shared" si="19"/>
        <v>0</v>
      </c>
      <c r="H127" s="955">
        <f t="shared" si="16"/>
        <v>0</v>
      </c>
      <c r="I127" s="958">
        <f t="shared" si="20"/>
        <v>0</v>
      </c>
      <c r="J127" s="955">
        <f t="shared" si="17"/>
        <v>0</v>
      </c>
      <c r="K127" s="958">
        <f t="shared" si="21"/>
        <v>0</v>
      </c>
      <c r="L127" s="32"/>
      <c r="M127" s="336">
        <v>0.03</v>
      </c>
      <c r="N127" s="336">
        <f t="shared" si="18"/>
        <v>0.03</v>
      </c>
      <c r="O127" s="336">
        <f t="shared" si="18"/>
        <v>0.03</v>
      </c>
      <c r="P127" s="278"/>
      <c r="Q127" s="278"/>
      <c r="R127" s="278"/>
      <c r="S127" s="278"/>
      <c r="T127" s="382"/>
      <c r="U127" s="382"/>
      <c r="V127" s="382"/>
      <c r="W127" s="382"/>
      <c r="X127" s="384"/>
    </row>
    <row r="128" spans="1:24" s="4" customFormat="1" ht="12.75" customHeight="1" thickBot="1" x14ac:dyDescent="0.25">
      <c r="B128" s="223"/>
      <c r="C128" s="1808" t="s">
        <v>608</v>
      </c>
      <c r="D128" s="955">
        <v>0</v>
      </c>
      <c r="E128" s="958">
        <f t="shared" si="22"/>
        <v>0</v>
      </c>
      <c r="F128" s="955">
        <f t="shared" si="15"/>
        <v>0</v>
      </c>
      <c r="G128" s="958">
        <f t="shared" si="19"/>
        <v>0</v>
      </c>
      <c r="H128" s="955">
        <f>F128+F128*O128</f>
        <v>0</v>
      </c>
      <c r="I128" s="958">
        <f t="shared" si="20"/>
        <v>0</v>
      </c>
      <c r="J128" s="955">
        <f>H128+H128*Q128</f>
        <v>0</v>
      </c>
      <c r="K128" s="958">
        <f t="shared" si="21"/>
        <v>0</v>
      </c>
      <c r="L128" s="32"/>
      <c r="M128" s="1036"/>
      <c r="N128" s="537"/>
      <c r="O128" s="537"/>
      <c r="P128" s="278"/>
      <c r="Q128" s="278"/>
      <c r="R128" s="278"/>
      <c r="S128" s="278"/>
      <c r="T128" s="382"/>
      <c r="U128" s="382"/>
      <c r="V128" s="382"/>
      <c r="W128" s="382"/>
      <c r="X128" s="384"/>
    </row>
    <row r="129" spans="2:24" s="4" customFormat="1" ht="12.75" customHeight="1" thickBot="1" x14ac:dyDescent="0.25">
      <c r="B129" s="223"/>
      <c r="C129" s="249" t="s">
        <v>801</v>
      </c>
      <c r="D129" s="955">
        <v>0</v>
      </c>
      <c r="E129" s="958">
        <f t="shared" si="22"/>
        <v>0</v>
      </c>
      <c r="F129" s="955">
        <f t="shared" si="15"/>
        <v>0</v>
      </c>
      <c r="G129" s="958">
        <f t="shared" si="19"/>
        <v>0</v>
      </c>
      <c r="H129" s="955">
        <f>F129+F129*N129</f>
        <v>0</v>
      </c>
      <c r="I129" s="958">
        <f t="shared" si="20"/>
        <v>0</v>
      </c>
      <c r="J129" s="955">
        <f>H129+H129*O129</f>
        <v>0</v>
      </c>
      <c r="K129" s="958">
        <f t="shared" si="21"/>
        <v>0</v>
      </c>
      <c r="L129" s="32"/>
      <c r="M129" s="336">
        <v>0.03</v>
      </c>
      <c r="N129" s="336">
        <f t="shared" si="18"/>
        <v>0.03</v>
      </c>
      <c r="O129" s="336">
        <f t="shared" si="18"/>
        <v>0.03</v>
      </c>
      <c r="P129" s="278"/>
      <c r="Q129" s="278"/>
      <c r="R129" s="278"/>
      <c r="S129" s="278"/>
      <c r="T129" s="278"/>
      <c r="U129" s="278"/>
      <c r="V129" s="278"/>
      <c r="W129" s="278"/>
      <c r="X129" s="383"/>
    </row>
    <row r="130" spans="2:24" s="4" customFormat="1" ht="12.75" customHeight="1" thickBot="1" x14ac:dyDescent="0.25">
      <c r="B130" s="223"/>
      <c r="C130" s="1809" t="s">
        <v>609</v>
      </c>
      <c r="D130" s="955">
        <v>0</v>
      </c>
      <c r="E130" s="958">
        <f t="shared" si="22"/>
        <v>0</v>
      </c>
      <c r="F130" s="955">
        <f t="shared" si="15"/>
        <v>0</v>
      </c>
      <c r="G130" s="958">
        <f t="shared" si="19"/>
        <v>0</v>
      </c>
      <c r="H130" s="955">
        <f>F130+F130*N130</f>
        <v>0</v>
      </c>
      <c r="I130" s="958">
        <f t="shared" si="20"/>
        <v>0</v>
      </c>
      <c r="J130" s="955">
        <f>H130+H130*O130</f>
        <v>0</v>
      </c>
      <c r="K130" s="958">
        <f t="shared" si="21"/>
        <v>0</v>
      </c>
      <c r="L130" s="32"/>
      <c r="M130" s="336">
        <v>0.03</v>
      </c>
      <c r="N130" s="336">
        <f>M130</f>
        <v>0.03</v>
      </c>
      <c r="O130" s="336">
        <f>N130</f>
        <v>0.03</v>
      </c>
      <c r="P130" s="278"/>
      <c r="Q130" s="278"/>
      <c r="R130" s="278"/>
      <c r="S130" s="278"/>
      <c r="T130" s="278"/>
      <c r="U130" s="278"/>
      <c r="V130" s="278"/>
      <c r="W130" s="278"/>
      <c r="X130" s="383"/>
    </row>
    <row r="131" spans="2:24" s="4" customFormat="1" ht="12.75" customHeight="1" thickBot="1" x14ac:dyDescent="0.25">
      <c r="B131" s="224"/>
      <c r="C131" s="1810" t="s">
        <v>610</v>
      </c>
      <c r="D131" s="837">
        <v>0</v>
      </c>
      <c r="E131" s="959">
        <f t="shared" si="22"/>
        <v>0</v>
      </c>
      <c r="F131" s="837">
        <f t="shared" si="15"/>
        <v>0</v>
      </c>
      <c r="G131" s="959">
        <f t="shared" si="19"/>
        <v>0</v>
      </c>
      <c r="H131" s="955">
        <f>F131+F131*N131</f>
        <v>0</v>
      </c>
      <c r="I131" s="959">
        <f t="shared" si="20"/>
        <v>0</v>
      </c>
      <c r="J131" s="955">
        <f>H131+H131*O131</f>
        <v>0</v>
      </c>
      <c r="K131" s="959">
        <f t="shared" si="21"/>
        <v>0</v>
      </c>
      <c r="L131" s="32"/>
      <c r="M131" s="336">
        <v>0.03</v>
      </c>
      <c r="N131" s="336">
        <f t="shared" si="18"/>
        <v>0.03</v>
      </c>
      <c r="O131" s="336">
        <f t="shared" si="18"/>
        <v>0.03</v>
      </c>
      <c r="P131" s="385"/>
      <c r="Q131" s="385"/>
      <c r="R131" s="385"/>
      <c r="S131" s="385"/>
      <c r="T131" s="385"/>
      <c r="U131" s="385"/>
      <c r="V131" s="385"/>
      <c r="W131" s="385"/>
      <c r="X131" s="386"/>
    </row>
    <row r="132" spans="2:24" ht="13.5" customHeight="1" thickBot="1" x14ac:dyDescent="0.25">
      <c r="B132" s="1372"/>
      <c r="C132" s="1373" t="s">
        <v>503</v>
      </c>
      <c r="D132" s="1374">
        <f>D45+D44</f>
        <v>0</v>
      </c>
      <c r="E132" s="1370">
        <v>0</v>
      </c>
      <c r="F132" s="1374">
        <f>F45+F44</f>
        <v>0</v>
      </c>
      <c r="G132" s="1371">
        <v>0</v>
      </c>
      <c r="H132" s="1374">
        <f>H45+H44</f>
        <v>0</v>
      </c>
      <c r="I132" s="1375"/>
      <c r="J132" s="1374">
        <f>J45+J44</f>
        <v>0</v>
      </c>
      <c r="K132" s="1375"/>
      <c r="L132" s="7"/>
      <c r="M132" s="43"/>
      <c r="N132" s="43"/>
      <c r="O132" s="43"/>
      <c r="P132" s="44"/>
      <c r="Q132" s="44"/>
      <c r="R132" s="44"/>
      <c r="S132" s="44"/>
      <c r="T132" s="44"/>
      <c r="U132" s="28"/>
      <c r="V132" s="28"/>
      <c r="W132" s="28"/>
    </row>
    <row r="133" spans="2:24" ht="6" customHeight="1" x14ac:dyDescent="0.2">
      <c r="B133" s="4"/>
      <c r="L133" s="3"/>
      <c r="M133" s="27"/>
      <c r="N133" s="1"/>
      <c r="O133" s="1"/>
      <c r="P133" s="1"/>
      <c r="Q133" s="1"/>
      <c r="R133" s="1"/>
      <c r="S133" s="1"/>
      <c r="T133" s="1"/>
      <c r="U133" s="28"/>
      <c r="V133" s="28"/>
      <c r="W133" s="28"/>
    </row>
    <row r="134" spans="2:24" s="2" customFormat="1" x14ac:dyDescent="0.2">
      <c r="B134" s="349"/>
      <c r="C134" s="350"/>
      <c r="D134" s="350"/>
      <c r="E134" s="350"/>
      <c r="F134" s="350"/>
      <c r="G134" s="350"/>
      <c r="H134" s="350"/>
      <c r="I134" s="350"/>
      <c r="J134" s="350"/>
      <c r="K134" s="237">
        <f>'Front Page'!F6</f>
        <v>0</v>
      </c>
      <c r="L134" s="3"/>
      <c r="M134" s="44"/>
      <c r="N134" s="44"/>
      <c r="O134" s="44"/>
      <c r="P134" s="44"/>
      <c r="Q134" s="44"/>
      <c r="R134" s="44"/>
      <c r="S134" s="44"/>
      <c r="T134" s="44"/>
      <c r="U134" s="28"/>
      <c r="V134" s="28"/>
      <c r="W134" s="28"/>
    </row>
    <row r="135" spans="2:24" s="2" customFormat="1" x14ac:dyDescent="0.2">
      <c r="B135" s="349" t="str">
        <f>'1. T1 INVESTMENT PLAN'!B67</f>
        <v>BP6 Financial Projection</v>
      </c>
      <c r="C135" s="350"/>
      <c r="D135" s="350"/>
      <c r="E135" s="350"/>
      <c r="F135" s="350"/>
      <c r="G135" s="350"/>
      <c r="H135" s="350"/>
      <c r="I135" s="350"/>
      <c r="J135" s="350"/>
      <c r="K135" s="405" t="str">
        <f>'7. T2 RESULT BUDGET '!G36</f>
        <v>Enontekiö, Kittilä, Kolari, Muonio, Pello</v>
      </c>
      <c r="L135" s="3"/>
      <c r="M135" s="44"/>
      <c r="N135" s="44"/>
      <c r="O135" s="44"/>
      <c r="P135" s="44"/>
      <c r="Q135" s="44"/>
      <c r="R135" s="44"/>
      <c r="S135" s="44"/>
      <c r="T135" s="44"/>
      <c r="U135" s="28"/>
      <c r="V135" s="28"/>
      <c r="W135" s="28"/>
    </row>
    <row r="136" spans="2:24" s="2" customFormat="1" x14ac:dyDescent="0.2">
      <c r="B136" s="2149"/>
      <c r="C136" s="2149"/>
      <c r="L136" s="3"/>
      <c r="M136" s="44"/>
      <c r="N136" s="44"/>
      <c r="O136" s="44"/>
      <c r="P136" s="44"/>
      <c r="Q136" s="44"/>
      <c r="R136" s="44"/>
      <c r="S136" s="44"/>
      <c r="T136" s="44"/>
      <c r="U136" s="28"/>
      <c r="V136" s="28"/>
      <c r="W136" s="28"/>
    </row>
    <row r="137" spans="2:24" ht="6.75" customHeight="1" x14ac:dyDescent="0.2">
      <c r="B137" s="4"/>
      <c r="C137" s="4"/>
      <c r="D137" s="4"/>
      <c r="E137" s="4"/>
      <c r="F137" s="4"/>
      <c r="G137" s="4"/>
      <c r="H137" s="4"/>
      <c r="I137" s="4"/>
      <c r="J137" s="4"/>
      <c r="K137" s="4"/>
      <c r="M137" s="1"/>
      <c r="N137" s="1"/>
      <c r="O137" s="1"/>
      <c r="P137" s="1"/>
      <c r="Q137" s="1"/>
      <c r="R137" s="1"/>
      <c r="S137" s="1"/>
      <c r="T137" s="1"/>
      <c r="U137" s="28"/>
      <c r="V137" s="28"/>
      <c r="W137" s="28"/>
    </row>
    <row r="138" spans="2:24" x14ac:dyDescent="0.2">
      <c r="B138" s="33"/>
      <c r="C138" s="348"/>
      <c r="D138" s="9"/>
      <c r="E138" s="20"/>
      <c r="F138" s="9"/>
      <c r="G138" s="20"/>
      <c r="H138" s="9"/>
      <c r="I138" s="20"/>
      <c r="J138" s="9"/>
      <c r="K138" s="20"/>
      <c r="L138" s="9"/>
      <c r="M138" s="9"/>
      <c r="N138" s="8"/>
      <c r="O138" s="28"/>
      <c r="P138" s="28"/>
      <c r="Q138" s="28"/>
      <c r="R138" s="28"/>
      <c r="S138" s="28"/>
      <c r="T138" s="28"/>
      <c r="U138" s="28"/>
      <c r="V138" s="28"/>
      <c r="W138" s="28"/>
    </row>
    <row r="139" spans="2:24" s="2" customFormat="1" x14ac:dyDescent="0.2">
      <c r="B139" s="36"/>
      <c r="C139" s="52" t="str">
        <f>'1. T1 INVESTMENT PLAN'!B70</f>
        <v>The user acknowledges that the program may contain errors and the results provided by the program are referential and directional.</v>
      </c>
      <c r="D139" s="23"/>
      <c r="E139" s="35"/>
      <c r="F139" s="9"/>
      <c r="G139" s="35"/>
      <c r="H139" s="9"/>
      <c r="I139" s="35"/>
      <c r="J139" s="9"/>
      <c r="K139" s="35"/>
      <c r="L139" s="9"/>
      <c r="M139" s="9"/>
      <c r="N139" s="8"/>
      <c r="O139" s="28"/>
      <c r="P139" s="28"/>
      <c r="Q139" s="28"/>
      <c r="R139" s="28"/>
      <c r="S139" s="28"/>
      <c r="T139" s="28"/>
      <c r="U139" s="28"/>
      <c r="V139" s="28"/>
      <c r="W139" s="28"/>
    </row>
    <row r="140" spans="2:24" s="2" customFormat="1" ht="12.75" customHeight="1" x14ac:dyDescent="0.2">
      <c r="B140" s="36"/>
      <c r="C140" s="52" t="str">
        <f>'1. T1 INVESTMENT PLAN'!B71</f>
        <v>The user uses the program and interprets results at his own risk.</v>
      </c>
      <c r="D140" s="9"/>
      <c r="E140" s="35"/>
      <c r="F140" s="9"/>
      <c r="G140" s="35"/>
      <c r="H140" s="9"/>
      <c r="I140" s="35"/>
      <c r="J140" s="9"/>
      <c r="K140" s="35"/>
      <c r="L140" s="9"/>
      <c r="M140" s="9"/>
      <c r="N140" s="8"/>
      <c r="O140" s="28"/>
      <c r="P140" s="28"/>
      <c r="Q140" s="28"/>
      <c r="R140" s="28"/>
      <c r="S140" s="28"/>
      <c r="T140" s="28"/>
      <c r="U140" s="28"/>
      <c r="V140" s="28"/>
      <c r="W140" s="28"/>
    </row>
    <row r="141" spans="2:24" x14ac:dyDescent="0.2">
      <c r="B141" s="33"/>
      <c r="L141" s="12"/>
      <c r="M141" s="12"/>
      <c r="N141" s="8"/>
      <c r="O141" s="13"/>
      <c r="P141" s="28"/>
      <c r="Q141" s="28"/>
      <c r="R141" s="28"/>
      <c r="S141" s="28"/>
      <c r="T141" s="28"/>
      <c r="U141" s="28"/>
      <c r="V141" s="28"/>
      <c r="W141" s="28"/>
    </row>
    <row r="142" spans="2:24" s="2" customFormat="1" x14ac:dyDescent="0.2">
      <c r="B142" s="33"/>
      <c r="L142" s="14"/>
      <c r="M142" s="14"/>
      <c r="N142" s="8"/>
      <c r="O142" s="13"/>
      <c r="P142" s="28"/>
      <c r="Q142" s="28"/>
      <c r="R142" s="28"/>
      <c r="S142" s="28"/>
      <c r="T142" s="28"/>
      <c r="U142" s="28"/>
      <c r="V142" s="28"/>
      <c r="W142" s="28"/>
    </row>
    <row r="143" spans="2:24" x14ac:dyDescent="0.2">
      <c r="B143" s="36"/>
      <c r="L143" s="9"/>
      <c r="M143" s="9"/>
      <c r="N143" s="8"/>
      <c r="O143" s="28"/>
      <c r="P143" s="28"/>
      <c r="Q143" s="28"/>
      <c r="R143" s="28"/>
      <c r="S143" s="28"/>
      <c r="T143" s="28"/>
      <c r="U143" s="28"/>
      <c r="V143" s="28"/>
      <c r="W143" s="28"/>
    </row>
    <row r="144" spans="2:24" x14ac:dyDescent="0.2">
      <c r="B144" s="33"/>
      <c r="L144" s="12"/>
      <c r="M144" s="12"/>
      <c r="N144" s="8"/>
      <c r="O144" s="28"/>
      <c r="P144" s="28"/>
      <c r="Q144" s="28"/>
      <c r="R144" s="28"/>
      <c r="S144" s="28"/>
      <c r="T144" s="28"/>
      <c r="U144" s="28"/>
      <c r="V144" s="28"/>
      <c r="W144" s="28"/>
    </row>
    <row r="145" spans="2:23" x14ac:dyDescent="0.2">
      <c r="B145" s="36"/>
      <c r="L145" s="9"/>
      <c r="M145" s="9"/>
      <c r="N145" s="8"/>
      <c r="O145" s="28"/>
      <c r="P145" s="28"/>
      <c r="Q145" s="28"/>
      <c r="R145" s="28"/>
      <c r="S145" s="28"/>
      <c r="T145" s="28"/>
      <c r="U145" s="28"/>
      <c r="V145" s="28"/>
      <c r="W145" s="28"/>
    </row>
    <row r="146" spans="2:23" ht="12.75" customHeight="1" x14ac:dyDescent="0.2">
      <c r="B146" s="20"/>
      <c r="L146" s="11"/>
      <c r="M146" s="11"/>
      <c r="N146" s="8"/>
      <c r="O146" s="28"/>
      <c r="P146" s="28"/>
      <c r="Q146" s="28"/>
      <c r="R146" s="28"/>
      <c r="S146" s="28"/>
      <c r="T146" s="28"/>
      <c r="U146" s="28"/>
      <c r="V146" s="28"/>
      <c r="W146" s="28"/>
    </row>
    <row r="147" spans="2:23" ht="12.75" customHeight="1" x14ac:dyDescent="0.2">
      <c r="B147" s="20"/>
      <c r="C147" s="34"/>
      <c r="D147" s="11"/>
      <c r="E147" s="10"/>
      <c r="F147" s="16"/>
      <c r="G147" s="10"/>
      <c r="H147" s="16"/>
      <c r="I147" s="10"/>
      <c r="J147" s="16"/>
      <c r="K147" s="10"/>
      <c r="L147" s="16"/>
      <c r="M147" s="16"/>
      <c r="N147" s="8"/>
      <c r="O147" s="8"/>
      <c r="P147" s="8"/>
      <c r="Q147" s="8"/>
      <c r="R147" s="8"/>
      <c r="S147" s="8"/>
      <c r="T147" s="8"/>
      <c r="U147" s="8"/>
      <c r="V147" s="8"/>
      <c r="W147" s="8"/>
    </row>
    <row r="148" spans="2:23" ht="12.75" customHeight="1" x14ac:dyDescent="0.2">
      <c r="B148" s="20"/>
      <c r="C148" s="34"/>
      <c r="D148" s="11"/>
      <c r="E148" s="20"/>
      <c r="F148" s="11"/>
      <c r="G148" s="20"/>
      <c r="H148" s="11"/>
      <c r="I148" s="20"/>
      <c r="J148" s="11"/>
      <c r="K148" s="20"/>
      <c r="L148" s="11"/>
      <c r="M148" s="11"/>
      <c r="N148" s="8"/>
      <c r="O148" s="8"/>
      <c r="P148" s="8"/>
      <c r="Q148" s="8"/>
      <c r="R148" s="8"/>
      <c r="S148" s="8"/>
      <c r="T148" s="8"/>
      <c r="U148" s="8"/>
      <c r="V148" s="8"/>
      <c r="W148" s="8"/>
    </row>
    <row r="149" spans="2:23" ht="12.75" customHeight="1" x14ac:dyDescent="0.2">
      <c r="B149" s="20"/>
      <c r="C149" s="34"/>
      <c r="D149" s="11"/>
      <c r="E149" s="35"/>
      <c r="F149" s="37"/>
      <c r="G149" s="35"/>
      <c r="H149" s="37"/>
      <c r="I149" s="35"/>
      <c r="J149" s="37"/>
      <c r="K149" s="35"/>
      <c r="L149" s="37"/>
      <c r="M149" s="37"/>
      <c r="N149" s="8"/>
      <c r="O149" s="8"/>
      <c r="P149" s="8"/>
      <c r="Q149" s="8"/>
      <c r="R149" s="8"/>
      <c r="S149" s="8"/>
      <c r="T149" s="8"/>
      <c r="U149" s="8"/>
      <c r="V149" s="8"/>
      <c r="W149" s="8"/>
    </row>
    <row r="150" spans="2:23" ht="12.75" customHeight="1" x14ac:dyDescent="0.2">
      <c r="B150" s="35"/>
      <c r="C150" s="34"/>
      <c r="D150" s="11"/>
      <c r="E150" s="35"/>
      <c r="F150" s="37"/>
      <c r="G150" s="35"/>
      <c r="H150" s="37"/>
      <c r="I150" s="35"/>
      <c r="J150" s="37"/>
      <c r="K150" s="35"/>
      <c r="L150" s="37"/>
      <c r="M150" s="37"/>
      <c r="N150" s="8"/>
      <c r="O150" s="8"/>
      <c r="P150" s="8"/>
      <c r="Q150" s="8"/>
      <c r="R150" s="8"/>
      <c r="S150" s="8"/>
      <c r="T150" s="8"/>
      <c r="U150" s="8"/>
      <c r="V150" s="8"/>
      <c r="W150" s="8"/>
    </row>
    <row r="151" spans="2:23" ht="12.75" customHeight="1" x14ac:dyDescent="0.2">
      <c r="B151" s="20"/>
      <c r="C151" s="34"/>
      <c r="D151" s="11"/>
      <c r="E151" s="38"/>
      <c r="F151" s="37"/>
      <c r="G151" s="38"/>
      <c r="H151" s="37"/>
      <c r="I151" s="38"/>
      <c r="J151" s="37"/>
      <c r="K151" s="38"/>
      <c r="L151" s="37"/>
      <c r="M151" s="37"/>
      <c r="N151" s="8"/>
      <c r="O151" s="8"/>
      <c r="P151" s="8"/>
      <c r="Q151" s="8"/>
      <c r="R151" s="8"/>
      <c r="S151" s="8"/>
      <c r="T151" s="8"/>
      <c r="U151" s="8"/>
      <c r="V151" s="8"/>
      <c r="W151" s="8"/>
    </row>
    <row r="152" spans="2:23" ht="12.75" customHeight="1" x14ac:dyDescent="0.2">
      <c r="B152" s="8"/>
      <c r="C152" s="8"/>
      <c r="D152" s="8"/>
      <c r="E152" s="35"/>
      <c r="F152" s="8"/>
      <c r="G152" s="35"/>
      <c r="H152" s="8"/>
      <c r="I152" s="35"/>
      <c r="J152" s="8"/>
      <c r="K152" s="35"/>
      <c r="L152" s="8"/>
      <c r="M152" s="8"/>
      <c r="N152" s="8"/>
      <c r="O152" s="8"/>
      <c r="P152" s="8"/>
      <c r="Q152" s="8"/>
      <c r="R152" s="8"/>
      <c r="S152" s="8"/>
      <c r="T152" s="8"/>
      <c r="U152" s="8"/>
      <c r="V152" s="8"/>
      <c r="W152" s="8"/>
    </row>
    <row r="153" spans="2:23" ht="12.75" customHeight="1" x14ac:dyDescent="0.2">
      <c r="B153" s="8"/>
      <c r="C153" s="8"/>
      <c r="D153" s="36"/>
      <c r="E153" s="8"/>
      <c r="F153" s="15"/>
      <c r="G153" s="8"/>
      <c r="H153" s="15"/>
      <c r="I153" s="8"/>
      <c r="J153" s="15"/>
      <c r="K153" s="8"/>
      <c r="L153" s="15"/>
      <c r="M153" s="15"/>
      <c r="N153" s="8"/>
      <c r="O153" s="8"/>
      <c r="P153" s="8"/>
      <c r="Q153" s="8"/>
      <c r="R153" s="8"/>
      <c r="S153" s="8"/>
      <c r="T153" s="8"/>
      <c r="U153" s="8"/>
      <c r="V153" s="8"/>
      <c r="W153" s="8"/>
    </row>
    <row r="154" spans="2:23" ht="12.75" customHeight="1" x14ac:dyDescent="0.2">
      <c r="B154" s="8"/>
      <c r="C154" s="8"/>
      <c r="D154" s="36"/>
      <c r="E154" s="8"/>
      <c r="F154" s="9"/>
      <c r="G154" s="8"/>
      <c r="H154" s="9"/>
      <c r="I154" s="8"/>
      <c r="J154" s="9"/>
      <c r="K154" s="8"/>
      <c r="L154" s="9"/>
      <c r="M154" s="9"/>
      <c r="N154" s="8"/>
      <c r="O154" s="8"/>
      <c r="P154" s="8"/>
      <c r="Q154" s="8"/>
      <c r="R154" s="8"/>
      <c r="S154" s="8"/>
      <c r="T154" s="8"/>
      <c r="U154" s="8"/>
      <c r="V154" s="8"/>
      <c r="W154" s="8"/>
    </row>
    <row r="155" spans="2:23" ht="12.75" customHeight="1" x14ac:dyDescent="0.2">
      <c r="B155" s="8"/>
      <c r="C155" s="8"/>
      <c r="D155" s="8"/>
      <c r="E155" s="8"/>
      <c r="F155" s="8"/>
      <c r="G155" s="8"/>
      <c r="H155" s="8"/>
      <c r="I155" s="8"/>
      <c r="J155" s="8"/>
      <c r="K155" s="8"/>
      <c r="L155" s="8"/>
      <c r="M155" s="8"/>
      <c r="N155" s="8"/>
      <c r="O155" s="8"/>
      <c r="P155" s="8"/>
      <c r="Q155" s="8"/>
      <c r="R155" s="8"/>
      <c r="S155" s="8"/>
      <c r="T155" s="8"/>
      <c r="U155" s="8"/>
      <c r="V155" s="8"/>
      <c r="W155" s="8"/>
    </row>
    <row r="156" spans="2:23" ht="12.75" customHeight="1" x14ac:dyDescent="0.2">
      <c r="B156" s="8"/>
      <c r="C156" s="8"/>
      <c r="D156" s="36"/>
      <c r="E156" s="35"/>
      <c r="F156" s="17"/>
      <c r="G156" s="35"/>
      <c r="H156" s="17"/>
      <c r="I156" s="35"/>
      <c r="J156" s="17"/>
      <c r="K156" s="35"/>
      <c r="L156" s="17"/>
      <c r="M156" s="17"/>
      <c r="N156" s="8"/>
      <c r="O156" s="8"/>
      <c r="P156" s="8"/>
      <c r="Q156" s="8"/>
      <c r="R156" s="8"/>
      <c r="S156" s="8"/>
      <c r="T156" s="8"/>
      <c r="U156" s="8"/>
      <c r="V156" s="8"/>
      <c r="W156" s="8"/>
    </row>
    <row r="157" spans="2:23" ht="12.75" customHeight="1" x14ac:dyDescent="0.2"/>
    <row r="158" spans="2:23" ht="12.75" customHeight="1" x14ac:dyDescent="0.2"/>
    <row r="159" spans="2:23" ht="12.75" customHeight="1" x14ac:dyDescent="0.2"/>
    <row r="160" spans="2:2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sheetProtection algorithmName="SHA-512" hashValue="/ev7h3PY67AqUB3JUgJuqVRGUjhQC406y8ER1as4PItJb4Sny/5mA5S7uR2ov3wLAQsYZsMPzW9xJEp1SQqVYw==" saltValue="PeRtBd2FG8RptEkr53Nrlw==" spinCount="100000" sheet="1" objects="1" scenarios="1"/>
  <mergeCells count="20">
    <mergeCell ref="B136:C136"/>
    <mergeCell ref="D8:E8"/>
    <mergeCell ref="F8:G8"/>
    <mergeCell ref="B5:C5"/>
    <mergeCell ref="D4:E4"/>
    <mergeCell ref="B7:C7"/>
    <mergeCell ref="B8:C9"/>
    <mergeCell ref="M11:O11"/>
    <mergeCell ref="F7:G7"/>
    <mergeCell ref="D7:E7"/>
    <mergeCell ref="J7:K7"/>
    <mergeCell ref="J8:K8"/>
    <mergeCell ref="M5:O5"/>
    <mergeCell ref="J10:K10"/>
    <mergeCell ref="H10:I10"/>
    <mergeCell ref="F10:G10"/>
    <mergeCell ref="D10:E10"/>
    <mergeCell ref="H8:I8"/>
    <mergeCell ref="H7:I7"/>
    <mergeCell ref="D5:E5"/>
  </mergeCells>
  <phoneticPr fontId="10" type="noConversion"/>
  <printOptions horizontalCentered="1"/>
  <pageMargins left="0.25" right="0.25" top="0.75" bottom="0.75" header="0.3" footer="0.3"/>
  <pageSetup paperSize="9" scale="80" orientation="portrait" verticalDpi="4" r:id="rId1"/>
  <headerFooter alignWithMargins="0"/>
  <rowBreaks count="1" manualBreakCount="1">
    <brk id="70" min="1" max="25" man="1"/>
  </rowBreaks>
  <colBreaks count="1" manualBreakCount="1">
    <brk id="11" min="1" max="125" man="1"/>
  </colBreaks>
  <ignoredErrors>
    <ignoredError sqref="H13 J13 O1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4">
    <tabColor rgb="FF0152A1"/>
  </sheetPr>
  <dimension ref="A2:Y84"/>
  <sheetViews>
    <sheetView showGridLines="0" showZeros="0" zoomScaleNormal="100" workbookViewId="0">
      <pane ySplit="14" topLeftCell="A15" activePane="bottomLeft" state="frozen"/>
      <selection pane="bottomLeft" activeCell="E18" sqref="E18"/>
    </sheetView>
  </sheetViews>
  <sheetFormatPr defaultRowHeight="12.75" x14ac:dyDescent="0.2"/>
  <cols>
    <col min="1" max="1" width="9.140625" customWidth="1"/>
    <col min="2" max="2" width="31.5703125" customWidth="1"/>
    <col min="3" max="3" width="4.140625" style="40" customWidth="1"/>
    <col min="4" max="4" width="5.85546875" customWidth="1"/>
    <col min="5" max="8" width="13.28515625" customWidth="1"/>
    <col min="9" max="9" width="2.85546875" customWidth="1"/>
    <col min="10" max="10" width="1" customWidth="1"/>
    <col min="11" max="11" width="1.140625" customWidth="1"/>
    <col min="14" max="21" width="8.85546875" customWidth="1"/>
    <col min="22" max="22" width="10.7109375" customWidth="1"/>
  </cols>
  <sheetData>
    <row r="2" spans="1:25" ht="15.75" x14ac:dyDescent="0.25">
      <c r="B2" s="24" t="s">
        <v>620</v>
      </c>
      <c r="C2"/>
      <c r="D2" s="24"/>
      <c r="E2" s="59"/>
      <c r="F2" s="24"/>
      <c r="J2" s="2" t="str">
        <f>B2</f>
        <v>E2 TURNOVER</v>
      </c>
      <c r="N2" s="342"/>
    </row>
    <row r="3" spans="1:25" ht="13.5" customHeight="1" x14ac:dyDescent="0.2">
      <c r="A3" s="1471" t="s">
        <v>782</v>
      </c>
      <c r="B3" s="2"/>
      <c r="C3" s="6"/>
      <c r="D3" s="5"/>
      <c r="E3" s="561"/>
      <c r="F3" s="6"/>
      <c r="G3" s="6"/>
      <c r="H3" s="6"/>
      <c r="N3" s="343"/>
    </row>
    <row r="4" spans="1:25" ht="17.25" customHeight="1" x14ac:dyDescent="0.2">
      <c r="B4" s="45" t="str">
        <f>'1. T1 INVESTMENT PLAN'!B6</f>
        <v>Company name</v>
      </c>
      <c r="C4" s="54"/>
      <c r="D4" s="19" t="s">
        <v>0</v>
      </c>
      <c r="E4" s="45"/>
      <c r="F4" s="45"/>
      <c r="G4" s="19" t="s">
        <v>0</v>
      </c>
      <c r="H4" s="19" t="s">
        <v>0</v>
      </c>
      <c r="I4" s="29" t="s">
        <v>0</v>
      </c>
      <c r="J4" s="29" t="s">
        <v>0</v>
      </c>
      <c r="K4" s="29" t="s">
        <v>0</v>
      </c>
      <c r="L4" s="19"/>
      <c r="N4" s="343"/>
    </row>
    <row r="5" spans="1:25" ht="14.25" customHeight="1" x14ac:dyDescent="0.25">
      <c r="B5" s="2228">
        <f>'7. T2 RESULT BUDGET '!B5:D5</f>
        <v>0</v>
      </c>
      <c r="C5" s="2228"/>
      <c r="D5" s="2228"/>
      <c r="E5" s="560"/>
      <c r="F5" s="1318"/>
      <c r="G5" s="111"/>
      <c r="H5" s="111"/>
      <c r="I5" s="22"/>
      <c r="J5" s="2173"/>
      <c r="K5" s="2173"/>
      <c r="L5" s="2173"/>
      <c r="M5" s="24"/>
      <c r="N5" s="344"/>
      <c r="X5" s="8"/>
      <c r="Y5" s="8"/>
    </row>
    <row r="6" spans="1:25" ht="6" customHeight="1" thickBot="1" x14ac:dyDescent="0.25">
      <c r="F6" s="18"/>
      <c r="G6" s="18"/>
      <c r="H6" s="18"/>
      <c r="M6" s="1"/>
      <c r="N6" s="1"/>
      <c r="O6" s="1"/>
      <c r="P6" s="1"/>
      <c r="Q6" s="1"/>
      <c r="R6" s="1"/>
      <c r="S6" s="1"/>
      <c r="T6" s="1"/>
      <c r="U6" s="1"/>
      <c r="V6" s="1"/>
      <c r="W6" s="1"/>
      <c r="X6" s="8"/>
      <c r="Y6" s="8"/>
    </row>
    <row r="7" spans="1:25" x14ac:dyDescent="0.2">
      <c r="B7" s="2229"/>
      <c r="C7" s="2230"/>
      <c r="D7" s="1754"/>
      <c r="E7" s="1750" t="str">
        <f>'1. T1 INVESTMENT PLAN'!E15</f>
        <v>Forecast 1</v>
      </c>
      <c r="F7" s="1750" t="str">
        <f>'1. T1 INVESTMENT PLAN'!F15</f>
        <v>Forecast 2</v>
      </c>
      <c r="G7" s="1750" t="str">
        <f>'1. T1 INVESTMENT PLAN'!G15</f>
        <v>Forecast 3</v>
      </c>
      <c r="H7" s="1751" t="str">
        <f>'1. T1 INVESTMENT PLAN'!H15</f>
        <v>Forecast 4</v>
      </c>
    </row>
    <row r="8" spans="1:25" ht="12.75" customHeight="1" x14ac:dyDescent="0.2">
      <c r="B8" s="2231"/>
      <c r="C8" s="2232"/>
      <c r="D8" s="1168"/>
      <c r="E8" s="1169">
        <f>'3. E1 OPERATING COSTS'!D$8</f>
        <v>2027</v>
      </c>
      <c r="F8" s="1169">
        <f>'3. E1 OPERATING COSTS'!F$8</f>
        <v>2028</v>
      </c>
      <c r="G8" s="1169">
        <f>'3. E1 OPERATING COSTS'!H$8</f>
        <v>2029</v>
      </c>
      <c r="H8" s="1755">
        <f>'1. T1 INVESTMENT PLAN'!H16</f>
        <v>2030</v>
      </c>
      <c r="I8" s="41"/>
      <c r="J8" s="182"/>
      <c r="K8" s="182"/>
      <c r="L8" s="182"/>
      <c r="M8" s="182"/>
      <c r="N8" s="182"/>
      <c r="O8" s="164"/>
      <c r="P8" s="164"/>
      <c r="Q8" s="164"/>
      <c r="R8" s="164"/>
      <c r="S8" s="164"/>
      <c r="T8" s="164"/>
      <c r="U8" s="164"/>
      <c r="V8" s="164"/>
    </row>
    <row r="9" spans="1:25" ht="12.75" customHeight="1" thickBot="1" x14ac:dyDescent="0.25">
      <c r="B9" s="1756"/>
      <c r="C9" s="1757"/>
      <c r="D9" s="1819" t="str">
        <f>'3. E1 OPERATING COSTS'!C10</f>
        <v xml:space="preserve"> Length of the accounting period (months)</v>
      </c>
      <c r="E9" s="1170">
        <f>'7. T2 RESULT BUDGET '!G10</f>
        <v>12</v>
      </c>
      <c r="F9" s="1170" t="str">
        <f>'7. T2 RESULT BUDGET '!I10</f>
        <v>12</v>
      </c>
      <c r="G9" s="1170" t="str">
        <f>'7. T2 RESULT BUDGET '!K10</f>
        <v>12</v>
      </c>
      <c r="H9" s="1749" t="str">
        <f>'7. T2 RESULT BUDGET '!M10</f>
        <v>12</v>
      </c>
      <c r="I9" s="41"/>
      <c r="J9" s="182"/>
      <c r="K9" s="182"/>
      <c r="L9" s="182"/>
      <c r="M9" s="182"/>
      <c r="N9" s="182"/>
      <c r="O9" s="164"/>
      <c r="P9" s="164"/>
      <c r="Q9" s="164"/>
      <c r="R9" s="164"/>
      <c r="S9" s="164"/>
      <c r="T9" s="164"/>
      <c r="U9" s="164"/>
      <c r="V9" s="164"/>
    </row>
    <row r="10" spans="1:25" ht="13.15" customHeight="1" x14ac:dyDescent="0.2">
      <c r="B10" s="1758" t="s">
        <v>622</v>
      </c>
      <c r="C10" s="487"/>
      <c r="D10" s="489" t="s">
        <v>336</v>
      </c>
      <c r="E10" s="967">
        <f>E17+E24+E31+E38+E45+E52+E59+E66+E73</f>
        <v>0</v>
      </c>
      <c r="F10" s="967">
        <f>F17+F24+F31+F38+F45+F52+F59+F66+F73</f>
        <v>0</v>
      </c>
      <c r="G10" s="967">
        <f>G17+G24+G31+G38+G45+G52+G59+G66+G73</f>
        <v>0</v>
      </c>
      <c r="H10" s="1759">
        <f>H17+H24+H31+H38+H45+H52+H59+H66+H73</f>
        <v>0</v>
      </c>
      <c r="J10" s="164"/>
      <c r="K10" s="164"/>
      <c r="L10" s="164"/>
      <c r="M10" s="164"/>
      <c r="N10" s="164"/>
      <c r="O10" s="164"/>
      <c r="P10" s="164"/>
      <c r="Q10" s="164"/>
      <c r="R10" s="164"/>
      <c r="S10" s="164"/>
      <c r="T10" s="164"/>
      <c r="U10" s="164"/>
      <c r="V10" s="164"/>
    </row>
    <row r="11" spans="1:25" ht="13.15" customHeight="1" x14ac:dyDescent="0.2">
      <c r="B11" s="1760" t="s">
        <v>625</v>
      </c>
      <c r="C11" s="486"/>
      <c r="D11" s="353" t="s">
        <v>336</v>
      </c>
      <c r="E11" s="968">
        <f>E21+E28+E35+E49+E56+E63+E70+E77+E42</f>
        <v>0</v>
      </c>
      <c r="F11" s="968">
        <f>F21+F28+F35+F49+F56+F63+F70+F77+F42</f>
        <v>0</v>
      </c>
      <c r="G11" s="968">
        <f>G21+G28+G35+G49+G56+G63+G70+G77+G42</f>
        <v>0</v>
      </c>
      <c r="H11" s="968">
        <f>H21+H28+H35+H49+H56+H63+H70+H77+H42</f>
        <v>0</v>
      </c>
      <c r="J11" s="182"/>
      <c r="K11" s="182"/>
      <c r="L11" s="182"/>
      <c r="M11" s="182"/>
      <c r="N11" s="182"/>
      <c r="O11" s="164"/>
      <c r="P11" s="164"/>
      <c r="Q11" s="164"/>
      <c r="R11" s="164"/>
      <c r="S11" s="164"/>
      <c r="T11" s="164"/>
      <c r="U11" s="164"/>
      <c r="V11" s="164"/>
    </row>
    <row r="12" spans="1:25" ht="13.15" customHeight="1" x14ac:dyDescent="0.2">
      <c r="B12" s="1760" t="s">
        <v>626</v>
      </c>
      <c r="C12" s="486"/>
      <c r="D12" s="485"/>
      <c r="E12" s="969">
        <f>IF(E11=0,0,E11/E10)</f>
        <v>0</v>
      </c>
      <c r="F12" s="969">
        <f>IF(F11=0,0,F11/F10)</f>
        <v>0</v>
      </c>
      <c r="G12" s="969">
        <f>IF(G11=0,0,G11/G10)</f>
        <v>0</v>
      </c>
      <c r="H12" s="1762">
        <f>IF(H11=0,0,H11/H10)</f>
        <v>0</v>
      </c>
      <c r="J12" s="182"/>
      <c r="K12" s="182"/>
      <c r="L12" s="182"/>
      <c r="M12" s="182"/>
      <c r="N12" s="182"/>
      <c r="O12" s="164"/>
      <c r="P12" s="164"/>
      <c r="Q12" s="164"/>
      <c r="R12" s="164"/>
      <c r="S12" s="164"/>
      <c r="T12" s="164"/>
      <c r="U12" s="164"/>
      <c r="V12" s="164"/>
    </row>
    <row r="13" spans="1:25" ht="13.15" customHeight="1" thickBot="1" x14ac:dyDescent="0.25">
      <c r="B13" s="1763" t="s">
        <v>623</v>
      </c>
      <c r="C13" s="486"/>
      <c r="D13" s="353" t="s">
        <v>336</v>
      </c>
      <c r="E13" s="968">
        <f>E16*(E17)+E23*(E24)+E30*(E31)+E37*(E38)+E44*(E45)+E51*(E52)+E58*(E59)+E65*(E66)+E72*(E73)</f>
        <v>0</v>
      </c>
      <c r="F13" s="968">
        <f>F16*(F17)+F23*(F24)+F30*(F31)+F37*(F38)+F44*(F45)+F51*(F52)+F58*(F59)+F65*(F66)+F72*(F73)</f>
        <v>0</v>
      </c>
      <c r="G13" s="968">
        <f>G16*(G17)+G23*(G24)+G30*(G31)+G37*(G38)+G44*(G45)+G51*(G52)+G58*(G59)+G65*(G66)+G72*(G73)</f>
        <v>0</v>
      </c>
      <c r="H13" s="1761">
        <f>H16*(H17)+H23*(H24)+H30*(H31)+H37*(H38)+H44*(H45)+H51*(H52)+H58*(H59)+H65*(H66)+H72*(H73)</f>
        <v>0</v>
      </c>
      <c r="J13" s="182"/>
      <c r="K13" s="182"/>
      <c r="L13" s="182"/>
      <c r="M13" s="182"/>
      <c r="N13" s="182"/>
      <c r="O13" s="164"/>
      <c r="P13" s="164"/>
      <c r="Q13" s="164"/>
      <c r="R13" s="164"/>
      <c r="S13" s="164"/>
      <c r="T13" s="164"/>
      <c r="U13" s="164"/>
      <c r="V13" s="164"/>
    </row>
    <row r="14" spans="1:25" ht="13.15" customHeight="1" thickBot="1" x14ac:dyDescent="0.25">
      <c r="B14" s="1764" t="s">
        <v>624</v>
      </c>
      <c r="C14" s="1765"/>
      <c r="D14" s="1766" t="s">
        <v>336</v>
      </c>
      <c r="E14" s="1767">
        <f>E16*(E21)+E23*(E28)+E30*(E35)+E37*(E42)+E44*(E49)+E51*(E56)+E58*(E63)+E65*(E70)+E72*(E77)</f>
        <v>0</v>
      </c>
      <c r="F14" s="1767">
        <f>F16*(F21)+F23*(F28)+F30*(F35)+F37*(F42)+F44*(F49)+F51*(F56)+F58*(F63)+F65*(F70)+F72*(F77)</f>
        <v>0</v>
      </c>
      <c r="G14" s="1767">
        <f>G16*(G21)+G23*(G28)+G30*(G35)+G37*(G42)+G44*(G49)+G51*(G56)+G58*(G63)+G65*(G70)+G72*(G77)</f>
        <v>0</v>
      </c>
      <c r="H14" s="1768">
        <f>H16*(H21)+H23*(H28)+H30*(H35)+H37*(H42)+H44*(H49)+H51*(H56)+H58*(H63)+H65*(H70)+H72*(H77)</f>
        <v>0</v>
      </c>
      <c r="J14" s="1769"/>
      <c r="K14" s="1841" t="s">
        <v>619</v>
      </c>
      <c r="L14" s="1770"/>
      <c r="M14" s="1771"/>
      <c r="N14" s="1770"/>
      <c r="O14" s="1772"/>
      <c r="P14" s="1772"/>
      <c r="Q14" s="1772"/>
      <c r="R14" s="1772"/>
      <c r="S14" s="1772"/>
      <c r="T14" s="1772"/>
      <c r="U14" s="1772"/>
      <c r="V14" s="1773"/>
    </row>
    <row r="15" spans="1:25" ht="8.1" customHeight="1" x14ac:dyDescent="0.2">
      <c r="B15" s="1752"/>
      <c r="C15" s="72"/>
      <c r="D15" s="72"/>
      <c r="E15" s="1753"/>
      <c r="F15" s="1753"/>
      <c r="G15" s="1753"/>
      <c r="H15" s="1753"/>
      <c r="J15" s="1774"/>
      <c r="K15" s="179"/>
      <c r="L15" s="179"/>
      <c r="M15" s="179"/>
      <c r="N15" s="179"/>
      <c r="O15" s="278"/>
      <c r="P15" s="278"/>
      <c r="Q15" s="278"/>
      <c r="R15" s="278"/>
      <c r="S15" s="278"/>
      <c r="T15" s="278"/>
      <c r="U15" s="278"/>
      <c r="V15" s="1775"/>
    </row>
    <row r="16" spans="1:25" ht="12" customHeight="1" x14ac:dyDescent="0.2">
      <c r="A16" s="53"/>
      <c r="B16" s="1709"/>
      <c r="C16" s="1710"/>
      <c r="D16" s="1694" t="s">
        <v>629</v>
      </c>
      <c r="E16" s="1695">
        <v>0.255</v>
      </c>
      <c r="F16" s="1695">
        <f>E16</f>
        <v>0.255</v>
      </c>
      <c r="G16" s="1695">
        <f>F16</f>
        <v>0.255</v>
      </c>
      <c r="H16" s="1696">
        <f>G16</f>
        <v>0.255</v>
      </c>
      <c r="I16" s="41"/>
      <c r="J16" s="1774"/>
      <c r="K16" s="179"/>
      <c r="L16" s="2233" t="s">
        <v>621</v>
      </c>
      <c r="M16" s="2233"/>
      <c r="N16" s="2233"/>
      <c r="O16" s="278"/>
      <c r="P16" s="278"/>
      <c r="Q16" s="278"/>
      <c r="R16" s="278"/>
      <c r="S16" s="278"/>
      <c r="T16" s="278"/>
      <c r="U16" s="278"/>
      <c r="V16" s="1775"/>
    </row>
    <row r="17" spans="1:22" ht="12.75" customHeight="1" x14ac:dyDescent="0.2">
      <c r="B17" s="1697" t="s">
        <v>627</v>
      </c>
      <c r="C17" s="2224" t="s">
        <v>630</v>
      </c>
      <c r="D17" s="2225"/>
      <c r="E17" s="1720">
        <f>E18*E19</f>
        <v>0</v>
      </c>
      <c r="F17" s="1720">
        <f>F18*F19</f>
        <v>0</v>
      </c>
      <c r="G17" s="1720">
        <f>G18*G19</f>
        <v>0</v>
      </c>
      <c r="H17" s="1721">
        <f>H18*H19</f>
        <v>0</v>
      </c>
      <c r="J17" s="1776"/>
      <c r="L17" s="251">
        <f>F$8</f>
        <v>2028</v>
      </c>
      <c r="M17" s="251">
        <f>G$8</f>
        <v>2029</v>
      </c>
      <c r="N17" s="251">
        <f>H$8</f>
        <v>2030</v>
      </c>
      <c r="O17" s="278"/>
      <c r="P17" s="278"/>
      <c r="Q17" s="278"/>
      <c r="R17" s="278"/>
      <c r="S17" s="278"/>
      <c r="T17" s="278"/>
      <c r="U17" s="278"/>
      <c r="V17" s="1775"/>
    </row>
    <row r="18" spans="1:22" ht="12" customHeight="1" x14ac:dyDescent="0.2">
      <c r="A18" s="53"/>
      <c r="B18" s="1698" t="s">
        <v>628</v>
      </c>
      <c r="C18" s="486"/>
      <c r="D18" s="964" t="s">
        <v>631</v>
      </c>
      <c r="E18" s="963">
        <v>0</v>
      </c>
      <c r="F18" s="964">
        <f t="shared" ref="F18:H19" si="0">E18+E18*L18</f>
        <v>0</v>
      </c>
      <c r="G18" s="964">
        <f t="shared" si="0"/>
        <v>0</v>
      </c>
      <c r="H18" s="1699">
        <f t="shared" si="0"/>
        <v>0</v>
      </c>
      <c r="J18" s="2226"/>
      <c r="K18" s="2227"/>
      <c r="L18" s="336">
        <v>0</v>
      </c>
      <c r="M18" s="336">
        <f>L18</f>
        <v>0</v>
      </c>
      <c r="N18" s="336">
        <f>M18</f>
        <v>0</v>
      </c>
      <c r="O18" s="1777"/>
      <c r="P18" s="278"/>
      <c r="Q18" s="278"/>
      <c r="R18" s="278"/>
      <c r="S18" s="278"/>
      <c r="T18" s="278"/>
      <c r="U18" s="278"/>
      <c r="V18" s="1775"/>
    </row>
    <row r="19" spans="1:22" ht="12" customHeight="1" x14ac:dyDescent="0.2">
      <c r="B19" s="1698" t="s">
        <v>778</v>
      </c>
      <c r="C19" s="486"/>
      <c r="D19" s="353" t="s">
        <v>336</v>
      </c>
      <c r="E19" s="965">
        <v>0</v>
      </c>
      <c r="F19" s="965">
        <f t="shared" si="0"/>
        <v>0</v>
      </c>
      <c r="G19" s="965">
        <f t="shared" si="0"/>
        <v>0</v>
      </c>
      <c r="H19" s="1700">
        <f t="shared" si="0"/>
        <v>0</v>
      </c>
      <c r="J19" s="2226"/>
      <c r="K19" s="2227"/>
      <c r="L19" s="336">
        <v>0.03</v>
      </c>
      <c r="M19" s="336">
        <f>L19</f>
        <v>0.03</v>
      </c>
      <c r="N19" s="336">
        <f>M19</f>
        <v>0.03</v>
      </c>
      <c r="O19" s="278"/>
      <c r="P19" s="278"/>
      <c r="Q19" s="278"/>
      <c r="R19" s="278"/>
      <c r="S19" s="278"/>
      <c r="T19" s="278"/>
      <c r="U19" s="278"/>
      <c r="V19" s="1775"/>
    </row>
    <row r="20" spans="1:22" ht="12" customHeight="1" x14ac:dyDescent="0.2">
      <c r="A20" s="53"/>
      <c r="B20" s="1820" t="s">
        <v>777</v>
      </c>
      <c r="C20" s="1821"/>
      <c r="D20" s="1829" t="s">
        <v>13</v>
      </c>
      <c r="E20" s="966">
        <v>0</v>
      </c>
      <c r="F20" s="966">
        <f>E20</f>
        <v>0</v>
      </c>
      <c r="G20" s="966">
        <f>F20</f>
        <v>0</v>
      </c>
      <c r="H20" s="1701">
        <f>G20</f>
        <v>0</v>
      </c>
      <c r="J20" s="1774" t="s">
        <v>0</v>
      </c>
      <c r="K20" s="179"/>
      <c r="L20" s="179"/>
      <c r="M20" s="179"/>
      <c r="N20" s="179"/>
      <c r="O20" s="278"/>
      <c r="P20" s="278" t="s">
        <v>188</v>
      </c>
      <c r="Q20" s="278"/>
      <c r="R20" s="278"/>
      <c r="S20" s="278"/>
      <c r="T20" s="278"/>
      <c r="U20" s="278"/>
      <c r="V20" s="1775"/>
    </row>
    <row r="21" spans="1:22" ht="12" customHeight="1" x14ac:dyDescent="0.2">
      <c r="A21" s="2"/>
      <c r="B21" s="1702" t="s">
        <v>873</v>
      </c>
      <c r="C21" s="1703"/>
      <c r="D21" s="1704" t="s">
        <v>336</v>
      </c>
      <c r="E21" s="1705">
        <f>IF(E20=0,0,E17*E20)</f>
        <v>0</v>
      </c>
      <c r="F21" s="1705">
        <f>IF(F20=0,0,F17*F20)</f>
        <v>0</v>
      </c>
      <c r="G21" s="1705">
        <f>IF(G20=0,0,G17*G20)</f>
        <v>0</v>
      </c>
      <c r="H21" s="1706">
        <f>IF(H20=0,0,H17*H20)</f>
        <v>0</v>
      </c>
      <c r="J21" s="1774"/>
      <c r="K21" s="179"/>
      <c r="L21" s="179">
        <v>0</v>
      </c>
      <c r="M21" s="179"/>
      <c r="N21" s="179"/>
      <c r="O21" s="278"/>
      <c r="P21" s="278"/>
      <c r="Q21" s="278"/>
      <c r="R21" s="278"/>
      <c r="S21" s="278"/>
      <c r="T21" s="278"/>
      <c r="U21" s="278"/>
      <c r="V21" s="1775"/>
    </row>
    <row r="22" spans="1:22" ht="12" customHeight="1" x14ac:dyDescent="0.2">
      <c r="A22" s="2"/>
      <c r="B22" s="1711"/>
      <c r="C22" s="1712"/>
      <c r="D22" s="1707"/>
      <c r="E22" s="1708"/>
      <c r="F22" s="1708"/>
      <c r="G22" s="1708"/>
      <c r="H22" s="1708"/>
      <c r="J22" s="1774"/>
      <c r="K22" s="179"/>
      <c r="L22" s="179"/>
      <c r="M22" s="179"/>
      <c r="N22" s="179"/>
      <c r="O22" s="278"/>
      <c r="P22" s="278"/>
      <c r="Q22" s="278"/>
      <c r="R22" s="278"/>
      <c r="S22" s="278"/>
      <c r="T22" s="278"/>
      <c r="U22" s="278"/>
      <c r="V22" s="1775"/>
    </row>
    <row r="23" spans="1:22" ht="12" customHeight="1" x14ac:dyDescent="0.2">
      <c r="A23" s="53"/>
      <c r="B23" s="1709"/>
      <c r="C23" s="1713"/>
      <c r="D23" s="1694" t="str">
        <f>D16</f>
        <v>VAT-%</v>
      </c>
      <c r="E23" s="1695">
        <v>0.255</v>
      </c>
      <c r="F23" s="1695">
        <f>E23</f>
        <v>0.255</v>
      </c>
      <c r="G23" s="1695">
        <f>F23</f>
        <v>0.255</v>
      </c>
      <c r="H23" s="1696">
        <f>G23</f>
        <v>0.255</v>
      </c>
      <c r="I23" s="41"/>
      <c r="J23" s="1774"/>
      <c r="K23" s="179"/>
      <c r="L23" s="179"/>
      <c r="M23" s="179"/>
      <c r="N23" s="179"/>
      <c r="O23" s="278"/>
      <c r="P23" s="278"/>
      <c r="Q23" s="278"/>
      <c r="R23" s="278"/>
      <c r="S23" s="278"/>
      <c r="T23" s="278"/>
      <c r="U23" s="278"/>
      <c r="V23" s="1775"/>
    </row>
    <row r="24" spans="1:22" ht="12.75" customHeight="1" x14ac:dyDescent="0.2">
      <c r="B24" s="1697" t="s">
        <v>627</v>
      </c>
      <c r="C24" s="2224" t="s">
        <v>630</v>
      </c>
      <c r="D24" s="2225"/>
      <c r="E24" s="1720">
        <f>E25*E26</f>
        <v>0</v>
      </c>
      <c r="F24" s="1720">
        <f>F25*F26</f>
        <v>0</v>
      </c>
      <c r="G24" s="1720">
        <f>G25*G26</f>
        <v>0</v>
      </c>
      <c r="H24" s="1721">
        <f>H25*H26</f>
        <v>0</v>
      </c>
      <c r="J24" s="1776"/>
      <c r="L24" s="1387"/>
      <c r="M24" s="1387"/>
      <c r="N24" s="1387"/>
      <c r="O24" s="278"/>
      <c r="P24" s="278"/>
      <c r="Q24" s="278"/>
      <c r="R24" s="278"/>
      <c r="S24" s="278"/>
      <c r="T24" s="278"/>
      <c r="U24" s="278"/>
      <c r="V24" s="1775"/>
    </row>
    <row r="25" spans="1:22" ht="12" customHeight="1" x14ac:dyDescent="0.2">
      <c r="A25" s="53"/>
      <c r="B25" s="1698" t="s">
        <v>628</v>
      </c>
      <c r="C25" s="486"/>
      <c r="D25" s="964" t="s">
        <v>631</v>
      </c>
      <c r="E25" s="963">
        <v>0</v>
      </c>
      <c r="F25" s="964">
        <f t="shared" ref="F25:H26" si="1">E25+E25*L25</f>
        <v>0</v>
      </c>
      <c r="G25" s="964">
        <f t="shared" si="1"/>
        <v>0</v>
      </c>
      <c r="H25" s="1699">
        <f t="shared" si="1"/>
        <v>0</v>
      </c>
      <c r="J25" s="2226"/>
      <c r="K25" s="2227"/>
      <c r="L25" s="1386">
        <v>0</v>
      </c>
      <c r="M25" s="1386">
        <f>L25</f>
        <v>0</v>
      </c>
      <c r="N25" s="1386">
        <f>M25</f>
        <v>0</v>
      </c>
      <c r="O25" s="1777"/>
      <c r="P25" s="278"/>
      <c r="Q25" s="278"/>
      <c r="R25" s="278"/>
      <c r="S25" s="278"/>
      <c r="T25" s="278"/>
      <c r="U25" s="278"/>
      <c r="V25" s="1775"/>
    </row>
    <row r="26" spans="1:22" ht="12" customHeight="1" x14ac:dyDescent="0.2">
      <c r="B26" s="1698" t="s">
        <v>778</v>
      </c>
      <c r="C26" s="486"/>
      <c r="D26" s="353" t="s">
        <v>336</v>
      </c>
      <c r="E26" s="965">
        <v>0</v>
      </c>
      <c r="F26" s="965">
        <f t="shared" si="1"/>
        <v>0</v>
      </c>
      <c r="G26" s="965">
        <f t="shared" si="1"/>
        <v>0</v>
      </c>
      <c r="H26" s="1700">
        <f t="shared" si="1"/>
        <v>0</v>
      </c>
      <c r="J26" s="2226"/>
      <c r="K26" s="2227"/>
      <c r="L26" s="336">
        <v>0.03</v>
      </c>
      <c r="M26" s="336">
        <f>L26</f>
        <v>0.03</v>
      </c>
      <c r="N26" s="336">
        <f>M26</f>
        <v>0.03</v>
      </c>
      <c r="O26" s="278"/>
      <c r="P26" s="278"/>
      <c r="Q26" s="278"/>
      <c r="R26" s="278"/>
      <c r="S26" s="278"/>
      <c r="T26" s="278"/>
      <c r="U26" s="278"/>
      <c r="V26" s="1775"/>
    </row>
    <row r="27" spans="1:22" ht="12" customHeight="1" x14ac:dyDescent="0.2">
      <c r="A27" s="53"/>
      <c r="B27" s="1820" t="s">
        <v>777</v>
      </c>
      <c r="C27" s="1821"/>
      <c r="D27" s="1829" t="s">
        <v>13</v>
      </c>
      <c r="E27" s="966">
        <v>0</v>
      </c>
      <c r="F27" s="966">
        <f>E27</f>
        <v>0</v>
      </c>
      <c r="G27" s="966">
        <f>F27</f>
        <v>0</v>
      </c>
      <c r="H27" s="1701">
        <f>G27</f>
        <v>0</v>
      </c>
      <c r="J27" s="1774" t="s">
        <v>0</v>
      </c>
      <c r="K27" s="179"/>
      <c r="L27" s="179"/>
      <c r="M27" s="179"/>
      <c r="N27" s="179"/>
      <c r="O27" s="278"/>
      <c r="P27" s="278" t="s">
        <v>188</v>
      </c>
      <c r="Q27" s="278"/>
      <c r="R27" s="278"/>
      <c r="S27" s="278"/>
      <c r="T27" s="278"/>
      <c r="U27" s="278"/>
      <c r="V27" s="1775"/>
    </row>
    <row r="28" spans="1:22" ht="12" customHeight="1" x14ac:dyDescent="0.2">
      <c r="A28" s="2"/>
      <c r="B28" s="1702" t="s">
        <v>873</v>
      </c>
      <c r="C28" s="1703"/>
      <c r="D28" s="1704" t="s">
        <v>336</v>
      </c>
      <c r="E28" s="1705">
        <f>IF(E27=0,0,E24*E27)</f>
        <v>0</v>
      </c>
      <c r="F28" s="1705">
        <f>IF(F27=0,0,F24*F27)</f>
        <v>0</v>
      </c>
      <c r="G28" s="1705">
        <f>IF(G27=0,0,G24*G27)</f>
        <v>0</v>
      </c>
      <c r="H28" s="1706">
        <f>IF(H27=0,0,H24*H27)</f>
        <v>0</v>
      </c>
      <c r="J28" s="1774"/>
      <c r="K28" s="179"/>
      <c r="L28" s="179"/>
      <c r="M28" s="179"/>
      <c r="N28" s="179"/>
      <c r="O28" s="278"/>
      <c r="P28" s="278"/>
      <c r="Q28" s="278"/>
      <c r="R28" s="278"/>
      <c r="S28" s="278"/>
      <c r="T28" s="278"/>
      <c r="U28" s="278"/>
      <c r="V28" s="1775"/>
    </row>
    <row r="29" spans="1:22" ht="12" customHeight="1" x14ac:dyDescent="0.2">
      <c r="A29" s="2"/>
      <c r="B29" s="50"/>
      <c r="C29" s="72"/>
      <c r="D29" s="72"/>
      <c r="E29" s="439"/>
      <c r="F29" s="439"/>
      <c r="G29" s="439"/>
      <c r="H29" s="439"/>
      <c r="J29" s="1774"/>
      <c r="K29" s="179"/>
      <c r="L29" s="179"/>
      <c r="M29" s="179"/>
      <c r="N29" s="179"/>
      <c r="O29" s="278"/>
      <c r="P29" s="278"/>
      <c r="Q29" s="278"/>
      <c r="R29" s="278"/>
      <c r="S29" s="278"/>
      <c r="T29" s="278"/>
      <c r="U29" s="278"/>
      <c r="V29" s="1775"/>
    </row>
    <row r="30" spans="1:22" ht="12" customHeight="1" x14ac:dyDescent="0.2">
      <c r="B30" s="1709"/>
      <c r="C30" s="1709"/>
      <c r="D30" s="1716" t="str">
        <f>D16</f>
        <v>VAT-%</v>
      </c>
      <c r="E30" s="1695">
        <v>0.255</v>
      </c>
      <c r="F30" s="1695">
        <f>E30</f>
        <v>0.255</v>
      </c>
      <c r="G30" s="1695">
        <f>F30</f>
        <v>0.255</v>
      </c>
      <c r="H30" s="1696">
        <f>G30</f>
        <v>0.255</v>
      </c>
      <c r="I30" s="41"/>
      <c r="J30" s="1774"/>
      <c r="K30" s="179"/>
      <c r="L30" s="179"/>
      <c r="M30" s="179"/>
      <c r="N30" s="179"/>
      <c r="O30" s="278"/>
      <c r="P30" s="278"/>
      <c r="Q30" s="278"/>
      <c r="R30" s="278"/>
      <c r="S30" s="278"/>
      <c r="T30" s="278"/>
      <c r="U30" s="278"/>
      <c r="V30" s="1775"/>
    </row>
    <row r="31" spans="1:22" ht="12.75" customHeight="1" x14ac:dyDescent="0.2">
      <c r="B31" s="1697" t="s">
        <v>627</v>
      </c>
      <c r="C31" s="2224" t="s">
        <v>630</v>
      </c>
      <c r="D31" s="2225"/>
      <c r="E31" s="1722">
        <f>E32*E33</f>
        <v>0</v>
      </c>
      <c r="F31" s="1722">
        <f>F32*F33</f>
        <v>0</v>
      </c>
      <c r="G31" s="1722">
        <f>G32*G33</f>
        <v>0</v>
      </c>
      <c r="H31" s="1723">
        <f>H32*H33</f>
        <v>0</v>
      </c>
      <c r="J31" s="1776"/>
      <c r="L31" s="1387">
        <v>0</v>
      </c>
      <c r="M31" s="1387"/>
      <c r="N31" s="1387"/>
      <c r="O31" s="278"/>
      <c r="P31" s="278"/>
      <c r="Q31" s="278"/>
      <c r="R31" s="278"/>
      <c r="S31" s="278"/>
      <c r="T31" s="278"/>
      <c r="U31" s="278"/>
      <c r="V31" s="1775"/>
    </row>
    <row r="32" spans="1:22" ht="12" customHeight="1" x14ac:dyDescent="0.2">
      <c r="B32" s="1698" t="s">
        <v>628</v>
      </c>
      <c r="C32" s="486"/>
      <c r="D32" s="964" t="s">
        <v>631</v>
      </c>
      <c r="E32" s="963">
        <v>0</v>
      </c>
      <c r="F32" s="964">
        <f t="shared" ref="F32:H33" si="2">E32+E32*L32</f>
        <v>0</v>
      </c>
      <c r="G32" s="964">
        <f t="shared" si="2"/>
        <v>0</v>
      </c>
      <c r="H32" s="1699">
        <f t="shared" si="2"/>
        <v>0</v>
      </c>
      <c r="J32" s="2226"/>
      <c r="K32" s="2227"/>
      <c r="L32" s="1386">
        <v>0</v>
      </c>
      <c r="M32" s="1386">
        <f>L32</f>
        <v>0</v>
      </c>
      <c r="N32" s="1386">
        <f>M32</f>
        <v>0</v>
      </c>
      <c r="O32" s="1777"/>
      <c r="P32" s="278"/>
      <c r="Q32" s="278"/>
      <c r="R32" s="278"/>
      <c r="S32" s="278"/>
      <c r="T32" s="278"/>
      <c r="U32" s="278"/>
      <c r="V32" s="1775"/>
    </row>
    <row r="33" spans="2:22" ht="12" customHeight="1" x14ac:dyDescent="0.2">
      <c r="B33" s="1698" t="s">
        <v>778</v>
      </c>
      <c r="C33" s="486"/>
      <c r="D33" s="353" t="s">
        <v>336</v>
      </c>
      <c r="E33" s="965">
        <v>0</v>
      </c>
      <c r="F33" s="965">
        <f t="shared" si="2"/>
        <v>0</v>
      </c>
      <c r="G33" s="965">
        <f t="shared" si="2"/>
        <v>0</v>
      </c>
      <c r="H33" s="1700">
        <f t="shared" si="2"/>
        <v>0</v>
      </c>
      <c r="J33" s="2226"/>
      <c r="K33" s="2227"/>
      <c r="L33" s="336">
        <v>0.03</v>
      </c>
      <c r="M33" s="336">
        <f>L33</f>
        <v>0.03</v>
      </c>
      <c r="N33" s="336">
        <f>M33</f>
        <v>0.03</v>
      </c>
      <c r="O33" s="278"/>
      <c r="P33" s="278"/>
      <c r="Q33" s="278"/>
      <c r="R33" s="278"/>
      <c r="S33" s="278"/>
      <c r="T33" s="278"/>
      <c r="U33" s="278"/>
      <c r="V33" s="1775"/>
    </row>
    <row r="34" spans="2:22" ht="12" customHeight="1" x14ac:dyDescent="0.2">
      <c r="B34" s="1820" t="s">
        <v>777</v>
      </c>
      <c r="C34" s="1821"/>
      <c r="D34" s="1829" t="s">
        <v>13</v>
      </c>
      <c r="E34" s="966">
        <v>0</v>
      </c>
      <c r="F34" s="966">
        <f>E34</f>
        <v>0</v>
      </c>
      <c r="G34" s="966">
        <f>F34</f>
        <v>0</v>
      </c>
      <c r="H34" s="1701">
        <f>G34</f>
        <v>0</v>
      </c>
      <c r="J34" s="1774" t="s">
        <v>0</v>
      </c>
      <c r="L34" s="179"/>
      <c r="M34" s="179"/>
      <c r="N34" s="179"/>
      <c r="O34" s="278"/>
      <c r="P34" s="278"/>
      <c r="Q34" s="278"/>
      <c r="R34" s="278"/>
      <c r="S34" s="278"/>
      <c r="T34" s="278"/>
      <c r="U34" s="278"/>
      <c r="V34" s="1775"/>
    </row>
    <row r="35" spans="2:22" ht="12" customHeight="1" x14ac:dyDescent="0.2">
      <c r="B35" s="1702" t="s">
        <v>873</v>
      </c>
      <c r="C35" s="1703"/>
      <c r="D35" s="1704" t="s">
        <v>336</v>
      </c>
      <c r="E35" s="1705">
        <f>IF(E34=0,0,E31*E34)</f>
        <v>0</v>
      </c>
      <c r="F35" s="1705">
        <f>IF(F34=0,0,F31*F34)</f>
        <v>0</v>
      </c>
      <c r="G35" s="1705">
        <f>IF(G34=0,0,G31*G34)</f>
        <v>0</v>
      </c>
      <c r="H35" s="1706">
        <f>IF(H34=0,0,H31*H34)</f>
        <v>0</v>
      </c>
      <c r="J35" s="1774"/>
      <c r="L35" s="179"/>
      <c r="M35" s="179"/>
      <c r="N35" s="179"/>
      <c r="O35" s="278"/>
      <c r="P35" s="278"/>
      <c r="Q35" s="278"/>
      <c r="R35" s="278"/>
      <c r="S35" s="278"/>
      <c r="T35" s="278"/>
      <c r="U35" s="278"/>
      <c r="V35" s="1775"/>
    </row>
    <row r="36" spans="2:22" ht="12" customHeight="1" x14ac:dyDescent="0.2">
      <c r="B36" s="50"/>
      <c r="C36" s="72"/>
      <c r="D36" s="72"/>
      <c r="E36" s="439"/>
      <c r="F36" s="439"/>
      <c r="G36" s="439"/>
      <c r="H36" s="439"/>
      <c r="J36" s="1774"/>
      <c r="L36" s="179"/>
      <c r="M36" s="179"/>
      <c r="N36" s="179"/>
      <c r="O36" s="278"/>
      <c r="P36" s="278"/>
      <c r="Q36" s="278"/>
      <c r="R36" s="278"/>
      <c r="S36" s="278"/>
      <c r="T36" s="278"/>
      <c r="U36" s="278"/>
      <c r="V36" s="1775"/>
    </row>
    <row r="37" spans="2:22" ht="12" customHeight="1" x14ac:dyDescent="0.2">
      <c r="B37" s="1709"/>
      <c r="C37" s="1709"/>
      <c r="D37" s="1716" t="str">
        <f>D16</f>
        <v>VAT-%</v>
      </c>
      <c r="E37" s="1695">
        <v>0.255</v>
      </c>
      <c r="F37" s="1695">
        <f>E37</f>
        <v>0.255</v>
      </c>
      <c r="G37" s="1695">
        <f>F37</f>
        <v>0.255</v>
      </c>
      <c r="H37" s="1696">
        <f>G37</f>
        <v>0.255</v>
      </c>
      <c r="I37" s="41"/>
      <c r="J37" s="1774"/>
      <c r="K37" s="179"/>
      <c r="L37" s="179"/>
      <c r="M37" s="179"/>
      <c r="N37" s="179"/>
      <c r="O37" s="278"/>
      <c r="P37" s="278"/>
      <c r="Q37" s="278"/>
      <c r="R37" s="278"/>
      <c r="S37" s="278"/>
      <c r="T37" s="278"/>
      <c r="U37" s="278"/>
      <c r="V37" s="1775"/>
    </row>
    <row r="38" spans="2:22" ht="12.75" customHeight="1" x14ac:dyDescent="0.2">
      <c r="B38" s="1697" t="s">
        <v>627</v>
      </c>
      <c r="C38" s="2224" t="s">
        <v>630</v>
      </c>
      <c r="D38" s="2225"/>
      <c r="E38" s="1722">
        <f>E39*E40</f>
        <v>0</v>
      </c>
      <c r="F38" s="1722">
        <f>F39*F40</f>
        <v>0</v>
      </c>
      <c r="G38" s="1722">
        <f>G39*G40</f>
        <v>0</v>
      </c>
      <c r="H38" s="1723">
        <f>H39*H40</f>
        <v>0</v>
      </c>
      <c r="J38" s="1776"/>
      <c r="L38" s="1387"/>
      <c r="M38" s="1387"/>
      <c r="N38" s="1387"/>
      <c r="O38" s="278"/>
      <c r="P38" s="278"/>
      <c r="Q38" s="278"/>
      <c r="R38" s="278"/>
      <c r="S38" s="278"/>
      <c r="T38" s="278"/>
      <c r="U38" s="278"/>
      <c r="V38" s="1775"/>
    </row>
    <row r="39" spans="2:22" ht="12" customHeight="1" x14ac:dyDescent="0.2">
      <c r="B39" s="1698" t="s">
        <v>628</v>
      </c>
      <c r="C39" s="486"/>
      <c r="D39" s="964" t="s">
        <v>631</v>
      </c>
      <c r="E39" s="963">
        <v>0</v>
      </c>
      <c r="F39" s="964">
        <f t="shared" ref="F39:H40" si="3">E39+E39*L39</f>
        <v>0</v>
      </c>
      <c r="G39" s="964">
        <f t="shared" si="3"/>
        <v>0</v>
      </c>
      <c r="H39" s="1699">
        <f t="shared" si="3"/>
        <v>0</v>
      </c>
      <c r="J39" s="2226"/>
      <c r="K39" s="2227"/>
      <c r="L39" s="1386">
        <v>0</v>
      </c>
      <c r="M39" s="1386">
        <f>L39</f>
        <v>0</v>
      </c>
      <c r="N39" s="1386">
        <f>M39</f>
        <v>0</v>
      </c>
      <c r="O39" s="1777"/>
      <c r="P39" s="278"/>
      <c r="Q39" s="278"/>
      <c r="R39" s="278"/>
      <c r="S39" s="278"/>
      <c r="T39" s="278"/>
      <c r="U39" s="278"/>
      <c r="V39" s="1775"/>
    </row>
    <row r="40" spans="2:22" ht="12" customHeight="1" x14ac:dyDescent="0.2">
      <c r="B40" s="1698" t="s">
        <v>778</v>
      </c>
      <c r="C40" s="486"/>
      <c r="D40" s="353" t="s">
        <v>336</v>
      </c>
      <c r="E40" s="965">
        <v>0</v>
      </c>
      <c r="F40" s="965">
        <f t="shared" si="3"/>
        <v>0</v>
      </c>
      <c r="G40" s="965">
        <f t="shared" si="3"/>
        <v>0</v>
      </c>
      <c r="H40" s="1700">
        <f t="shared" si="3"/>
        <v>0</v>
      </c>
      <c r="J40" s="2226"/>
      <c r="K40" s="2227"/>
      <c r="L40" s="336">
        <v>0.03</v>
      </c>
      <c r="M40" s="336">
        <f>L40</f>
        <v>0.03</v>
      </c>
      <c r="N40" s="336">
        <f>M40</f>
        <v>0.03</v>
      </c>
      <c r="O40" s="278"/>
      <c r="P40" s="278"/>
      <c r="Q40" s="278"/>
      <c r="R40" s="278"/>
      <c r="S40" s="278"/>
      <c r="T40" s="278"/>
      <c r="U40" s="278"/>
      <c r="V40" s="1775"/>
    </row>
    <row r="41" spans="2:22" ht="12" customHeight="1" x14ac:dyDescent="0.2">
      <c r="B41" s="1820" t="s">
        <v>777</v>
      </c>
      <c r="C41" s="1821"/>
      <c r="D41" s="1829" t="s">
        <v>13</v>
      </c>
      <c r="E41" s="966">
        <v>0</v>
      </c>
      <c r="F41" s="966">
        <f>E41</f>
        <v>0</v>
      </c>
      <c r="G41" s="966">
        <f>F41</f>
        <v>0</v>
      </c>
      <c r="H41" s="1701">
        <f>G41</f>
        <v>0</v>
      </c>
      <c r="J41" s="1774" t="s">
        <v>0</v>
      </c>
      <c r="L41" s="179"/>
      <c r="M41" s="179"/>
      <c r="N41" s="179"/>
      <c r="O41" s="278"/>
      <c r="P41" s="278"/>
      <c r="Q41" s="278"/>
      <c r="R41" s="278"/>
      <c r="S41" s="278"/>
      <c r="T41" s="278"/>
      <c r="U41" s="278"/>
      <c r="V41" s="1775"/>
    </row>
    <row r="42" spans="2:22" ht="12" customHeight="1" x14ac:dyDescent="0.2">
      <c r="B42" s="1702" t="s">
        <v>873</v>
      </c>
      <c r="C42" s="1703"/>
      <c r="D42" s="1704" t="s">
        <v>336</v>
      </c>
      <c r="E42" s="1705">
        <f>IF(E41=0,0,E38*E41)</f>
        <v>0</v>
      </c>
      <c r="F42" s="1705">
        <f>IF(F41=0,0,F38*F41)</f>
        <v>0</v>
      </c>
      <c r="G42" s="1705">
        <f>IF(G41=0,0,G38*G41)</f>
        <v>0</v>
      </c>
      <c r="H42" s="1706">
        <f>IF(H41=0,0,H38*H41)</f>
        <v>0</v>
      </c>
      <c r="J42" s="1774"/>
      <c r="L42" s="179"/>
      <c r="M42" s="179"/>
      <c r="N42" s="179"/>
      <c r="O42" s="278"/>
      <c r="P42" s="278"/>
      <c r="Q42" s="278"/>
      <c r="R42" s="278"/>
      <c r="S42" s="278"/>
      <c r="T42" s="278"/>
      <c r="U42" s="278"/>
      <c r="V42" s="1775"/>
    </row>
    <row r="43" spans="2:22" ht="12" customHeight="1" x14ac:dyDescent="0.2">
      <c r="B43" s="50"/>
      <c r="C43" s="72"/>
      <c r="D43" s="72"/>
      <c r="E43" s="439"/>
      <c r="F43" s="439"/>
      <c r="G43" s="439"/>
      <c r="H43" s="439"/>
      <c r="J43" s="1774"/>
      <c r="L43" s="179"/>
      <c r="M43" s="179"/>
      <c r="N43" s="179"/>
      <c r="O43" s="278"/>
      <c r="P43" s="278"/>
      <c r="Q43" s="278"/>
      <c r="R43" s="278"/>
      <c r="S43" s="278"/>
      <c r="T43" s="278"/>
      <c r="U43" s="278"/>
      <c r="V43" s="1775"/>
    </row>
    <row r="44" spans="2:22" ht="12" customHeight="1" x14ac:dyDescent="0.2">
      <c r="B44" s="1709"/>
      <c r="C44" s="1709"/>
      <c r="D44" s="1716" t="str">
        <f>D23</f>
        <v>VAT-%</v>
      </c>
      <c r="E44" s="1695">
        <v>0.255</v>
      </c>
      <c r="F44" s="1695">
        <f>E44</f>
        <v>0.255</v>
      </c>
      <c r="G44" s="1695">
        <f>F44</f>
        <v>0.255</v>
      </c>
      <c r="H44" s="1696">
        <f>G44</f>
        <v>0.255</v>
      </c>
      <c r="I44" s="41"/>
      <c r="J44" s="1774"/>
      <c r="K44" s="179"/>
      <c r="L44" s="179"/>
      <c r="M44" s="179"/>
      <c r="N44" s="179"/>
      <c r="O44" s="278"/>
      <c r="P44" s="278"/>
      <c r="Q44" s="278"/>
      <c r="R44" s="278"/>
      <c r="S44" s="278"/>
      <c r="T44" s="278"/>
      <c r="U44" s="278"/>
      <c r="V44" s="1775"/>
    </row>
    <row r="45" spans="2:22" ht="12.75" customHeight="1" x14ac:dyDescent="0.2">
      <c r="B45" s="1697" t="s">
        <v>627</v>
      </c>
      <c r="C45" s="2224" t="s">
        <v>630</v>
      </c>
      <c r="D45" s="2225"/>
      <c r="E45" s="1722">
        <f>E46*E47</f>
        <v>0</v>
      </c>
      <c r="F45" s="1722">
        <f>F46*F47</f>
        <v>0</v>
      </c>
      <c r="G45" s="1722">
        <f>G46*G47</f>
        <v>0</v>
      </c>
      <c r="H45" s="1723">
        <f>H46*H47</f>
        <v>0</v>
      </c>
      <c r="J45" s="1776"/>
      <c r="L45" s="1387"/>
      <c r="M45" s="1387"/>
      <c r="N45" s="1387"/>
      <c r="O45" s="278"/>
      <c r="P45" s="278"/>
      <c r="Q45" s="278"/>
      <c r="R45" s="278"/>
      <c r="S45" s="278"/>
      <c r="T45" s="278"/>
      <c r="U45" s="278"/>
      <c r="V45" s="1775"/>
    </row>
    <row r="46" spans="2:22" ht="12" customHeight="1" x14ac:dyDescent="0.2">
      <c r="B46" s="1698" t="s">
        <v>628</v>
      </c>
      <c r="C46" s="486"/>
      <c r="D46" s="964" t="s">
        <v>631</v>
      </c>
      <c r="E46" s="963">
        <v>0</v>
      </c>
      <c r="F46" s="964">
        <f t="shared" ref="F46:H47" si="4">E46+E46*L46</f>
        <v>0</v>
      </c>
      <c r="G46" s="964">
        <f t="shared" si="4"/>
        <v>0</v>
      </c>
      <c r="H46" s="1699">
        <f t="shared" si="4"/>
        <v>0</v>
      </c>
      <c r="J46" s="2226"/>
      <c r="K46" s="2227"/>
      <c r="L46" s="1386">
        <v>0</v>
      </c>
      <c r="M46" s="1386">
        <f>L46</f>
        <v>0</v>
      </c>
      <c r="N46" s="1386">
        <f>M46</f>
        <v>0</v>
      </c>
      <c r="O46" s="1777"/>
      <c r="P46" s="278"/>
      <c r="Q46" s="278"/>
      <c r="R46" s="278"/>
      <c r="S46" s="278"/>
      <c r="T46" s="278"/>
      <c r="U46" s="278"/>
      <c r="V46" s="1775"/>
    </row>
    <row r="47" spans="2:22" ht="12" customHeight="1" x14ac:dyDescent="0.2">
      <c r="B47" s="1698" t="s">
        <v>778</v>
      </c>
      <c r="C47" s="486"/>
      <c r="D47" s="353" t="s">
        <v>336</v>
      </c>
      <c r="E47" s="965">
        <v>0</v>
      </c>
      <c r="F47" s="965">
        <f t="shared" si="4"/>
        <v>0</v>
      </c>
      <c r="G47" s="965">
        <f t="shared" si="4"/>
        <v>0</v>
      </c>
      <c r="H47" s="1700">
        <f t="shared" si="4"/>
        <v>0</v>
      </c>
      <c r="J47" s="2226"/>
      <c r="K47" s="2227"/>
      <c r="L47" s="336">
        <v>0.03</v>
      </c>
      <c r="M47" s="336">
        <f>L47</f>
        <v>0.03</v>
      </c>
      <c r="N47" s="336">
        <f>M47</f>
        <v>0.03</v>
      </c>
      <c r="O47" s="278"/>
      <c r="P47" s="278"/>
      <c r="Q47" s="278"/>
      <c r="R47" s="278"/>
      <c r="S47" s="278"/>
      <c r="T47" s="278"/>
      <c r="U47" s="278"/>
      <c r="V47" s="1775"/>
    </row>
    <row r="48" spans="2:22" ht="12" customHeight="1" x14ac:dyDescent="0.2">
      <c r="B48" s="1820" t="s">
        <v>777</v>
      </c>
      <c r="C48" s="1821"/>
      <c r="D48" s="1829" t="s">
        <v>13</v>
      </c>
      <c r="E48" s="966">
        <v>0</v>
      </c>
      <c r="F48" s="966">
        <f>E48</f>
        <v>0</v>
      </c>
      <c r="G48" s="966">
        <f>F48</f>
        <v>0</v>
      </c>
      <c r="H48" s="1701">
        <f>G48</f>
        <v>0</v>
      </c>
      <c r="J48" s="1774" t="s">
        <v>0</v>
      </c>
      <c r="L48" s="179"/>
      <c r="M48" s="179"/>
      <c r="N48" s="179"/>
      <c r="O48" s="278"/>
      <c r="P48" s="278" t="s">
        <v>188</v>
      </c>
      <c r="Q48" s="278"/>
      <c r="R48" s="278"/>
      <c r="S48" s="278"/>
      <c r="T48" s="278"/>
      <c r="U48" s="278"/>
      <c r="V48" s="1775"/>
    </row>
    <row r="49" spans="1:22" ht="12" customHeight="1" x14ac:dyDescent="0.2">
      <c r="B49" s="1702" t="s">
        <v>873</v>
      </c>
      <c r="C49" s="1703"/>
      <c r="D49" s="1704" t="s">
        <v>336</v>
      </c>
      <c r="E49" s="1705">
        <f>IF(E48=0,0,E45*E48)</f>
        <v>0</v>
      </c>
      <c r="F49" s="1705">
        <f>IF(F48=0,0,F45*F48)</f>
        <v>0</v>
      </c>
      <c r="G49" s="1705">
        <f>IF(G48=0,0,G45*G48)</f>
        <v>0</v>
      </c>
      <c r="H49" s="1706">
        <f>IF(H48=0,0,H45*H48)</f>
        <v>0</v>
      </c>
      <c r="J49" s="1774"/>
      <c r="L49" s="179"/>
      <c r="M49" s="179"/>
      <c r="N49" s="179"/>
      <c r="O49" s="278"/>
      <c r="P49" s="278"/>
      <c r="Q49" s="278"/>
      <c r="R49" s="278"/>
      <c r="S49" s="278"/>
      <c r="T49" s="278"/>
      <c r="U49" s="278"/>
      <c r="V49" s="1775"/>
    </row>
    <row r="50" spans="1:22" ht="12" customHeight="1" x14ac:dyDescent="0.2">
      <c r="B50" s="50"/>
      <c r="C50" s="72"/>
      <c r="D50" s="72"/>
      <c r="E50" s="439"/>
      <c r="F50" s="439"/>
      <c r="G50" s="439"/>
      <c r="H50" s="439"/>
      <c r="J50" s="1774"/>
      <c r="L50" s="179"/>
      <c r="M50" s="179"/>
      <c r="N50" s="179"/>
      <c r="O50" s="278"/>
      <c r="P50" s="278"/>
      <c r="Q50" s="278"/>
      <c r="R50" s="278"/>
      <c r="S50" s="278"/>
      <c r="T50" s="278"/>
      <c r="U50" s="278"/>
      <c r="V50" s="1775"/>
    </row>
    <row r="51" spans="1:22" ht="12" customHeight="1" x14ac:dyDescent="0.2">
      <c r="B51" s="1709"/>
      <c r="C51" s="1709"/>
      <c r="D51" s="1716" t="str">
        <f>D23</f>
        <v>VAT-%</v>
      </c>
      <c r="E51" s="1695">
        <v>0.255</v>
      </c>
      <c r="F51" s="1695">
        <f>E51</f>
        <v>0.255</v>
      </c>
      <c r="G51" s="1695">
        <f>F51</f>
        <v>0.255</v>
      </c>
      <c r="H51" s="1696">
        <f>G51</f>
        <v>0.255</v>
      </c>
      <c r="I51" s="41"/>
      <c r="J51" s="1774"/>
      <c r="K51" s="179"/>
      <c r="L51" s="179"/>
      <c r="M51" s="179"/>
      <c r="N51" s="179"/>
      <c r="O51" s="278"/>
      <c r="P51" s="278"/>
      <c r="Q51" s="278"/>
      <c r="R51" s="278"/>
      <c r="S51" s="278"/>
      <c r="T51" s="278"/>
      <c r="U51" s="278"/>
      <c r="V51" s="1775"/>
    </row>
    <row r="52" spans="1:22" ht="12.75" customHeight="1" x14ac:dyDescent="0.2">
      <c r="A52" s="53"/>
      <c r="B52" s="1697" t="s">
        <v>627</v>
      </c>
      <c r="C52" s="2224" t="s">
        <v>630</v>
      </c>
      <c r="D52" s="2225"/>
      <c r="E52" s="1722">
        <f>E53*E54</f>
        <v>0</v>
      </c>
      <c r="F52" s="1722">
        <f>F53*F54</f>
        <v>0</v>
      </c>
      <c r="G52" s="1722">
        <f>G53*G54</f>
        <v>0</v>
      </c>
      <c r="H52" s="1723">
        <f>H53*H54</f>
        <v>0</v>
      </c>
      <c r="J52" s="1776"/>
      <c r="L52" s="1387"/>
      <c r="M52" s="1387"/>
      <c r="N52" s="1387"/>
      <c r="O52" s="278"/>
      <c r="P52" s="278"/>
      <c r="Q52" s="278"/>
      <c r="R52" s="278"/>
      <c r="S52" s="278"/>
      <c r="T52" s="278"/>
      <c r="U52" s="278"/>
      <c r="V52" s="1775"/>
    </row>
    <row r="53" spans="1:22" ht="12" customHeight="1" x14ac:dyDescent="0.2">
      <c r="B53" s="1698" t="s">
        <v>628</v>
      </c>
      <c r="C53" s="486"/>
      <c r="D53" s="964" t="s">
        <v>631</v>
      </c>
      <c r="E53" s="963">
        <v>0</v>
      </c>
      <c r="F53" s="964">
        <f t="shared" ref="F53:H54" si="5">E53+E53*L53</f>
        <v>0</v>
      </c>
      <c r="G53" s="964">
        <f t="shared" si="5"/>
        <v>0</v>
      </c>
      <c r="H53" s="1699">
        <f t="shared" si="5"/>
        <v>0</v>
      </c>
      <c r="J53" s="2226"/>
      <c r="K53" s="2227"/>
      <c r="L53" s="1386">
        <v>0</v>
      </c>
      <c r="M53" s="1386">
        <f>L53</f>
        <v>0</v>
      </c>
      <c r="N53" s="1386">
        <f>M53</f>
        <v>0</v>
      </c>
      <c r="O53" s="1777"/>
      <c r="P53" s="278"/>
      <c r="Q53" s="278"/>
      <c r="R53" s="278"/>
      <c r="S53" s="278"/>
      <c r="T53" s="278"/>
      <c r="U53" s="278"/>
      <c r="V53" s="1775"/>
    </row>
    <row r="54" spans="1:22" ht="12" customHeight="1" x14ac:dyDescent="0.2">
      <c r="B54" s="1698" t="s">
        <v>778</v>
      </c>
      <c r="C54" s="486"/>
      <c r="D54" s="353" t="s">
        <v>336</v>
      </c>
      <c r="E54" s="965">
        <v>0</v>
      </c>
      <c r="F54" s="965">
        <f t="shared" si="5"/>
        <v>0</v>
      </c>
      <c r="G54" s="965">
        <f t="shared" si="5"/>
        <v>0</v>
      </c>
      <c r="H54" s="1700">
        <f t="shared" si="5"/>
        <v>0</v>
      </c>
      <c r="J54" s="2226"/>
      <c r="K54" s="2227"/>
      <c r="L54" s="336">
        <v>0.03</v>
      </c>
      <c r="M54" s="336">
        <f>L54</f>
        <v>0.03</v>
      </c>
      <c r="N54" s="336">
        <f>M54</f>
        <v>0.03</v>
      </c>
      <c r="O54" s="278"/>
      <c r="P54" s="278"/>
      <c r="Q54" s="278"/>
      <c r="R54" s="278"/>
      <c r="S54" s="278"/>
      <c r="T54" s="278"/>
      <c r="U54" s="278"/>
      <c r="V54" s="1775"/>
    </row>
    <row r="55" spans="1:22" ht="12" customHeight="1" x14ac:dyDescent="0.2">
      <c r="B55" s="1820" t="s">
        <v>777</v>
      </c>
      <c r="C55" s="1821"/>
      <c r="D55" s="1829" t="s">
        <v>13</v>
      </c>
      <c r="E55" s="966">
        <v>0</v>
      </c>
      <c r="F55" s="966">
        <f>E55</f>
        <v>0</v>
      </c>
      <c r="G55" s="966">
        <f>F55</f>
        <v>0</v>
      </c>
      <c r="H55" s="1701">
        <f>G55</f>
        <v>0</v>
      </c>
      <c r="J55" s="1774" t="s">
        <v>0</v>
      </c>
      <c r="L55" s="179"/>
      <c r="M55" s="179"/>
      <c r="N55" s="179"/>
      <c r="O55" s="278"/>
      <c r="P55" s="278" t="s">
        <v>188</v>
      </c>
      <c r="Q55" s="278"/>
      <c r="R55" s="278"/>
      <c r="S55" s="278"/>
      <c r="T55" s="278"/>
      <c r="U55" s="278"/>
      <c r="V55" s="1775"/>
    </row>
    <row r="56" spans="1:22" ht="12" customHeight="1" x14ac:dyDescent="0.2">
      <c r="B56" s="1702" t="s">
        <v>873</v>
      </c>
      <c r="C56" s="1703"/>
      <c r="D56" s="1704" t="s">
        <v>336</v>
      </c>
      <c r="E56" s="1705">
        <f>IF(E55=0,0,E52*E55)</f>
        <v>0</v>
      </c>
      <c r="F56" s="1705">
        <f>IF(F55=0,0,F52*F55)</f>
        <v>0</v>
      </c>
      <c r="G56" s="1705">
        <f>IF(G55=0,0,G52*G55)</f>
        <v>0</v>
      </c>
      <c r="H56" s="1706">
        <f>IF(H55=0,0,H52*H55)</f>
        <v>0</v>
      </c>
      <c r="J56" s="1774"/>
      <c r="L56" s="179"/>
      <c r="M56" s="179"/>
      <c r="N56" s="179"/>
      <c r="O56" s="278"/>
      <c r="P56" s="278"/>
      <c r="Q56" s="278"/>
      <c r="R56" s="278"/>
      <c r="S56" s="278"/>
      <c r="T56" s="278"/>
      <c r="U56" s="278"/>
      <c r="V56" s="1775"/>
    </row>
    <row r="57" spans="1:22" ht="12" customHeight="1" x14ac:dyDescent="0.2">
      <c r="B57" s="50"/>
      <c r="C57" s="72"/>
      <c r="D57" s="72"/>
      <c r="E57" s="439"/>
      <c r="F57" s="439"/>
      <c r="G57" s="439"/>
      <c r="H57" s="439"/>
      <c r="J57" s="1774"/>
      <c r="L57" s="179"/>
      <c r="M57" s="179"/>
      <c r="N57" s="179"/>
      <c r="O57" s="278"/>
      <c r="P57" s="278"/>
      <c r="Q57" s="278"/>
      <c r="R57" s="278"/>
      <c r="S57" s="278"/>
      <c r="T57" s="278"/>
      <c r="U57" s="278"/>
      <c r="V57" s="1775"/>
    </row>
    <row r="58" spans="1:22" ht="12" customHeight="1" x14ac:dyDescent="0.2">
      <c r="B58" s="1709"/>
      <c r="C58" s="1709"/>
      <c r="D58" s="1716" t="str">
        <f>D30</f>
        <v>VAT-%</v>
      </c>
      <c r="E58" s="1695">
        <v>0.255</v>
      </c>
      <c r="F58" s="1695">
        <f>E58</f>
        <v>0.255</v>
      </c>
      <c r="G58" s="1695">
        <f>F58</f>
        <v>0.255</v>
      </c>
      <c r="H58" s="1696">
        <f>G58</f>
        <v>0.255</v>
      </c>
      <c r="I58" s="41"/>
      <c r="J58" s="2234"/>
      <c r="K58" s="2235"/>
      <c r="L58" s="2235"/>
      <c r="M58" s="2235"/>
      <c r="N58" s="179"/>
      <c r="O58" s="278"/>
      <c r="P58" s="278"/>
      <c r="Q58" s="278"/>
      <c r="R58" s="278"/>
      <c r="S58" s="278"/>
      <c r="T58" s="278"/>
      <c r="U58" s="278"/>
      <c r="V58" s="1775"/>
    </row>
    <row r="59" spans="1:22" ht="12.75" customHeight="1" x14ac:dyDescent="0.2">
      <c r="A59" s="53"/>
      <c r="B59" s="1697" t="s">
        <v>627</v>
      </c>
      <c r="C59" s="2224" t="s">
        <v>630</v>
      </c>
      <c r="D59" s="2225"/>
      <c r="E59" s="1722">
        <f>E60*E61</f>
        <v>0</v>
      </c>
      <c r="F59" s="1722">
        <f>F60*F61</f>
        <v>0</v>
      </c>
      <c r="G59" s="1722">
        <f>G60*G61</f>
        <v>0</v>
      </c>
      <c r="H59" s="1723">
        <f>H60*H61</f>
        <v>0</v>
      </c>
      <c r="J59" s="1776"/>
      <c r="L59" s="1387"/>
      <c r="M59" s="1387"/>
      <c r="N59" s="1387"/>
      <c r="O59" s="278"/>
      <c r="P59" s="278"/>
      <c r="Q59" s="278"/>
      <c r="R59" s="278"/>
      <c r="S59" s="278"/>
      <c r="T59" s="278"/>
      <c r="U59" s="278"/>
      <c r="V59" s="1775"/>
    </row>
    <row r="60" spans="1:22" ht="12" customHeight="1" x14ac:dyDescent="0.2">
      <c r="B60" s="1698" t="s">
        <v>628</v>
      </c>
      <c r="C60" s="486"/>
      <c r="D60" s="964" t="s">
        <v>631</v>
      </c>
      <c r="E60" s="963">
        <v>0</v>
      </c>
      <c r="F60" s="964">
        <f t="shared" ref="F60:H61" si="6">E60+E60*L60</f>
        <v>0</v>
      </c>
      <c r="G60" s="964">
        <f t="shared" si="6"/>
        <v>0</v>
      </c>
      <c r="H60" s="1699">
        <f t="shared" si="6"/>
        <v>0</v>
      </c>
      <c r="J60" s="2226"/>
      <c r="K60" s="2227"/>
      <c r="L60" s="1386">
        <v>0</v>
      </c>
      <c r="M60" s="1386">
        <f>L60</f>
        <v>0</v>
      </c>
      <c r="N60" s="1386">
        <f>M60</f>
        <v>0</v>
      </c>
      <c r="O60" s="1777"/>
      <c r="P60" s="278"/>
      <c r="Q60" s="278"/>
      <c r="R60" s="278"/>
      <c r="S60" s="278"/>
      <c r="T60" s="278"/>
      <c r="U60" s="278"/>
      <c r="V60" s="1775"/>
    </row>
    <row r="61" spans="1:22" ht="12" customHeight="1" x14ac:dyDescent="0.2">
      <c r="B61" s="1698" t="s">
        <v>778</v>
      </c>
      <c r="C61" s="486"/>
      <c r="D61" s="353" t="s">
        <v>336</v>
      </c>
      <c r="E61" s="965">
        <v>0</v>
      </c>
      <c r="F61" s="965">
        <f t="shared" si="6"/>
        <v>0</v>
      </c>
      <c r="G61" s="965">
        <f t="shared" si="6"/>
        <v>0</v>
      </c>
      <c r="H61" s="1700">
        <f t="shared" si="6"/>
        <v>0</v>
      </c>
      <c r="J61" s="2226"/>
      <c r="K61" s="2227"/>
      <c r="L61" s="336">
        <v>0.03</v>
      </c>
      <c r="M61" s="336">
        <f>L61</f>
        <v>0.03</v>
      </c>
      <c r="N61" s="336">
        <f>M61</f>
        <v>0.03</v>
      </c>
      <c r="O61" s="278"/>
      <c r="P61" s="278"/>
      <c r="Q61" s="278"/>
      <c r="R61" s="278"/>
      <c r="S61" s="278"/>
      <c r="T61" s="278"/>
      <c r="U61" s="278"/>
      <c r="V61" s="1775"/>
    </row>
    <row r="62" spans="1:22" ht="12" customHeight="1" x14ac:dyDescent="0.2">
      <c r="B62" s="1820" t="s">
        <v>777</v>
      </c>
      <c r="C62" s="1821"/>
      <c r="D62" s="1829" t="s">
        <v>13</v>
      </c>
      <c r="E62" s="966">
        <v>0</v>
      </c>
      <c r="F62" s="966">
        <f>E62</f>
        <v>0</v>
      </c>
      <c r="G62" s="966">
        <f>F62</f>
        <v>0</v>
      </c>
      <c r="H62" s="1701">
        <f>G62</f>
        <v>0</v>
      </c>
      <c r="J62" s="1774"/>
      <c r="K62" s="1778"/>
      <c r="L62" s="179"/>
      <c r="M62" s="179"/>
      <c r="N62" s="179"/>
      <c r="O62" s="278"/>
      <c r="P62" s="278" t="s">
        <v>188</v>
      </c>
      <c r="Q62" s="278"/>
      <c r="R62" s="278"/>
      <c r="S62" s="278"/>
      <c r="T62" s="278"/>
      <c r="U62" s="278"/>
      <c r="V62" s="1775"/>
    </row>
    <row r="63" spans="1:22" ht="12" customHeight="1" x14ac:dyDescent="0.2">
      <c r="B63" s="1702" t="s">
        <v>873</v>
      </c>
      <c r="C63" s="1703"/>
      <c r="D63" s="1704" t="s">
        <v>336</v>
      </c>
      <c r="E63" s="1705">
        <f>IF(E62=0,0,E59*E62)</f>
        <v>0</v>
      </c>
      <c r="F63" s="1705">
        <f>IF(F62=0,0,F59*F62)</f>
        <v>0</v>
      </c>
      <c r="G63" s="1705">
        <f>IF(G62=0,0,G59*G62)</f>
        <v>0</v>
      </c>
      <c r="H63" s="1706">
        <f>IF(H62=0,0,H59*H62)</f>
        <v>0</v>
      </c>
      <c r="J63" s="1774"/>
      <c r="K63" s="1778"/>
      <c r="L63" s="179"/>
      <c r="M63" s="179"/>
      <c r="N63" s="179"/>
      <c r="O63" s="278"/>
      <c r="P63" s="278"/>
      <c r="Q63" s="278"/>
      <c r="R63" s="278"/>
      <c r="S63" s="278"/>
      <c r="T63" s="278"/>
      <c r="U63" s="278"/>
      <c r="V63" s="1775"/>
    </row>
    <row r="64" spans="1:22" ht="12" customHeight="1" x14ac:dyDescent="0.2">
      <c r="B64" s="50"/>
      <c r="C64" s="72"/>
      <c r="D64" s="72"/>
      <c r="E64" s="439"/>
      <c r="F64" s="439"/>
      <c r="G64" s="439"/>
      <c r="H64" s="439"/>
      <c r="J64" s="1774"/>
      <c r="K64" s="1778"/>
      <c r="L64" s="179"/>
      <c r="M64" s="179"/>
      <c r="N64" s="179"/>
      <c r="O64" s="278"/>
      <c r="P64" s="278"/>
      <c r="Q64" s="278"/>
      <c r="R64" s="278"/>
      <c r="S64" s="278"/>
      <c r="T64" s="278"/>
      <c r="U64" s="278"/>
      <c r="V64" s="1775"/>
    </row>
    <row r="65" spans="2:22" ht="12" customHeight="1" x14ac:dyDescent="0.2">
      <c r="B65" s="1714"/>
      <c r="C65" s="1714"/>
      <c r="D65" s="1717" t="str">
        <f>D16</f>
        <v>VAT-%</v>
      </c>
      <c r="E65" s="1718">
        <v>0.255</v>
      </c>
      <c r="F65" s="1718">
        <f>E65</f>
        <v>0.255</v>
      </c>
      <c r="G65" s="1718">
        <f>F65</f>
        <v>0.255</v>
      </c>
      <c r="H65" s="1719">
        <f>G65</f>
        <v>0.255</v>
      </c>
      <c r="I65" s="41"/>
      <c r="J65" s="2234"/>
      <c r="K65" s="2235"/>
      <c r="L65" s="2235"/>
      <c r="M65" s="2235"/>
      <c r="N65" s="179"/>
      <c r="O65" s="278"/>
      <c r="P65" s="278"/>
      <c r="Q65" s="278"/>
      <c r="R65" s="278"/>
      <c r="S65" s="278"/>
      <c r="T65" s="278"/>
      <c r="U65" s="278"/>
      <c r="V65" s="1775"/>
    </row>
    <row r="66" spans="2:22" ht="12.75" customHeight="1" x14ac:dyDescent="0.2">
      <c r="B66" s="1697" t="s">
        <v>627</v>
      </c>
      <c r="C66" s="2224" t="s">
        <v>630</v>
      </c>
      <c r="D66" s="2225"/>
      <c r="E66" s="1724">
        <f>E67*E68</f>
        <v>0</v>
      </c>
      <c r="F66" s="1724">
        <f>F67*F68</f>
        <v>0</v>
      </c>
      <c r="G66" s="1724">
        <f>G67*G68</f>
        <v>0</v>
      </c>
      <c r="H66" s="1725">
        <f>H67*H68</f>
        <v>0</v>
      </c>
      <c r="J66" s="1776"/>
      <c r="L66" s="1387"/>
      <c r="M66" s="1387"/>
      <c r="N66" s="1387"/>
      <c r="O66" s="278"/>
      <c r="P66" s="278"/>
      <c r="Q66" s="278"/>
      <c r="R66" s="278"/>
      <c r="S66" s="278"/>
      <c r="T66" s="278"/>
      <c r="U66" s="278"/>
      <c r="V66" s="1775"/>
    </row>
    <row r="67" spans="2:22" ht="12" customHeight="1" x14ac:dyDescent="0.2">
      <c r="B67" s="1698" t="s">
        <v>628</v>
      </c>
      <c r="C67" s="486"/>
      <c r="D67" s="964" t="s">
        <v>631</v>
      </c>
      <c r="E67" s="963">
        <v>0</v>
      </c>
      <c r="F67" s="964">
        <f t="shared" ref="F67:H68" si="7">E67+E67*L67</f>
        <v>0</v>
      </c>
      <c r="G67" s="964">
        <f t="shared" si="7"/>
        <v>0</v>
      </c>
      <c r="H67" s="1699">
        <f t="shared" si="7"/>
        <v>0</v>
      </c>
      <c r="J67" s="2226"/>
      <c r="K67" s="2227"/>
      <c r="L67" s="1386">
        <v>0</v>
      </c>
      <c r="M67" s="1386">
        <f>L67</f>
        <v>0</v>
      </c>
      <c r="N67" s="1386">
        <f>M67</f>
        <v>0</v>
      </c>
      <c r="O67" s="1777"/>
      <c r="P67" s="278"/>
      <c r="Q67" s="278"/>
      <c r="R67" s="278"/>
      <c r="S67" s="278"/>
      <c r="T67" s="278"/>
      <c r="U67" s="278"/>
      <c r="V67" s="1775"/>
    </row>
    <row r="68" spans="2:22" ht="12" customHeight="1" x14ac:dyDescent="0.2">
      <c r="B68" s="1698" t="s">
        <v>778</v>
      </c>
      <c r="C68" s="486"/>
      <c r="D68" s="353" t="s">
        <v>336</v>
      </c>
      <c r="E68" s="965">
        <v>0</v>
      </c>
      <c r="F68" s="965">
        <f t="shared" si="7"/>
        <v>0</v>
      </c>
      <c r="G68" s="965">
        <f t="shared" si="7"/>
        <v>0</v>
      </c>
      <c r="H68" s="1700">
        <f t="shared" si="7"/>
        <v>0</v>
      </c>
      <c r="J68" s="2226"/>
      <c r="K68" s="2227"/>
      <c r="L68" s="336">
        <v>0.03</v>
      </c>
      <c r="M68" s="336">
        <f>L68</f>
        <v>0.03</v>
      </c>
      <c r="N68" s="336">
        <f>M68</f>
        <v>0.03</v>
      </c>
      <c r="O68" s="278"/>
      <c r="P68" s="278"/>
      <c r="Q68" s="278"/>
      <c r="R68" s="278"/>
      <c r="S68" s="278"/>
      <c r="T68" s="278"/>
      <c r="U68" s="278"/>
      <c r="V68" s="1775"/>
    </row>
    <row r="69" spans="2:22" ht="12" customHeight="1" x14ac:dyDescent="0.2">
      <c r="B69" s="1820" t="s">
        <v>777</v>
      </c>
      <c r="C69" s="1821"/>
      <c r="D69" s="1829" t="s">
        <v>13</v>
      </c>
      <c r="E69" s="966">
        <v>0</v>
      </c>
      <c r="F69" s="966">
        <f>E69</f>
        <v>0</v>
      </c>
      <c r="G69" s="966">
        <f>F69</f>
        <v>0</v>
      </c>
      <c r="H69" s="1701">
        <f>G69</f>
        <v>0</v>
      </c>
      <c r="J69" s="1774"/>
      <c r="K69" s="1778"/>
      <c r="L69" s="179"/>
      <c r="M69" s="179"/>
      <c r="N69" s="179"/>
      <c r="O69" s="278"/>
      <c r="P69" s="278" t="s">
        <v>188</v>
      </c>
      <c r="Q69" s="278"/>
      <c r="R69" s="278"/>
      <c r="S69" s="278"/>
      <c r="T69" s="278"/>
      <c r="U69" s="278"/>
      <c r="V69" s="1775"/>
    </row>
    <row r="70" spans="2:22" ht="12" customHeight="1" x14ac:dyDescent="0.2">
      <c r="B70" s="1702" t="s">
        <v>873</v>
      </c>
      <c r="C70" s="1703"/>
      <c r="D70" s="1704" t="s">
        <v>336</v>
      </c>
      <c r="E70" s="1715">
        <f>IF(E69=0,0,E66*E69)</f>
        <v>0</v>
      </c>
      <c r="F70" s="1715">
        <f>IF(F69=0,0,F66*F69)</f>
        <v>0</v>
      </c>
      <c r="G70" s="1715">
        <f>IF(G69=0,0,G66*G69)</f>
        <v>0</v>
      </c>
      <c r="H70" s="1715">
        <f>IF(H69=0,0,H66*H69)</f>
        <v>0</v>
      </c>
      <c r="J70" s="1774"/>
      <c r="K70" s="1778"/>
      <c r="L70" s="179"/>
      <c r="M70" s="179"/>
      <c r="N70" s="179"/>
      <c r="O70" s="278"/>
      <c r="P70" s="278"/>
      <c r="Q70" s="278"/>
      <c r="R70" s="278"/>
      <c r="S70" s="278"/>
      <c r="T70" s="278"/>
      <c r="U70" s="278"/>
      <c r="V70" s="1775"/>
    </row>
    <row r="71" spans="2:22" ht="12" customHeight="1" x14ac:dyDescent="0.2">
      <c r="B71" s="50"/>
      <c r="C71" s="72"/>
      <c r="D71" s="72"/>
      <c r="E71" s="439"/>
      <c r="F71" s="439"/>
      <c r="G71" s="439"/>
      <c r="H71" s="439"/>
      <c r="J71" s="1774"/>
      <c r="K71" s="1778"/>
      <c r="L71" s="179"/>
      <c r="M71" s="179"/>
      <c r="N71" s="179"/>
      <c r="O71" s="278"/>
      <c r="P71" s="278"/>
      <c r="Q71" s="278"/>
      <c r="R71" s="278"/>
      <c r="S71" s="278"/>
      <c r="T71" s="278"/>
      <c r="U71" s="278"/>
      <c r="V71" s="1775"/>
    </row>
    <row r="72" spans="2:22" ht="12" customHeight="1" x14ac:dyDescent="0.2">
      <c r="B72" s="1709"/>
      <c r="C72" s="1709"/>
      <c r="D72" s="1716" t="str">
        <f>D16</f>
        <v>VAT-%</v>
      </c>
      <c r="E72" s="1695">
        <v>0.255</v>
      </c>
      <c r="F72" s="1695">
        <f>E72</f>
        <v>0.255</v>
      </c>
      <c r="G72" s="1695">
        <f>F72</f>
        <v>0.255</v>
      </c>
      <c r="H72" s="1696">
        <f>G72</f>
        <v>0.255</v>
      </c>
      <c r="I72" s="41"/>
      <c r="J72" s="2234"/>
      <c r="K72" s="2235"/>
      <c r="L72" s="2235"/>
      <c r="M72" s="2235"/>
      <c r="N72" s="179"/>
      <c r="O72" s="278"/>
      <c r="P72" s="278"/>
      <c r="Q72" s="278"/>
      <c r="R72" s="278"/>
      <c r="S72" s="278"/>
      <c r="T72" s="278"/>
      <c r="U72" s="278"/>
      <c r="V72" s="1775"/>
    </row>
    <row r="73" spans="2:22" ht="12.75" customHeight="1" x14ac:dyDescent="0.2">
      <c r="B73" s="1697" t="s">
        <v>627</v>
      </c>
      <c r="C73" s="2224" t="s">
        <v>630</v>
      </c>
      <c r="D73" s="2225"/>
      <c r="E73" s="1722">
        <f>E74*E75</f>
        <v>0</v>
      </c>
      <c r="F73" s="1722">
        <f>F74*F75</f>
        <v>0</v>
      </c>
      <c r="G73" s="1722">
        <f>G74*G75</f>
        <v>0</v>
      </c>
      <c r="H73" s="1723">
        <f>H74*H75</f>
        <v>0</v>
      </c>
      <c r="J73" s="1776"/>
      <c r="L73" s="1387"/>
      <c r="M73" s="1387"/>
      <c r="N73" s="1387"/>
      <c r="O73" s="278"/>
      <c r="P73" s="278"/>
      <c r="Q73" s="278"/>
      <c r="R73" s="278"/>
      <c r="S73" s="278"/>
      <c r="T73" s="278"/>
      <c r="U73" s="278"/>
      <c r="V73" s="1775"/>
    </row>
    <row r="74" spans="2:22" ht="12" customHeight="1" x14ac:dyDescent="0.2">
      <c r="B74" s="1698" t="s">
        <v>628</v>
      </c>
      <c r="C74" s="486"/>
      <c r="D74" s="964" t="s">
        <v>631</v>
      </c>
      <c r="E74" s="963">
        <v>0</v>
      </c>
      <c r="F74" s="964">
        <f t="shared" ref="F74:H75" si="8">E74+E74*L74</f>
        <v>0</v>
      </c>
      <c r="G74" s="964">
        <f t="shared" si="8"/>
        <v>0</v>
      </c>
      <c r="H74" s="1699">
        <f t="shared" si="8"/>
        <v>0</v>
      </c>
      <c r="J74" s="2226"/>
      <c r="K74" s="2227"/>
      <c r="L74" s="1386">
        <v>0</v>
      </c>
      <c r="M74" s="1386">
        <f>L74</f>
        <v>0</v>
      </c>
      <c r="N74" s="1386">
        <f>M74</f>
        <v>0</v>
      </c>
      <c r="O74" s="1777"/>
      <c r="P74" s="278"/>
      <c r="Q74" s="278"/>
      <c r="R74" s="278"/>
      <c r="S74" s="278"/>
      <c r="T74" s="278"/>
      <c r="U74" s="278"/>
      <c r="V74" s="1775"/>
    </row>
    <row r="75" spans="2:22" ht="12" customHeight="1" x14ac:dyDescent="0.2">
      <c r="B75" s="1698" t="s">
        <v>778</v>
      </c>
      <c r="C75" s="486"/>
      <c r="D75" s="353" t="s">
        <v>336</v>
      </c>
      <c r="E75" s="965">
        <v>0</v>
      </c>
      <c r="F75" s="965">
        <f t="shared" si="8"/>
        <v>0</v>
      </c>
      <c r="G75" s="965">
        <f t="shared" si="8"/>
        <v>0</v>
      </c>
      <c r="H75" s="1700">
        <f t="shared" si="8"/>
        <v>0</v>
      </c>
      <c r="J75" s="2226"/>
      <c r="K75" s="2227"/>
      <c r="L75" s="336">
        <v>0.03</v>
      </c>
      <c r="M75" s="336">
        <f>L75</f>
        <v>0.03</v>
      </c>
      <c r="N75" s="336">
        <f>M75</f>
        <v>0.03</v>
      </c>
      <c r="O75" s="278"/>
      <c r="P75" s="278"/>
      <c r="Q75" s="278"/>
      <c r="R75" s="278"/>
      <c r="S75" s="278"/>
      <c r="T75" s="278"/>
      <c r="U75" s="278"/>
      <c r="V75" s="1775"/>
    </row>
    <row r="76" spans="2:22" ht="12" customHeight="1" x14ac:dyDescent="0.2">
      <c r="B76" s="1820" t="s">
        <v>777</v>
      </c>
      <c r="C76" s="1821"/>
      <c r="D76" s="1829" t="s">
        <v>13</v>
      </c>
      <c r="E76" s="966">
        <v>0</v>
      </c>
      <c r="F76" s="966">
        <f>E76</f>
        <v>0</v>
      </c>
      <c r="G76" s="966">
        <f>F76</f>
        <v>0</v>
      </c>
      <c r="H76" s="1701">
        <f>G76</f>
        <v>0</v>
      </c>
      <c r="J76" s="1774" t="s">
        <v>0</v>
      </c>
      <c r="L76" s="179"/>
      <c r="M76" s="179"/>
      <c r="N76" s="179"/>
      <c r="O76" s="278"/>
      <c r="P76" s="278" t="s">
        <v>188</v>
      </c>
      <c r="Q76" s="278"/>
      <c r="R76" s="278"/>
      <c r="S76" s="278"/>
      <c r="T76" s="278"/>
      <c r="U76" s="278"/>
      <c r="V76" s="1775"/>
    </row>
    <row r="77" spans="2:22" ht="12" customHeight="1" thickBot="1" x14ac:dyDescent="0.25">
      <c r="B77" s="1702" t="s">
        <v>873</v>
      </c>
      <c r="C77" s="1703"/>
      <c r="D77" s="1704" t="s">
        <v>336</v>
      </c>
      <c r="E77" s="1705">
        <f>IF(E76=0,0,E73*E76)</f>
        <v>0</v>
      </c>
      <c r="F77" s="1705">
        <f>IF(F76=0,0,F73*F76)</f>
        <v>0</v>
      </c>
      <c r="G77" s="1705">
        <f>IF(G76=0,0,G73*G76)</f>
        <v>0</v>
      </c>
      <c r="H77" s="1706">
        <f>IF(H76=0,0,H73*H76)</f>
        <v>0</v>
      </c>
      <c r="J77" s="1779"/>
      <c r="K77" s="1780"/>
      <c r="L77" s="1780"/>
      <c r="M77" s="1780"/>
      <c r="N77" s="1780"/>
      <c r="O77" s="1780"/>
      <c r="P77" s="1780"/>
      <c r="Q77" s="1780"/>
      <c r="R77" s="1780"/>
      <c r="S77" s="1780"/>
      <c r="T77" s="1780"/>
      <c r="U77" s="1780"/>
      <c r="V77" s="1781"/>
    </row>
    <row r="78" spans="2:22" ht="6.75" customHeight="1" x14ac:dyDescent="0.2"/>
    <row r="79" spans="2:22" x14ac:dyDescent="0.2">
      <c r="B79" s="349"/>
      <c r="C79" s="350"/>
      <c r="D79" s="129"/>
      <c r="E79" s="129"/>
      <c r="F79" s="129"/>
      <c r="G79" s="129"/>
      <c r="H79" s="354">
        <f>'Front Page'!F6</f>
        <v>0</v>
      </c>
    </row>
    <row r="80" spans="2:22" x14ac:dyDescent="0.2">
      <c r="B80" s="349" t="str">
        <f>'1. T1 INVESTMENT PLAN'!B67</f>
        <v>BP6 Financial Projection</v>
      </c>
      <c r="C80" s="350"/>
      <c r="D80" s="129"/>
      <c r="E80" s="129"/>
      <c r="F80" s="129"/>
      <c r="G80" s="129"/>
      <c r="H80" s="407" t="str">
        <f>'3. E1 OPERATING COSTS'!K135</f>
        <v>Enontekiö, Kittilä, Kolari, Muonio, Pello</v>
      </c>
    </row>
    <row r="81" spans="2:3" x14ac:dyDescent="0.2">
      <c r="B81" s="2149"/>
      <c r="C81" s="2149"/>
    </row>
    <row r="82" spans="2:3" x14ac:dyDescent="0.2">
      <c r="B82" s="348"/>
    </row>
    <row r="83" spans="2:3" x14ac:dyDescent="0.2">
      <c r="B83" s="52" t="str">
        <f>'1. T1 INVESTMENT PLAN'!B70</f>
        <v>The user acknowledges that the program may contain errors and the results provided by the program are referential and directional.</v>
      </c>
    </row>
    <row r="84" spans="2:3" x14ac:dyDescent="0.2">
      <c r="B84" s="52" t="str">
        <f>'1. T1 INVESTMENT PLAN'!B71</f>
        <v>The user uses the program and interprets results at his own risk.</v>
      </c>
    </row>
  </sheetData>
  <sheetProtection algorithmName="SHA-512" hashValue="vrHMwbkTulsfpwU8zNsIeBmp4tuQAIcl503hP9KZmCSx3xiZ7xViaLBFiMcng27atSz9TdIUmMPVjKNn/ya54Q==" saltValue="iycX1TRgPuAS0NdDBcaMLA==" spinCount="100000" sheet="1" objects="1" scenarios="1"/>
  <mergeCells count="35">
    <mergeCell ref="B81:C81"/>
    <mergeCell ref="J61:K61"/>
    <mergeCell ref="J65:M65"/>
    <mergeCell ref="J67:K67"/>
    <mergeCell ref="J68:K68"/>
    <mergeCell ref="J72:M72"/>
    <mergeCell ref="J74:K74"/>
    <mergeCell ref="J75:K75"/>
    <mergeCell ref="C73:D73"/>
    <mergeCell ref="J60:K60"/>
    <mergeCell ref="J39:K39"/>
    <mergeCell ref="J40:K40"/>
    <mergeCell ref="J46:K46"/>
    <mergeCell ref="J47:K47"/>
    <mergeCell ref="J53:K53"/>
    <mergeCell ref="J54:K54"/>
    <mergeCell ref="J58:M58"/>
    <mergeCell ref="J33:K33"/>
    <mergeCell ref="B5:D5"/>
    <mergeCell ref="B7:C8"/>
    <mergeCell ref="J18:K18"/>
    <mergeCell ref="J19:K19"/>
    <mergeCell ref="J5:L5"/>
    <mergeCell ref="J25:K25"/>
    <mergeCell ref="J26:K26"/>
    <mergeCell ref="J32:K32"/>
    <mergeCell ref="L16:N16"/>
    <mergeCell ref="C17:D17"/>
    <mergeCell ref="C24:D24"/>
    <mergeCell ref="C31:D31"/>
    <mergeCell ref="C38:D38"/>
    <mergeCell ref="C45:D45"/>
    <mergeCell ref="C52:D52"/>
    <mergeCell ref="C59:D59"/>
    <mergeCell ref="C66:D66"/>
  </mergeCells>
  <phoneticPr fontId="10" type="noConversion"/>
  <printOptions horizontalCentered="1"/>
  <pageMargins left="0.23622047244094491" right="0.23622047244094491" top="0.74803149606299213" bottom="0.74803149606299213" header="0.31496062992125984" footer="0.31496062992125984"/>
  <pageSetup paperSize="9" scale="85" fitToWidth="0" orientation="portrait" verticalDpi="4" r:id="rId1"/>
  <headerFooter alignWithMargins="0"/>
  <rowBreaks count="1" manualBreakCount="1">
    <brk id="71" min="1" max="21" man="1"/>
  </rowBreaks>
  <colBreaks count="1" manualBreakCount="1">
    <brk id="8" min="1" max="7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workbookViewId="0"/>
  </sheetViews>
  <sheetFormatPr defaultRowHeight="12.75" x14ac:dyDescent="0.2"/>
  <cols>
    <col min="1" max="1" width="10.85546875" customWidth="1"/>
    <col min="2" max="2" width="22.28515625" customWidth="1"/>
    <col min="3" max="3" width="9.140625" customWidth="1"/>
    <col min="16" max="16" width="21" customWidth="1"/>
  </cols>
  <sheetData>
    <row r="1" spans="1:19" x14ac:dyDescent="0.2">
      <c r="B1" s="1668" t="s">
        <v>357</v>
      </c>
    </row>
    <row r="2" spans="1:19" x14ac:dyDescent="0.2">
      <c r="A2" s="30" t="s">
        <v>356</v>
      </c>
      <c r="B2" s="1669">
        <f>'1. T1 INVESTMENT PLAN'!E16</f>
        <v>2027</v>
      </c>
      <c r="C2" s="400" t="str">
        <f>'8. T5 CASH BUDGET'!G10</f>
        <v>JAN</v>
      </c>
      <c r="D2" s="400" t="str">
        <f>'8. T5 CASH BUDGET'!H10</f>
        <v>FEB</v>
      </c>
      <c r="E2" s="400" t="str">
        <f>'8. T5 CASH BUDGET'!I10</f>
        <v>MARS</v>
      </c>
      <c r="F2" s="400" t="str">
        <f>'8. T5 CASH BUDGET'!J10</f>
        <v>APR</v>
      </c>
      <c r="G2" s="400" t="str">
        <f>'8. T5 CASH BUDGET'!K10</f>
        <v>MAY</v>
      </c>
      <c r="H2" s="400" t="str">
        <f>'8. T5 CASH BUDGET'!L10</f>
        <v>JUNE</v>
      </c>
      <c r="I2" s="400" t="str">
        <f>'8. T5 CASH BUDGET'!M10</f>
        <v>JULY</v>
      </c>
      <c r="J2" s="400" t="str">
        <f>'8. T5 CASH BUDGET'!N10</f>
        <v>AUG</v>
      </c>
      <c r="K2" s="400" t="str">
        <f>'8. T5 CASH BUDGET'!O10</f>
        <v>SEP</v>
      </c>
      <c r="L2" s="400" t="str">
        <f>'8. T5 CASH BUDGET'!P10</f>
        <v>OCT</v>
      </c>
      <c r="M2" s="400" t="str">
        <f>'8. T5 CASH BUDGET'!Q10</f>
        <v>NOV</v>
      </c>
      <c r="N2" s="400" t="str">
        <f>'8. T5 CASH BUDGET'!R10</f>
        <v>DEC</v>
      </c>
      <c r="P2" s="30"/>
      <c r="Q2" s="400"/>
      <c r="R2" s="400"/>
      <c r="S2" s="400"/>
    </row>
    <row r="3" spans="1:19" x14ac:dyDescent="0.2">
      <c r="A3" s="30"/>
      <c r="B3" s="30" t="s">
        <v>198</v>
      </c>
      <c r="C3" s="401">
        <f>'8. T5 CASH BUDGET'!E17</f>
        <v>14</v>
      </c>
      <c r="D3" s="401">
        <f>C3</f>
        <v>14</v>
      </c>
      <c r="E3" s="401">
        <f t="shared" ref="E3:N3" si="0">D3</f>
        <v>14</v>
      </c>
      <c r="F3" s="401">
        <f t="shared" si="0"/>
        <v>14</v>
      </c>
      <c r="G3" s="401">
        <f t="shared" si="0"/>
        <v>14</v>
      </c>
      <c r="H3" s="401">
        <f t="shared" si="0"/>
        <v>14</v>
      </c>
      <c r="I3" s="401">
        <f t="shared" si="0"/>
        <v>14</v>
      </c>
      <c r="J3" s="401">
        <f t="shared" si="0"/>
        <v>14</v>
      </c>
      <c r="K3" s="401">
        <f t="shared" si="0"/>
        <v>14</v>
      </c>
      <c r="L3" s="401">
        <f t="shared" si="0"/>
        <v>14</v>
      </c>
      <c r="M3" s="401">
        <f t="shared" si="0"/>
        <v>14</v>
      </c>
      <c r="N3" s="401">
        <f t="shared" si="0"/>
        <v>14</v>
      </c>
      <c r="P3" s="30"/>
      <c r="Q3" s="401"/>
      <c r="R3" s="401"/>
      <c r="S3" s="401"/>
    </row>
    <row r="4" spans="1:19" hidden="1" x14ac:dyDescent="0.2">
      <c r="A4" s="30" t="s">
        <v>198</v>
      </c>
      <c r="B4" s="30" t="s">
        <v>199</v>
      </c>
      <c r="C4" s="58">
        <f>IF('8. T5 CASH BUDGET'!G6=1,0,'6. T3 BALANCE SHEET '!G42)</f>
        <v>0</v>
      </c>
      <c r="D4" s="58"/>
      <c r="E4" s="58"/>
      <c r="F4" s="58"/>
      <c r="G4" s="58"/>
      <c r="H4" s="58"/>
      <c r="I4" s="30"/>
      <c r="J4" s="30"/>
      <c r="K4" s="30"/>
      <c r="L4" s="30"/>
      <c r="M4" s="30"/>
      <c r="N4" s="30"/>
      <c r="P4" s="30"/>
      <c r="Q4" s="58"/>
      <c r="R4" s="58"/>
      <c r="S4" s="58"/>
    </row>
    <row r="5" spans="1:19" hidden="1" x14ac:dyDescent="0.2">
      <c r="A5" s="4" t="s">
        <v>200</v>
      </c>
      <c r="B5" s="4"/>
      <c r="C5" s="32"/>
      <c r="D5" s="32"/>
      <c r="E5" s="32"/>
      <c r="F5" s="32"/>
      <c r="G5" s="32"/>
      <c r="H5" s="32"/>
      <c r="I5" s="4"/>
      <c r="J5" s="4"/>
      <c r="K5" s="4"/>
      <c r="L5" s="4"/>
      <c r="M5" s="4"/>
      <c r="N5" s="4"/>
      <c r="P5" s="4"/>
      <c r="Q5" s="32"/>
      <c r="R5" s="32"/>
      <c r="S5" s="32"/>
    </row>
    <row r="6" spans="1:19" hidden="1" x14ac:dyDescent="0.2">
      <c r="A6" s="4" t="s">
        <v>202</v>
      </c>
      <c r="B6" s="4"/>
      <c r="C6" s="32"/>
      <c r="D6" s="32"/>
      <c r="E6" s="32"/>
      <c r="F6" s="32"/>
      <c r="G6" s="32"/>
      <c r="H6" s="32"/>
      <c r="I6" s="4"/>
      <c r="J6" s="4"/>
      <c r="K6" s="4"/>
      <c r="L6" s="4"/>
      <c r="M6" s="4"/>
      <c r="N6" s="4"/>
      <c r="P6" s="4"/>
      <c r="Q6" s="32"/>
      <c r="R6" s="32"/>
      <c r="S6" s="32"/>
    </row>
    <row r="7" spans="1:19" hidden="1" x14ac:dyDescent="0.2">
      <c r="A7" s="4" t="s">
        <v>204</v>
      </c>
      <c r="B7" s="4"/>
      <c r="C7" s="32"/>
      <c r="D7" s="32"/>
      <c r="E7" s="32"/>
      <c r="F7" s="32"/>
      <c r="G7" s="32"/>
      <c r="H7" s="32"/>
      <c r="I7" s="4"/>
      <c r="J7" s="4"/>
      <c r="K7" s="4"/>
      <c r="L7" s="4"/>
      <c r="M7" s="4"/>
      <c r="N7" s="4"/>
      <c r="P7" s="4"/>
      <c r="Q7" s="32"/>
      <c r="R7" s="32"/>
      <c r="S7" s="32"/>
    </row>
    <row r="8" spans="1:19" hidden="1" x14ac:dyDescent="0.2">
      <c r="A8" s="4" t="s">
        <v>206</v>
      </c>
      <c r="B8" s="4"/>
      <c r="C8" s="32"/>
      <c r="D8" s="32"/>
      <c r="E8" s="32"/>
      <c r="F8" s="32"/>
      <c r="G8" s="32"/>
      <c r="H8" s="32"/>
      <c r="I8" s="4"/>
      <c r="J8" s="4"/>
      <c r="K8" s="4"/>
      <c r="L8" s="4"/>
      <c r="M8" s="4"/>
      <c r="N8" s="4"/>
      <c r="Q8" s="39"/>
      <c r="R8" s="39"/>
      <c r="S8" s="39"/>
    </row>
    <row r="9" spans="1:19" hidden="1" x14ac:dyDescent="0.2">
      <c r="A9" s="4" t="s">
        <v>208</v>
      </c>
      <c r="B9" s="4"/>
      <c r="C9" s="32"/>
      <c r="D9" s="32"/>
      <c r="E9" s="32"/>
      <c r="F9" s="32"/>
      <c r="G9" s="32"/>
      <c r="H9" s="32"/>
      <c r="I9" s="4"/>
      <c r="J9" s="4"/>
      <c r="K9" s="4"/>
      <c r="L9" s="4"/>
      <c r="M9" s="4"/>
      <c r="N9" s="4"/>
    </row>
    <row r="10" spans="1:19" hidden="1" x14ac:dyDescent="0.2">
      <c r="A10" s="4" t="s">
        <v>210</v>
      </c>
      <c r="B10" s="4"/>
      <c r="C10" s="32"/>
      <c r="D10" s="32"/>
      <c r="E10" s="32"/>
      <c r="F10" s="32"/>
      <c r="G10" s="32"/>
      <c r="H10" s="32"/>
      <c r="I10" s="4"/>
      <c r="J10" s="4"/>
      <c r="K10" s="4"/>
      <c r="L10" s="4"/>
      <c r="M10" s="4"/>
      <c r="N10" s="4"/>
    </row>
    <row r="11" spans="1:19" hidden="1" x14ac:dyDescent="0.2">
      <c r="A11" s="4"/>
      <c r="B11" s="402"/>
      <c r="C11" s="58"/>
      <c r="D11" s="58"/>
      <c r="E11" s="58"/>
      <c r="F11" s="58"/>
      <c r="G11" s="58"/>
      <c r="H11" s="58"/>
      <c r="I11" s="30"/>
      <c r="J11" s="30"/>
      <c r="K11" s="30"/>
      <c r="L11" s="30"/>
      <c r="M11" s="30"/>
      <c r="N11" s="30"/>
    </row>
    <row r="12" spans="1:19" x14ac:dyDescent="0.2">
      <c r="A12" s="30" t="s">
        <v>0</v>
      </c>
      <c r="B12" s="30" t="s">
        <v>358</v>
      </c>
      <c r="C12" s="58">
        <f>'8. T5 CASH BUDGET'!G15</f>
        <v>0</v>
      </c>
      <c r="D12" s="58">
        <f>'8. T5 CASH BUDGET'!H15</f>
        <v>0</v>
      </c>
      <c r="E12" s="58">
        <f>'8. T5 CASH BUDGET'!I15</f>
        <v>0</v>
      </c>
      <c r="F12" s="58">
        <f>'8. T5 CASH BUDGET'!J15</f>
        <v>0</v>
      </c>
      <c r="G12" s="58">
        <f>'8. T5 CASH BUDGET'!K15</f>
        <v>0</v>
      </c>
      <c r="H12" s="58">
        <f>'8. T5 CASH BUDGET'!L15</f>
        <v>0</v>
      </c>
      <c r="I12" s="58">
        <f>'8. T5 CASH BUDGET'!M15</f>
        <v>0</v>
      </c>
      <c r="J12" s="58">
        <f>'8. T5 CASH BUDGET'!N15</f>
        <v>0</v>
      </c>
      <c r="K12" s="58">
        <f>'8. T5 CASH BUDGET'!O15</f>
        <v>0</v>
      </c>
      <c r="L12" s="58">
        <f>'8. T5 CASH BUDGET'!P15</f>
        <v>0</v>
      </c>
      <c r="M12" s="58">
        <f>'8. T5 CASH BUDGET'!Q15</f>
        <v>0</v>
      </c>
      <c r="N12" s="58">
        <f>'8. T5 CASH BUDGET'!R15</f>
        <v>0</v>
      </c>
    </row>
    <row r="13" spans="1:19" x14ac:dyDescent="0.2">
      <c r="A13" s="403" t="s">
        <v>200</v>
      </c>
      <c r="B13" s="403" t="s">
        <v>212</v>
      </c>
      <c r="C13" s="404">
        <f t="shared" ref="C13:N13" si="1">IF(C$3&lt;31,C$12*(30-C3)/30,0)</f>
        <v>0</v>
      </c>
      <c r="D13" s="404">
        <f t="shared" si="1"/>
        <v>0</v>
      </c>
      <c r="E13" s="404">
        <f t="shared" si="1"/>
        <v>0</v>
      </c>
      <c r="F13" s="404">
        <f t="shared" si="1"/>
        <v>0</v>
      </c>
      <c r="G13" s="404">
        <f t="shared" si="1"/>
        <v>0</v>
      </c>
      <c r="H13" s="404">
        <f t="shared" si="1"/>
        <v>0</v>
      </c>
      <c r="I13" s="404">
        <f t="shared" si="1"/>
        <v>0</v>
      </c>
      <c r="J13" s="404">
        <f t="shared" si="1"/>
        <v>0</v>
      </c>
      <c r="K13" s="404">
        <f t="shared" si="1"/>
        <v>0</v>
      </c>
      <c r="L13" s="404">
        <f t="shared" si="1"/>
        <v>0</v>
      </c>
      <c r="M13" s="404">
        <f t="shared" si="1"/>
        <v>0</v>
      </c>
      <c r="N13" s="404">
        <f t="shared" si="1"/>
        <v>0</v>
      </c>
    </row>
    <row r="14" spans="1:19" x14ac:dyDescent="0.2">
      <c r="A14" s="4" t="s">
        <v>202</v>
      </c>
      <c r="B14" s="4" t="s">
        <v>213</v>
      </c>
      <c r="C14" s="32">
        <f t="shared" ref="C14:N14" si="2">IF(C3&gt;30,0,C12-C13)</f>
        <v>0</v>
      </c>
      <c r="D14" s="32">
        <f t="shared" si="2"/>
        <v>0</v>
      </c>
      <c r="E14" s="32">
        <f t="shared" si="2"/>
        <v>0</v>
      </c>
      <c r="F14" s="32">
        <f t="shared" si="2"/>
        <v>0</v>
      </c>
      <c r="G14" s="32">
        <f t="shared" si="2"/>
        <v>0</v>
      </c>
      <c r="H14" s="32">
        <f t="shared" si="2"/>
        <v>0</v>
      </c>
      <c r="I14" s="32">
        <f t="shared" si="2"/>
        <v>0</v>
      </c>
      <c r="J14" s="32">
        <f t="shared" si="2"/>
        <v>0</v>
      </c>
      <c r="K14" s="32">
        <f t="shared" si="2"/>
        <v>0</v>
      </c>
      <c r="L14" s="32">
        <f t="shared" si="2"/>
        <v>0</v>
      </c>
      <c r="M14" s="32">
        <f t="shared" si="2"/>
        <v>0</v>
      </c>
      <c r="N14" s="32">
        <f t="shared" si="2"/>
        <v>0</v>
      </c>
    </row>
    <row r="15" spans="1:19" x14ac:dyDescent="0.2">
      <c r="A15" s="403" t="s">
        <v>202</v>
      </c>
      <c r="B15" s="403" t="s">
        <v>213</v>
      </c>
      <c r="C15" s="404">
        <f t="shared" ref="C15:N15" si="3">IF(C$3&lt;31,0,IF(C$3&gt;60,0,C$12*(60-C$3))/30)</f>
        <v>0</v>
      </c>
      <c r="D15" s="404">
        <f t="shared" si="3"/>
        <v>0</v>
      </c>
      <c r="E15" s="404">
        <f t="shared" si="3"/>
        <v>0</v>
      </c>
      <c r="F15" s="404">
        <f t="shared" si="3"/>
        <v>0</v>
      </c>
      <c r="G15" s="404">
        <f t="shared" si="3"/>
        <v>0</v>
      </c>
      <c r="H15" s="404">
        <f t="shared" si="3"/>
        <v>0</v>
      </c>
      <c r="I15" s="404">
        <f t="shared" si="3"/>
        <v>0</v>
      </c>
      <c r="J15" s="404">
        <f t="shared" si="3"/>
        <v>0</v>
      </c>
      <c r="K15" s="404">
        <f t="shared" si="3"/>
        <v>0</v>
      </c>
      <c r="L15" s="404">
        <f t="shared" si="3"/>
        <v>0</v>
      </c>
      <c r="M15" s="404">
        <f t="shared" si="3"/>
        <v>0</v>
      </c>
      <c r="N15" s="404">
        <f t="shared" si="3"/>
        <v>0</v>
      </c>
    </row>
    <row r="16" spans="1:19" x14ac:dyDescent="0.2">
      <c r="A16" s="4" t="s">
        <v>204</v>
      </c>
      <c r="B16" s="4" t="s">
        <v>214</v>
      </c>
      <c r="C16" s="32">
        <f>IF(C$3&lt;31,0,IF(C$3&gt;60,0,C12-C15))</f>
        <v>0</v>
      </c>
      <c r="D16" s="32">
        <f t="shared" ref="D16:N16" si="4">IF(D$3&lt;31,0,IF(D$3&gt;60,0,D12-D15))</f>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row>
    <row r="17" spans="1:14" x14ac:dyDescent="0.2">
      <c r="A17" s="403" t="s">
        <v>204</v>
      </c>
      <c r="B17" s="403" t="s">
        <v>214</v>
      </c>
      <c r="C17" s="404">
        <f t="shared" ref="C17:N17" si="5">IF(C$3&lt;61,0,IF(C$3&gt;90,0,C$12*(90-C$3))/30)</f>
        <v>0</v>
      </c>
      <c r="D17" s="404">
        <f t="shared" si="5"/>
        <v>0</v>
      </c>
      <c r="E17" s="404">
        <f t="shared" si="5"/>
        <v>0</v>
      </c>
      <c r="F17" s="404">
        <f t="shared" si="5"/>
        <v>0</v>
      </c>
      <c r="G17" s="404">
        <f t="shared" si="5"/>
        <v>0</v>
      </c>
      <c r="H17" s="404">
        <f t="shared" si="5"/>
        <v>0</v>
      </c>
      <c r="I17" s="404">
        <f t="shared" si="5"/>
        <v>0</v>
      </c>
      <c r="J17" s="404">
        <f t="shared" si="5"/>
        <v>0</v>
      </c>
      <c r="K17" s="404">
        <f t="shared" si="5"/>
        <v>0</v>
      </c>
      <c r="L17" s="404">
        <f t="shared" si="5"/>
        <v>0</v>
      </c>
      <c r="M17" s="404">
        <f t="shared" si="5"/>
        <v>0</v>
      </c>
      <c r="N17" s="404">
        <f t="shared" si="5"/>
        <v>0</v>
      </c>
    </row>
    <row r="18" spans="1:14" x14ac:dyDescent="0.2">
      <c r="A18" s="4" t="s">
        <v>206</v>
      </c>
      <c r="B18" s="4" t="s">
        <v>215</v>
      </c>
      <c r="C18" s="32">
        <f>IF(C$3&lt;61,0,IF(C$3&gt;90,0,C12-C17))</f>
        <v>0</v>
      </c>
      <c r="D18" s="32">
        <f t="shared" ref="D18:N18" si="6">IF(D$3&lt;61,0,IF(D$3&gt;90,0,D12-D17))</f>
        <v>0</v>
      </c>
      <c r="E18" s="32">
        <f t="shared" si="6"/>
        <v>0</v>
      </c>
      <c r="F18" s="32">
        <f t="shared" si="6"/>
        <v>0</v>
      </c>
      <c r="G18" s="32">
        <f t="shared" si="6"/>
        <v>0</v>
      </c>
      <c r="H18" s="32">
        <f t="shared" si="6"/>
        <v>0</v>
      </c>
      <c r="I18" s="32">
        <f t="shared" si="6"/>
        <v>0</v>
      </c>
      <c r="J18" s="32">
        <f t="shared" si="6"/>
        <v>0</v>
      </c>
      <c r="K18" s="32">
        <f t="shared" si="6"/>
        <v>0</v>
      </c>
      <c r="L18" s="32">
        <f t="shared" si="6"/>
        <v>0</v>
      </c>
      <c r="M18" s="32">
        <f t="shared" si="6"/>
        <v>0</v>
      </c>
      <c r="N18" s="32">
        <f t="shared" si="6"/>
        <v>0</v>
      </c>
    </row>
    <row r="19" spans="1:14" x14ac:dyDescent="0.2">
      <c r="A19" s="403" t="s">
        <v>206</v>
      </c>
      <c r="B19" s="403" t="s">
        <v>215</v>
      </c>
      <c r="C19" s="404">
        <f t="shared" ref="C19:N19" si="7">IF(C$3&lt;91,0,IF(C$3&gt;120,0,C$12*(120-C$3))/30)</f>
        <v>0</v>
      </c>
      <c r="D19" s="404">
        <f t="shared" si="7"/>
        <v>0</v>
      </c>
      <c r="E19" s="404">
        <f t="shared" si="7"/>
        <v>0</v>
      </c>
      <c r="F19" s="404">
        <f t="shared" si="7"/>
        <v>0</v>
      </c>
      <c r="G19" s="404">
        <f t="shared" si="7"/>
        <v>0</v>
      </c>
      <c r="H19" s="404">
        <f t="shared" si="7"/>
        <v>0</v>
      </c>
      <c r="I19" s="404">
        <f t="shared" si="7"/>
        <v>0</v>
      </c>
      <c r="J19" s="404">
        <f t="shared" si="7"/>
        <v>0</v>
      </c>
      <c r="K19" s="404">
        <f t="shared" si="7"/>
        <v>0</v>
      </c>
      <c r="L19" s="404">
        <f t="shared" si="7"/>
        <v>0</v>
      </c>
      <c r="M19" s="404">
        <f t="shared" si="7"/>
        <v>0</v>
      </c>
      <c r="N19" s="404">
        <f t="shared" si="7"/>
        <v>0</v>
      </c>
    </row>
    <row r="20" spans="1:14" x14ac:dyDescent="0.2">
      <c r="A20" s="4" t="s">
        <v>208</v>
      </c>
      <c r="B20" s="4" t="s">
        <v>216</v>
      </c>
      <c r="C20" s="32">
        <f>IF(C$3&lt;91,0,IF(C$3&gt;120,0,C12-C19))</f>
        <v>0</v>
      </c>
      <c r="D20" s="32">
        <f t="shared" ref="D20:N20" si="8">IF(D$3&lt;91,0,IF(D$3&gt;120,0,D12-D19))</f>
        <v>0</v>
      </c>
      <c r="E20" s="32">
        <f t="shared" si="8"/>
        <v>0</v>
      </c>
      <c r="F20" s="32">
        <f t="shared" si="8"/>
        <v>0</v>
      </c>
      <c r="G20" s="32">
        <f t="shared" si="8"/>
        <v>0</v>
      </c>
      <c r="H20" s="32">
        <f t="shared" si="8"/>
        <v>0</v>
      </c>
      <c r="I20" s="32">
        <f t="shared" si="8"/>
        <v>0</v>
      </c>
      <c r="J20" s="32">
        <f t="shared" si="8"/>
        <v>0</v>
      </c>
      <c r="K20" s="32">
        <f t="shared" si="8"/>
        <v>0</v>
      </c>
      <c r="L20" s="32">
        <f t="shared" si="8"/>
        <v>0</v>
      </c>
      <c r="M20" s="32">
        <f t="shared" si="8"/>
        <v>0</v>
      </c>
      <c r="N20" s="32">
        <f t="shared" si="8"/>
        <v>0</v>
      </c>
    </row>
    <row r="21" spans="1:14" x14ac:dyDescent="0.2">
      <c r="A21" s="403" t="s">
        <v>208</v>
      </c>
      <c r="B21" s="403" t="s">
        <v>216</v>
      </c>
      <c r="C21" s="404">
        <f t="shared" ref="C21:N21" si="9">IF(C$3&lt;121,0,IF(C$3&gt;150,0,C$12*(150-C$3))/30)</f>
        <v>0</v>
      </c>
      <c r="D21" s="404">
        <f t="shared" si="9"/>
        <v>0</v>
      </c>
      <c r="E21" s="404">
        <f t="shared" si="9"/>
        <v>0</v>
      </c>
      <c r="F21" s="404">
        <f t="shared" si="9"/>
        <v>0</v>
      </c>
      <c r="G21" s="404">
        <f t="shared" si="9"/>
        <v>0</v>
      </c>
      <c r="H21" s="404">
        <f t="shared" si="9"/>
        <v>0</v>
      </c>
      <c r="I21" s="404">
        <f t="shared" si="9"/>
        <v>0</v>
      </c>
      <c r="J21" s="404">
        <f t="shared" si="9"/>
        <v>0</v>
      </c>
      <c r="K21" s="404">
        <f t="shared" si="9"/>
        <v>0</v>
      </c>
      <c r="L21" s="404">
        <f t="shared" si="9"/>
        <v>0</v>
      </c>
      <c r="M21" s="404">
        <f t="shared" si="9"/>
        <v>0</v>
      </c>
      <c r="N21" s="404">
        <f t="shared" si="9"/>
        <v>0</v>
      </c>
    </row>
    <row r="22" spans="1:14" x14ac:dyDescent="0.2">
      <c r="A22" s="4" t="s">
        <v>210</v>
      </c>
      <c r="B22" s="4" t="s">
        <v>217</v>
      </c>
      <c r="C22" s="32">
        <f>IF(C$3&lt;121,0,IF(C$3&gt;150,0,C12-C21))</f>
        <v>0</v>
      </c>
      <c r="D22" s="32">
        <f t="shared" ref="D22:N22" si="10">IF(D$3&lt;121,0,IF(D$3&gt;150,0,D12-D21))</f>
        <v>0</v>
      </c>
      <c r="E22" s="32">
        <f t="shared" si="10"/>
        <v>0</v>
      </c>
      <c r="F22" s="32">
        <f t="shared" si="10"/>
        <v>0</v>
      </c>
      <c r="G22" s="32">
        <f t="shared" si="10"/>
        <v>0</v>
      </c>
      <c r="H22" s="32">
        <f t="shared" si="10"/>
        <v>0</v>
      </c>
      <c r="I22" s="32">
        <f t="shared" si="10"/>
        <v>0</v>
      </c>
      <c r="J22" s="32">
        <f t="shared" si="10"/>
        <v>0</v>
      </c>
      <c r="K22" s="32">
        <f t="shared" si="10"/>
        <v>0</v>
      </c>
      <c r="L22" s="32">
        <f t="shared" si="10"/>
        <v>0</v>
      </c>
      <c r="M22" s="32">
        <f t="shared" si="10"/>
        <v>0</v>
      </c>
      <c r="N22" s="32">
        <f t="shared" si="10"/>
        <v>0</v>
      </c>
    </row>
    <row r="23" spans="1:14" x14ac:dyDescent="0.2">
      <c r="A23" s="403" t="s">
        <v>210</v>
      </c>
      <c r="B23" s="403" t="s">
        <v>217</v>
      </c>
      <c r="C23" s="404">
        <f t="shared" ref="C23:N23" si="11">IF(C$3&lt;151,0,IF(C$3&gt;180,0,C$12*(180-C$3))/30)</f>
        <v>0</v>
      </c>
      <c r="D23" s="404">
        <f t="shared" si="11"/>
        <v>0</v>
      </c>
      <c r="E23" s="404">
        <f t="shared" si="11"/>
        <v>0</v>
      </c>
      <c r="F23" s="404">
        <f t="shared" si="11"/>
        <v>0</v>
      </c>
      <c r="G23" s="404">
        <f t="shared" si="11"/>
        <v>0</v>
      </c>
      <c r="H23" s="404">
        <f t="shared" si="11"/>
        <v>0</v>
      </c>
      <c r="I23" s="404">
        <f t="shared" si="11"/>
        <v>0</v>
      </c>
      <c r="J23" s="404">
        <f t="shared" si="11"/>
        <v>0</v>
      </c>
      <c r="K23" s="404">
        <f t="shared" si="11"/>
        <v>0</v>
      </c>
      <c r="L23" s="404">
        <f t="shared" si="11"/>
        <v>0</v>
      </c>
      <c r="M23" s="404">
        <f t="shared" si="11"/>
        <v>0</v>
      </c>
      <c r="N23" s="404">
        <f t="shared" si="11"/>
        <v>0</v>
      </c>
    </row>
    <row r="24" spans="1:14" x14ac:dyDescent="0.2">
      <c r="A24" s="4"/>
      <c r="B24" s="4" t="s">
        <v>218</v>
      </c>
      <c r="C24" s="32">
        <f>IF(C$3&lt;151,0,IF(C$3&gt;180,0,C12-C23))</f>
        <v>0</v>
      </c>
      <c r="D24" s="32">
        <f t="shared" ref="D24:N24" si="12">IF(D$3&lt;151,0,IF(D$3&gt;180,0,D12-D23))</f>
        <v>0</v>
      </c>
      <c r="E24" s="32">
        <f t="shared" si="12"/>
        <v>0</v>
      </c>
      <c r="F24" s="32">
        <f t="shared" si="12"/>
        <v>0</v>
      </c>
      <c r="G24" s="32">
        <f t="shared" si="12"/>
        <v>0</v>
      </c>
      <c r="H24" s="32">
        <f t="shared" si="12"/>
        <v>0</v>
      </c>
      <c r="I24" s="32">
        <f t="shared" si="12"/>
        <v>0</v>
      </c>
      <c r="J24" s="32">
        <f t="shared" si="12"/>
        <v>0</v>
      </c>
      <c r="K24" s="32">
        <f t="shared" si="12"/>
        <v>0</v>
      </c>
      <c r="L24" s="32">
        <f t="shared" si="12"/>
        <v>0</v>
      </c>
      <c r="M24" s="32">
        <f t="shared" si="12"/>
        <v>0</v>
      </c>
      <c r="N24" s="32">
        <f t="shared" si="12"/>
        <v>0</v>
      </c>
    </row>
    <row r="25" spans="1:14" x14ac:dyDescent="0.2">
      <c r="A25" s="30"/>
      <c r="B25" s="30" t="s">
        <v>219</v>
      </c>
      <c r="C25" s="400" t="str">
        <f t="shared" ref="C25:N25" si="13">C2</f>
        <v>JAN</v>
      </c>
      <c r="D25" s="400" t="str">
        <f t="shared" si="13"/>
        <v>FEB</v>
      </c>
      <c r="E25" s="400" t="str">
        <f t="shared" si="13"/>
        <v>MARS</v>
      </c>
      <c r="F25" s="400" t="str">
        <f t="shared" si="13"/>
        <v>APR</v>
      </c>
      <c r="G25" s="400" t="str">
        <f t="shared" si="13"/>
        <v>MAY</v>
      </c>
      <c r="H25" s="400" t="str">
        <f t="shared" si="13"/>
        <v>JUNE</v>
      </c>
      <c r="I25" s="400" t="str">
        <f t="shared" si="13"/>
        <v>JULY</v>
      </c>
      <c r="J25" s="400" t="str">
        <f t="shared" si="13"/>
        <v>AUG</v>
      </c>
      <c r="K25" s="400" t="str">
        <f t="shared" si="13"/>
        <v>SEP</v>
      </c>
      <c r="L25" s="400" t="str">
        <f t="shared" si="13"/>
        <v>OCT</v>
      </c>
      <c r="M25" s="400" t="str">
        <f t="shared" si="13"/>
        <v>NOV</v>
      </c>
      <c r="N25" s="400" t="str">
        <f t="shared" si="13"/>
        <v>DEC</v>
      </c>
    </row>
    <row r="26" spans="1:14" x14ac:dyDescent="0.2">
      <c r="A26" s="4"/>
      <c r="B26" s="4" t="s">
        <v>220</v>
      </c>
      <c r="C26" s="32">
        <f>C13+C11</f>
        <v>0</v>
      </c>
      <c r="D26" s="32">
        <f>D13</f>
        <v>0</v>
      </c>
      <c r="E26" s="32">
        <f t="shared" ref="E26:N26" si="14">E13</f>
        <v>0</v>
      </c>
      <c r="F26" s="32">
        <f t="shared" si="14"/>
        <v>0</v>
      </c>
      <c r="G26" s="32">
        <f t="shared" si="14"/>
        <v>0</v>
      </c>
      <c r="H26" s="32">
        <f t="shared" si="14"/>
        <v>0</v>
      </c>
      <c r="I26" s="32">
        <f t="shared" si="14"/>
        <v>0</v>
      </c>
      <c r="J26" s="32">
        <f t="shared" si="14"/>
        <v>0</v>
      </c>
      <c r="K26" s="32">
        <f t="shared" si="14"/>
        <v>0</v>
      </c>
      <c r="L26" s="32">
        <f t="shared" si="14"/>
        <v>0</v>
      </c>
      <c r="M26" s="32">
        <f t="shared" si="14"/>
        <v>0</v>
      </c>
      <c r="N26" s="32">
        <f t="shared" si="14"/>
        <v>0</v>
      </c>
    </row>
    <row r="27" spans="1:14" x14ac:dyDescent="0.2">
      <c r="A27" s="4"/>
      <c r="B27" s="4" t="s">
        <v>213</v>
      </c>
      <c r="C27" s="32"/>
      <c r="D27" s="32">
        <f>C14+C15+D11</f>
        <v>0</v>
      </c>
      <c r="E27" s="32">
        <f t="shared" ref="E27:M27" si="15">D14+D15</f>
        <v>0</v>
      </c>
      <c r="F27" s="32">
        <f t="shared" si="15"/>
        <v>0</v>
      </c>
      <c r="G27" s="32">
        <f t="shared" si="15"/>
        <v>0</v>
      </c>
      <c r="H27" s="32">
        <f t="shared" si="15"/>
        <v>0</v>
      </c>
      <c r="I27" s="32">
        <f t="shared" si="15"/>
        <v>0</v>
      </c>
      <c r="J27" s="32">
        <f t="shared" si="15"/>
        <v>0</v>
      </c>
      <c r="K27" s="32">
        <f t="shared" si="15"/>
        <v>0</v>
      </c>
      <c r="L27" s="32">
        <f t="shared" si="15"/>
        <v>0</v>
      </c>
      <c r="M27" s="32">
        <f t="shared" si="15"/>
        <v>0</v>
      </c>
      <c r="N27" s="32">
        <f>M14+M15</f>
        <v>0</v>
      </c>
    </row>
    <row r="28" spans="1:14" x14ac:dyDescent="0.2">
      <c r="A28" s="4"/>
      <c r="B28" s="4" t="s">
        <v>214</v>
      </c>
      <c r="C28" s="32"/>
      <c r="D28" s="32"/>
      <c r="E28" s="32">
        <f>C16+C17+E11</f>
        <v>0</v>
      </c>
      <c r="F28" s="32">
        <f t="shared" ref="F28:M28" si="16">D16+D17</f>
        <v>0</v>
      </c>
      <c r="G28" s="32">
        <f t="shared" si="16"/>
        <v>0</v>
      </c>
      <c r="H28" s="32">
        <f t="shared" si="16"/>
        <v>0</v>
      </c>
      <c r="I28" s="32">
        <f t="shared" si="16"/>
        <v>0</v>
      </c>
      <c r="J28" s="32">
        <f t="shared" si="16"/>
        <v>0</v>
      </c>
      <c r="K28" s="32">
        <f t="shared" si="16"/>
        <v>0</v>
      </c>
      <c r="L28" s="32">
        <f t="shared" si="16"/>
        <v>0</v>
      </c>
      <c r="M28" s="32">
        <f t="shared" si="16"/>
        <v>0</v>
      </c>
      <c r="N28" s="32">
        <f>L16+L17</f>
        <v>0</v>
      </c>
    </row>
    <row r="29" spans="1:14" x14ac:dyDescent="0.2">
      <c r="A29" s="4"/>
      <c r="B29" s="4" t="s">
        <v>215</v>
      </c>
      <c r="C29" s="32"/>
      <c r="D29" s="32"/>
      <c r="E29" s="32"/>
      <c r="F29" s="32">
        <f>C18+C19+F11</f>
        <v>0</v>
      </c>
      <c r="G29" s="32">
        <f t="shared" ref="G29:M29" si="17">D18+D19</f>
        <v>0</v>
      </c>
      <c r="H29" s="32">
        <f t="shared" si="17"/>
        <v>0</v>
      </c>
      <c r="I29" s="32">
        <f t="shared" si="17"/>
        <v>0</v>
      </c>
      <c r="J29" s="32">
        <f t="shared" si="17"/>
        <v>0</v>
      </c>
      <c r="K29" s="32">
        <f t="shared" si="17"/>
        <v>0</v>
      </c>
      <c r="L29" s="32">
        <f t="shared" si="17"/>
        <v>0</v>
      </c>
      <c r="M29" s="32">
        <f t="shared" si="17"/>
        <v>0</v>
      </c>
      <c r="N29" s="32">
        <f>K18+K19</f>
        <v>0</v>
      </c>
    </row>
    <row r="30" spans="1:14" x14ac:dyDescent="0.2">
      <c r="A30" s="4"/>
      <c r="B30" s="4" t="s">
        <v>216</v>
      </c>
      <c r="C30" s="32"/>
      <c r="D30" s="32"/>
      <c r="E30" s="32"/>
      <c r="F30" s="32"/>
      <c r="G30" s="32">
        <f>C20+C21+G11</f>
        <v>0</v>
      </c>
      <c r="H30" s="32">
        <f t="shared" ref="H30:M30" si="18">D20+D21</f>
        <v>0</v>
      </c>
      <c r="I30" s="32">
        <f t="shared" si="18"/>
        <v>0</v>
      </c>
      <c r="J30" s="32">
        <f t="shared" si="18"/>
        <v>0</v>
      </c>
      <c r="K30" s="32">
        <f t="shared" si="18"/>
        <v>0</v>
      </c>
      <c r="L30" s="32">
        <f t="shared" si="18"/>
        <v>0</v>
      </c>
      <c r="M30" s="32">
        <f t="shared" si="18"/>
        <v>0</v>
      </c>
      <c r="N30" s="32">
        <f>J20+J21</f>
        <v>0</v>
      </c>
    </row>
    <row r="31" spans="1:14" x14ac:dyDescent="0.2">
      <c r="A31" s="4"/>
      <c r="B31" s="4" t="s">
        <v>217</v>
      </c>
      <c r="C31" s="32"/>
      <c r="D31" s="32"/>
      <c r="E31" s="32"/>
      <c r="F31" s="32"/>
      <c r="G31" s="32"/>
      <c r="H31" s="32">
        <f>C22+C23+H11</f>
        <v>0</v>
      </c>
      <c r="I31" s="32">
        <f t="shared" ref="I31:N31" si="19">D22+D23</f>
        <v>0</v>
      </c>
      <c r="J31" s="32">
        <f t="shared" si="19"/>
        <v>0</v>
      </c>
      <c r="K31" s="32">
        <f t="shared" si="19"/>
        <v>0</v>
      </c>
      <c r="L31" s="32">
        <f t="shared" si="19"/>
        <v>0</v>
      </c>
      <c r="M31" s="32">
        <f t="shared" si="19"/>
        <v>0</v>
      </c>
      <c r="N31" s="32">
        <f t="shared" si="19"/>
        <v>0</v>
      </c>
    </row>
    <row r="32" spans="1:14" x14ac:dyDescent="0.2">
      <c r="A32" s="4"/>
      <c r="B32" s="4" t="s">
        <v>218</v>
      </c>
      <c r="C32" s="32"/>
      <c r="D32" s="32"/>
      <c r="E32" s="32"/>
      <c r="F32" s="32"/>
      <c r="G32" s="32"/>
      <c r="H32" s="32"/>
      <c r="I32" s="32">
        <f t="shared" ref="I32:N32" si="20">C24</f>
        <v>0</v>
      </c>
      <c r="J32" s="32">
        <f t="shared" si="20"/>
        <v>0</v>
      </c>
      <c r="K32" s="32">
        <f t="shared" si="20"/>
        <v>0</v>
      </c>
      <c r="L32" s="32">
        <f t="shared" si="20"/>
        <v>0</v>
      </c>
      <c r="M32" s="32">
        <f t="shared" si="20"/>
        <v>0</v>
      </c>
      <c r="N32" s="32">
        <f t="shared" si="20"/>
        <v>0</v>
      </c>
    </row>
    <row r="33" spans="1:19" x14ac:dyDescent="0.2">
      <c r="A33" s="30"/>
      <c r="B33" s="30" t="s">
        <v>221</v>
      </c>
      <c r="C33" s="58">
        <f>SUM(C26:C32)</f>
        <v>0</v>
      </c>
      <c r="D33" s="58">
        <f t="shared" ref="D33:N33" si="21">SUM(D26:D32)</f>
        <v>0</v>
      </c>
      <c r="E33" s="58">
        <f t="shared" si="21"/>
        <v>0</v>
      </c>
      <c r="F33" s="58">
        <f t="shared" si="21"/>
        <v>0</v>
      </c>
      <c r="G33" s="58">
        <f t="shared" si="21"/>
        <v>0</v>
      </c>
      <c r="H33" s="58">
        <f t="shared" si="21"/>
        <v>0</v>
      </c>
      <c r="I33" s="58">
        <f t="shared" si="21"/>
        <v>0</v>
      </c>
      <c r="J33" s="58">
        <f t="shared" si="21"/>
        <v>0</v>
      </c>
      <c r="K33" s="58">
        <f t="shared" si="21"/>
        <v>0</v>
      </c>
      <c r="L33" s="58">
        <f t="shared" si="21"/>
        <v>0</v>
      </c>
      <c r="M33" s="58">
        <f t="shared" si="21"/>
        <v>0</v>
      </c>
      <c r="N33" s="58">
        <f t="shared" si="21"/>
        <v>0</v>
      </c>
    </row>
    <row r="34" spans="1:19" x14ac:dyDescent="0.2">
      <c r="A34" s="30"/>
      <c r="B34" s="30"/>
      <c r="C34" s="58"/>
      <c r="D34" s="58"/>
      <c r="E34" s="58"/>
      <c r="F34" s="58"/>
      <c r="G34" s="58"/>
      <c r="H34" s="58"/>
      <c r="I34" s="58"/>
      <c r="J34" s="58"/>
      <c r="K34" s="58"/>
      <c r="L34" s="58"/>
      <c r="M34" s="58"/>
      <c r="N34" s="58"/>
    </row>
    <row r="35" spans="1:19" ht="13.5" thickBot="1" x14ac:dyDescent="0.25">
      <c r="B35" s="1668" t="s">
        <v>357</v>
      </c>
    </row>
    <row r="36" spans="1:19" x14ac:dyDescent="0.2">
      <c r="A36" s="30"/>
      <c r="B36" s="1669">
        <f>'1. T1 INVESTMENT PLAN'!F16</f>
        <v>2028</v>
      </c>
      <c r="C36" s="1667" t="str">
        <f>'8. T5 CASH BUDGET'!G67</f>
        <v>JAN</v>
      </c>
      <c r="D36" s="1667" t="str">
        <f>'8. T5 CASH BUDGET'!H67</f>
        <v>FEB</v>
      </c>
      <c r="E36" s="1667" t="str">
        <f>'8. T5 CASH BUDGET'!I67</f>
        <v>MARS</v>
      </c>
      <c r="F36" s="1667" t="str">
        <f>'8. T5 CASH BUDGET'!J67</f>
        <v>APR</v>
      </c>
      <c r="G36" s="1667" t="str">
        <f>'8. T5 CASH BUDGET'!K67</f>
        <v>MAY</v>
      </c>
      <c r="H36" s="1667" t="str">
        <f>'8. T5 CASH BUDGET'!L67</f>
        <v>JUNE</v>
      </c>
      <c r="I36" s="1667" t="str">
        <f>'8. T5 CASH BUDGET'!M67</f>
        <v>JULY</v>
      </c>
      <c r="J36" s="1667" t="str">
        <f>'8. T5 CASH BUDGET'!N67</f>
        <v>AUG</v>
      </c>
      <c r="K36" s="1667" t="str">
        <f>'8. T5 CASH BUDGET'!O67</f>
        <v>SEP</v>
      </c>
      <c r="L36" s="1667" t="str">
        <f>'8. T5 CASH BUDGET'!P67</f>
        <v>OCT</v>
      </c>
      <c r="M36" s="1667" t="str">
        <f>'8. T5 CASH BUDGET'!Q67</f>
        <v>NOV</v>
      </c>
      <c r="N36" s="1667" t="str">
        <f>'8. T5 CASH BUDGET'!R67</f>
        <v>DEC</v>
      </c>
      <c r="P36" s="1571" t="s">
        <v>348</v>
      </c>
      <c r="Q36" s="1572" t="str">
        <f>C36</f>
        <v>JAN</v>
      </c>
      <c r="R36" s="1572" t="str">
        <f>D36</f>
        <v>FEB</v>
      </c>
      <c r="S36" s="1573" t="str">
        <f>E36</f>
        <v>MARS</v>
      </c>
    </row>
    <row r="37" spans="1:19" x14ac:dyDescent="0.2">
      <c r="A37" s="30"/>
      <c r="B37" s="30" t="s">
        <v>198</v>
      </c>
      <c r="C37" s="401">
        <f>'8. T5 CASH BUDGET'!E74</f>
        <v>14</v>
      </c>
      <c r="D37" s="401">
        <f t="shared" ref="D37:N37" si="22">C37</f>
        <v>14</v>
      </c>
      <c r="E37" s="401">
        <f t="shared" si="22"/>
        <v>14</v>
      </c>
      <c r="F37" s="401">
        <f t="shared" si="22"/>
        <v>14</v>
      </c>
      <c r="G37" s="401">
        <f t="shared" si="22"/>
        <v>14</v>
      </c>
      <c r="H37" s="401">
        <f t="shared" si="22"/>
        <v>14</v>
      </c>
      <c r="I37" s="401">
        <f t="shared" si="22"/>
        <v>14</v>
      </c>
      <c r="J37" s="401">
        <f t="shared" si="22"/>
        <v>14</v>
      </c>
      <c r="K37" s="401">
        <f t="shared" si="22"/>
        <v>14</v>
      </c>
      <c r="L37" s="401">
        <f t="shared" si="22"/>
        <v>14</v>
      </c>
      <c r="M37" s="401">
        <f t="shared" si="22"/>
        <v>14</v>
      </c>
      <c r="N37" s="401">
        <f t="shared" si="22"/>
        <v>14</v>
      </c>
      <c r="P37" s="1574" t="s">
        <v>349</v>
      </c>
      <c r="Q37" s="401">
        <f>'8. T5 CASH BUDGET'!D24</f>
        <v>0</v>
      </c>
      <c r="R37" s="401">
        <f>Q37</f>
        <v>0</v>
      </c>
      <c r="S37" s="1575">
        <f>R37</f>
        <v>0</v>
      </c>
    </row>
    <row r="38" spans="1:19" x14ac:dyDescent="0.2">
      <c r="A38" s="30" t="s">
        <v>198</v>
      </c>
      <c r="B38" s="30" t="s">
        <v>199</v>
      </c>
      <c r="C38" s="58">
        <f>'6. T3 BALANCE SHEET '!G42</f>
        <v>0</v>
      </c>
      <c r="E38" s="58"/>
      <c r="F38" s="58"/>
      <c r="G38" s="58"/>
      <c r="H38" s="58"/>
      <c r="I38" s="30"/>
      <c r="J38" s="30"/>
      <c r="K38" s="30"/>
      <c r="L38" s="30"/>
      <c r="M38" s="30"/>
      <c r="N38" s="30"/>
      <c r="P38" s="1574" t="s">
        <v>350</v>
      </c>
      <c r="Q38" s="58">
        <f>IF(Q37=0,0,'6. T3 BALANCE SHEET '!H80/Q37)</f>
        <v>0</v>
      </c>
      <c r="R38" s="58"/>
      <c r="S38" s="1576"/>
    </row>
    <row r="39" spans="1:19" x14ac:dyDescent="0.2">
      <c r="A39" s="4" t="s">
        <v>200</v>
      </c>
      <c r="B39" s="4" t="s">
        <v>201</v>
      </c>
      <c r="C39" s="32">
        <f>IF(C37&lt;31,C38,0)</f>
        <v>0</v>
      </c>
      <c r="D39" s="32"/>
      <c r="E39" s="32"/>
      <c r="F39" s="32"/>
      <c r="G39" s="32"/>
      <c r="H39" s="32"/>
      <c r="I39" s="4"/>
      <c r="J39" s="4"/>
      <c r="K39" s="4"/>
      <c r="L39" s="4"/>
      <c r="M39" s="4"/>
      <c r="N39" s="4"/>
      <c r="P39" s="1577" t="s">
        <v>201</v>
      </c>
      <c r="Q39" s="32">
        <f>IF(Q37&lt;31,Q38*Q37,0)</f>
        <v>0</v>
      </c>
      <c r="R39" s="32"/>
      <c r="S39" s="1578"/>
    </row>
    <row r="40" spans="1:19" x14ac:dyDescent="0.2">
      <c r="A40" s="4" t="s">
        <v>202</v>
      </c>
      <c r="B40" s="4" t="s">
        <v>203</v>
      </c>
      <c r="C40" s="32">
        <f>D40</f>
        <v>0</v>
      </c>
      <c r="D40" s="32">
        <f>IF(D$37&lt;31,0,IF(D$37&lt;61,$C$38/3,0))</f>
        <v>0</v>
      </c>
      <c r="E40" s="32"/>
      <c r="F40" s="32"/>
      <c r="G40" s="32"/>
      <c r="H40" s="32"/>
      <c r="I40" s="4"/>
      <c r="J40" s="4"/>
      <c r="K40" s="4"/>
      <c r="L40" s="4"/>
      <c r="M40" s="4"/>
      <c r="N40" s="4"/>
      <c r="P40" s="1577" t="s">
        <v>203</v>
      </c>
      <c r="Q40" s="32">
        <f>IF(Q$37&lt;31,0,IF(Q$37&lt;61,30*Q$38,0))</f>
        <v>0</v>
      </c>
      <c r="R40" s="32">
        <f>IF(R$37&lt;31,0,IF(R$37&lt;61,$Q$38*(30-(60-$Q$37)),0))</f>
        <v>0</v>
      </c>
      <c r="S40" s="1578"/>
    </row>
    <row r="41" spans="1:19" x14ac:dyDescent="0.2">
      <c r="A41" s="4" t="s">
        <v>204</v>
      </c>
      <c r="B41" s="4" t="s">
        <v>205</v>
      </c>
      <c r="C41" s="32">
        <f>E41</f>
        <v>0</v>
      </c>
      <c r="D41" s="32">
        <f>E41</f>
        <v>0</v>
      </c>
      <c r="E41" s="32">
        <f>IF(E$37&lt;61,0,IF(E$37&lt;91,$C$38/3,0))</f>
        <v>0</v>
      </c>
      <c r="F41" s="32"/>
      <c r="G41" s="32"/>
      <c r="H41" s="32"/>
      <c r="I41" s="4"/>
      <c r="J41" s="4"/>
      <c r="K41" s="4"/>
      <c r="L41" s="4"/>
      <c r="M41" s="4"/>
      <c r="N41" s="4"/>
      <c r="P41" s="1577" t="s">
        <v>205</v>
      </c>
      <c r="Q41" s="32">
        <f>IF(Q$37&lt;61,0,IF(Q$37&lt;91,30*Q$38,0))</f>
        <v>0</v>
      </c>
      <c r="R41" s="32">
        <f>Q41</f>
        <v>0</v>
      </c>
      <c r="S41" s="1578">
        <f>IF(S$37&lt;61,0,IF(S$37&lt;91,$Q$38*(30-(90-$Q$37)),0))</f>
        <v>0</v>
      </c>
    </row>
    <row r="42" spans="1:19" ht="13.5" thickBot="1" x14ac:dyDescent="0.25">
      <c r="A42" s="4" t="s">
        <v>206</v>
      </c>
      <c r="B42" s="4" t="s">
        <v>207</v>
      </c>
      <c r="C42" s="32">
        <f>F42</f>
        <v>0</v>
      </c>
      <c r="D42" s="32">
        <f>F42</f>
        <v>0</v>
      </c>
      <c r="E42" s="32">
        <f>F42</f>
        <v>0</v>
      </c>
      <c r="F42" s="32">
        <f>IF(F$37&lt;91,0,IF(F$37&lt;121,$C$38/4,0))</f>
        <v>0</v>
      </c>
      <c r="G42" s="32"/>
      <c r="H42" s="32"/>
      <c r="I42" s="4"/>
      <c r="J42" s="4"/>
      <c r="K42" s="4"/>
      <c r="L42" s="4"/>
      <c r="M42" s="4"/>
      <c r="N42" s="4"/>
      <c r="P42" s="1579"/>
      <c r="Q42" s="240">
        <f>SUM(Q39:Q41)</f>
        <v>0</v>
      </c>
      <c r="R42" s="240">
        <f>SUM(R39:R41)</f>
        <v>0</v>
      </c>
      <c r="S42" s="1580">
        <f>SUM(S39:S41)</f>
        <v>0</v>
      </c>
    </row>
    <row r="43" spans="1:19" x14ac:dyDescent="0.2">
      <c r="A43" s="4" t="s">
        <v>208</v>
      </c>
      <c r="B43" s="4" t="s">
        <v>209</v>
      </c>
      <c r="C43" s="32">
        <f>D43</f>
        <v>0</v>
      </c>
      <c r="D43" s="32">
        <f>G43</f>
        <v>0</v>
      </c>
      <c r="E43" s="32">
        <f>G43</f>
        <v>0</v>
      </c>
      <c r="F43" s="32">
        <f>G43</f>
        <v>0</v>
      </c>
      <c r="G43" s="32">
        <f>IF(G$37&lt;121,0,IF(G$37&lt;151,$C$38/5,0))</f>
        <v>0</v>
      </c>
      <c r="H43" s="32"/>
      <c r="I43" s="4"/>
      <c r="J43" s="4"/>
      <c r="K43" s="4"/>
      <c r="L43" s="4"/>
      <c r="M43" s="4"/>
      <c r="N43" s="4"/>
    </row>
    <row r="44" spans="1:19" x14ac:dyDescent="0.2">
      <c r="A44" s="4" t="s">
        <v>210</v>
      </c>
      <c r="B44" s="4" t="s">
        <v>211</v>
      </c>
      <c r="C44" s="32">
        <f>D44</f>
        <v>0</v>
      </c>
      <c r="D44" s="32">
        <f>E44</f>
        <v>0</v>
      </c>
      <c r="E44" s="32">
        <f>H44</f>
        <v>0</v>
      </c>
      <c r="F44" s="32">
        <f>H44</f>
        <v>0</v>
      </c>
      <c r="G44" s="32">
        <f>H44</f>
        <v>0</v>
      </c>
      <c r="H44" s="32">
        <f>IF(H$37&lt;151,0,IF(H$37&lt;181,$C$38/6,0))</f>
        <v>0</v>
      </c>
      <c r="I44" s="4"/>
      <c r="J44" s="4"/>
      <c r="K44" s="4"/>
      <c r="L44" s="4"/>
      <c r="M44" s="4"/>
      <c r="N44" s="4"/>
    </row>
    <row r="45" spans="1:19" x14ac:dyDescent="0.2">
      <c r="A45" s="4"/>
      <c r="B45" s="402" t="s">
        <v>89</v>
      </c>
      <c r="C45" s="58">
        <f t="shared" ref="C45:H45" si="23">SUM(C39:C44)</f>
        <v>0</v>
      </c>
      <c r="D45" s="58">
        <f t="shared" si="23"/>
        <v>0</v>
      </c>
      <c r="E45" s="58">
        <f t="shared" si="23"/>
        <v>0</v>
      </c>
      <c r="F45" s="58">
        <f t="shared" si="23"/>
        <v>0</v>
      </c>
      <c r="G45" s="58">
        <f t="shared" si="23"/>
        <v>0</v>
      </c>
      <c r="H45" s="58">
        <f t="shared" si="23"/>
        <v>0</v>
      </c>
      <c r="I45" s="30"/>
      <c r="J45" s="30"/>
      <c r="K45" s="30"/>
      <c r="L45" s="30"/>
      <c r="M45" s="30"/>
      <c r="N45" s="30"/>
    </row>
    <row r="46" spans="1:19" x14ac:dyDescent="0.2">
      <c r="A46" s="30" t="s">
        <v>0</v>
      </c>
      <c r="B46" s="30" t="s">
        <v>358</v>
      </c>
      <c r="C46" s="58">
        <f>'8. T5 CASH BUDGET'!G72</f>
        <v>0</v>
      </c>
      <c r="D46" s="58">
        <f>'8. T5 CASH BUDGET'!H72</f>
        <v>0</v>
      </c>
      <c r="E46" s="58">
        <f>'8. T5 CASH BUDGET'!I72</f>
        <v>0</v>
      </c>
      <c r="F46" s="58">
        <f>'8. T5 CASH BUDGET'!J72</f>
        <v>0</v>
      </c>
      <c r="G46" s="58">
        <f>'8. T5 CASH BUDGET'!K72</f>
        <v>0</v>
      </c>
      <c r="H46" s="58">
        <f>'8. T5 CASH BUDGET'!L72</f>
        <v>0</v>
      </c>
      <c r="I46" s="58">
        <f>'8. T5 CASH BUDGET'!M72</f>
        <v>0</v>
      </c>
      <c r="J46" s="58">
        <f>'8. T5 CASH BUDGET'!N72</f>
        <v>0</v>
      </c>
      <c r="K46" s="58">
        <f>'8. T5 CASH BUDGET'!O72</f>
        <v>0</v>
      </c>
      <c r="L46" s="58">
        <f>'8. T5 CASH BUDGET'!P72</f>
        <v>0</v>
      </c>
      <c r="M46" s="58">
        <f>'8. T5 CASH BUDGET'!Q72</f>
        <v>0</v>
      </c>
      <c r="N46" s="58">
        <f>'8. T5 CASH BUDGET'!R72</f>
        <v>0</v>
      </c>
    </row>
    <row r="47" spans="1:19" x14ac:dyDescent="0.2">
      <c r="A47" s="403" t="s">
        <v>200</v>
      </c>
      <c r="B47" s="403" t="s">
        <v>212</v>
      </c>
      <c r="C47" s="404">
        <f>IF(C$37&lt;31,C$46*(30-C37)/30,0)</f>
        <v>0</v>
      </c>
      <c r="D47" s="404">
        <f t="shared" ref="D47:N47" si="24">IF(D$37&lt;31,D$46*(30-D37)/30,0)</f>
        <v>0</v>
      </c>
      <c r="E47" s="404">
        <f t="shared" si="24"/>
        <v>0</v>
      </c>
      <c r="F47" s="404">
        <f t="shared" si="24"/>
        <v>0</v>
      </c>
      <c r="G47" s="404">
        <f t="shared" si="24"/>
        <v>0</v>
      </c>
      <c r="H47" s="404">
        <f t="shared" si="24"/>
        <v>0</v>
      </c>
      <c r="I47" s="404">
        <f t="shared" si="24"/>
        <v>0</v>
      </c>
      <c r="J47" s="404">
        <f t="shared" si="24"/>
        <v>0</v>
      </c>
      <c r="K47" s="404">
        <f t="shared" si="24"/>
        <v>0</v>
      </c>
      <c r="L47" s="404">
        <f t="shared" si="24"/>
        <v>0</v>
      </c>
      <c r="M47" s="404">
        <f t="shared" si="24"/>
        <v>0</v>
      </c>
      <c r="N47" s="404">
        <f t="shared" si="24"/>
        <v>0</v>
      </c>
    </row>
    <row r="48" spans="1:19" x14ac:dyDescent="0.2">
      <c r="A48" s="4" t="s">
        <v>202</v>
      </c>
      <c r="B48" s="4" t="s">
        <v>213</v>
      </c>
      <c r="C48" s="32">
        <f t="shared" ref="C48:N48" si="25">IF(C37&gt;30,0,C46-C47)</f>
        <v>0</v>
      </c>
      <c r="D48" s="32">
        <f t="shared" si="25"/>
        <v>0</v>
      </c>
      <c r="E48" s="32">
        <f t="shared" si="25"/>
        <v>0</v>
      </c>
      <c r="F48" s="32">
        <f t="shared" si="25"/>
        <v>0</v>
      </c>
      <c r="G48" s="32">
        <f t="shared" si="25"/>
        <v>0</v>
      </c>
      <c r="H48" s="32">
        <f t="shared" si="25"/>
        <v>0</v>
      </c>
      <c r="I48" s="32">
        <f t="shared" si="25"/>
        <v>0</v>
      </c>
      <c r="J48" s="32">
        <f t="shared" si="25"/>
        <v>0</v>
      </c>
      <c r="K48" s="32">
        <f t="shared" si="25"/>
        <v>0</v>
      </c>
      <c r="L48" s="32">
        <f t="shared" si="25"/>
        <v>0</v>
      </c>
      <c r="M48" s="32">
        <f t="shared" si="25"/>
        <v>0</v>
      </c>
      <c r="N48" s="32">
        <f t="shared" si="25"/>
        <v>0</v>
      </c>
    </row>
    <row r="49" spans="1:14" x14ac:dyDescent="0.2">
      <c r="A49" s="403" t="s">
        <v>202</v>
      </c>
      <c r="B49" s="403" t="s">
        <v>213</v>
      </c>
      <c r="C49" s="404">
        <f>IF(C$37&lt;31,0,IF(C$37&gt;60,0,C$46*(60-C$37))/30)</f>
        <v>0</v>
      </c>
      <c r="D49" s="404">
        <f t="shared" ref="D49:N49" si="26">IF(D$37&lt;31,0,IF(D$37&gt;60,0,D$46*(60-D$37))/30)</f>
        <v>0</v>
      </c>
      <c r="E49" s="404">
        <f t="shared" si="26"/>
        <v>0</v>
      </c>
      <c r="F49" s="404">
        <f t="shared" si="26"/>
        <v>0</v>
      </c>
      <c r="G49" s="404">
        <f t="shared" si="26"/>
        <v>0</v>
      </c>
      <c r="H49" s="404">
        <f t="shared" si="26"/>
        <v>0</v>
      </c>
      <c r="I49" s="404">
        <f t="shared" si="26"/>
        <v>0</v>
      </c>
      <c r="J49" s="404">
        <f t="shared" si="26"/>
        <v>0</v>
      </c>
      <c r="K49" s="404">
        <f t="shared" si="26"/>
        <v>0</v>
      </c>
      <c r="L49" s="404">
        <f t="shared" si="26"/>
        <v>0</v>
      </c>
      <c r="M49" s="404">
        <f t="shared" si="26"/>
        <v>0</v>
      </c>
      <c r="N49" s="404">
        <f t="shared" si="26"/>
        <v>0</v>
      </c>
    </row>
    <row r="50" spans="1:14" x14ac:dyDescent="0.2">
      <c r="A50" s="4" t="s">
        <v>204</v>
      </c>
      <c r="B50" s="4" t="s">
        <v>214</v>
      </c>
      <c r="C50" s="32">
        <f>IF(C$37&lt;31,0,IF(C$37&gt;60,0,C46-C49))</f>
        <v>0</v>
      </c>
      <c r="D50" s="32">
        <f t="shared" ref="D50:N50" si="27">IF(D$37&lt;31,0,IF(D$37&gt;60,0,D46-D49))</f>
        <v>0</v>
      </c>
      <c r="E50" s="32">
        <f t="shared" si="27"/>
        <v>0</v>
      </c>
      <c r="F50" s="32">
        <f t="shared" si="27"/>
        <v>0</v>
      </c>
      <c r="G50" s="32">
        <f t="shared" si="27"/>
        <v>0</v>
      </c>
      <c r="H50" s="32">
        <f t="shared" si="27"/>
        <v>0</v>
      </c>
      <c r="I50" s="32">
        <f t="shared" si="27"/>
        <v>0</v>
      </c>
      <c r="J50" s="32">
        <f t="shared" si="27"/>
        <v>0</v>
      </c>
      <c r="K50" s="32">
        <f t="shared" si="27"/>
        <v>0</v>
      </c>
      <c r="L50" s="32">
        <f t="shared" si="27"/>
        <v>0</v>
      </c>
      <c r="M50" s="32">
        <f t="shared" si="27"/>
        <v>0</v>
      </c>
      <c r="N50" s="32">
        <f t="shared" si="27"/>
        <v>0</v>
      </c>
    </row>
    <row r="51" spans="1:14" x14ac:dyDescent="0.2">
      <c r="A51" s="403" t="s">
        <v>204</v>
      </c>
      <c r="B51" s="403" t="s">
        <v>214</v>
      </c>
      <c r="C51" s="404">
        <f>IF(C$37&lt;61,0,IF(C$37&gt;90,0,C46*(90-C$37))/30)</f>
        <v>0</v>
      </c>
      <c r="D51" s="404">
        <f t="shared" ref="D51:N51" si="28">IF(D$37&lt;61,0,IF(D$37&gt;90,0,D46*(90-D$37))/30)</f>
        <v>0</v>
      </c>
      <c r="E51" s="404">
        <f t="shared" si="28"/>
        <v>0</v>
      </c>
      <c r="F51" s="404">
        <f t="shared" si="28"/>
        <v>0</v>
      </c>
      <c r="G51" s="404">
        <f t="shared" si="28"/>
        <v>0</v>
      </c>
      <c r="H51" s="404">
        <f t="shared" si="28"/>
        <v>0</v>
      </c>
      <c r="I51" s="404">
        <f t="shared" si="28"/>
        <v>0</v>
      </c>
      <c r="J51" s="404">
        <f t="shared" si="28"/>
        <v>0</v>
      </c>
      <c r="K51" s="404">
        <f t="shared" si="28"/>
        <v>0</v>
      </c>
      <c r="L51" s="404">
        <f t="shared" si="28"/>
        <v>0</v>
      </c>
      <c r="M51" s="404">
        <f t="shared" si="28"/>
        <v>0</v>
      </c>
      <c r="N51" s="404">
        <f t="shared" si="28"/>
        <v>0</v>
      </c>
    </row>
    <row r="52" spans="1:14" x14ac:dyDescent="0.2">
      <c r="A52" s="4" t="s">
        <v>206</v>
      </c>
      <c r="B52" s="4" t="s">
        <v>215</v>
      </c>
      <c r="C52" s="32">
        <f>IF(C$37&lt;61,0,IF(C$37&gt;90,0,C46-C51))</f>
        <v>0</v>
      </c>
      <c r="D52" s="32">
        <f t="shared" ref="D52:N52" si="29">IF(D$37&lt;61,0,IF(D$37&gt;90,0,D46-D51))</f>
        <v>0</v>
      </c>
      <c r="E52" s="32">
        <f t="shared" si="29"/>
        <v>0</v>
      </c>
      <c r="F52" s="32">
        <f t="shared" si="29"/>
        <v>0</v>
      </c>
      <c r="G52" s="32">
        <f t="shared" si="29"/>
        <v>0</v>
      </c>
      <c r="H52" s="32">
        <f t="shared" si="29"/>
        <v>0</v>
      </c>
      <c r="I52" s="32">
        <f t="shared" si="29"/>
        <v>0</v>
      </c>
      <c r="J52" s="32">
        <f t="shared" si="29"/>
        <v>0</v>
      </c>
      <c r="K52" s="32">
        <f t="shared" si="29"/>
        <v>0</v>
      </c>
      <c r="L52" s="32">
        <f t="shared" si="29"/>
        <v>0</v>
      </c>
      <c r="M52" s="32">
        <f t="shared" si="29"/>
        <v>0</v>
      </c>
      <c r="N52" s="32">
        <f t="shared" si="29"/>
        <v>0</v>
      </c>
    </row>
    <row r="53" spans="1:14" x14ac:dyDescent="0.2">
      <c r="A53" s="403" t="s">
        <v>206</v>
      </c>
      <c r="B53" s="403" t="s">
        <v>215</v>
      </c>
      <c r="C53" s="404">
        <f t="shared" ref="C53:N53" si="30">IF(C$3&lt;91,0,IF(C$3&gt;120,0,C$12*(120-C$3))/30)</f>
        <v>0</v>
      </c>
      <c r="D53" s="404">
        <f t="shared" si="30"/>
        <v>0</v>
      </c>
      <c r="E53" s="404">
        <f t="shared" si="30"/>
        <v>0</v>
      </c>
      <c r="F53" s="404">
        <f t="shared" si="30"/>
        <v>0</v>
      </c>
      <c r="G53" s="404">
        <f t="shared" si="30"/>
        <v>0</v>
      </c>
      <c r="H53" s="404">
        <f t="shared" si="30"/>
        <v>0</v>
      </c>
      <c r="I53" s="404">
        <f t="shared" si="30"/>
        <v>0</v>
      </c>
      <c r="J53" s="404">
        <f t="shared" si="30"/>
        <v>0</v>
      </c>
      <c r="K53" s="404">
        <f t="shared" si="30"/>
        <v>0</v>
      </c>
      <c r="L53" s="404">
        <f t="shared" si="30"/>
        <v>0</v>
      </c>
      <c r="M53" s="404">
        <f t="shared" si="30"/>
        <v>0</v>
      </c>
      <c r="N53" s="404">
        <f t="shared" si="30"/>
        <v>0</v>
      </c>
    </row>
    <row r="54" spans="1:14" x14ac:dyDescent="0.2">
      <c r="A54" s="4" t="s">
        <v>208</v>
      </c>
      <c r="B54" s="4" t="s">
        <v>216</v>
      </c>
      <c r="C54" s="32">
        <f>IF(C$37&lt;91,0,IF(C$37&gt;120,0,C46-C53))</f>
        <v>0</v>
      </c>
      <c r="D54" s="32">
        <f t="shared" ref="D54:N54" si="31">IF(D$37&lt;91,0,IF(D$37&gt;120,0,D46-D53))</f>
        <v>0</v>
      </c>
      <c r="E54" s="32">
        <f t="shared" si="31"/>
        <v>0</v>
      </c>
      <c r="F54" s="32">
        <f t="shared" si="31"/>
        <v>0</v>
      </c>
      <c r="G54" s="32">
        <f t="shared" si="31"/>
        <v>0</v>
      </c>
      <c r="H54" s="32">
        <f t="shared" si="31"/>
        <v>0</v>
      </c>
      <c r="I54" s="32">
        <f t="shared" si="31"/>
        <v>0</v>
      </c>
      <c r="J54" s="32">
        <f t="shared" si="31"/>
        <v>0</v>
      </c>
      <c r="K54" s="32">
        <f t="shared" si="31"/>
        <v>0</v>
      </c>
      <c r="L54" s="32">
        <f t="shared" si="31"/>
        <v>0</v>
      </c>
      <c r="M54" s="32">
        <f t="shared" si="31"/>
        <v>0</v>
      </c>
      <c r="N54" s="32">
        <f t="shared" si="31"/>
        <v>0</v>
      </c>
    </row>
    <row r="55" spans="1:14" x14ac:dyDescent="0.2">
      <c r="A55" s="403" t="s">
        <v>208</v>
      </c>
      <c r="B55" s="403" t="s">
        <v>216</v>
      </c>
      <c r="C55" s="404">
        <f>IF(C$37&lt;121,0,IF(C$37&gt;150,0,C$46*(150-C$37))/30)</f>
        <v>0</v>
      </c>
      <c r="D55" s="404">
        <f t="shared" ref="D55:N55" si="32">IF(D$37&lt;121,0,IF(D$37&gt;150,0,D$46*(150-D$37))/30)</f>
        <v>0</v>
      </c>
      <c r="E55" s="404">
        <f t="shared" si="32"/>
        <v>0</v>
      </c>
      <c r="F55" s="404">
        <f t="shared" si="32"/>
        <v>0</v>
      </c>
      <c r="G55" s="404">
        <f t="shared" si="32"/>
        <v>0</v>
      </c>
      <c r="H55" s="404">
        <f t="shared" si="32"/>
        <v>0</v>
      </c>
      <c r="I55" s="404">
        <f t="shared" si="32"/>
        <v>0</v>
      </c>
      <c r="J55" s="404">
        <f t="shared" si="32"/>
        <v>0</v>
      </c>
      <c r="K55" s="404">
        <f t="shared" si="32"/>
        <v>0</v>
      </c>
      <c r="L55" s="404">
        <f t="shared" si="32"/>
        <v>0</v>
      </c>
      <c r="M55" s="404">
        <f t="shared" si="32"/>
        <v>0</v>
      </c>
      <c r="N55" s="404">
        <f t="shared" si="32"/>
        <v>0</v>
      </c>
    </row>
    <row r="56" spans="1:14" x14ac:dyDescent="0.2">
      <c r="A56" s="4" t="s">
        <v>210</v>
      </c>
      <c r="B56" s="4" t="s">
        <v>217</v>
      </c>
      <c r="C56" s="32">
        <f>IF(C$37&lt;121,0,IF(C$37&gt;150,0,C46-C55))</f>
        <v>0</v>
      </c>
      <c r="D56" s="32">
        <f t="shared" ref="D56:N56" si="33">IF(D$37&lt;121,0,IF(D$37&gt;150,0,D46-D55))</f>
        <v>0</v>
      </c>
      <c r="E56" s="32">
        <f t="shared" si="33"/>
        <v>0</v>
      </c>
      <c r="F56" s="32">
        <f t="shared" si="33"/>
        <v>0</v>
      </c>
      <c r="G56" s="32">
        <f t="shared" si="33"/>
        <v>0</v>
      </c>
      <c r="H56" s="32">
        <f t="shared" si="33"/>
        <v>0</v>
      </c>
      <c r="I56" s="32">
        <f t="shared" si="33"/>
        <v>0</v>
      </c>
      <c r="J56" s="32">
        <f t="shared" si="33"/>
        <v>0</v>
      </c>
      <c r="K56" s="32">
        <f t="shared" si="33"/>
        <v>0</v>
      </c>
      <c r="L56" s="32">
        <f t="shared" si="33"/>
        <v>0</v>
      </c>
      <c r="M56" s="32">
        <f t="shared" si="33"/>
        <v>0</v>
      </c>
      <c r="N56" s="32">
        <f t="shared" si="33"/>
        <v>0</v>
      </c>
    </row>
    <row r="57" spans="1:14" x14ac:dyDescent="0.2">
      <c r="A57" s="403" t="s">
        <v>210</v>
      </c>
      <c r="B57" s="403" t="s">
        <v>217</v>
      </c>
      <c r="C57" s="404">
        <f>IF(C$37&lt;151,0,IF(C$37&gt;180,0,C$46*(180-C$37))/30)</f>
        <v>0</v>
      </c>
      <c r="D57" s="404">
        <f t="shared" ref="D57:N57" si="34">IF(D$37&lt;151,0,IF(D$37&gt;180,0,D$46*(180-D$37))/30)</f>
        <v>0</v>
      </c>
      <c r="E57" s="404">
        <f t="shared" si="34"/>
        <v>0</v>
      </c>
      <c r="F57" s="404">
        <f t="shared" si="34"/>
        <v>0</v>
      </c>
      <c r="G57" s="404">
        <f t="shared" si="34"/>
        <v>0</v>
      </c>
      <c r="H57" s="404">
        <f t="shared" si="34"/>
        <v>0</v>
      </c>
      <c r="I57" s="404">
        <f t="shared" si="34"/>
        <v>0</v>
      </c>
      <c r="J57" s="404">
        <f t="shared" si="34"/>
        <v>0</v>
      </c>
      <c r="K57" s="404">
        <f t="shared" si="34"/>
        <v>0</v>
      </c>
      <c r="L57" s="404">
        <f t="shared" si="34"/>
        <v>0</v>
      </c>
      <c r="M57" s="404">
        <f t="shared" si="34"/>
        <v>0</v>
      </c>
      <c r="N57" s="404">
        <f t="shared" si="34"/>
        <v>0</v>
      </c>
    </row>
    <row r="58" spans="1:14" x14ac:dyDescent="0.2">
      <c r="A58" s="4"/>
      <c r="B58" s="4" t="s">
        <v>218</v>
      </c>
      <c r="C58" s="32">
        <f>IF(C$37&lt;151,0,IF(C$37&gt;180,0,C46-C57))</f>
        <v>0</v>
      </c>
      <c r="D58" s="32">
        <f t="shared" ref="D58:N58" si="35">IF(D$37&lt;151,0,IF(D$37&gt;180,0,D46-D57))</f>
        <v>0</v>
      </c>
      <c r="E58" s="32">
        <f t="shared" si="35"/>
        <v>0</v>
      </c>
      <c r="F58" s="32">
        <f t="shared" si="35"/>
        <v>0</v>
      </c>
      <c r="G58" s="32">
        <f t="shared" si="35"/>
        <v>0</v>
      </c>
      <c r="H58" s="32">
        <f t="shared" si="35"/>
        <v>0</v>
      </c>
      <c r="I58" s="32">
        <f t="shared" si="35"/>
        <v>0</v>
      </c>
      <c r="J58" s="32">
        <f t="shared" si="35"/>
        <v>0</v>
      </c>
      <c r="K58" s="32">
        <f t="shared" si="35"/>
        <v>0</v>
      </c>
      <c r="L58" s="32">
        <f t="shared" si="35"/>
        <v>0</v>
      </c>
      <c r="M58" s="32">
        <f t="shared" si="35"/>
        <v>0</v>
      </c>
      <c r="N58" s="32">
        <f t="shared" si="35"/>
        <v>0</v>
      </c>
    </row>
    <row r="59" spans="1:14" x14ac:dyDescent="0.2">
      <c r="A59" s="30"/>
      <c r="B59" s="30" t="s">
        <v>219</v>
      </c>
      <c r="C59" s="400" t="str">
        <f t="shared" ref="C59:N59" si="36">C36</f>
        <v>JAN</v>
      </c>
      <c r="D59" s="400" t="str">
        <f t="shared" si="36"/>
        <v>FEB</v>
      </c>
      <c r="E59" s="400" t="str">
        <f t="shared" si="36"/>
        <v>MARS</v>
      </c>
      <c r="F59" s="400" t="str">
        <f t="shared" si="36"/>
        <v>APR</v>
      </c>
      <c r="G59" s="400" t="str">
        <f t="shared" si="36"/>
        <v>MAY</v>
      </c>
      <c r="H59" s="400" t="str">
        <f t="shared" si="36"/>
        <v>JUNE</v>
      </c>
      <c r="I59" s="400" t="str">
        <f t="shared" si="36"/>
        <v>JULY</v>
      </c>
      <c r="J59" s="400" t="str">
        <f t="shared" si="36"/>
        <v>AUG</v>
      </c>
      <c r="K59" s="400" t="str">
        <f t="shared" si="36"/>
        <v>SEP</v>
      </c>
      <c r="L59" s="400" t="str">
        <f t="shared" si="36"/>
        <v>OCT</v>
      </c>
      <c r="M59" s="400" t="str">
        <f t="shared" si="36"/>
        <v>NOV</v>
      </c>
      <c r="N59" s="400" t="str">
        <f t="shared" si="36"/>
        <v>DEC</v>
      </c>
    </row>
    <row r="60" spans="1:14" x14ac:dyDescent="0.2">
      <c r="A60" s="4"/>
      <c r="B60" s="4" t="s">
        <v>220</v>
      </c>
      <c r="C60" s="32">
        <f>C47+C45</f>
        <v>0</v>
      </c>
      <c r="D60" s="32">
        <f>D47</f>
        <v>0</v>
      </c>
      <c r="E60" s="32">
        <f t="shared" ref="E60:N60" si="37">E47</f>
        <v>0</v>
      </c>
      <c r="F60" s="32">
        <f t="shared" si="37"/>
        <v>0</v>
      </c>
      <c r="G60" s="32">
        <f t="shared" si="37"/>
        <v>0</v>
      </c>
      <c r="H60" s="32">
        <f t="shared" si="37"/>
        <v>0</v>
      </c>
      <c r="I60" s="32">
        <f t="shared" si="37"/>
        <v>0</v>
      </c>
      <c r="J60" s="32">
        <f t="shared" si="37"/>
        <v>0</v>
      </c>
      <c r="K60" s="32">
        <f t="shared" si="37"/>
        <v>0</v>
      </c>
      <c r="L60" s="32">
        <f t="shared" si="37"/>
        <v>0</v>
      </c>
      <c r="M60" s="32">
        <f t="shared" si="37"/>
        <v>0</v>
      </c>
      <c r="N60" s="32">
        <f t="shared" si="37"/>
        <v>0</v>
      </c>
    </row>
    <row r="61" spans="1:14" x14ac:dyDescent="0.2">
      <c r="A61" s="4"/>
      <c r="B61" s="4" t="s">
        <v>213</v>
      </c>
      <c r="C61" s="32"/>
      <c r="D61" s="32">
        <f>C48+C49+D45</f>
        <v>0</v>
      </c>
      <c r="E61" s="32">
        <f t="shared" ref="E61:N61" si="38">D48+D49</f>
        <v>0</v>
      </c>
      <c r="F61" s="32">
        <f t="shared" si="38"/>
        <v>0</v>
      </c>
      <c r="G61" s="32">
        <f t="shared" si="38"/>
        <v>0</v>
      </c>
      <c r="H61" s="32">
        <f t="shared" si="38"/>
        <v>0</v>
      </c>
      <c r="I61" s="32">
        <f t="shared" si="38"/>
        <v>0</v>
      </c>
      <c r="J61" s="32">
        <f t="shared" si="38"/>
        <v>0</v>
      </c>
      <c r="K61" s="32">
        <f t="shared" si="38"/>
        <v>0</v>
      </c>
      <c r="L61" s="32">
        <f t="shared" si="38"/>
        <v>0</v>
      </c>
      <c r="M61" s="32">
        <f t="shared" si="38"/>
        <v>0</v>
      </c>
      <c r="N61" s="32">
        <f t="shared" si="38"/>
        <v>0</v>
      </c>
    </row>
    <row r="62" spans="1:14" x14ac:dyDescent="0.2">
      <c r="A62" s="4"/>
      <c r="B62" s="4" t="s">
        <v>214</v>
      </c>
      <c r="C62" s="32"/>
      <c r="D62" s="32"/>
      <c r="E62" s="32">
        <f>C50+C51+E45</f>
        <v>0</v>
      </c>
      <c r="F62" s="32">
        <f t="shared" ref="F62:N62" si="39">D50+D51</f>
        <v>0</v>
      </c>
      <c r="G62" s="32">
        <f t="shared" si="39"/>
        <v>0</v>
      </c>
      <c r="H62" s="32">
        <f t="shared" si="39"/>
        <v>0</v>
      </c>
      <c r="I62" s="32">
        <f t="shared" si="39"/>
        <v>0</v>
      </c>
      <c r="J62" s="32">
        <f t="shared" si="39"/>
        <v>0</v>
      </c>
      <c r="K62" s="32">
        <f t="shared" si="39"/>
        <v>0</v>
      </c>
      <c r="L62" s="32">
        <f t="shared" si="39"/>
        <v>0</v>
      </c>
      <c r="M62" s="32">
        <f t="shared" si="39"/>
        <v>0</v>
      </c>
      <c r="N62" s="32">
        <f t="shared" si="39"/>
        <v>0</v>
      </c>
    </row>
    <row r="63" spans="1:14" x14ac:dyDescent="0.2">
      <c r="A63" s="4"/>
      <c r="B63" s="4" t="s">
        <v>215</v>
      </c>
      <c r="C63" s="32"/>
      <c r="D63" s="32"/>
      <c r="E63" s="32"/>
      <c r="F63" s="32">
        <f>C52+C53+F45</f>
        <v>0</v>
      </c>
      <c r="G63" s="32">
        <f t="shared" ref="G63:N63" si="40">D52+D53</f>
        <v>0</v>
      </c>
      <c r="H63" s="32">
        <f t="shared" si="40"/>
        <v>0</v>
      </c>
      <c r="I63" s="32">
        <f t="shared" si="40"/>
        <v>0</v>
      </c>
      <c r="J63" s="32">
        <f t="shared" si="40"/>
        <v>0</v>
      </c>
      <c r="K63" s="32">
        <f t="shared" si="40"/>
        <v>0</v>
      </c>
      <c r="L63" s="32">
        <f t="shared" si="40"/>
        <v>0</v>
      </c>
      <c r="M63" s="32">
        <f t="shared" si="40"/>
        <v>0</v>
      </c>
      <c r="N63" s="32">
        <f t="shared" si="40"/>
        <v>0</v>
      </c>
    </row>
    <row r="64" spans="1:14" x14ac:dyDescent="0.2">
      <c r="A64" s="4"/>
      <c r="B64" s="4" t="s">
        <v>216</v>
      </c>
      <c r="C64" s="32"/>
      <c r="D64" s="32"/>
      <c r="E64" s="32"/>
      <c r="F64" s="32"/>
      <c r="G64" s="32">
        <f>C54+C55+G45</f>
        <v>0</v>
      </c>
      <c r="H64" s="32">
        <f t="shared" ref="H64:N64" si="41">D54+D55</f>
        <v>0</v>
      </c>
      <c r="I64" s="32">
        <f t="shared" si="41"/>
        <v>0</v>
      </c>
      <c r="J64" s="32">
        <f t="shared" si="41"/>
        <v>0</v>
      </c>
      <c r="K64" s="32">
        <f t="shared" si="41"/>
        <v>0</v>
      </c>
      <c r="L64" s="32">
        <f t="shared" si="41"/>
        <v>0</v>
      </c>
      <c r="M64" s="32">
        <f t="shared" si="41"/>
        <v>0</v>
      </c>
      <c r="N64" s="32">
        <f t="shared" si="41"/>
        <v>0</v>
      </c>
    </row>
    <row r="65" spans="1:14" x14ac:dyDescent="0.2">
      <c r="A65" s="4"/>
      <c r="B65" s="4" t="s">
        <v>217</v>
      </c>
      <c r="C65" s="32"/>
      <c r="D65" s="32"/>
      <c r="E65" s="32"/>
      <c r="F65" s="32"/>
      <c r="G65" s="32"/>
      <c r="H65" s="32">
        <f>C56+C57+H45</f>
        <v>0</v>
      </c>
      <c r="I65" s="32">
        <f t="shared" ref="I65:N65" si="42">D56+D57</f>
        <v>0</v>
      </c>
      <c r="J65" s="32">
        <f t="shared" si="42"/>
        <v>0</v>
      </c>
      <c r="K65" s="32">
        <f t="shared" si="42"/>
        <v>0</v>
      </c>
      <c r="L65" s="32">
        <f t="shared" si="42"/>
        <v>0</v>
      </c>
      <c r="M65" s="32">
        <f t="shared" si="42"/>
        <v>0</v>
      </c>
      <c r="N65" s="32">
        <f t="shared" si="42"/>
        <v>0</v>
      </c>
    </row>
    <row r="66" spans="1:14" x14ac:dyDescent="0.2">
      <c r="A66" s="4"/>
      <c r="B66" s="4" t="s">
        <v>218</v>
      </c>
      <c r="C66" s="32"/>
      <c r="D66" s="32"/>
      <c r="E66" s="32"/>
      <c r="F66" s="32"/>
      <c r="G66" s="32"/>
      <c r="H66" s="32"/>
      <c r="I66" s="32">
        <f t="shared" ref="I66:N66" si="43">C58</f>
        <v>0</v>
      </c>
      <c r="J66" s="32">
        <f t="shared" si="43"/>
        <v>0</v>
      </c>
      <c r="K66" s="32">
        <f t="shared" si="43"/>
        <v>0</v>
      </c>
      <c r="L66" s="32">
        <f t="shared" si="43"/>
        <v>0</v>
      </c>
      <c r="M66" s="32">
        <f t="shared" si="43"/>
        <v>0</v>
      </c>
      <c r="N66" s="32">
        <f t="shared" si="43"/>
        <v>0</v>
      </c>
    </row>
    <row r="67" spans="1:14" x14ac:dyDescent="0.2">
      <c r="A67" s="30"/>
      <c r="B67" s="30" t="s">
        <v>221</v>
      </c>
      <c r="C67" s="58">
        <f>SUM(C60:C66)</f>
        <v>0</v>
      </c>
      <c r="D67" s="58">
        <f t="shared" ref="D67:N67" si="44">SUM(D60:D66)</f>
        <v>0</v>
      </c>
      <c r="E67" s="58">
        <f t="shared" si="44"/>
        <v>0</v>
      </c>
      <c r="F67" s="58">
        <f t="shared" si="44"/>
        <v>0</v>
      </c>
      <c r="G67" s="58">
        <f t="shared" si="44"/>
        <v>0</v>
      </c>
      <c r="H67" s="58">
        <f t="shared" si="44"/>
        <v>0</v>
      </c>
      <c r="I67" s="58">
        <f t="shared" si="44"/>
        <v>0</v>
      </c>
      <c r="J67" s="58">
        <f t="shared" si="44"/>
        <v>0</v>
      </c>
      <c r="K67" s="58">
        <f t="shared" si="44"/>
        <v>0</v>
      </c>
      <c r="L67" s="58">
        <f t="shared" si="44"/>
        <v>0</v>
      </c>
      <c r="M67" s="58">
        <f t="shared" si="44"/>
        <v>0</v>
      </c>
      <c r="N67" s="58">
        <f t="shared" si="44"/>
        <v>0</v>
      </c>
    </row>
  </sheetData>
  <sheetProtection algorithmName="SHA-512" hashValue="xYfC+qssecWBhnk+swgE9r452abeKWIQpe+WpiI0qCUXv5VBEApL1eGsn/6lJ1ZQNBiwHlrNSVHPOr1QYuHRCw==" saltValue="7WnlYPnSpdIDDCXLIhh1G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7"/>
  <sheetViews>
    <sheetView workbookViewId="0"/>
  </sheetViews>
  <sheetFormatPr defaultRowHeight="12.75" x14ac:dyDescent="0.2"/>
  <cols>
    <col min="1" max="1" width="2.140625" customWidth="1"/>
    <col min="2" max="2" width="3.85546875" style="225" customWidth="1"/>
    <col min="3" max="3" width="30.7109375" customWidth="1"/>
    <col min="4" max="4" width="5.7109375" customWidth="1"/>
    <col min="5" max="5" width="10" bestFit="1" customWidth="1"/>
    <col min="9" max="9" width="1.28515625" customWidth="1"/>
    <col min="10" max="10" width="5.5703125" customWidth="1"/>
    <col min="11" max="11" width="36.7109375" customWidth="1"/>
    <col min="12" max="12" width="7.85546875" customWidth="1"/>
    <col min="25" max="25" width="11.28515625" style="1677" customWidth="1"/>
  </cols>
  <sheetData>
    <row r="1" spans="2:25" ht="13.5" thickBot="1" x14ac:dyDescent="0.25"/>
    <row r="2" spans="2:25" ht="15.75" customHeight="1" x14ac:dyDescent="0.2">
      <c r="C2" s="2236" t="s">
        <v>99</v>
      </c>
      <c r="D2" s="46" t="s">
        <v>14</v>
      </c>
      <c r="E2" s="48" t="s">
        <v>15</v>
      </c>
      <c r="F2" s="48" t="s">
        <v>1</v>
      </c>
      <c r="G2" s="48" t="s">
        <v>12</v>
      </c>
      <c r="H2" s="1656" t="s">
        <v>158</v>
      </c>
      <c r="I2" s="25"/>
      <c r="J2" s="25"/>
      <c r="K2" s="374" t="s">
        <v>355</v>
      </c>
      <c r="L2" s="373" t="s">
        <v>191</v>
      </c>
      <c r="M2" s="377" t="str">
        <f>'8. T5 CASH BUDGET'!G10</f>
        <v>JAN</v>
      </c>
      <c r="N2" s="377" t="str">
        <f>'8. T5 CASH BUDGET'!H10</f>
        <v>FEB</v>
      </c>
      <c r="O2" s="377" t="str">
        <f>'8. T5 CASH BUDGET'!I10</f>
        <v>MARS</v>
      </c>
      <c r="P2" s="377" t="str">
        <f>'8. T5 CASH BUDGET'!J10</f>
        <v>APR</v>
      </c>
      <c r="Q2" s="377" t="str">
        <f>'8. T5 CASH BUDGET'!K10</f>
        <v>MAY</v>
      </c>
      <c r="R2" s="377" t="str">
        <f>'8. T5 CASH BUDGET'!L10</f>
        <v>JUNE</v>
      </c>
      <c r="S2" s="377" t="str">
        <f>'8. T5 CASH BUDGET'!M10</f>
        <v>JULY</v>
      </c>
      <c r="T2" s="377" t="str">
        <f>'8. T5 CASH BUDGET'!N10</f>
        <v>AUG</v>
      </c>
      <c r="U2" s="377" t="str">
        <f>'8. T5 CASH BUDGET'!O10</f>
        <v>SEP</v>
      </c>
      <c r="V2" s="377" t="str">
        <f>'8. T5 CASH BUDGET'!P10</f>
        <v>OCT</v>
      </c>
      <c r="W2" s="377" t="str">
        <f>'8. T5 CASH BUDGET'!Q10</f>
        <v>NOV</v>
      </c>
      <c r="X2" s="377" t="str">
        <f>'8. T5 CASH BUDGET'!R10</f>
        <v>DEC</v>
      </c>
    </row>
    <row r="3" spans="2:25" x14ac:dyDescent="0.2">
      <c r="C3" s="2237"/>
      <c r="D3" s="172">
        <f>'1. T1 INVESTMENT PLAN'!D16</f>
        <v>0</v>
      </c>
      <c r="E3" s="172">
        <f>'1. T1 INVESTMENT PLAN'!E16</f>
        <v>2027</v>
      </c>
      <c r="F3" s="172">
        <f>'1. T1 INVESTMENT PLAN'!F16</f>
        <v>2028</v>
      </c>
      <c r="G3" s="172">
        <f>'1. T1 INVESTMENT PLAN'!G16</f>
        <v>2029</v>
      </c>
      <c r="H3" s="172">
        <f>'1. T1 INVESTMENT PLAN'!H16</f>
        <v>2030</v>
      </c>
      <c r="I3" s="26"/>
      <c r="J3" s="1327">
        <f>'8. T5 CASH BUDGET'!B13</f>
        <v>2</v>
      </c>
      <c r="K3" s="1328" t="str">
        <f>'8. T5 CASH BUDGET'!C13</f>
        <v xml:space="preserve"> Cash sales and advance payment share-%</v>
      </c>
      <c r="L3" s="1332">
        <f>'8. T5 CASH BUDGET'!F13</f>
        <v>25.5</v>
      </c>
      <c r="M3" s="1333">
        <f>'8. T5 CASH BUDGET'!G13</f>
        <v>0</v>
      </c>
      <c r="N3" s="1333">
        <f>'8. T5 CASH BUDGET'!H13</f>
        <v>0</v>
      </c>
      <c r="O3" s="1333">
        <f>'8. T5 CASH BUDGET'!I13</f>
        <v>0</v>
      </c>
      <c r="P3" s="1333">
        <f>'8. T5 CASH BUDGET'!J13</f>
        <v>0</v>
      </c>
      <c r="Q3" s="1333">
        <f>'8. T5 CASH BUDGET'!K13</f>
        <v>0</v>
      </c>
      <c r="R3" s="1333">
        <f>'8. T5 CASH BUDGET'!L13</f>
        <v>0</v>
      </c>
      <c r="S3" s="1333">
        <f>'8. T5 CASH BUDGET'!M13</f>
        <v>0</v>
      </c>
      <c r="T3" s="1333">
        <f>'8. T5 CASH BUDGET'!N13</f>
        <v>0</v>
      </c>
      <c r="U3" s="1333">
        <f>'8. T5 CASH BUDGET'!O13</f>
        <v>0</v>
      </c>
      <c r="V3" s="1333">
        <f>'8. T5 CASH BUDGET'!P13</f>
        <v>0</v>
      </c>
      <c r="W3" s="1333">
        <f>'8. T5 CASH BUDGET'!Q13</f>
        <v>0</v>
      </c>
      <c r="X3" s="1333">
        <f>'8. T5 CASH BUDGET'!R13</f>
        <v>0</v>
      </c>
      <c r="Y3" s="1678">
        <f t="shared" ref="Y3:Y19" si="0">SUM(M3:X3)</f>
        <v>0</v>
      </c>
    </row>
    <row r="4" spans="2:25" x14ac:dyDescent="0.2">
      <c r="B4" s="1325" t="str">
        <f>'1. T1 INVESTMENT PLAN'!B17</f>
        <v>1.</v>
      </c>
      <c r="C4" s="84" t="str">
        <f>'1. T1 INVESTMENT PLAN'!C17</f>
        <v>Land and water areas, connections etc.</v>
      </c>
      <c r="D4" s="84"/>
      <c r="E4" s="84">
        <f>'1. T1 INVESTMENT PLAN'!E17</f>
        <v>0</v>
      </c>
      <c r="F4" s="84">
        <f>'1. T1 INVESTMENT PLAN'!F17</f>
        <v>0</v>
      </c>
      <c r="G4" s="84">
        <f>'1. T1 INVESTMENT PLAN'!G17</f>
        <v>0</v>
      </c>
      <c r="H4" s="84">
        <f>'1. T1 INVESTMENT PLAN'!H17</f>
        <v>0</v>
      </c>
      <c r="I4" s="26"/>
      <c r="J4" s="1329"/>
      <c r="K4" s="1044" t="s">
        <v>192</v>
      </c>
      <c r="L4" s="1330"/>
      <c r="M4" s="83">
        <f t="shared" ref="M4:X4" si="1">M3-M3/(1+$L3%)</f>
        <v>0</v>
      </c>
      <c r="N4" s="83">
        <f t="shared" si="1"/>
        <v>0</v>
      </c>
      <c r="O4" s="83">
        <f t="shared" si="1"/>
        <v>0</v>
      </c>
      <c r="P4" s="83">
        <f t="shared" si="1"/>
        <v>0</v>
      </c>
      <c r="Q4" s="83">
        <f t="shared" si="1"/>
        <v>0</v>
      </c>
      <c r="R4" s="83">
        <f t="shared" si="1"/>
        <v>0</v>
      </c>
      <c r="S4" s="83">
        <f t="shared" si="1"/>
        <v>0</v>
      </c>
      <c r="T4" s="83">
        <f t="shared" si="1"/>
        <v>0</v>
      </c>
      <c r="U4" s="83">
        <f t="shared" si="1"/>
        <v>0</v>
      </c>
      <c r="V4" s="83">
        <f t="shared" si="1"/>
        <v>0</v>
      </c>
      <c r="W4" s="83">
        <f t="shared" si="1"/>
        <v>0</v>
      </c>
      <c r="X4" s="83">
        <f t="shared" si="1"/>
        <v>0</v>
      </c>
      <c r="Y4" s="1679">
        <f t="shared" si="0"/>
        <v>0</v>
      </c>
    </row>
    <row r="5" spans="2:25" x14ac:dyDescent="0.2">
      <c r="B5" s="77" t="s">
        <v>0</v>
      </c>
      <c r="C5" s="84" t="str">
        <f>'1. T1 INVESTMENT PLAN'!C19</f>
        <v xml:space="preserve"> • grant %</v>
      </c>
      <c r="D5" s="176"/>
      <c r="E5" s="176">
        <f>'1. T1 INVESTMENT PLAN'!E19</f>
        <v>0</v>
      </c>
      <c r="F5" s="176">
        <f>'1. T1 INVESTMENT PLAN'!F19</f>
        <v>0</v>
      </c>
      <c r="G5" s="176">
        <f>'1. T1 INVESTMENT PLAN'!G19</f>
        <v>0</v>
      </c>
      <c r="H5" s="176">
        <f>'1. T1 INVESTMENT PLAN'!H19</f>
        <v>0</v>
      </c>
      <c r="I5" s="26"/>
      <c r="J5" s="1327">
        <f>'8. T5 CASH BUDGET'!B15</f>
        <v>3</v>
      </c>
      <c r="K5" s="1644" t="str">
        <f>'8. T5 CASH BUDGET'!C15</f>
        <v xml:space="preserve"> Invoiced sales</v>
      </c>
      <c r="L5" s="1332">
        <f>'8. T5 CASH BUDGET'!F15</f>
        <v>25.5</v>
      </c>
      <c r="M5" s="1333">
        <f>'8. T5 CASH BUDGET'!G15</f>
        <v>0</v>
      </c>
      <c r="N5" s="1333">
        <f>'8. T5 CASH BUDGET'!H15</f>
        <v>0</v>
      </c>
      <c r="O5" s="1333">
        <f>'8. T5 CASH BUDGET'!I15</f>
        <v>0</v>
      </c>
      <c r="P5" s="1333">
        <f>'8. T5 CASH BUDGET'!J15</f>
        <v>0</v>
      </c>
      <c r="Q5" s="1333">
        <f>'8. T5 CASH BUDGET'!K15</f>
        <v>0</v>
      </c>
      <c r="R5" s="1333">
        <f>'8. T5 CASH BUDGET'!L15</f>
        <v>0</v>
      </c>
      <c r="S5" s="1333">
        <f>'8. T5 CASH BUDGET'!M15</f>
        <v>0</v>
      </c>
      <c r="T5" s="1333">
        <f>'8. T5 CASH BUDGET'!N15</f>
        <v>0</v>
      </c>
      <c r="U5" s="1333">
        <f>'8. T5 CASH BUDGET'!O15</f>
        <v>0</v>
      </c>
      <c r="V5" s="1333">
        <f>'8. T5 CASH BUDGET'!P15</f>
        <v>0</v>
      </c>
      <c r="W5" s="1333">
        <f>'8. T5 CASH BUDGET'!Q15</f>
        <v>0</v>
      </c>
      <c r="X5" s="1333">
        <f>'8. T5 CASH BUDGET'!R15</f>
        <v>0</v>
      </c>
      <c r="Y5" s="1678">
        <f t="shared" si="0"/>
        <v>0</v>
      </c>
    </row>
    <row r="6" spans="2:25" x14ac:dyDescent="0.2">
      <c r="C6" s="173" t="s">
        <v>96</v>
      </c>
      <c r="D6" s="84"/>
      <c r="E6" s="84">
        <f>E4*E5</f>
        <v>0</v>
      </c>
      <c r="F6" s="84">
        <f>F4*F5</f>
        <v>0</v>
      </c>
      <c r="G6" s="84">
        <f>G4*G5</f>
        <v>0</v>
      </c>
      <c r="H6" s="84">
        <f>H4*H5</f>
        <v>0</v>
      </c>
      <c r="I6" s="26"/>
      <c r="J6" s="1329"/>
      <c r="K6" s="1044" t="s">
        <v>192</v>
      </c>
      <c r="L6" s="1330"/>
      <c r="M6" s="83">
        <f>M5-M5/(1+$L5%)</f>
        <v>0</v>
      </c>
      <c r="N6" s="83">
        <f t="shared" ref="N6:X6" si="2">N5-N5/(1+$L5%)</f>
        <v>0</v>
      </c>
      <c r="O6" s="83">
        <f t="shared" si="2"/>
        <v>0</v>
      </c>
      <c r="P6" s="83">
        <f t="shared" si="2"/>
        <v>0</v>
      </c>
      <c r="Q6" s="83">
        <f t="shared" si="2"/>
        <v>0</v>
      </c>
      <c r="R6" s="83">
        <f t="shared" si="2"/>
        <v>0</v>
      </c>
      <c r="S6" s="83">
        <f t="shared" si="2"/>
        <v>0</v>
      </c>
      <c r="T6" s="83">
        <f t="shared" si="2"/>
        <v>0</v>
      </c>
      <c r="U6" s="83">
        <f t="shared" si="2"/>
        <v>0</v>
      </c>
      <c r="V6" s="83">
        <f t="shared" si="2"/>
        <v>0</v>
      </c>
      <c r="W6" s="83">
        <f t="shared" si="2"/>
        <v>0</v>
      </c>
      <c r="X6" s="83">
        <f t="shared" si="2"/>
        <v>0</v>
      </c>
      <c r="Y6" s="1679">
        <f t="shared" si="0"/>
        <v>0</v>
      </c>
    </row>
    <row r="7" spans="2:25" x14ac:dyDescent="0.2">
      <c r="C7" s="173" t="s">
        <v>136</v>
      </c>
      <c r="D7" s="84"/>
      <c r="E7" s="84">
        <f>E4-E6</f>
        <v>0</v>
      </c>
      <c r="F7" s="84">
        <f>F4-F6</f>
        <v>0</v>
      </c>
      <c r="G7" s="84">
        <f>G4-G6</f>
        <v>0</v>
      </c>
      <c r="H7" s="84">
        <f>H4-H6</f>
        <v>0</v>
      </c>
      <c r="I7" s="26"/>
      <c r="J7" s="1327">
        <f>'8. T5 CASH BUDGET'!B18</f>
        <v>4</v>
      </c>
      <c r="K7" s="1334" t="str">
        <f>'8. T5 CASH BUDGET'!C18</f>
        <v xml:space="preserve"> Other income incl. VAT</v>
      </c>
      <c r="L7" s="1332">
        <f>'8. T5 CASH BUDGET'!F18</f>
        <v>25.5</v>
      </c>
      <c r="M7" s="1333">
        <f>'8. T5 CASH BUDGET'!G18</f>
        <v>0</v>
      </c>
      <c r="N7" s="1333">
        <f>'8. T5 CASH BUDGET'!H18</f>
        <v>0</v>
      </c>
      <c r="O7" s="1333">
        <f>'8. T5 CASH BUDGET'!I18</f>
        <v>0</v>
      </c>
      <c r="P7" s="1333">
        <f>'8. T5 CASH BUDGET'!J18</f>
        <v>0</v>
      </c>
      <c r="Q7" s="1333">
        <f>'8. T5 CASH BUDGET'!K18</f>
        <v>0</v>
      </c>
      <c r="R7" s="1333">
        <f>'8. T5 CASH BUDGET'!L18</f>
        <v>0</v>
      </c>
      <c r="S7" s="1333">
        <f>'8. T5 CASH BUDGET'!M18</f>
        <v>0</v>
      </c>
      <c r="T7" s="1333">
        <f>'8. T5 CASH BUDGET'!N18</f>
        <v>0</v>
      </c>
      <c r="U7" s="1333">
        <f>'8. T5 CASH BUDGET'!O18</f>
        <v>0</v>
      </c>
      <c r="V7" s="1333">
        <f>'8. T5 CASH BUDGET'!P18</f>
        <v>0</v>
      </c>
      <c r="W7" s="1333">
        <f>'8. T5 CASH BUDGET'!Q18</f>
        <v>0</v>
      </c>
      <c r="X7" s="1333">
        <f>'8. T5 CASH BUDGET'!R18</f>
        <v>0</v>
      </c>
      <c r="Y7" s="1678">
        <f t="shared" si="0"/>
        <v>0</v>
      </c>
    </row>
    <row r="8" spans="2:25" x14ac:dyDescent="0.2">
      <c r="B8" s="1326" t="str">
        <f>'1. T1 INVESTMENT PLAN'!B20</f>
        <v>2.</v>
      </c>
      <c r="C8" s="173" t="str">
        <f>'1. T1 INVESTMENT PLAN'!C20</f>
        <v>New buildings and constructions incl. VAT</v>
      </c>
      <c r="D8" s="173"/>
      <c r="E8" s="173">
        <f>'1. T1 INVESTMENT PLAN'!E20</f>
        <v>0</v>
      </c>
      <c r="F8" s="173">
        <f>'1. T1 INVESTMENT PLAN'!F20</f>
        <v>0</v>
      </c>
      <c r="G8" s="173">
        <f>'1. T1 INVESTMENT PLAN'!G20</f>
        <v>0</v>
      </c>
      <c r="H8" s="173">
        <f>'1. T1 INVESTMENT PLAN'!H20</f>
        <v>0</v>
      </c>
      <c r="I8" s="39"/>
      <c r="J8" s="1331"/>
      <c r="K8" s="1044" t="s">
        <v>192</v>
      </c>
      <c r="L8" s="1330"/>
      <c r="M8" s="83">
        <f>M7-M7/(1+$L7%)</f>
        <v>0</v>
      </c>
      <c r="N8" s="83">
        <f t="shared" ref="N8:X8" si="3">N7-N7/(1+$L7%)</f>
        <v>0</v>
      </c>
      <c r="O8" s="83">
        <f t="shared" si="3"/>
        <v>0</v>
      </c>
      <c r="P8" s="83">
        <f t="shared" si="3"/>
        <v>0</v>
      </c>
      <c r="Q8" s="83">
        <f t="shared" si="3"/>
        <v>0</v>
      </c>
      <c r="R8" s="83">
        <f t="shared" si="3"/>
        <v>0</v>
      </c>
      <c r="S8" s="83">
        <f>S7-S7/(1+$L7%)</f>
        <v>0</v>
      </c>
      <c r="T8" s="83">
        <f t="shared" si="3"/>
        <v>0</v>
      </c>
      <c r="U8" s="83">
        <f t="shared" si="3"/>
        <v>0</v>
      </c>
      <c r="V8" s="83">
        <f t="shared" si="3"/>
        <v>0</v>
      </c>
      <c r="W8" s="83">
        <f t="shared" si="3"/>
        <v>0</v>
      </c>
      <c r="X8" s="83">
        <f t="shared" si="3"/>
        <v>0</v>
      </c>
      <c r="Y8" s="1679">
        <f t="shared" si="0"/>
        <v>0</v>
      </c>
    </row>
    <row r="9" spans="2:25" x14ac:dyDescent="0.2">
      <c r="B9" s="165"/>
      <c r="C9" s="173" t="str">
        <f>'1. T1 INVESTMENT PLAN'!C22</f>
        <v xml:space="preserve"> • VAT %</v>
      </c>
      <c r="D9" s="174"/>
      <c r="E9" s="174">
        <f>'1. T1 INVESTMENT PLAN'!E22</f>
        <v>0.255</v>
      </c>
      <c r="F9" s="174">
        <f>'1. T1 INVESTMENT PLAN'!F22</f>
        <v>0.255</v>
      </c>
      <c r="G9" s="174">
        <f>'1. T1 INVESTMENT PLAN'!G22</f>
        <v>0.255</v>
      </c>
      <c r="H9" s="174">
        <f>'1. T1 INVESTMENT PLAN'!H22</f>
        <v>0.255</v>
      </c>
      <c r="I9" s="39"/>
      <c r="J9" s="1641"/>
      <c r="K9" s="375" t="s">
        <v>193</v>
      </c>
      <c r="L9" s="378"/>
      <c r="M9" s="375">
        <f t="shared" ref="M9:X9" si="4">M4+M6+M8</f>
        <v>0</v>
      </c>
      <c r="N9" s="375">
        <f t="shared" si="4"/>
        <v>0</v>
      </c>
      <c r="O9" s="375">
        <f t="shared" si="4"/>
        <v>0</v>
      </c>
      <c r="P9" s="375">
        <f t="shared" si="4"/>
        <v>0</v>
      </c>
      <c r="Q9" s="375">
        <f t="shared" si="4"/>
        <v>0</v>
      </c>
      <c r="R9" s="375">
        <f t="shared" si="4"/>
        <v>0</v>
      </c>
      <c r="S9" s="375">
        <f t="shared" si="4"/>
        <v>0</v>
      </c>
      <c r="T9" s="375">
        <f t="shared" si="4"/>
        <v>0</v>
      </c>
      <c r="U9" s="375">
        <f t="shared" si="4"/>
        <v>0</v>
      </c>
      <c r="V9" s="375">
        <f t="shared" si="4"/>
        <v>0</v>
      </c>
      <c r="W9" s="375">
        <f t="shared" si="4"/>
        <v>0</v>
      </c>
      <c r="X9" s="375">
        <f t="shared" si="4"/>
        <v>0</v>
      </c>
      <c r="Y9" s="1677">
        <f t="shared" si="0"/>
        <v>0</v>
      </c>
    </row>
    <row r="10" spans="2:25" x14ac:dyDescent="0.2">
      <c r="B10" s="165"/>
      <c r="C10" s="173" t="s">
        <v>95</v>
      </c>
      <c r="D10" s="175"/>
      <c r="E10" s="175">
        <f>E8/(1+E9)</f>
        <v>0</v>
      </c>
      <c r="F10" s="175">
        <f>F8/(1+F9)</f>
        <v>0</v>
      </c>
      <c r="G10" s="175">
        <f>G8/(1+G9)</f>
        <v>0</v>
      </c>
      <c r="H10" s="175">
        <f>H8/(1+H9)</f>
        <v>0</v>
      </c>
      <c r="I10" s="39"/>
      <c r="J10" s="1642">
        <f>'8. T5 CASH BUDGET'!B23</f>
        <v>6</v>
      </c>
      <c r="K10" s="257" t="str">
        <f>'8. T5 CASH BUDGET'!C23</f>
        <v xml:space="preserve"> Materials and supplies</v>
      </c>
      <c r="L10" s="1332">
        <f>'8. T5 CASH BUDGET'!F23</f>
        <v>25.5</v>
      </c>
      <c r="M10" s="1333">
        <f>'8. T5 CASH BUDGET'!G23</f>
        <v>0</v>
      </c>
      <c r="N10" s="1333">
        <f>'8. T5 CASH BUDGET'!H23</f>
        <v>0</v>
      </c>
      <c r="O10" s="1333">
        <f>'8. T5 CASH BUDGET'!I23</f>
        <v>0</v>
      </c>
      <c r="P10" s="1333">
        <f>'8. T5 CASH BUDGET'!J23</f>
        <v>0</v>
      </c>
      <c r="Q10" s="1333">
        <f>'8. T5 CASH BUDGET'!K23</f>
        <v>0</v>
      </c>
      <c r="R10" s="1333">
        <f>'8. T5 CASH BUDGET'!L23</f>
        <v>0</v>
      </c>
      <c r="S10" s="1333">
        <f>'8. T5 CASH BUDGET'!M23</f>
        <v>0</v>
      </c>
      <c r="T10" s="1333">
        <f>'8. T5 CASH BUDGET'!N23</f>
        <v>0</v>
      </c>
      <c r="U10" s="1333">
        <f>'8. T5 CASH BUDGET'!O23</f>
        <v>0</v>
      </c>
      <c r="V10" s="1333">
        <f>'8. T5 CASH BUDGET'!P23</f>
        <v>0</v>
      </c>
      <c r="W10" s="1333">
        <f>'8. T5 CASH BUDGET'!Q23</f>
        <v>0</v>
      </c>
      <c r="X10" s="1333">
        <f>'8. T5 CASH BUDGET'!R23</f>
        <v>0</v>
      </c>
      <c r="Y10" s="1678">
        <f t="shared" si="0"/>
        <v>0</v>
      </c>
    </row>
    <row r="11" spans="2:25" x14ac:dyDescent="0.2">
      <c r="B11" s="165" t="s">
        <v>0</v>
      </c>
      <c r="C11" s="173" t="s">
        <v>94</v>
      </c>
      <c r="D11" s="175"/>
      <c r="E11" s="175">
        <f>E8-E10</f>
        <v>0</v>
      </c>
      <c r="F11" s="175">
        <f>F8-F10</f>
        <v>0</v>
      </c>
      <c r="G11" s="175">
        <f>G8-G10</f>
        <v>0</v>
      </c>
      <c r="H11" s="175">
        <f>H8-H10</f>
        <v>0</v>
      </c>
      <c r="I11" s="39"/>
      <c r="J11" s="1643"/>
      <c r="K11" s="1044" t="s">
        <v>192</v>
      </c>
      <c r="L11" s="1330"/>
      <c r="M11" s="83">
        <f>M10-M10/(1+$L10%)</f>
        <v>0</v>
      </c>
      <c r="N11" s="83">
        <f t="shared" ref="N11:X11" si="5">N10-N10/(1+$L10%)</f>
        <v>0</v>
      </c>
      <c r="O11" s="83">
        <f t="shared" si="5"/>
        <v>0</v>
      </c>
      <c r="P11" s="83">
        <f t="shared" si="5"/>
        <v>0</v>
      </c>
      <c r="Q11" s="83">
        <f t="shared" si="5"/>
        <v>0</v>
      </c>
      <c r="R11" s="83">
        <f t="shared" si="5"/>
        <v>0</v>
      </c>
      <c r="S11" s="83">
        <f t="shared" si="5"/>
        <v>0</v>
      </c>
      <c r="T11" s="83">
        <f t="shared" si="5"/>
        <v>0</v>
      </c>
      <c r="U11" s="83">
        <f t="shared" si="5"/>
        <v>0</v>
      </c>
      <c r="V11" s="83">
        <f t="shared" si="5"/>
        <v>0</v>
      </c>
      <c r="W11" s="83">
        <f t="shared" si="5"/>
        <v>0</v>
      </c>
      <c r="X11" s="83">
        <f t="shared" si="5"/>
        <v>0</v>
      </c>
      <c r="Y11" s="1679">
        <f t="shared" si="0"/>
        <v>0</v>
      </c>
    </row>
    <row r="12" spans="2:25" x14ac:dyDescent="0.2">
      <c r="B12" s="165"/>
      <c r="C12" s="173" t="str">
        <f>'1. T1 INVESTMENT PLAN'!C23</f>
        <v xml:space="preserve"> • grant %</v>
      </c>
      <c r="D12" s="174"/>
      <c r="E12" s="174">
        <f>'1. T1 INVESTMENT PLAN'!E23</f>
        <v>0</v>
      </c>
      <c r="F12" s="174">
        <f>'1. T1 INVESTMENT PLAN'!F23</f>
        <v>0</v>
      </c>
      <c r="G12" s="174">
        <f>'1. T1 INVESTMENT PLAN'!G23</f>
        <v>0</v>
      </c>
      <c r="H12" s="174">
        <f>'1. T1 INVESTMENT PLAN'!H23</f>
        <v>0</v>
      </c>
      <c r="I12" s="39"/>
      <c r="J12" s="1642">
        <f>'8. T5 CASH BUDGET'!B25</f>
        <v>7</v>
      </c>
      <c r="K12" s="257" t="str">
        <f>'8. T5 CASH BUDGET'!C25</f>
        <v xml:space="preserve"> Inventory (stock)</v>
      </c>
      <c r="L12" s="1332">
        <f>'8. T5 CASH BUDGET'!F25</f>
        <v>25.5</v>
      </c>
      <c r="M12" s="1333">
        <f>'8. T5 CASH BUDGET'!G25</f>
        <v>0</v>
      </c>
      <c r="N12" s="1333">
        <f>'8. T5 CASH BUDGET'!H25</f>
        <v>0</v>
      </c>
      <c r="O12" s="1333">
        <f>'8. T5 CASH BUDGET'!I25</f>
        <v>0</v>
      </c>
      <c r="P12" s="1333">
        <f>'8. T5 CASH BUDGET'!J25</f>
        <v>0</v>
      </c>
      <c r="Q12" s="1333">
        <f>'8. T5 CASH BUDGET'!K25</f>
        <v>0</v>
      </c>
      <c r="R12" s="1333">
        <f>'8. T5 CASH BUDGET'!L25</f>
        <v>0</v>
      </c>
      <c r="S12" s="1333">
        <f>'8. T5 CASH BUDGET'!M25</f>
        <v>0</v>
      </c>
      <c r="T12" s="1333">
        <f>'8. T5 CASH BUDGET'!N25</f>
        <v>0</v>
      </c>
      <c r="U12" s="1333">
        <f>'8. T5 CASH BUDGET'!O25</f>
        <v>0</v>
      </c>
      <c r="V12" s="1333">
        <f>'8. T5 CASH BUDGET'!P25</f>
        <v>0</v>
      </c>
      <c r="W12" s="1333">
        <f>'8. T5 CASH BUDGET'!Q25</f>
        <v>0</v>
      </c>
      <c r="X12" s="1333">
        <f>'8. T5 CASH BUDGET'!R25</f>
        <v>0</v>
      </c>
      <c r="Y12" s="1678">
        <f t="shared" si="0"/>
        <v>0</v>
      </c>
    </row>
    <row r="13" spans="2:25" x14ac:dyDescent="0.2">
      <c r="B13" s="165"/>
      <c r="C13" s="173" t="s">
        <v>96</v>
      </c>
      <c r="D13" s="175"/>
      <c r="E13" s="175">
        <f>E10*E12</f>
        <v>0</v>
      </c>
      <c r="F13" s="175">
        <f>F10*F12</f>
        <v>0</v>
      </c>
      <c r="G13" s="175">
        <f>G10*G12</f>
        <v>0</v>
      </c>
      <c r="H13" s="175">
        <f>H10*H12</f>
        <v>0</v>
      </c>
      <c r="I13" s="39"/>
      <c r="J13" s="1643"/>
      <c r="K13" s="1044" t="s">
        <v>192</v>
      </c>
      <c r="L13" s="1330"/>
      <c r="M13" s="83">
        <f>M12-M12/(1+$L12%)</f>
        <v>0</v>
      </c>
      <c r="N13" s="83">
        <f t="shared" ref="N13:X13" si="6">N12-N12/(1+$L12%)</f>
        <v>0</v>
      </c>
      <c r="O13" s="83">
        <f t="shared" si="6"/>
        <v>0</v>
      </c>
      <c r="P13" s="83">
        <f t="shared" si="6"/>
        <v>0</v>
      </c>
      <c r="Q13" s="83">
        <f t="shared" si="6"/>
        <v>0</v>
      </c>
      <c r="R13" s="83">
        <f t="shared" si="6"/>
        <v>0</v>
      </c>
      <c r="S13" s="83">
        <f t="shared" si="6"/>
        <v>0</v>
      </c>
      <c r="T13" s="83">
        <f t="shared" si="6"/>
        <v>0</v>
      </c>
      <c r="U13" s="83">
        <f t="shared" si="6"/>
        <v>0</v>
      </c>
      <c r="V13" s="83">
        <f t="shared" si="6"/>
        <v>0</v>
      </c>
      <c r="W13" s="83">
        <f t="shared" si="6"/>
        <v>0</v>
      </c>
      <c r="X13" s="83">
        <f t="shared" si="6"/>
        <v>0</v>
      </c>
      <c r="Y13" s="1679">
        <f t="shared" si="0"/>
        <v>0</v>
      </c>
    </row>
    <row r="14" spans="2:25" x14ac:dyDescent="0.2">
      <c r="C14" s="173" t="s">
        <v>136</v>
      </c>
      <c r="D14" s="192"/>
      <c r="E14" s="192">
        <f>E10-E13</f>
        <v>0</v>
      </c>
      <c r="F14" s="192">
        <f>F10-F13</f>
        <v>0</v>
      </c>
      <c r="G14" s="192">
        <f>G10-G13</f>
        <v>0</v>
      </c>
      <c r="H14" s="192">
        <f>H10-H13</f>
        <v>0</v>
      </c>
      <c r="I14" s="26"/>
      <c r="J14" s="1642">
        <f>'8. T5 CASH BUDGET'!B26</f>
        <v>8</v>
      </c>
      <c r="K14" s="257" t="str">
        <f>'8. T5 CASH BUDGET'!C26</f>
        <v xml:space="preserve"> Outsourced services</v>
      </c>
      <c r="L14" s="1332">
        <f>'8. T5 CASH BUDGET'!F26</f>
        <v>25.5</v>
      </c>
      <c r="M14" s="1333">
        <f>'8. T5 CASH BUDGET'!G26</f>
        <v>0</v>
      </c>
      <c r="N14" s="1333">
        <f>'8. T5 CASH BUDGET'!H26</f>
        <v>0</v>
      </c>
      <c r="O14" s="1333">
        <f>'8. T5 CASH BUDGET'!I26</f>
        <v>0</v>
      </c>
      <c r="P14" s="1333">
        <f>'8. T5 CASH BUDGET'!J26</f>
        <v>0</v>
      </c>
      <c r="Q14" s="1333">
        <f>'8. T5 CASH BUDGET'!K26</f>
        <v>0</v>
      </c>
      <c r="R14" s="1333">
        <f>'8. T5 CASH BUDGET'!L26</f>
        <v>0</v>
      </c>
      <c r="S14" s="1333">
        <f>'8. T5 CASH BUDGET'!M26</f>
        <v>0</v>
      </c>
      <c r="T14" s="1333">
        <f>'8. T5 CASH BUDGET'!N26</f>
        <v>0</v>
      </c>
      <c r="U14" s="1333">
        <f>'8. T5 CASH BUDGET'!O26</f>
        <v>0</v>
      </c>
      <c r="V14" s="1333">
        <f>'8. T5 CASH BUDGET'!P26</f>
        <v>0</v>
      </c>
      <c r="W14" s="1333">
        <f>'8. T5 CASH BUDGET'!Q26</f>
        <v>0</v>
      </c>
      <c r="X14" s="1333">
        <f>'8. T5 CASH BUDGET'!R26</f>
        <v>0</v>
      </c>
      <c r="Y14" s="1678">
        <f t="shared" si="0"/>
        <v>0</v>
      </c>
    </row>
    <row r="15" spans="2:25" x14ac:dyDescent="0.2">
      <c r="B15" s="1326" t="str">
        <f>'1. T1 INVESTMENT PLAN'!B24</f>
        <v>3.</v>
      </c>
      <c r="C15" s="173" t="str">
        <f>'1. T1 INVESTMENT PLAN'!C24</f>
        <v>Real estate and buildings</v>
      </c>
      <c r="D15" s="173"/>
      <c r="E15" s="173">
        <f>'1. T1 INVESTMENT PLAN'!E24</f>
        <v>0</v>
      </c>
      <c r="F15" s="173">
        <f>'1. T1 INVESTMENT PLAN'!F24</f>
        <v>0</v>
      </c>
      <c r="G15" s="173">
        <f>'1. T1 INVESTMENT PLAN'!G24</f>
        <v>0</v>
      </c>
      <c r="H15" s="173">
        <f>'1. T1 INVESTMENT PLAN'!H24</f>
        <v>0</v>
      </c>
      <c r="I15" s="39"/>
      <c r="J15" s="1643"/>
      <c r="K15" s="1044" t="s">
        <v>192</v>
      </c>
      <c r="L15" s="1330"/>
      <c r="M15" s="83">
        <f>M14-M14/(1+$L14%)</f>
        <v>0</v>
      </c>
      <c r="N15" s="83">
        <f t="shared" ref="N15:X15" si="7">N14-N14/(1+$L14%)</f>
        <v>0</v>
      </c>
      <c r="O15" s="83">
        <f t="shared" si="7"/>
        <v>0</v>
      </c>
      <c r="P15" s="83">
        <f t="shared" si="7"/>
        <v>0</v>
      </c>
      <c r="Q15" s="83">
        <f t="shared" si="7"/>
        <v>0</v>
      </c>
      <c r="R15" s="83">
        <f t="shared" si="7"/>
        <v>0</v>
      </c>
      <c r="S15" s="83">
        <f t="shared" si="7"/>
        <v>0</v>
      </c>
      <c r="T15" s="83">
        <f t="shared" si="7"/>
        <v>0</v>
      </c>
      <c r="U15" s="83">
        <f t="shared" si="7"/>
        <v>0</v>
      </c>
      <c r="V15" s="83">
        <f t="shared" si="7"/>
        <v>0</v>
      </c>
      <c r="W15" s="83">
        <f t="shared" si="7"/>
        <v>0</v>
      </c>
      <c r="X15" s="83">
        <f t="shared" si="7"/>
        <v>0</v>
      </c>
      <c r="Y15" s="1679">
        <f t="shared" si="0"/>
        <v>0</v>
      </c>
    </row>
    <row r="16" spans="2:25" x14ac:dyDescent="0.2">
      <c r="B16" s="165"/>
      <c r="C16" s="173" t="str">
        <f>'1. T1 INVESTMENT PLAN'!C26</f>
        <v xml:space="preserve"> • grant %</v>
      </c>
      <c r="D16" s="174"/>
      <c r="E16" s="174">
        <f>'1. T1 INVESTMENT PLAN'!E26</f>
        <v>0</v>
      </c>
      <c r="F16" s="174">
        <f>'1. T1 INVESTMENT PLAN'!F26</f>
        <v>0</v>
      </c>
      <c r="G16" s="174">
        <f>'1. T1 INVESTMENT PLAN'!G26</f>
        <v>0</v>
      </c>
      <c r="H16" s="174">
        <f>'1. T1 INVESTMENT PLAN'!H26</f>
        <v>0</v>
      </c>
      <c r="I16" s="39"/>
      <c r="J16" s="1642">
        <f>'8. T5 CASH BUDGET'!B27</f>
        <v>9</v>
      </c>
      <c r="K16" s="257" t="str">
        <f>'8. T5 CASH BUDGET'!C27</f>
        <v xml:space="preserve"> Investments incl. VAT</v>
      </c>
      <c r="L16" s="1332">
        <f>'8. T5 CASH BUDGET'!F27</f>
        <v>25.5</v>
      </c>
      <c r="M16" s="1333">
        <f>'8. T5 CASH BUDGET'!G27</f>
        <v>0</v>
      </c>
      <c r="N16" s="1333">
        <f>'8. T5 CASH BUDGET'!H27</f>
        <v>0</v>
      </c>
      <c r="O16" s="1333">
        <f>'8. T5 CASH BUDGET'!I27</f>
        <v>0</v>
      </c>
      <c r="P16" s="1333">
        <f>'8. T5 CASH BUDGET'!J27</f>
        <v>0</v>
      </c>
      <c r="Q16" s="1333">
        <f>'8. T5 CASH BUDGET'!K27</f>
        <v>0</v>
      </c>
      <c r="R16" s="1333">
        <f>'8. T5 CASH BUDGET'!L27</f>
        <v>0</v>
      </c>
      <c r="S16" s="1333">
        <f>'8. T5 CASH BUDGET'!M27</f>
        <v>0</v>
      </c>
      <c r="T16" s="1333">
        <f>'8. T5 CASH BUDGET'!N27</f>
        <v>0</v>
      </c>
      <c r="U16" s="1333">
        <f>'8. T5 CASH BUDGET'!O27</f>
        <v>0</v>
      </c>
      <c r="V16" s="1333">
        <f>'8. T5 CASH BUDGET'!P27</f>
        <v>0</v>
      </c>
      <c r="W16" s="1333">
        <f>'8. T5 CASH BUDGET'!Q27</f>
        <v>0</v>
      </c>
      <c r="X16" s="1333">
        <f>'8. T5 CASH BUDGET'!R27</f>
        <v>0</v>
      </c>
      <c r="Y16" s="1678">
        <f t="shared" si="0"/>
        <v>0</v>
      </c>
    </row>
    <row r="17" spans="2:25" x14ac:dyDescent="0.2">
      <c r="B17" s="165"/>
      <c r="C17" s="173" t="s">
        <v>96</v>
      </c>
      <c r="D17" s="84"/>
      <c r="E17" s="84">
        <f>E15*E16</f>
        <v>0</v>
      </c>
      <c r="F17" s="84">
        <f>F15*F16</f>
        <v>0</v>
      </c>
      <c r="G17" s="84">
        <f>G15*G16</f>
        <v>0</v>
      </c>
      <c r="H17" s="84">
        <f>H15*H16</f>
        <v>0</v>
      </c>
      <c r="I17" s="39"/>
      <c r="J17" s="1643"/>
      <c r="K17" s="1044" t="s">
        <v>192</v>
      </c>
      <c r="L17" s="1330"/>
      <c r="M17" s="83">
        <f>M16-M16/(1+$L16%)</f>
        <v>0</v>
      </c>
      <c r="N17" s="83">
        <f t="shared" ref="N17:X17" si="8">N16-N16/(1+$L16%)</f>
        <v>0</v>
      </c>
      <c r="O17" s="83">
        <f t="shared" si="8"/>
        <v>0</v>
      </c>
      <c r="P17" s="83">
        <f t="shared" si="8"/>
        <v>0</v>
      </c>
      <c r="Q17" s="83">
        <f t="shared" si="8"/>
        <v>0</v>
      </c>
      <c r="R17" s="83">
        <f t="shared" si="8"/>
        <v>0</v>
      </c>
      <c r="S17" s="83">
        <f t="shared" si="8"/>
        <v>0</v>
      </c>
      <c r="T17" s="83">
        <f t="shared" si="8"/>
        <v>0</v>
      </c>
      <c r="U17" s="83">
        <f t="shared" si="8"/>
        <v>0</v>
      </c>
      <c r="V17" s="83">
        <f t="shared" si="8"/>
        <v>0</v>
      </c>
      <c r="W17" s="83">
        <f t="shared" si="8"/>
        <v>0</v>
      </c>
      <c r="X17" s="83">
        <f t="shared" si="8"/>
        <v>0</v>
      </c>
      <c r="Y17" s="1679">
        <f t="shared" si="0"/>
        <v>0</v>
      </c>
    </row>
    <row r="18" spans="2:25" x14ac:dyDescent="0.2">
      <c r="C18" s="173" t="s">
        <v>136</v>
      </c>
      <c r="D18" s="84"/>
      <c r="E18" s="84">
        <f>E15-E17</f>
        <v>0</v>
      </c>
      <c r="F18" s="84">
        <f>F15-F17</f>
        <v>0</v>
      </c>
      <c r="G18" s="84">
        <f>G15-G17</f>
        <v>0</v>
      </c>
      <c r="H18" s="84">
        <f>H15-H17</f>
        <v>0</v>
      </c>
      <c r="I18" s="26"/>
      <c r="J18" s="1642">
        <f>'8. T5 CASH BUDGET'!B28</f>
        <v>10</v>
      </c>
      <c r="K18" s="257" t="str">
        <f>'8. T5 CASH BUDGET'!C28</f>
        <v xml:space="preserve"> Facility rents incl. VAT</v>
      </c>
      <c r="L18" s="1332">
        <f>'8. T5 CASH BUDGET'!F28</f>
        <v>25.5</v>
      </c>
      <c r="M18" s="1333">
        <f>'8. T5 CASH BUDGET'!G28</f>
        <v>0</v>
      </c>
      <c r="N18" s="1333">
        <f>'8. T5 CASH BUDGET'!H28</f>
        <v>0</v>
      </c>
      <c r="O18" s="1333">
        <f>'8. T5 CASH BUDGET'!I28</f>
        <v>0</v>
      </c>
      <c r="P18" s="1333">
        <f>'8. T5 CASH BUDGET'!J28</f>
        <v>0</v>
      </c>
      <c r="Q18" s="1333">
        <f>'8. T5 CASH BUDGET'!K28</f>
        <v>0</v>
      </c>
      <c r="R18" s="1333">
        <f>'8. T5 CASH BUDGET'!L28</f>
        <v>0</v>
      </c>
      <c r="S18" s="1333">
        <f>'8. T5 CASH BUDGET'!M28</f>
        <v>0</v>
      </c>
      <c r="T18" s="1333">
        <f>'8. T5 CASH BUDGET'!N28</f>
        <v>0</v>
      </c>
      <c r="U18" s="1333">
        <f>'8. T5 CASH BUDGET'!O28</f>
        <v>0</v>
      </c>
      <c r="V18" s="1333">
        <f>'8. T5 CASH BUDGET'!P28</f>
        <v>0</v>
      </c>
      <c r="W18" s="1333">
        <f>'8. T5 CASH BUDGET'!Q28</f>
        <v>0</v>
      </c>
      <c r="X18" s="1333">
        <f>'8. T5 CASH BUDGET'!R28</f>
        <v>0</v>
      </c>
      <c r="Y18" s="1678">
        <f t="shared" si="0"/>
        <v>0</v>
      </c>
    </row>
    <row r="19" spans="2:25" x14ac:dyDescent="0.2">
      <c r="B19" s="1326" t="str">
        <f>'1. T1 INVESTMENT PLAN'!B27</f>
        <v>4.</v>
      </c>
      <c r="C19" s="173" t="str">
        <f>'1. T1 INVESTMENT PLAN'!C27</f>
        <v>Machinery and equipment incl. VAT</v>
      </c>
      <c r="D19" s="173"/>
      <c r="E19" s="173">
        <f>'1. T1 INVESTMENT PLAN'!E27</f>
        <v>0</v>
      </c>
      <c r="F19" s="173">
        <f>'1. T1 INVESTMENT PLAN'!F27</f>
        <v>0</v>
      </c>
      <c r="G19" s="173">
        <f>'1. T1 INVESTMENT PLAN'!G27</f>
        <v>0</v>
      </c>
      <c r="H19" s="173">
        <f>'1. T1 INVESTMENT PLAN'!H27</f>
        <v>0</v>
      </c>
      <c r="I19" s="39"/>
      <c r="J19" s="1643"/>
      <c r="K19" s="1044" t="s">
        <v>192</v>
      </c>
      <c r="L19" s="1330"/>
      <c r="M19" s="83">
        <f>M18-M18/(1+$L18%)</f>
        <v>0</v>
      </c>
      <c r="N19" s="83">
        <f t="shared" ref="N19:X19" si="9">N18-N18/(1+$L18%)</f>
        <v>0</v>
      </c>
      <c r="O19" s="83">
        <f t="shared" si="9"/>
        <v>0</v>
      </c>
      <c r="P19" s="83">
        <f t="shared" si="9"/>
        <v>0</v>
      </c>
      <c r="Q19" s="83">
        <f t="shared" si="9"/>
        <v>0</v>
      </c>
      <c r="R19" s="83">
        <f t="shared" si="9"/>
        <v>0</v>
      </c>
      <c r="S19" s="83">
        <f t="shared" si="9"/>
        <v>0</v>
      </c>
      <c r="T19" s="83">
        <f t="shared" si="9"/>
        <v>0</v>
      </c>
      <c r="U19" s="83">
        <f t="shared" si="9"/>
        <v>0</v>
      </c>
      <c r="V19" s="83">
        <f t="shared" si="9"/>
        <v>0</v>
      </c>
      <c r="W19" s="83">
        <f t="shared" si="9"/>
        <v>0</v>
      </c>
      <c r="X19" s="83">
        <f t="shared" si="9"/>
        <v>0</v>
      </c>
      <c r="Y19" s="1679">
        <f t="shared" si="0"/>
        <v>0</v>
      </c>
    </row>
    <row r="20" spans="2:25" x14ac:dyDescent="0.2">
      <c r="B20" s="165"/>
      <c r="C20" s="173" t="s">
        <v>257</v>
      </c>
      <c r="D20" s="84"/>
      <c r="E20" s="518">
        <f>'1. T1 INVESTMENT PLAN'!E58</f>
        <v>0</v>
      </c>
      <c r="F20" s="518">
        <f>'1. T1 INVESTMENT PLAN'!F58</f>
        <v>0</v>
      </c>
      <c r="G20" s="518">
        <f>'1. T1 INVESTMENT PLAN'!G58</f>
        <v>0</v>
      </c>
      <c r="H20" s="518">
        <f>'1. T1 INVESTMENT PLAN'!H58</f>
        <v>0</v>
      </c>
      <c r="I20" s="4"/>
      <c r="J20" s="6"/>
      <c r="K20" s="483"/>
    </row>
    <row r="21" spans="2:25" x14ac:dyDescent="0.2">
      <c r="B21" s="165"/>
      <c r="C21" s="173" t="s">
        <v>258</v>
      </c>
      <c r="D21" s="84"/>
      <c r="E21" s="192">
        <f>E19-E20</f>
        <v>0</v>
      </c>
      <c r="F21" s="192">
        <f>F19-F20</f>
        <v>0</v>
      </c>
      <c r="G21" s="192">
        <f>G19-G20</f>
        <v>0</v>
      </c>
      <c r="H21" s="192">
        <f>H19-H20</f>
        <v>0</v>
      </c>
      <c r="I21" s="4"/>
      <c r="J21" s="6"/>
      <c r="K21" s="483"/>
    </row>
    <row r="22" spans="2:25" x14ac:dyDescent="0.2">
      <c r="B22" s="165" t="s">
        <v>0</v>
      </c>
      <c r="C22" s="173" t="str">
        <f>'1. T1 INVESTMENT PLAN'!C28</f>
        <v xml:space="preserve"> • VAT %</v>
      </c>
      <c r="D22" s="174"/>
      <c r="E22" s="174">
        <f>'1. T1 INVESTMENT PLAN'!E28</f>
        <v>0.255</v>
      </c>
      <c r="F22" s="174">
        <f>'1. T1 INVESTMENT PLAN'!F28</f>
        <v>0.255</v>
      </c>
      <c r="G22" s="174">
        <f>'1. T1 INVESTMENT PLAN'!G28</f>
        <v>0.255</v>
      </c>
      <c r="H22" s="174">
        <f>'1. T1 INVESTMENT PLAN'!H28</f>
        <v>0.255</v>
      </c>
      <c r="I22" s="39"/>
      <c r="J22" s="1642">
        <f>'8. T5 CASH BUDGET'!B29</f>
        <v>11</v>
      </c>
      <c r="K22" s="257" t="str">
        <f>'8. T5 CASH BUDGET'!C29</f>
        <v xml:space="preserve"> Leasing and rental costs, investments incl. VAT</v>
      </c>
      <c r="L22" s="1332">
        <f>'8. T5 CASH BUDGET'!F29</f>
        <v>25.5</v>
      </c>
      <c r="M22" s="1333">
        <f>'8. T5 CASH BUDGET'!G29</f>
        <v>0</v>
      </c>
      <c r="N22" s="1333">
        <f>'8. T5 CASH BUDGET'!H29</f>
        <v>0</v>
      </c>
      <c r="O22" s="1333">
        <f>'8. T5 CASH BUDGET'!I29</f>
        <v>0</v>
      </c>
      <c r="P22" s="1333">
        <f>'8. T5 CASH BUDGET'!J29</f>
        <v>0</v>
      </c>
      <c r="Q22" s="1333">
        <f>'8. T5 CASH BUDGET'!K29</f>
        <v>0</v>
      </c>
      <c r="R22" s="1333">
        <f>'8. T5 CASH BUDGET'!L29</f>
        <v>0</v>
      </c>
      <c r="S22" s="1333">
        <f>'8. T5 CASH BUDGET'!M29</f>
        <v>0</v>
      </c>
      <c r="T22" s="1333">
        <f>'8. T5 CASH BUDGET'!N29</f>
        <v>0</v>
      </c>
      <c r="U22" s="1333">
        <f>'8. T5 CASH BUDGET'!O29</f>
        <v>0</v>
      </c>
      <c r="V22" s="1333">
        <f>'8. T5 CASH BUDGET'!P29</f>
        <v>0</v>
      </c>
      <c r="W22" s="1333">
        <f>'8. T5 CASH BUDGET'!Q29</f>
        <v>0</v>
      </c>
      <c r="X22" s="1333">
        <f>'8. T5 CASH BUDGET'!R29</f>
        <v>0</v>
      </c>
      <c r="Y22" s="1678">
        <f t="shared" ref="Y22:Y27" si="10">SUM(M22:X22)</f>
        <v>0</v>
      </c>
    </row>
    <row r="23" spans="2:25" x14ac:dyDescent="0.2">
      <c r="B23" s="165"/>
      <c r="C23" s="173" t="s">
        <v>95</v>
      </c>
      <c r="D23" s="175"/>
      <c r="E23" s="175">
        <f>E21/(1+E22)</f>
        <v>0</v>
      </c>
      <c r="F23" s="175">
        <f>F21/(1+F22)</f>
        <v>0</v>
      </c>
      <c r="G23" s="175">
        <f>G21/(1+G22)</f>
        <v>0</v>
      </c>
      <c r="H23" s="175">
        <f>H21/(1+H22)</f>
        <v>0</v>
      </c>
      <c r="I23" s="39"/>
      <c r="J23" s="1643"/>
      <c r="K23" s="1044" t="s">
        <v>192</v>
      </c>
      <c r="L23" s="1330"/>
      <c r="M23" s="83">
        <f>M22-M22/(1+$L22%)</f>
        <v>0</v>
      </c>
      <c r="N23" s="83">
        <f t="shared" ref="N23:X23" si="11">N22-N22/(1+$L22%)</f>
        <v>0</v>
      </c>
      <c r="O23" s="83">
        <f t="shared" si="11"/>
        <v>0</v>
      </c>
      <c r="P23" s="83">
        <f t="shared" si="11"/>
        <v>0</v>
      </c>
      <c r="Q23" s="83">
        <f t="shared" si="11"/>
        <v>0</v>
      </c>
      <c r="R23" s="83">
        <f t="shared" si="11"/>
        <v>0</v>
      </c>
      <c r="S23" s="83">
        <f t="shared" si="11"/>
        <v>0</v>
      </c>
      <c r="T23" s="83">
        <f t="shared" si="11"/>
        <v>0</v>
      </c>
      <c r="U23" s="83">
        <f t="shared" si="11"/>
        <v>0</v>
      </c>
      <c r="V23" s="83">
        <f t="shared" si="11"/>
        <v>0</v>
      </c>
      <c r="W23" s="83">
        <f t="shared" si="11"/>
        <v>0</v>
      </c>
      <c r="X23" s="83">
        <f t="shared" si="11"/>
        <v>0</v>
      </c>
      <c r="Y23" s="1679">
        <f t="shared" si="10"/>
        <v>0</v>
      </c>
    </row>
    <row r="24" spans="2:25" x14ac:dyDescent="0.2">
      <c r="B24" s="165"/>
      <c r="C24" s="173" t="s">
        <v>94</v>
      </c>
      <c r="D24" s="175"/>
      <c r="E24" s="175">
        <f>E21-E23</f>
        <v>0</v>
      </c>
      <c r="F24" s="175">
        <f>F21-F23</f>
        <v>0</v>
      </c>
      <c r="G24" s="175">
        <f>G21-G23</f>
        <v>0</v>
      </c>
      <c r="H24" s="175">
        <f>H21-H23</f>
        <v>0</v>
      </c>
      <c r="I24" s="39"/>
      <c r="J24" s="1642">
        <f>'8. T5 CASH BUDGET'!B30</f>
        <v>12</v>
      </c>
      <c r="K24" s="257" t="str">
        <f>'8. T5 CASH BUDGET'!C30</f>
        <v xml:space="preserve"> Other fixed costs incl. VAT</v>
      </c>
      <c r="L24" s="1332">
        <f>'AT2 Lainat, alv'!E64*100</f>
        <v>0</v>
      </c>
      <c r="M24" s="1737">
        <f>'8. T5 CASH BUDGET'!G30</f>
        <v>0</v>
      </c>
      <c r="N24" s="1737">
        <f>'8. T5 CASH BUDGET'!H30</f>
        <v>0</v>
      </c>
      <c r="O24" s="1737">
        <f>'8. T5 CASH BUDGET'!I30</f>
        <v>0</v>
      </c>
      <c r="P24" s="1737">
        <f>'8. T5 CASH BUDGET'!J30</f>
        <v>0</v>
      </c>
      <c r="Q24" s="1737">
        <f>'8. T5 CASH BUDGET'!K30</f>
        <v>0</v>
      </c>
      <c r="R24" s="1737">
        <f>'8. T5 CASH BUDGET'!L30</f>
        <v>0</v>
      </c>
      <c r="S24" s="1737">
        <f>'8. T5 CASH BUDGET'!M30</f>
        <v>0</v>
      </c>
      <c r="T24" s="1737">
        <f>'8. T5 CASH BUDGET'!N30</f>
        <v>0</v>
      </c>
      <c r="U24" s="1737">
        <f>'8. T5 CASH BUDGET'!O30</f>
        <v>0</v>
      </c>
      <c r="V24" s="1737">
        <f>'8. T5 CASH BUDGET'!P30</f>
        <v>0</v>
      </c>
      <c r="W24" s="1737">
        <f>'8. T5 CASH BUDGET'!Q30</f>
        <v>0</v>
      </c>
      <c r="X24" s="1737">
        <f>'8. T5 CASH BUDGET'!R30</f>
        <v>0</v>
      </c>
      <c r="Y24" s="1678">
        <f t="shared" si="10"/>
        <v>0</v>
      </c>
    </row>
    <row r="25" spans="2:25" x14ac:dyDescent="0.2">
      <c r="B25" s="165" t="s">
        <v>0</v>
      </c>
      <c r="C25" s="173" t="str">
        <f>'1. T1 INVESTMENT PLAN'!C29</f>
        <v xml:space="preserve"> • grant %</v>
      </c>
      <c r="D25" s="174"/>
      <c r="E25" s="174">
        <f>'1. T1 INVESTMENT PLAN'!E29</f>
        <v>0</v>
      </c>
      <c r="F25" s="174">
        <f>'1. T1 INVESTMENT PLAN'!F29</f>
        <v>0</v>
      </c>
      <c r="G25" s="174">
        <f>'1. T1 INVESTMENT PLAN'!G29</f>
        <v>0</v>
      </c>
      <c r="H25" s="174">
        <f>'1. T1 INVESTMENT PLAN'!H29</f>
        <v>0</v>
      </c>
      <c r="I25" s="21"/>
      <c r="J25" s="1643"/>
      <c r="K25" s="1044" t="s">
        <v>192</v>
      </c>
      <c r="L25" s="1330"/>
      <c r="M25" s="1738">
        <f>M24-M24/(1+$L24%)</f>
        <v>0</v>
      </c>
      <c r="N25" s="1738">
        <f t="shared" ref="N25:X25" si="12">N24-N24/(1+$L24%)</f>
        <v>0</v>
      </c>
      <c r="O25" s="1738">
        <f>O24-O24/(1+$L24%)</f>
        <v>0</v>
      </c>
      <c r="P25" s="1738">
        <f t="shared" si="12"/>
        <v>0</v>
      </c>
      <c r="Q25" s="1738">
        <f t="shared" si="12"/>
        <v>0</v>
      </c>
      <c r="R25" s="1738">
        <f t="shared" si="12"/>
        <v>0</v>
      </c>
      <c r="S25" s="1738">
        <f t="shared" si="12"/>
        <v>0</v>
      </c>
      <c r="T25" s="1738">
        <f t="shared" si="12"/>
        <v>0</v>
      </c>
      <c r="U25" s="1738">
        <f t="shared" si="12"/>
        <v>0</v>
      </c>
      <c r="V25" s="1738">
        <f t="shared" si="12"/>
        <v>0</v>
      </c>
      <c r="W25" s="1738">
        <f t="shared" si="12"/>
        <v>0</v>
      </c>
      <c r="X25" s="1738">
        <f t="shared" si="12"/>
        <v>0</v>
      </c>
      <c r="Y25" s="1679">
        <f t="shared" si="10"/>
        <v>0</v>
      </c>
    </row>
    <row r="26" spans="2:25" x14ac:dyDescent="0.2">
      <c r="B26" s="165"/>
      <c r="C26" s="173" t="s">
        <v>96</v>
      </c>
      <c r="D26" s="175"/>
      <c r="E26" s="175">
        <f>E23*E25</f>
        <v>0</v>
      </c>
      <c r="F26" s="175">
        <f>F23*F25</f>
        <v>0</v>
      </c>
      <c r="G26" s="175">
        <f>G23*G25</f>
        <v>0</v>
      </c>
      <c r="H26" s="175">
        <f>H23*H25</f>
        <v>0</v>
      </c>
      <c r="I26" s="21"/>
      <c r="J26" s="376"/>
      <c r="K26" s="380" t="s">
        <v>194</v>
      </c>
      <c r="L26" s="380"/>
      <c r="M26" s="380">
        <f>M11+M13+M15+M17+M19+M23+M25</f>
        <v>0</v>
      </c>
      <c r="N26" s="380">
        <f t="shared" ref="N26:X26" si="13">N11+N13+N15+N17+N19+N23+N25</f>
        <v>0</v>
      </c>
      <c r="O26" s="380">
        <f>O11+O13+O15+O17+O19+O23+O25</f>
        <v>0</v>
      </c>
      <c r="P26" s="380">
        <f t="shared" si="13"/>
        <v>0</v>
      </c>
      <c r="Q26" s="380">
        <f t="shared" si="13"/>
        <v>0</v>
      </c>
      <c r="R26" s="380">
        <f t="shared" si="13"/>
        <v>0</v>
      </c>
      <c r="S26" s="380">
        <f t="shared" si="13"/>
        <v>0</v>
      </c>
      <c r="T26" s="380">
        <f t="shared" si="13"/>
        <v>0</v>
      </c>
      <c r="U26" s="380">
        <f t="shared" si="13"/>
        <v>0</v>
      </c>
      <c r="V26" s="380">
        <f t="shared" si="13"/>
        <v>0</v>
      </c>
      <c r="W26" s="380">
        <f t="shared" si="13"/>
        <v>0</v>
      </c>
      <c r="X26" s="380">
        <f t="shared" si="13"/>
        <v>0</v>
      </c>
      <c r="Y26" s="1679">
        <f t="shared" si="10"/>
        <v>0</v>
      </c>
    </row>
    <row r="27" spans="2:25" x14ac:dyDescent="0.2">
      <c r="C27" s="173" t="s">
        <v>136</v>
      </c>
      <c r="D27" s="192"/>
      <c r="E27" s="192">
        <f>E23-E26</f>
        <v>0</v>
      </c>
      <c r="F27" s="192">
        <f>F23-F26</f>
        <v>0</v>
      </c>
      <c r="G27" s="192">
        <f>G23-G26</f>
        <v>0</v>
      </c>
      <c r="H27" s="192">
        <f>H23-H26</f>
        <v>0</v>
      </c>
      <c r="I27" s="26"/>
      <c r="K27" s="389" t="s">
        <v>195</v>
      </c>
      <c r="L27" s="389"/>
      <c r="M27" s="379">
        <f t="shared" ref="M27:X27" si="14">M9-M26</f>
        <v>0</v>
      </c>
      <c r="N27" s="379">
        <f t="shared" si="14"/>
        <v>0</v>
      </c>
      <c r="O27" s="379">
        <f t="shared" si="14"/>
        <v>0</v>
      </c>
      <c r="P27" s="379">
        <f t="shared" si="14"/>
        <v>0</v>
      </c>
      <c r="Q27" s="379">
        <f t="shared" si="14"/>
        <v>0</v>
      </c>
      <c r="R27" s="379">
        <f t="shared" si="14"/>
        <v>0</v>
      </c>
      <c r="S27" s="379">
        <f t="shared" si="14"/>
        <v>0</v>
      </c>
      <c r="T27" s="379">
        <f t="shared" si="14"/>
        <v>0</v>
      </c>
      <c r="U27" s="379">
        <f t="shared" si="14"/>
        <v>0</v>
      </c>
      <c r="V27" s="379">
        <f t="shared" si="14"/>
        <v>0</v>
      </c>
      <c r="W27" s="379">
        <f t="shared" si="14"/>
        <v>0</v>
      </c>
      <c r="X27" s="379">
        <f t="shared" si="14"/>
        <v>0</v>
      </c>
      <c r="Y27" s="1679">
        <f t="shared" si="10"/>
        <v>0</v>
      </c>
    </row>
    <row r="28" spans="2:25" x14ac:dyDescent="0.2">
      <c r="B28" s="1326" t="str">
        <f>'1. T1 INVESTMENT PLAN'!B30</f>
        <v>5.</v>
      </c>
      <c r="C28" s="173" t="str">
        <f>'1. T1 INVESTMENT PLAN'!C30</f>
        <v>Machinery and equipment VAT 0%</v>
      </c>
      <c r="D28" s="173"/>
      <c r="E28" s="173">
        <f>'1. T1 INVESTMENT PLAN'!E30</f>
        <v>0</v>
      </c>
      <c r="F28" s="173">
        <f>'1. T1 INVESTMENT PLAN'!F30</f>
        <v>0</v>
      </c>
      <c r="G28" s="173">
        <f>'1. T1 INVESTMENT PLAN'!G30</f>
        <v>0</v>
      </c>
      <c r="H28" s="173">
        <f>'1. T1 INVESTMENT PLAN'!H30</f>
        <v>0</v>
      </c>
      <c r="I28" s="21"/>
      <c r="J28" s="21"/>
      <c r="K28" s="21"/>
    </row>
    <row r="29" spans="2:25" x14ac:dyDescent="0.2">
      <c r="B29" s="165"/>
      <c r="C29" s="173" t="s">
        <v>257</v>
      </c>
      <c r="D29" s="174"/>
      <c r="E29" s="518">
        <f>'1. T1 INVESTMENT PLAN'!E59</f>
        <v>0</v>
      </c>
      <c r="F29" s="518">
        <f>'1. T1 INVESTMENT PLAN'!F59</f>
        <v>0</v>
      </c>
      <c r="G29" s="518">
        <f>'1. T1 INVESTMENT PLAN'!G59</f>
        <v>0</v>
      </c>
      <c r="H29" s="518">
        <f>'1. T1 INVESTMENT PLAN'!H59</f>
        <v>0</v>
      </c>
      <c r="I29" s="21"/>
      <c r="J29" s="21"/>
      <c r="K29" s="21"/>
    </row>
    <row r="30" spans="2:25" x14ac:dyDescent="0.2">
      <c r="C30" s="173" t="s">
        <v>260</v>
      </c>
      <c r="D30" s="84"/>
      <c r="E30" s="192">
        <f>E28-E29</f>
        <v>0</v>
      </c>
      <c r="F30" s="192">
        <f>F28-F29</f>
        <v>0</v>
      </c>
      <c r="G30" s="192">
        <f>G28-G29</f>
        <v>0</v>
      </c>
      <c r="H30" s="192">
        <f>H28-H29</f>
        <v>0</v>
      </c>
      <c r="I30" s="26"/>
      <c r="J30" s="26"/>
      <c r="K30" s="26"/>
    </row>
    <row r="31" spans="2:25" ht="13.5" thickBot="1" x14ac:dyDescent="0.25">
      <c r="C31" s="173" t="str">
        <f>'1. T1 INVESTMENT PLAN'!C31</f>
        <v xml:space="preserve"> • grant %</v>
      </c>
      <c r="D31" s="84"/>
      <c r="E31" s="174">
        <f>'1. T1 INVESTMENT PLAN'!E31</f>
        <v>0</v>
      </c>
      <c r="F31" s="174">
        <f>'1. T1 INVESTMENT PLAN'!F31</f>
        <v>0</v>
      </c>
      <c r="G31" s="174">
        <f>'1. T1 INVESTMENT PLAN'!G31</f>
        <v>0</v>
      </c>
      <c r="H31" s="174">
        <f>'1. T1 INVESTMENT PLAN'!H31</f>
        <v>0</v>
      </c>
      <c r="I31" s="26"/>
      <c r="J31" s="26"/>
      <c r="K31" s="26"/>
    </row>
    <row r="32" spans="2:25" x14ac:dyDescent="0.2">
      <c r="B32" s="165"/>
      <c r="C32" s="173" t="s">
        <v>96</v>
      </c>
      <c r="D32" s="175"/>
      <c r="E32" s="175">
        <f>E30*E31</f>
        <v>0</v>
      </c>
      <c r="F32" s="175">
        <f>F30*F31</f>
        <v>0</v>
      </c>
      <c r="G32" s="175">
        <f>G30*G31</f>
        <v>0</v>
      </c>
      <c r="H32" s="175">
        <f>H30*H31</f>
        <v>0</v>
      </c>
      <c r="I32" s="21"/>
      <c r="J32" s="25"/>
      <c r="K32" s="374" t="s">
        <v>354</v>
      </c>
      <c r="L32" s="373" t="s">
        <v>191</v>
      </c>
      <c r="M32" s="377" t="str">
        <f>'8. T5 CASH BUDGET'!G67</f>
        <v>JAN</v>
      </c>
      <c r="N32" s="377" t="str">
        <f>'8. T5 CASH BUDGET'!H67</f>
        <v>FEB</v>
      </c>
      <c r="O32" s="377" t="str">
        <f>'8. T5 CASH BUDGET'!I67</f>
        <v>MARS</v>
      </c>
      <c r="P32" s="377" t="str">
        <f>'8. T5 CASH BUDGET'!J67</f>
        <v>APR</v>
      </c>
      <c r="Q32" s="377" t="str">
        <f>'8. T5 CASH BUDGET'!K67</f>
        <v>MAY</v>
      </c>
      <c r="R32" s="377" t="str">
        <f>'8. T5 CASH BUDGET'!L67</f>
        <v>JUNE</v>
      </c>
      <c r="S32" s="377" t="str">
        <f>'8. T5 CASH BUDGET'!M67</f>
        <v>JULY</v>
      </c>
      <c r="T32" s="377" t="str">
        <f>'8. T5 CASH BUDGET'!N67</f>
        <v>AUG</v>
      </c>
      <c r="U32" s="377" t="str">
        <f>'8. T5 CASH BUDGET'!O67</f>
        <v>SEP</v>
      </c>
      <c r="V32" s="377" t="str">
        <f>'8. T5 CASH BUDGET'!P67</f>
        <v>OCT</v>
      </c>
      <c r="W32" s="377" t="str">
        <f>'8. T5 CASH BUDGET'!Q67</f>
        <v>NOV</v>
      </c>
      <c r="X32" s="377" t="str">
        <f>'8. T5 CASH BUDGET'!R67</f>
        <v>DEC</v>
      </c>
    </row>
    <row r="33" spans="2:25" x14ac:dyDescent="0.2">
      <c r="C33" s="173" t="s">
        <v>136</v>
      </c>
      <c r="D33" s="192"/>
      <c r="E33" s="192">
        <f>E30-E32</f>
        <v>0</v>
      </c>
      <c r="F33" s="192">
        <f>F30-F32</f>
        <v>0</v>
      </c>
      <c r="G33" s="192">
        <f>G30-G32</f>
        <v>0</v>
      </c>
      <c r="H33" s="192">
        <f>H30-H32</f>
        <v>0</v>
      </c>
      <c r="I33" s="26"/>
      <c r="J33" s="1327">
        <f>'8. T5 CASH BUDGET'!B13</f>
        <v>2</v>
      </c>
      <c r="K33" s="1328" t="str">
        <f>'8. T5 CASH BUDGET'!C13</f>
        <v xml:space="preserve"> Cash sales and advance payment share-%</v>
      </c>
      <c r="L33" s="1332">
        <f>'8. T5 CASH BUDGET'!F70</f>
        <v>25.5</v>
      </c>
      <c r="M33" s="257">
        <f>'8. T5 CASH BUDGET'!G70</f>
        <v>0</v>
      </c>
      <c r="N33" s="257">
        <f>'8. T5 CASH BUDGET'!H70</f>
        <v>0</v>
      </c>
      <c r="O33" s="257">
        <f>'8. T5 CASH BUDGET'!I70</f>
        <v>0</v>
      </c>
      <c r="P33" s="257">
        <f>'8. T5 CASH BUDGET'!J70</f>
        <v>0</v>
      </c>
      <c r="Q33" s="257">
        <f>'8. T5 CASH BUDGET'!K70</f>
        <v>0</v>
      </c>
      <c r="R33" s="257">
        <f>'8. T5 CASH BUDGET'!L70</f>
        <v>0</v>
      </c>
      <c r="S33" s="257">
        <f>'8. T5 CASH BUDGET'!M70</f>
        <v>0</v>
      </c>
      <c r="T33" s="257">
        <f>'8. T5 CASH BUDGET'!N70</f>
        <v>0</v>
      </c>
      <c r="U33" s="257">
        <f>'8. T5 CASH BUDGET'!O70</f>
        <v>0</v>
      </c>
      <c r="V33" s="257">
        <f>'8. T5 CASH BUDGET'!P70</f>
        <v>0</v>
      </c>
      <c r="W33" s="257">
        <f>'8. T5 CASH BUDGET'!Q70</f>
        <v>0</v>
      </c>
      <c r="X33" s="257">
        <f>'8. T5 CASH BUDGET'!R70</f>
        <v>0</v>
      </c>
      <c r="Y33" s="1678">
        <f t="shared" ref="Y33:Y49" si="15">SUM(M33:X33)</f>
        <v>0</v>
      </c>
    </row>
    <row r="34" spans="2:25" x14ac:dyDescent="0.2">
      <c r="B34" s="1326" t="str">
        <f>'1. T1 INVESTMENT PLAN'!B32</f>
        <v>6.</v>
      </c>
      <c r="C34" s="173" t="str">
        <f>'1. T1 INVESTMENT PLAN'!C32</f>
        <v xml:space="preserve">Other tangible assets </v>
      </c>
      <c r="D34" s="173"/>
      <c r="E34" s="173">
        <f>'1. T1 INVESTMENT PLAN'!E32</f>
        <v>0</v>
      </c>
      <c r="F34" s="173">
        <f>'1. T1 INVESTMENT PLAN'!F32</f>
        <v>0</v>
      </c>
      <c r="G34" s="173">
        <f>'1. T1 INVESTMENT PLAN'!G32</f>
        <v>0</v>
      </c>
      <c r="H34" s="173">
        <f>'1. T1 INVESTMENT PLAN'!H32</f>
        <v>0</v>
      </c>
      <c r="I34" s="39"/>
      <c r="J34" s="1329"/>
      <c r="K34" s="1044" t="s">
        <v>192</v>
      </c>
      <c r="L34" s="1330"/>
      <c r="M34" s="83">
        <f>M33-M33/(1+$L33%)</f>
        <v>0</v>
      </c>
      <c r="N34" s="83">
        <f t="shared" ref="N34:X34" si="16">N33-N33/(1+$L33%)</f>
        <v>0</v>
      </c>
      <c r="O34" s="83">
        <f t="shared" si="16"/>
        <v>0</v>
      </c>
      <c r="P34" s="83">
        <f t="shared" si="16"/>
        <v>0</v>
      </c>
      <c r="Q34" s="83">
        <f t="shared" si="16"/>
        <v>0</v>
      </c>
      <c r="R34" s="83">
        <f t="shared" si="16"/>
        <v>0</v>
      </c>
      <c r="S34" s="83">
        <f t="shared" si="16"/>
        <v>0</v>
      </c>
      <c r="T34" s="83">
        <f t="shared" si="16"/>
        <v>0</v>
      </c>
      <c r="U34" s="83">
        <f t="shared" si="16"/>
        <v>0</v>
      </c>
      <c r="V34" s="83">
        <f t="shared" si="16"/>
        <v>0</v>
      </c>
      <c r="W34" s="83">
        <f t="shared" si="16"/>
        <v>0</v>
      </c>
      <c r="X34" s="83">
        <f t="shared" si="16"/>
        <v>0</v>
      </c>
      <c r="Y34" s="1679">
        <f t="shared" si="15"/>
        <v>0</v>
      </c>
    </row>
    <row r="35" spans="2:25" x14ac:dyDescent="0.2">
      <c r="B35" s="165"/>
      <c r="C35" s="173" t="str">
        <f>'1. T1 INVESTMENT PLAN'!C33</f>
        <v xml:space="preserve"> • VAT %</v>
      </c>
      <c r="D35" s="174"/>
      <c r="E35" s="174">
        <f>'1. T1 INVESTMENT PLAN'!E33</f>
        <v>0.255</v>
      </c>
      <c r="F35" s="174">
        <f>'1. T1 INVESTMENT PLAN'!F33</f>
        <v>0.255</v>
      </c>
      <c r="G35" s="174">
        <f>'1. T1 INVESTMENT PLAN'!G33</f>
        <v>0.255</v>
      </c>
      <c r="H35" s="174">
        <f>'1. T1 INVESTMENT PLAN'!H33</f>
        <v>0.255</v>
      </c>
      <c r="I35" s="39"/>
      <c r="J35" s="1327">
        <f>'8. T5 CASH BUDGET'!B15</f>
        <v>3</v>
      </c>
      <c r="K35" s="1644" t="str">
        <f>'8. T5 CASH BUDGET'!C15</f>
        <v xml:space="preserve"> Invoiced sales</v>
      </c>
      <c r="L35" s="1332">
        <f>'8. T5 CASH BUDGET'!F72</f>
        <v>25.5</v>
      </c>
      <c r="M35" s="257">
        <f>'8. T5 CASH BUDGET'!G72</f>
        <v>0</v>
      </c>
      <c r="N35" s="257">
        <f>'8. T5 CASH BUDGET'!H72</f>
        <v>0</v>
      </c>
      <c r="O35" s="257">
        <f>'8. T5 CASH BUDGET'!I72</f>
        <v>0</v>
      </c>
      <c r="P35" s="257">
        <f>'8. T5 CASH BUDGET'!J72</f>
        <v>0</v>
      </c>
      <c r="Q35" s="257">
        <f>'8. T5 CASH BUDGET'!K72</f>
        <v>0</v>
      </c>
      <c r="R35" s="257">
        <f>'8. T5 CASH BUDGET'!L72</f>
        <v>0</v>
      </c>
      <c r="S35" s="257">
        <f>'8. T5 CASH BUDGET'!M72</f>
        <v>0</v>
      </c>
      <c r="T35" s="257">
        <f>'8. T5 CASH BUDGET'!N72</f>
        <v>0</v>
      </c>
      <c r="U35" s="257">
        <f>'8. T5 CASH BUDGET'!O72</f>
        <v>0</v>
      </c>
      <c r="V35" s="257">
        <f>'8. T5 CASH BUDGET'!P72</f>
        <v>0</v>
      </c>
      <c r="W35" s="257">
        <f>'8. T5 CASH BUDGET'!Q72</f>
        <v>0</v>
      </c>
      <c r="X35" s="257">
        <f>'8. T5 CASH BUDGET'!R72</f>
        <v>0</v>
      </c>
      <c r="Y35" s="1678">
        <f t="shared" si="15"/>
        <v>0</v>
      </c>
    </row>
    <row r="36" spans="2:25" x14ac:dyDescent="0.2">
      <c r="B36" s="165"/>
      <c r="C36" s="173" t="s">
        <v>95</v>
      </c>
      <c r="D36" s="175"/>
      <c r="E36" s="175">
        <f>E34/(1+E35)</f>
        <v>0</v>
      </c>
      <c r="F36" s="175">
        <f>F34/(1+F35)</f>
        <v>0</v>
      </c>
      <c r="G36" s="175">
        <f>G34/(1+G35)</f>
        <v>0</v>
      </c>
      <c r="H36" s="175">
        <f>H34/(1+H35)</f>
        <v>0</v>
      </c>
      <c r="I36" s="39"/>
      <c r="J36" s="1329"/>
      <c r="K36" s="1044" t="s">
        <v>192</v>
      </c>
      <c r="L36" s="1330"/>
      <c r="M36" s="83">
        <f>M35-M35/(1+$L35%)</f>
        <v>0</v>
      </c>
      <c r="N36" s="83">
        <f t="shared" ref="N36:X36" si="17">N35-N35/(1+$L35%)</f>
        <v>0</v>
      </c>
      <c r="O36" s="83">
        <f t="shared" si="17"/>
        <v>0</v>
      </c>
      <c r="P36" s="83">
        <f t="shared" si="17"/>
        <v>0</v>
      </c>
      <c r="Q36" s="83">
        <f t="shared" si="17"/>
        <v>0</v>
      </c>
      <c r="R36" s="83">
        <f t="shared" si="17"/>
        <v>0</v>
      </c>
      <c r="S36" s="83">
        <f t="shared" si="17"/>
        <v>0</v>
      </c>
      <c r="T36" s="83">
        <f t="shared" si="17"/>
        <v>0</v>
      </c>
      <c r="U36" s="83">
        <f t="shared" si="17"/>
        <v>0</v>
      </c>
      <c r="V36" s="83">
        <f t="shared" si="17"/>
        <v>0</v>
      </c>
      <c r="W36" s="83">
        <f t="shared" si="17"/>
        <v>0</v>
      </c>
      <c r="X36" s="83">
        <f t="shared" si="17"/>
        <v>0</v>
      </c>
      <c r="Y36" s="1679">
        <f t="shared" si="15"/>
        <v>0</v>
      </c>
    </row>
    <row r="37" spans="2:25" x14ac:dyDescent="0.2">
      <c r="B37" s="165"/>
      <c r="C37" s="173" t="s">
        <v>94</v>
      </c>
      <c r="D37" s="175"/>
      <c r="E37" s="175">
        <f>E34-E36</f>
        <v>0</v>
      </c>
      <c r="F37" s="175">
        <f>F34-F36</f>
        <v>0</v>
      </c>
      <c r="G37" s="175">
        <f>G34-G36</f>
        <v>0</v>
      </c>
      <c r="H37" s="175">
        <f>H34-H36</f>
        <v>0</v>
      </c>
      <c r="I37" s="39"/>
      <c r="J37" s="1327">
        <f>'8. T5 CASH BUDGET'!B18</f>
        <v>4</v>
      </c>
      <c r="K37" s="1334" t="str">
        <f>'8. T5 CASH BUDGET'!C18</f>
        <v xml:space="preserve"> Other income incl. VAT</v>
      </c>
      <c r="L37" s="1332">
        <f>'8. T5 CASH BUDGET'!F75</f>
        <v>25.5</v>
      </c>
      <c r="M37" s="257">
        <f>'8. T5 CASH BUDGET'!G75</f>
        <v>0</v>
      </c>
      <c r="N37" s="257">
        <f>'8. T5 CASH BUDGET'!H75</f>
        <v>0</v>
      </c>
      <c r="O37" s="257">
        <f>'8. T5 CASH BUDGET'!I75</f>
        <v>0</v>
      </c>
      <c r="P37" s="257">
        <f>'8. T5 CASH BUDGET'!J75</f>
        <v>0</v>
      </c>
      <c r="Q37" s="257">
        <f>'8. T5 CASH BUDGET'!K75</f>
        <v>0</v>
      </c>
      <c r="R37" s="257">
        <f>'8. T5 CASH BUDGET'!L75</f>
        <v>0</v>
      </c>
      <c r="S37" s="257">
        <f>'8. T5 CASH BUDGET'!M75</f>
        <v>0</v>
      </c>
      <c r="T37" s="257">
        <f>'8. T5 CASH BUDGET'!N75</f>
        <v>0</v>
      </c>
      <c r="U37" s="257">
        <f>'8. T5 CASH BUDGET'!O75</f>
        <v>0</v>
      </c>
      <c r="V37" s="257">
        <f>'8. T5 CASH BUDGET'!P75</f>
        <v>0</v>
      </c>
      <c r="W37" s="257">
        <f>'8. T5 CASH BUDGET'!Q75</f>
        <v>0</v>
      </c>
      <c r="X37" s="257">
        <f>'8. T5 CASH BUDGET'!R75</f>
        <v>0</v>
      </c>
      <c r="Y37" s="1678">
        <f t="shared" si="15"/>
        <v>0</v>
      </c>
    </row>
    <row r="38" spans="2:25" x14ac:dyDescent="0.2">
      <c r="B38" s="165"/>
      <c r="C38" s="173" t="str">
        <f>'1. T1 INVESTMENT PLAN'!C34</f>
        <v xml:space="preserve"> • grant %</v>
      </c>
      <c r="D38" s="174"/>
      <c r="E38" s="174">
        <f>'1. T1 INVESTMENT PLAN'!E34</f>
        <v>0</v>
      </c>
      <c r="F38" s="174">
        <f>'1. T1 INVESTMENT PLAN'!F34</f>
        <v>0</v>
      </c>
      <c r="G38" s="174">
        <f>'1. T1 INVESTMENT PLAN'!G34</f>
        <v>0</v>
      </c>
      <c r="H38" s="174">
        <f>'1. T1 INVESTMENT PLAN'!H34</f>
        <v>0</v>
      </c>
      <c r="I38" s="39"/>
      <c r="J38" s="1331"/>
      <c r="K38" s="1044" t="s">
        <v>192</v>
      </c>
      <c r="L38" s="1330"/>
      <c r="M38" s="83">
        <f t="shared" ref="M38:X38" si="18">M37-M37/(1+$L37%)</f>
        <v>0</v>
      </c>
      <c r="N38" s="83">
        <f t="shared" si="18"/>
        <v>0</v>
      </c>
      <c r="O38" s="83">
        <f t="shared" si="18"/>
        <v>0</v>
      </c>
      <c r="P38" s="83">
        <f t="shared" si="18"/>
        <v>0</v>
      </c>
      <c r="Q38" s="83">
        <f t="shared" si="18"/>
        <v>0</v>
      </c>
      <c r="R38" s="83">
        <f t="shared" si="18"/>
        <v>0</v>
      </c>
      <c r="S38" s="83">
        <f t="shared" si="18"/>
        <v>0</v>
      </c>
      <c r="T38" s="83">
        <f t="shared" si="18"/>
        <v>0</v>
      </c>
      <c r="U38" s="83">
        <f t="shared" si="18"/>
        <v>0</v>
      </c>
      <c r="V38" s="83">
        <f t="shared" si="18"/>
        <v>0</v>
      </c>
      <c r="W38" s="83">
        <f t="shared" si="18"/>
        <v>0</v>
      </c>
      <c r="X38" s="83">
        <f t="shared" si="18"/>
        <v>0</v>
      </c>
      <c r="Y38" s="1679">
        <f t="shared" si="15"/>
        <v>0</v>
      </c>
    </row>
    <row r="39" spans="2:25" x14ac:dyDescent="0.2">
      <c r="B39" s="165"/>
      <c r="C39" s="173" t="s">
        <v>96</v>
      </c>
      <c r="D39" s="175"/>
      <c r="E39" s="175">
        <f>E36*E38</f>
        <v>0</v>
      </c>
      <c r="F39" s="175">
        <f>F36*F38</f>
        <v>0</v>
      </c>
      <c r="G39" s="175">
        <f>G36*G38</f>
        <v>0</v>
      </c>
      <c r="H39" s="175">
        <f>H36*H38</f>
        <v>0</v>
      </c>
      <c r="I39" s="39"/>
      <c r="J39" s="39"/>
      <c r="K39" s="375" t="s">
        <v>193</v>
      </c>
      <c r="L39" s="378"/>
      <c r="M39" s="375">
        <f>M38+M36+M34</f>
        <v>0</v>
      </c>
      <c r="N39" s="375">
        <f t="shared" ref="N39:X39" si="19">N38+N36+N34</f>
        <v>0</v>
      </c>
      <c r="O39" s="375">
        <f t="shared" si="19"/>
        <v>0</v>
      </c>
      <c r="P39" s="375">
        <f t="shared" si="19"/>
        <v>0</v>
      </c>
      <c r="Q39" s="375">
        <f t="shared" si="19"/>
        <v>0</v>
      </c>
      <c r="R39" s="375">
        <f t="shared" si="19"/>
        <v>0</v>
      </c>
      <c r="S39" s="375">
        <f t="shared" si="19"/>
        <v>0</v>
      </c>
      <c r="T39" s="375">
        <f t="shared" si="19"/>
        <v>0</v>
      </c>
      <c r="U39" s="375">
        <f t="shared" si="19"/>
        <v>0</v>
      </c>
      <c r="V39" s="375">
        <f t="shared" si="19"/>
        <v>0</v>
      </c>
      <c r="W39" s="375">
        <f t="shared" si="19"/>
        <v>0</v>
      </c>
      <c r="X39" s="375">
        <f t="shared" si="19"/>
        <v>0</v>
      </c>
      <c r="Y39" s="1677">
        <f t="shared" si="15"/>
        <v>0</v>
      </c>
    </row>
    <row r="40" spans="2:25" x14ac:dyDescent="0.2">
      <c r="C40" s="173" t="s">
        <v>136</v>
      </c>
      <c r="D40" s="192"/>
      <c r="E40" s="192">
        <f>E36-E39</f>
        <v>0</v>
      </c>
      <c r="F40" s="192">
        <f>F36-F39</f>
        <v>0</v>
      </c>
      <c r="G40" s="192">
        <f>G36-G39</f>
        <v>0</v>
      </c>
      <c r="H40" s="192">
        <f>H36-H39</f>
        <v>0</v>
      </c>
      <c r="I40" s="26"/>
      <c r="J40" s="1642">
        <f>'8. T5 CASH BUDGET'!B23</f>
        <v>6</v>
      </c>
      <c r="K40" s="257" t="str">
        <f>'8. T5 CASH BUDGET'!C23</f>
        <v xml:space="preserve"> Materials and supplies</v>
      </c>
      <c r="L40" s="1332">
        <f>'8. T5 CASH BUDGET'!F80</f>
        <v>25.5</v>
      </c>
      <c r="M40" s="257">
        <f>'8. T5 CASH BUDGET'!G80</f>
        <v>0</v>
      </c>
      <c r="N40" s="257">
        <f>'8. T5 CASH BUDGET'!H80</f>
        <v>0</v>
      </c>
      <c r="O40" s="257">
        <f>'8. T5 CASH BUDGET'!I80</f>
        <v>0</v>
      </c>
      <c r="P40" s="257">
        <f>'8. T5 CASH BUDGET'!J80</f>
        <v>0</v>
      </c>
      <c r="Q40" s="257">
        <f>'8. T5 CASH BUDGET'!K80</f>
        <v>0</v>
      </c>
      <c r="R40" s="257">
        <f>'8. T5 CASH BUDGET'!L80</f>
        <v>0</v>
      </c>
      <c r="S40" s="257">
        <f>'8. T5 CASH BUDGET'!M80</f>
        <v>0</v>
      </c>
      <c r="T40" s="257">
        <f>'8. T5 CASH BUDGET'!N80</f>
        <v>0</v>
      </c>
      <c r="U40" s="257">
        <f>'8. T5 CASH BUDGET'!O80</f>
        <v>0</v>
      </c>
      <c r="V40" s="257">
        <f>'8. T5 CASH BUDGET'!P80</f>
        <v>0</v>
      </c>
      <c r="W40" s="257">
        <f>'8. T5 CASH BUDGET'!Q80</f>
        <v>0</v>
      </c>
      <c r="X40" s="257">
        <f>'8. T5 CASH BUDGET'!R80</f>
        <v>0</v>
      </c>
      <c r="Y40" s="1678">
        <f t="shared" si="15"/>
        <v>0</v>
      </c>
    </row>
    <row r="41" spans="2:25" x14ac:dyDescent="0.2">
      <c r="B41" s="1326" t="str">
        <f>'1. T1 INVESTMENT PLAN'!B35</f>
        <v>7.</v>
      </c>
      <c r="C41" s="173" t="str">
        <f>'1. T1 INVESTMENT PLAN'!C35</f>
        <v>Intangible assets</v>
      </c>
      <c r="D41" s="173"/>
      <c r="E41" s="173">
        <f>'1. T1 INVESTMENT PLAN'!E35</f>
        <v>0</v>
      </c>
      <c r="F41" s="173">
        <f>'1. T1 INVESTMENT PLAN'!F35</f>
        <v>0</v>
      </c>
      <c r="G41" s="173">
        <f>'1. T1 INVESTMENT PLAN'!G35</f>
        <v>0</v>
      </c>
      <c r="H41" s="173">
        <f>'1. T1 INVESTMENT PLAN'!H35</f>
        <v>0</v>
      </c>
      <c r="I41" s="39"/>
      <c r="J41" s="1643"/>
      <c r="K41" s="1044" t="s">
        <v>192</v>
      </c>
      <c r="L41" s="1330"/>
      <c r="M41" s="83">
        <f>M40-M40/(1+$L40%)</f>
        <v>0</v>
      </c>
      <c r="N41" s="83">
        <f t="shared" ref="N41:X41" si="20">N40-N40/(1+$L40%)</f>
        <v>0</v>
      </c>
      <c r="O41" s="83">
        <f t="shared" si="20"/>
        <v>0</v>
      </c>
      <c r="P41" s="83">
        <f t="shared" si="20"/>
        <v>0</v>
      </c>
      <c r="Q41" s="83">
        <f t="shared" si="20"/>
        <v>0</v>
      </c>
      <c r="R41" s="83">
        <f t="shared" si="20"/>
        <v>0</v>
      </c>
      <c r="S41" s="83">
        <f t="shared" si="20"/>
        <v>0</v>
      </c>
      <c r="T41" s="83">
        <f t="shared" si="20"/>
        <v>0</v>
      </c>
      <c r="U41" s="83">
        <f t="shared" si="20"/>
        <v>0</v>
      </c>
      <c r="V41" s="83">
        <f t="shared" si="20"/>
        <v>0</v>
      </c>
      <c r="W41" s="83">
        <f t="shared" si="20"/>
        <v>0</v>
      </c>
      <c r="X41" s="83">
        <f t="shared" si="20"/>
        <v>0</v>
      </c>
      <c r="Y41" s="1679">
        <f t="shared" si="15"/>
        <v>0</v>
      </c>
    </row>
    <row r="42" spans="2:25" x14ac:dyDescent="0.2">
      <c r="B42" s="165"/>
      <c r="C42" s="173" t="str">
        <f>'1. T1 INVESTMENT PLAN'!C36</f>
        <v xml:space="preserve"> • VAT %</v>
      </c>
      <c r="D42" s="245"/>
      <c r="E42" s="174">
        <f>'1. T1 INVESTMENT PLAN'!E36</f>
        <v>0</v>
      </c>
      <c r="F42" s="174">
        <f>'1. T1 INVESTMENT PLAN'!F36</f>
        <v>0</v>
      </c>
      <c r="G42" s="174">
        <f>'1. T1 INVESTMENT PLAN'!G36</f>
        <v>0</v>
      </c>
      <c r="H42" s="174">
        <f>'1. T1 INVESTMENT PLAN'!H36</f>
        <v>0</v>
      </c>
      <c r="I42" s="39"/>
      <c r="J42" s="1642">
        <f>'8. T5 CASH BUDGET'!B25</f>
        <v>7</v>
      </c>
      <c r="K42" s="257" t="str">
        <f>'8. T5 CASH BUDGET'!C25</f>
        <v xml:space="preserve"> Inventory (stock)</v>
      </c>
      <c r="L42" s="1332">
        <f>'8. T5 CASH BUDGET'!F82</f>
        <v>25.5</v>
      </c>
      <c r="M42" s="1333">
        <f>'8. T5 CASH BUDGET'!G57</f>
        <v>0</v>
      </c>
      <c r="N42" s="1333">
        <f>'8. T5 CASH BUDGET'!H57</f>
        <v>0</v>
      </c>
      <c r="O42" s="1333">
        <f>'8. T5 CASH BUDGET'!I57</f>
        <v>0</v>
      </c>
      <c r="P42" s="1333">
        <f>'8. T5 CASH BUDGET'!J57</f>
        <v>0</v>
      </c>
      <c r="Q42" s="1333">
        <f>'8. T5 CASH BUDGET'!K57</f>
        <v>0</v>
      </c>
      <c r="R42" s="1333">
        <f>'8. T5 CASH BUDGET'!L57</f>
        <v>0</v>
      </c>
      <c r="S42" s="1333">
        <f>'8. T5 CASH BUDGET'!M57</f>
        <v>0</v>
      </c>
      <c r="T42" s="1333">
        <f>'8. T5 CASH BUDGET'!N57</f>
        <v>0</v>
      </c>
      <c r="U42" s="1333">
        <f>'8. T5 CASH BUDGET'!O57</f>
        <v>0</v>
      </c>
      <c r="V42" s="1333">
        <f>'8. T5 CASH BUDGET'!P57</f>
        <v>0</v>
      </c>
      <c r="W42" s="1333">
        <f>'8. T5 CASH BUDGET'!Q57</f>
        <v>0</v>
      </c>
      <c r="X42" s="1333">
        <f>'8. T5 CASH BUDGET'!R57</f>
        <v>0</v>
      </c>
      <c r="Y42" s="1678">
        <f t="shared" si="15"/>
        <v>0</v>
      </c>
    </row>
    <row r="43" spans="2:25" x14ac:dyDescent="0.2">
      <c r="B43" s="165"/>
      <c r="C43" s="173" t="s">
        <v>95</v>
      </c>
      <c r="D43" s="175"/>
      <c r="E43" s="175">
        <f>E41/(1+E42)</f>
        <v>0</v>
      </c>
      <c r="F43" s="175">
        <f>F41/(1+F42)</f>
        <v>0</v>
      </c>
      <c r="G43" s="175">
        <f>G41/(1+G42)</f>
        <v>0</v>
      </c>
      <c r="H43" s="175">
        <f>H41/(1+H42)</f>
        <v>0</v>
      </c>
      <c r="I43" s="39"/>
      <c r="J43" s="1643"/>
      <c r="K43" s="1044" t="s">
        <v>192</v>
      </c>
      <c r="L43" s="1330"/>
      <c r="M43" s="83">
        <f>M42-M42/(1+$L42%)</f>
        <v>0</v>
      </c>
      <c r="N43" s="83">
        <f t="shared" ref="N43:X43" si="21">N42-N42/(1+$L42%)</f>
        <v>0</v>
      </c>
      <c r="O43" s="83">
        <f t="shared" si="21"/>
        <v>0</v>
      </c>
      <c r="P43" s="83">
        <f t="shared" si="21"/>
        <v>0</v>
      </c>
      <c r="Q43" s="83">
        <f t="shared" si="21"/>
        <v>0</v>
      </c>
      <c r="R43" s="83">
        <f t="shared" si="21"/>
        <v>0</v>
      </c>
      <c r="S43" s="83">
        <f t="shared" si="21"/>
        <v>0</v>
      </c>
      <c r="T43" s="83">
        <f t="shared" si="21"/>
        <v>0</v>
      </c>
      <c r="U43" s="83">
        <f t="shared" si="21"/>
        <v>0</v>
      </c>
      <c r="V43" s="83">
        <f t="shared" si="21"/>
        <v>0</v>
      </c>
      <c r="W43" s="83">
        <f t="shared" si="21"/>
        <v>0</v>
      </c>
      <c r="X43" s="83">
        <f t="shared" si="21"/>
        <v>0</v>
      </c>
      <c r="Y43" s="1679">
        <f t="shared" si="15"/>
        <v>0</v>
      </c>
    </row>
    <row r="44" spans="2:25" x14ac:dyDescent="0.2">
      <c r="B44" s="165"/>
      <c r="C44" s="173" t="s">
        <v>94</v>
      </c>
      <c r="D44" s="175"/>
      <c r="E44" s="175">
        <f>E41-E43</f>
        <v>0</v>
      </c>
      <c r="F44" s="175">
        <f>F41-F43</f>
        <v>0</v>
      </c>
      <c r="G44" s="175">
        <f>G41-G43</f>
        <v>0</v>
      </c>
      <c r="H44" s="175">
        <f>H41-H43</f>
        <v>0</v>
      </c>
      <c r="I44" s="39"/>
      <c r="J44" s="1642">
        <f>'8. T5 CASH BUDGET'!B26</f>
        <v>8</v>
      </c>
      <c r="K44" s="257" t="str">
        <f>'8. T5 CASH BUDGET'!C26</f>
        <v xml:space="preserve"> Outsourced services</v>
      </c>
      <c r="L44" s="1332">
        <f>'8. T5 CASH BUDGET'!F83</f>
        <v>25.5</v>
      </c>
      <c r="M44" s="257">
        <f>'8. T5 CASH BUDGET'!G83</f>
        <v>0</v>
      </c>
      <c r="N44" s="257">
        <f>'8. T5 CASH BUDGET'!H83</f>
        <v>0</v>
      </c>
      <c r="O44" s="257">
        <f>'8. T5 CASH BUDGET'!I83</f>
        <v>0</v>
      </c>
      <c r="P44" s="257">
        <f>'8. T5 CASH BUDGET'!J83</f>
        <v>0</v>
      </c>
      <c r="Q44" s="257">
        <f>'8. T5 CASH BUDGET'!K83</f>
        <v>0</v>
      </c>
      <c r="R44" s="257">
        <f>'8. T5 CASH BUDGET'!L83</f>
        <v>0</v>
      </c>
      <c r="S44" s="257">
        <f>'8. T5 CASH BUDGET'!M83</f>
        <v>0</v>
      </c>
      <c r="T44" s="257">
        <f>'8. T5 CASH BUDGET'!N83</f>
        <v>0</v>
      </c>
      <c r="U44" s="257">
        <f>'8. T5 CASH BUDGET'!O83</f>
        <v>0</v>
      </c>
      <c r="V44" s="257">
        <f>'8. T5 CASH BUDGET'!P83</f>
        <v>0</v>
      </c>
      <c r="W44" s="257">
        <f>'8. T5 CASH BUDGET'!Q83</f>
        <v>0</v>
      </c>
      <c r="X44" s="257">
        <f>'8. T5 CASH BUDGET'!R83</f>
        <v>0</v>
      </c>
      <c r="Y44" s="1678">
        <f t="shared" si="15"/>
        <v>0</v>
      </c>
    </row>
    <row r="45" spans="2:25" x14ac:dyDescent="0.2">
      <c r="B45" s="165"/>
      <c r="C45" s="173" t="s">
        <v>93</v>
      </c>
      <c r="D45" s="174"/>
      <c r="E45" s="174">
        <f>'1. T1 INVESTMENT PLAN'!E37</f>
        <v>0</v>
      </c>
      <c r="F45" s="174">
        <f>'1. T1 INVESTMENT PLAN'!F37</f>
        <v>0</v>
      </c>
      <c r="G45" s="174">
        <f>'1. T1 INVESTMENT PLAN'!G37</f>
        <v>0</v>
      </c>
      <c r="H45" s="174">
        <f>'1. T1 INVESTMENT PLAN'!H37</f>
        <v>0</v>
      </c>
      <c r="I45" s="39"/>
      <c r="J45" s="1643"/>
      <c r="K45" s="1044" t="s">
        <v>192</v>
      </c>
      <c r="L45" s="1330"/>
      <c r="M45" s="83">
        <f>M44-M44/(1+$L44%)</f>
        <v>0</v>
      </c>
      <c r="N45" s="83">
        <f t="shared" ref="N45:X45" si="22">N44-N44/(1+$L44%)</f>
        <v>0</v>
      </c>
      <c r="O45" s="83">
        <f t="shared" si="22"/>
        <v>0</v>
      </c>
      <c r="P45" s="83">
        <f t="shared" si="22"/>
        <v>0</v>
      </c>
      <c r="Q45" s="83">
        <f t="shared" si="22"/>
        <v>0</v>
      </c>
      <c r="R45" s="83">
        <f t="shared" si="22"/>
        <v>0</v>
      </c>
      <c r="S45" s="83">
        <f t="shared" si="22"/>
        <v>0</v>
      </c>
      <c r="T45" s="83">
        <f t="shared" si="22"/>
        <v>0</v>
      </c>
      <c r="U45" s="83">
        <f t="shared" si="22"/>
        <v>0</v>
      </c>
      <c r="V45" s="83">
        <f t="shared" si="22"/>
        <v>0</v>
      </c>
      <c r="W45" s="83">
        <f t="shared" si="22"/>
        <v>0</v>
      </c>
      <c r="X45" s="83">
        <f t="shared" si="22"/>
        <v>0</v>
      </c>
      <c r="Y45" s="1679">
        <f t="shared" si="15"/>
        <v>0</v>
      </c>
    </row>
    <row r="46" spans="2:25" x14ac:dyDescent="0.2">
      <c r="B46" s="165"/>
      <c r="C46" s="173" t="s">
        <v>96</v>
      </c>
      <c r="D46" s="175"/>
      <c r="E46" s="175">
        <f>E43*E45</f>
        <v>0</v>
      </c>
      <c r="F46" s="175">
        <f>F43*F45</f>
        <v>0</v>
      </c>
      <c r="G46" s="175">
        <f>G43*G45</f>
        <v>0</v>
      </c>
      <c r="H46" s="175">
        <f>H43*H45</f>
        <v>0</v>
      </c>
      <c r="I46" s="39"/>
      <c r="J46" s="1642">
        <f>'8. T5 CASH BUDGET'!B27</f>
        <v>9</v>
      </c>
      <c r="K46" s="257" t="str">
        <f>'8. T5 CASH BUDGET'!C27</f>
        <v xml:space="preserve"> Investments incl. VAT</v>
      </c>
      <c r="L46" s="1332">
        <f>'8. T5 CASH BUDGET'!F84</f>
        <v>25.5</v>
      </c>
      <c r="M46" s="257">
        <f>'8. T5 CASH BUDGET'!G84</f>
        <v>0</v>
      </c>
      <c r="N46" s="257">
        <f>'8. T5 CASH BUDGET'!H84</f>
        <v>0</v>
      </c>
      <c r="O46" s="257">
        <f>'8. T5 CASH BUDGET'!I84</f>
        <v>0</v>
      </c>
      <c r="P46" s="257">
        <f>'8. T5 CASH BUDGET'!J84</f>
        <v>0</v>
      </c>
      <c r="Q46" s="257">
        <f>'8. T5 CASH BUDGET'!K84</f>
        <v>0</v>
      </c>
      <c r="R46" s="257">
        <f>'8. T5 CASH BUDGET'!L84</f>
        <v>0</v>
      </c>
      <c r="S46" s="257">
        <f>'8. T5 CASH BUDGET'!M84</f>
        <v>0</v>
      </c>
      <c r="T46" s="257">
        <f>'8. T5 CASH BUDGET'!N84</f>
        <v>0</v>
      </c>
      <c r="U46" s="257">
        <f>'8. T5 CASH BUDGET'!O84</f>
        <v>0</v>
      </c>
      <c r="V46" s="257">
        <f>'8. T5 CASH BUDGET'!P84</f>
        <v>0</v>
      </c>
      <c r="W46" s="257">
        <f>'8. T5 CASH BUDGET'!Q84</f>
        <v>0</v>
      </c>
      <c r="X46" s="257">
        <f>'8. T5 CASH BUDGET'!R84</f>
        <v>0</v>
      </c>
      <c r="Y46" s="1678">
        <f t="shared" si="15"/>
        <v>0</v>
      </c>
    </row>
    <row r="47" spans="2:25" x14ac:dyDescent="0.2">
      <c r="C47" s="173" t="s">
        <v>136</v>
      </c>
      <c r="D47" s="192"/>
      <c r="E47" s="192">
        <f>E43-E46</f>
        <v>0</v>
      </c>
      <c r="F47" s="192">
        <f>F43-F46</f>
        <v>0</v>
      </c>
      <c r="G47" s="192">
        <f>G43-G46</f>
        <v>0</v>
      </c>
      <c r="H47" s="192">
        <f>H43-H46</f>
        <v>0</v>
      </c>
      <c r="I47" s="26"/>
      <c r="J47" s="1643"/>
      <c r="K47" s="1044" t="s">
        <v>192</v>
      </c>
      <c r="L47" s="1330"/>
      <c r="M47" s="83">
        <f>M46-M46/(1+$L46%)</f>
        <v>0</v>
      </c>
      <c r="N47" s="83">
        <f t="shared" ref="N47:X47" si="23">N46-N46/(1+$L46%)</f>
        <v>0</v>
      </c>
      <c r="O47" s="83">
        <f t="shared" si="23"/>
        <v>0</v>
      </c>
      <c r="P47" s="83">
        <f t="shared" si="23"/>
        <v>0</v>
      </c>
      <c r="Q47" s="83">
        <f t="shared" si="23"/>
        <v>0</v>
      </c>
      <c r="R47" s="83">
        <f t="shared" si="23"/>
        <v>0</v>
      </c>
      <c r="S47" s="83">
        <f t="shared" si="23"/>
        <v>0</v>
      </c>
      <c r="T47" s="83">
        <f t="shared" si="23"/>
        <v>0</v>
      </c>
      <c r="U47" s="83">
        <f t="shared" si="23"/>
        <v>0</v>
      </c>
      <c r="V47" s="83">
        <f t="shared" si="23"/>
        <v>0</v>
      </c>
      <c r="W47" s="83">
        <f t="shared" si="23"/>
        <v>0</v>
      </c>
      <c r="X47" s="83">
        <f t="shared" si="23"/>
        <v>0</v>
      </c>
      <c r="Y47" s="1679">
        <f t="shared" si="15"/>
        <v>0</v>
      </c>
    </row>
    <row r="48" spans="2:25" x14ac:dyDescent="0.2">
      <c r="B48" s="165"/>
      <c r="C48" s="4" t="s">
        <v>330</v>
      </c>
      <c r="D48" s="4"/>
      <c r="E48" s="4">
        <f>E4+E8+E15+E19+E28+E34+E41</f>
        <v>0</v>
      </c>
      <c r="F48" s="4">
        <f>F4+F8+F15+F19+F28+F34+F41</f>
        <v>0</v>
      </c>
      <c r="G48" s="4">
        <f>G4+G8+G15+G19+G28+G34+G41</f>
        <v>0</v>
      </c>
      <c r="H48" s="4">
        <f>H4+H8+H15+H19+H28+H34+H41</f>
        <v>0</v>
      </c>
      <c r="J48" s="1642">
        <f>'8. T5 CASH BUDGET'!B28</f>
        <v>10</v>
      </c>
      <c r="K48" s="257" t="str">
        <f>'8. T5 CASH BUDGET'!C28</f>
        <v xml:space="preserve"> Facility rents incl. VAT</v>
      </c>
      <c r="L48" s="1332">
        <f>'8. T5 CASH BUDGET'!F85</f>
        <v>25.5</v>
      </c>
      <c r="M48" s="257">
        <f>'8. T5 CASH BUDGET'!G85</f>
        <v>0</v>
      </c>
      <c r="N48" s="257">
        <f>'8. T5 CASH BUDGET'!H85</f>
        <v>0</v>
      </c>
      <c r="O48" s="257">
        <f>'8. T5 CASH BUDGET'!I85</f>
        <v>0</v>
      </c>
      <c r="P48" s="257">
        <f>'8. T5 CASH BUDGET'!J85</f>
        <v>0</v>
      </c>
      <c r="Q48" s="257">
        <f>'8. T5 CASH BUDGET'!K85</f>
        <v>0</v>
      </c>
      <c r="R48" s="257">
        <f>'8. T5 CASH BUDGET'!L85</f>
        <v>0</v>
      </c>
      <c r="S48" s="257">
        <f>'8. T5 CASH BUDGET'!M85</f>
        <v>0</v>
      </c>
      <c r="T48" s="257">
        <f>'8. T5 CASH BUDGET'!N85</f>
        <v>0</v>
      </c>
      <c r="U48" s="257">
        <f>'8. T5 CASH BUDGET'!O85</f>
        <v>0</v>
      </c>
      <c r="V48" s="257">
        <f>'8. T5 CASH BUDGET'!P85</f>
        <v>0</v>
      </c>
      <c r="W48" s="257">
        <f>'8. T5 CASH BUDGET'!Q85</f>
        <v>0</v>
      </c>
      <c r="X48" s="257">
        <f>'8. T5 CASH BUDGET'!R85</f>
        <v>0</v>
      </c>
      <c r="Y48" s="1678">
        <f t="shared" si="15"/>
        <v>0</v>
      </c>
    </row>
    <row r="49" spans="2:25" x14ac:dyDescent="0.2">
      <c r="B49" s="165"/>
      <c r="C49" s="4" t="s">
        <v>97</v>
      </c>
      <c r="D49" s="32">
        <f>D11+D24+D37+D44</f>
        <v>0</v>
      </c>
      <c r="E49" s="32">
        <f>E11+E24+E37+E44</f>
        <v>0</v>
      </c>
      <c r="F49" s="32">
        <f>F11+F24+F37+F44</f>
        <v>0</v>
      </c>
      <c r="G49" s="32">
        <f>G11+G24+G37+G44</f>
        <v>0</v>
      </c>
      <c r="H49" s="32">
        <f>H11+H24+H37+H44</f>
        <v>0</v>
      </c>
      <c r="J49" s="1643"/>
      <c r="K49" s="1044" t="s">
        <v>192</v>
      </c>
      <c r="L49" s="1330"/>
      <c r="M49" s="83">
        <f>M48-M48/(1+$L48%)</f>
        <v>0</v>
      </c>
      <c r="N49" s="83">
        <f t="shared" ref="N49:X49" si="24">N48-N48/(1+$L48%)</f>
        <v>0</v>
      </c>
      <c r="O49" s="83">
        <f t="shared" si="24"/>
        <v>0</v>
      </c>
      <c r="P49" s="83">
        <f t="shared" si="24"/>
        <v>0</v>
      </c>
      <c r="Q49" s="83">
        <f t="shared" si="24"/>
        <v>0</v>
      </c>
      <c r="R49" s="83">
        <f t="shared" si="24"/>
        <v>0</v>
      </c>
      <c r="S49" s="83">
        <f t="shared" si="24"/>
        <v>0</v>
      </c>
      <c r="T49" s="83">
        <f t="shared" si="24"/>
        <v>0</v>
      </c>
      <c r="U49" s="83">
        <f t="shared" si="24"/>
        <v>0</v>
      </c>
      <c r="V49" s="83">
        <f t="shared" si="24"/>
        <v>0</v>
      </c>
      <c r="W49" s="83">
        <f t="shared" si="24"/>
        <v>0</v>
      </c>
      <c r="X49" s="83">
        <f t="shared" si="24"/>
        <v>0</v>
      </c>
      <c r="Y49" s="1679">
        <f t="shared" si="15"/>
        <v>0</v>
      </c>
    </row>
    <row r="50" spans="2:25" x14ac:dyDescent="0.2">
      <c r="B50" s="165"/>
      <c r="C50" s="4" t="s">
        <v>98</v>
      </c>
      <c r="D50" s="32">
        <f>D6+D13+D17+D26+D39+D46</f>
        <v>0</v>
      </c>
      <c r="E50" s="32">
        <f>E6+E13+E17+E26+E39+E46+E32</f>
        <v>0</v>
      </c>
      <c r="F50" s="32">
        <f>F6+F13+F17+F26+F39+F46+F32</f>
        <v>0</v>
      </c>
      <c r="G50" s="32">
        <f>G6+G13+G17+G26+G39+G46+G32</f>
        <v>0</v>
      </c>
      <c r="H50" s="32">
        <f>H6+H13+H17+H26+H39+H46+H32</f>
        <v>0</v>
      </c>
      <c r="J50" s="6"/>
      <c r="K50" s="483"/>
    </row>
    <row r="51" spans="2:25" x14ac:dyDescent="0.2">
      <c r="B51" s="165"/>
      <c r="C51" s="4"/>
      <c r="D51" s="4"/>
      <c r="E51" s="4"/>
      <c r="F51" s="4"/>
      <c r="G51" s="4"/>
      <c r="H51" s="1"/>
      <c r="J51" s="6"/>
      <c r="K51" s="483"/>
    </row>
    <row r="52" spans="2:25" x14ac:dyDescent="0.2">
      <c r="B52" s="165"/>
      <c r="C52" s="4" t="s">
        <v>0</v>
      </c>
      <c r="D52" s="4"/>
      <c r="E52" s="4"/>
      <c r="F52" s="4"/>
      <c r="G52" s="4"/>
      <c r="H52" s="1"/>
      <c r="J52" s="1642">
        <f>'8. T5 CASH BUDGET'!B29</f>
        <v>11</v>
      </c>
      <c r="K52" s="257" t="str">
        <f>'8. T5 CASH BUDGET'!C29</f>
        <v xml:space="preserve"> Leasing and rental costs, investments incl. VAT</v>
      </c>
      <c r="L52" s="1332">
        <f>'8. T5 CASH BUDGET'!F86</f>
        <v>25.5</v>
      </c>
      <c r="M52" s="257">
        <f>'8. T5 CASH BUDGET'!G86</f>
        <v>0</v>
      </c>
      <c r="N52" s="257">
        <f>'8. T5 CASH BUDGET'!H86</f>
        <v>0</v>
      </c>
      <c r="O52" s="257">
        <f>'8. T5 CASH BUDGET'!I86</f>
        <v>0</v>
      </c>
      <c r="P52" s="257">
        <f>'8. T5 CASH BUDGET'!J86</f>
        <v>0</v>
      </c>
      <c r="Q52" s="257">
        <f>'8. T5 CASH BUDGET'!K86</f>
        <v>0</v>
      </c>
      <c r="R52" s="257">
        <f>'8. T5 CASH BUDGET'!L86</f>
        <v>0</v>
      </c>
      <c r="S52" s="257">
        <f>'8. T5 CASH BUDGET'!M86</f>
        <v>0</v>
      </c>
      <c r="T52" s="257">
        <f>'8. T5 CASH BUDGET'!N86</f>
        <v>0</v>
      </c>
      <c r="U52" s="257">
        <f>'8. T5 CASH BUDGET'!O86</f>
        <v>0</v>
      </c>
      <c r="V52" s="257">
        <f>'8. T5 CASH BUDGET'!P86</f>
        <v>0</v>
      </c>
      <c r="W52" s="257">
        <f>'8. T5 CASH BUDGET'!Q86</f>
        <v>0</v>
      </c>
      <c r="X52" s="257">
        <f>'8. T5 CASH BUDGET'!R86</f>
        <v>0</v>
      </c>
      <c r="Y52" s="1678">
        <f t="shared" ref="Y52:Y57" si="25">SUM(M52:X52)</f>
        <v>0</v>
      </c>
    </row>
    <row r="53" spans="2:25" x14ac:dyDescent="0.2">
      <c r="B53" s="165"/>
      <c r="C53" s="4"/>
      <c r="D53" s="4"/>
      <c r="E53" s="4"/>
      <c r="F53" s="4"/>
      <c r="G53" s="4"/>
      <c r="H53" s="1"/>
      <c r="J53" s="1643"/>
      <c r="K53" s="1044" t="s">
        <v>192</v>
      </c>
      <c r="L53" s="1330"/>
      <c r="M53" s="83">
        <f>M52-M52/(1+$L52%)</f>
        <v>0</v>
      </c>
      <c r="N53" s="83">
        <f t="shared" ref="N53:X53" si="26">N52-N52/(1+$L52%)</f>
        <v>0</v>
      </c>
      <c r="O53" s="83">
        <f t="shared" si="26"/>
        <v>0</v>
      </c>
      <c r="P53" s="83">
        <f t="shared" si="26"/>
        <v>0</v>
      </c>
      <c r="Q53" s="83">
        <f t="shared" si="26"/>
        <v>0</v>
      </c>
      <c r="R53" s="83">
        <f t="shared" si="26"/>
        <v>0</v>
      </c>
      <c r="S53" s="83">
        <f t="shared" si="26"/>
        <v>0</v>
      </c>
      <c r="T53" s="83">
        <f t="shared" si="26"/>
        <v>0</v>
      </c>
      <c r="U53" s="83">
        <f t="shared" si="26"/>
        <v>0</v>
      </c>
      <c r="V53" s="83">
        <f t="shared" si="26"/>
        <v>0</v>
      </c>
      <c r="W53" s="83">
        <f t="shared" si="26"/>
        <v>0</v>
      </c>
      <c r="X53" s="83">
        <f t="shared" si="26"/>
        <v>0</v>
      </c>
      <c r="Y53" s="1679">
        <f t="shared" si="25"/>
        <v>0</v>
      </c>
    </row>
    <row r="54" spans="2:25" x14ac:dyDescent="0.2">
      <c r="B54" s="165"/>
      <c r="C54" s="4"/>
      <c r="D54" s="4"/>
      <c r="E54" s="4"/>
      <c r="F54" s="4"/>
      <c r="G54" s="4"/>
      <c r="H54" s="1"/>
      <c r="J54" s="1642">
        <f>'8. T5 CASH BUDGET'!B30</f>
        <v>12</v>
      </c>
      <c r="K54" s="257" t="str">
        <f>'8. T5 CASH BUDGET'!C30</f>
        <v xml:space="preserve"> Other fixed costs incl. VAT</v>
      </c>
      <c r="L54" s="1332">
        <f>'8. T5 CASH BUDGET'!F87</f>
        <v>0</v>
      </c>
      <c r="M54" s="257">
        <f>'8. T5 CASH BUDGET'!G87</f>
        <v>0</v>
      </c>
      <c r="N54" s="257">
        <f>'8. T5 CASH BUDGET'!H87</f>
        <v>0</v>
      </c>
      <c r="O54" s="257">
        <f>'8. T5 CASH BUDGET'!I87</f>
        <v>0</v>
      </c>
      <c r="P54" s="257">
        <f>'8. T5 CASH BUDGET'!J87</f>
        <v>0</v>
      </c>
      <c r="Q54" s="257">
        <f>'8. T5 CASH BUDGET'!K87</f>
        <v>0</v>
      </c>
      <c r="R54" s="257">
        <f>'8. T5 CASH BUDGET'!L87</f>
        <v>0</v>
      </c>
      <c r="S54" s="257">
        <f>'8. T5 CASH BUDGET'!M87</f>
        <v>0</v>
      </c>
      <c r="T54" s="257">
        <f>'8. T5 CASH BUDGET'!N87</f>
        <v>0</v>
      </c>
      <c r="U54" s="257">
        <f>'8. T5 CASH BUDGET'!O87</f>
        <v>0</v>
      </c>
      <c r="V54" s="257">
        <f>'8. T5 CASH BUDGET'!P87</f>
        <v>0</v>
      </c>
      <c r="W54" s="257">
        <f>'8. T5 CASH BUDGET'!Q87</f>
        <v>0</v>
      </c>
      <c r="X54" s="257">
        <f>'8. T5 CASH BUDGET'!R87</f>
        <v>0</v>
      </c>
      <c r="Y54" s="1678">
        <f t="shared" si="25"/>
        <v>0</v>
      </c>
    </row>
    <row r="55" spans="2:25" x14ac:dyDescent="0.2">
      <c r="B55" s="165"/>
      <c r="C55" s="4"/>
      <c r="D55" s="4"/>
      <c r="E55" s="4"/>
      <c r="F55" s="4"/>
      <c r="G55" s="4"/>
      <c r="H55" s="1"/>
      <c r="J55" s="1643"/>
      <c r="K55" s="1044" t="s">
        <v>192</v>
      </c>
      <c r="L55" s="1330"/>
      <c r="M55" s="83">
        <f>M54-M54/(1+$L54%)</f>
        <v>0</v>
      </c>
      <c r="N55" s="83">
        <f>N54-N54/(1+$L54%)</f>
        <v>0</v>
      </c>
      <c r="O55" s="83">
        <f>O54-O54/(1+$L54%)</f>
        <v>0</v>
      </c>
      <c r="P55" s="83">
        <f t="shared" ref="P55:X55" si="27">P54-P54/(1+$L54%)</f>
        <v>0</v>
      </c>
      <c r="Q55" s="83">
        <f t="shared" si="27"/>
        <v>0</v>
      </c>
      <c r="R55" s="83">
        <f t="shared" si="27"/>
        <v>0</v>
      </c>
      <c r="S55" s="83">
        <f t="shared" si="27"/>
        <v>0</v>
      </c>
      <c r="T55" s="83">
        <f t="shared" si="27"/>
        <v>0</v>
      </c>
      <c r="U55" s="83">
        <f t="shared" si="27"/>
        <v>0</v>
      </c>
      <c r="V55" s="83">
        <f t="shared" si="27"/>
        <v>0</v>
      </c>
      <c r="W55" s="83">
        <f t="shared" si="27"/>
        <v>0</v>
      </c>
      <c r="X55" s="83">
        <f t="shared" si="27"/>
        <v>0</v>
      </c>
      <c r="Y55" s="1679">
        <f t="shared" si="25"/>
        <v>0</v>
      </c>
    </row>
    <row r="56" spans="2:25" x14ac:dyDescent="0.2">
      <c r="B56" s="77"/>
      <c r="C56" s="1"/>
      <c r="D56" s="1"/>
      <c r="E56" s="1"/>
      <c r="F56" s="1"/>
      <c r="G56" s="1"/>
      <c r="H56" s="1"/>
      <c r="J56" s="376"/>
      <c r="K56" s="380" t="s">
        <v>194</v>
      </c>
      <c r="L56" s="380"/>
      <c r="M56" s="380">
        <f>M41+M43+M45+M47+M49+M53+M55</f>
        <v>0</v>
      </c>
      <c r="N56" s="380">
        <f>N41+N43+N45+N47+N49+N53+N55</f>
        <v>0</v>
      </c>
      <c r="O56" s="380">
        <f>O41+O43+O45+O47+O49+O53+O55</f>
        <v>0</v>
      </c>
      <c r="P56" s="380">
        <f t="shared" ref="P56:X56" si="28">P41+P43+P45+P47+P49+P53+P55</f>
        <v>0</v>
      </c>
      <c r="Q56" s="380">
        <f t="shared" si="28"/>
        <v>0</v>
      </c>
      <c r="R56" s="380">
        <f t="shared" si="28"/>
        <v>0</v>
      </c>
      <c r="S56" s="380">
        <f t="shared" si="28"/>
        <v>0</v>
      </c>
      <c r="T56" s="380">
        <f t="shared" si="28"/>
        <v>0</v>
      </c>
      <c r="U56" s="380">
        <f t="shared" si="28"/>
        <v>0</v>
      </c>
      <c r="V56" s="380">
        <f t="shared" si="28"/>
        <v>0</v>
      </c>
      <c r="W56" s="380">
        <f t="shared" si="28"/>
        <v>0</v>
      </c>
      <c r="X56" s="380">
        <f t="shared" si="28"/>
        <v>0</v>
      </c>
      <c r="Y56" s="1679">
        <f t="shared" si="25"/>
        <v>0</v>
      </c>
    </row>
    <row r="57" spans="2:25" x14ac:dyDescent="0.2">
      <c r="K57" s="389" t="s">
        <v>195</v>
      </c>
      <c r="L57" s="389"/>
      <c r="M57" s="379">
        <f t="shared" ref="M57:X57" si="29">M39-M56</f>
        <v>0</v>
      </c>
      <c r="N57" s="379">
        <f t="shared" si="29"/>
        <v>0</v>
      </c>
      <c r="O57" s="379">
        <f t="shared" si="29"/>
        <v>0</v>
      </c>
      <c r="P57" s="379">
        <f t="shared" si="29"/>
        <v>0</v>
      </c>
      <c r="Q57" s="379">
        <f t="shared" si="29"/>
        <v>0</v>
      </c>
      <c r="R57" s="379">
        <f t="shared" si="29"/>
        <v>0</v>
      </c>
      <c r="S57" s="379">
        <f t="shared" si="29"/>
        <v>0</v>
      </c>
      <c r="T57" s="379">
        <f t="shared" si="29"/>
        <v>0</v>
      </c>
      <c r="U57" s="379">
        <f t="shared" si="29"/>
        <v>0</v>
      </c>
      <c r="V57" s="379">
        <f t="shared" si="29"/>
        <v>0</v>
      </c>
      <c r="W57" s="379">
        <f t="shared" si="29"/>
        <v>0</v>
      </c>
      <c r="X57" s="379">
        <f t="shared" si="29"/>
        <v>0</v>
      </c>
      <c r="Y57" s="1679">
        <f t="shared" si="25"/>
        <v>0</v>
      </c>
    </row>
  </sheetData>
  <sheetProtection algorithmName="SHA-512" hashValue="sNt8afk+gySzT064195DDfBdC4g97TQgQJAtUgJQxO0Bvhc7RP2oZk1/rPOW8mEr6NTecMjl03/eFhB9tB4UWQ==" saltValue="62LkIzyt++TcKtFxgh91Dg==" spinCount="100000" sheet="1" objects="1" scenarios="1" selectLockedCells="1" selectUnlockedCells="1"/>
  <mergeCells count="1">
    <mergeCell ref="C2:C3"/>
  </mergeCells>
  <pageMargins left="0.7" right="0.7" top="0.75" bottom="0.75" header="0.3" footer="0.3"/>
  <pageSetup paperSize="9" orientation="portrait" verticalDpi="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135"/>
  <sheetViews>
    <sheetView topLeftCell="A2" workbookViewId="0">
      <selection activeCell="E62" sqref="E62:F62"/>
    </sheetView>
  </sheetViews>
  <sheetFormatPr defaultRowHeight="12.75" x14ac:dyDescent="0.2"/>
  <cols>
    <col min="2" max="2" width="33.42578125" customWidth="1"/>
    <col min="3" max="3" width="8.140625" customWidth="1"/>
    <col min="4" max="4" width="15.5703125" style="86" customWidth="1"/>
    <col min="5" max="5" width="7.7109375" customWidth="1"/>
    <col min="6" max="6" width="8.7109375" customWidth="1"/>
    <col min="7" max="7" width="8.85546875" customWidth="1"/>
    <col min="8" max="9" width="10" customWidth="1"/>
    <col min="10" max="10" width="8.85546875" customWidth="1"/>
    <col min="11" max="11" width="11.28515625" customWidth="1"/>
    <col min="12" max="12" width="9.28515625" customWidth="1"/>
    <col min="13" max="13" width="10.140625" customWidth="1"/>
    <col min="14" max="14" width="12.5703125" customWidth="1"/>
    <col min="15" max="15" width="9.5703125" customWidth="1"/>
    <col min="16" max="16" width="9.85546875" customWidth="1"/>
    <col min="17" max="17" width="7.5703125" customWidth="1"/>
    <col min="19" max="19" width="9.85546875" customWidth="1"/>
    <col min="20" max="20" width="8.28515625" customWidth="1"/>
    <col min="21" max="21" width="10.28515625" customWidth="1"/>
    <col min="22" max="23" width="8.28515625" customWidth="1"/>
    <col min="24" max="24" width="9.140625" customWidth="1"/>
    <col min="25" max="25" width="9.28515625" customWidth="1"/>
    <col min="26" max="26" width="11" customWidth="1"/>
    <col min="27" max="27" width="10.28515625" customWidth="1"/>
    <col min="28" max="28" width="9.140625" customWidth="1"/>
    <col min="33" max="33" width="11.28515625" customWidth="1"/>
  </cols>
  <sheetData>
    <row r="2" spans="2:40" ht="13.5" thickBot="1" x14ac:dyDescent="0.25"/>
    <row r="3" spans="2:40" x14ac:dyDescent="0.2">
      <c r="F3" s="2267"/>
      <c r="G3" s="2268"/>
      <c r="H3" s="2268"/>
      <c r="I3" s="2268"/>
      <c r="J3" s="2269"/>
      <c r="K3" s="2278" t="str">
        <f>'2. T7 LOANS'!F9</f>
        <v>Forecast 1</v>
      </c>
      <c r="L3" s="2279"/>
      <c r="M3" s="2279"/>
      <c r="N3" s="2279"/>
      <c r="O3" s="2279"/>
      <c r="P3" s="2280"/>
      <c r="Q3" s="2278" t="str">
        <f>'2. T7 LOANS'!I9</f>
        <v>Forecast 2</v>
      </c>
      <c r="R3" s="2279"/>
      <c r="S3" s="2279"/>
      <c r="T3" s="2279"/>
      <c r="U3" s="2279"/>
      <c r="V3" s="2280"/>
      <c r="W3" s="2278" t="str">
        <f>'2. T7 LOANS'!L9</f>
        <v>Forecast 3</v>
      </c>
      <c r="X3" s="2279"/>
      <c r="Y3" s="2279"/>
      <c r="Z3" s="2279"/>
      <c r="AA3" s="2279"/>
      <c r="AB3" s="2280"/>
      <c r="AC3" s="2278" t="s">
        <v>146</v>
      </c>
      <c r="AD3" s="2279"/>
      <c r="AE3" s="2279"/>
      <c r="AF3" s="2279"/>
      <c r="AG3" s="2279"/>
      <c r="AH3" s="2280"/>
      <c r="AI3" s="2278" t="s">
        <v>154</v>
      </c>
      <c r="AJ3" s="2279"/>
      <c r="AK3" s="2279"/>
      <c r="AL3" s="2279"/>
      <c r="AM3" s="2279"/>
      <c r="AN3" s="2280"/>
    </row>
    <row r="4" spans="2:40" x14ac:dyDescent="0.2">
      <c r="F4" s="2264"/>
      <c r="G4" s="2265"/>
      <c r="H4" s="2265"/>
      <c r="I4" s="2265"/>
      <c r="J4" s="2266"/>
      <c r="K4" s="2281">
        <f>'2. T7 LOANS'!F10</f>
        <v>2027</v>
      </c>
      <c r="L4" s="2282"/>
      <c r="M4" s="2282"/>
      <c r="N4" s="2282"/>
      <c r="O4" s="2282"/>
      <c r="P4" s="2283"/>
      <c r="Q4" s="2281">
        <f>'2. T7 LOANS'!I10</f>
        <v>2028</v>
      </c>
      <c r="R4" s="2282"/>
      <c r="S4" s="2282"/>
      <c r="T4" s="2282"/>
      <c r="U4" s="2282"/>
      <c r="V4" s="2283"/>
      <c r="W4" s="2281">
        <f>'2. T7 LOANS'!L10</f>
        <v>2029</v>
      </c>
      <c r="X4" s="2282"/>
      <c r="Y4" s="2282"/>
      <c r="Z4" s="2282"/>
      <c r="AA4" s="2282"/>
      <c r="AB4" s="2283"/>
      <c r="AC4" s="2281">
        <f>'2. T7 LOANS'!O10</f>
        <v>2030</v>
      </c>
      <c r="AD4" s="2282"/>
      <c r="AE4" s="2282"/>
      <c r="AF4" s="2282"/>
      <c r="AG4" s="2282"/>
      <c r="AH4" s="2283"/>
      <c r="AI4" s="2281">
        <f>'2. T7 LOANS'!O10+1</f>
        <v>2031</v>
      </c>
      <c r="AJ4" s="2282"/>
      <c r="AK4" s="2282"/>
      <c r="AL4" s="2282"/>
      <c r="AM4" s="2282"/>
      <c r="AN4" s="2283"/>
    </row>
    <row r="5" spans="2:40" x14ac:dyDescent="0.2">
      <c r="C5" s="2"/>
      <c r="D5" s="6" t="s">
        <v>68</v>
      </c>
      <c r="E5" s="2"/>
      <c r="F5" s="1407"/>
      <c r="G5" s="1408"/>
      <c r="H5" s="1408"/>
      <c r="I5" s="1408"/>
      <c r="J5" s="1409"/>
      <c r="K5" s="254"/>
      <c r="L5" s="255" t="s">
        <v>68</v>
      </c>
      <c r="M5" s="255"/>
      <c r="N5" s="255"/>
      <c r="O5" s="255"/>
      <c r="P5" s="256"/>
      <c r="Q5" s="254"/>
      <c r="R5" s="255" t="s">
        <v>68</v>
      </c>
      <c r="S5" s="255"/>
      <c r="T5" s="255"/>
      <c r="U5" s="255"/>
      <c r="V5" s="256"/>
      <c r="W5" s="254"/>
      <c r="X5" s="255" t="s">
        <v>68</v>
      </c>
      <c r="Y5" s="255"/>
      <c r="Z5" s="255"/>
      <c r="AA5" s="255"/>
      <c r="AB5" s="256"/>
      <c r="AC5" s="254"/>
      <c r="AD5" s="255" t="s">
        <v>68</v>
      </c>
      <c r="AE5" s="255"/>
      <c r="AF5" s="255"/>
      <c r="AG5" s="255"/>
      <c r="AH5" s="256"/>
      <c r="AI5" s="254"/>
      <c r="AJ5" s="255" t="s">
        <v>68</v>
      </c>
      <c r="AK5" s="255"/>
      <c r="AL5" s="255"/>
      <c r="AM5" s="255"/>
      <c r="AN5" s="256"/>
    </row>
    <row r="6" spans="2:40" x14ac:dyDescent="0.2">
      <c r="B6" s="1" t="s">
        <v>147</v>
      </c>
      <c r="C6" s="6" t="s">
        <v>61</v>
      </c>
      <c r="D6" s="6" t="s">
        <v>67</v>
      </c>
      <c r="E6" s="6" t="s">
        <v>58</v>
      </c>
      <c r="F6" s="1410"/>
      <c r="G6" s="1411"/>
      <c r="H6" s="1411"/>
      <c r="I6" s="1411"/>
      <c r="J6" s="1412"/>
      <c r="K6" s="93" t="s">
        <v>62</v>
      </c>
      <c r="L6" s="92" t="s">
        <v>189</v>
      </c>
      <c r="M6" s="89" t="s">
        <v>66</v>
      </c>
      <c r="N6" s="89" t="s">
        <v>69</v>
      </c>
      <c r="O6" s="89" t="s">
        <v>63</v>
      </c>
      <c r="P6" s="94" t="s">
        <v>58</v>
      </c>
      <c r="Q6" s="93" t="s">
        <v>62</v>
      </c>
      <c r="R6" s="92" t="s">
        <v>189</v>
      </c>
      <c r="S6" s="89" t="s">
        <v>66</v>
      </c>
      <c r="T6" s="89" t="s">
        <v>69</v>
      </c>
      <c r="U6" s="89" t="s">
        <v>63</v>
      </c>
      <c r="V6" s="94" t="s">
        <v>58</v>
      </c>
      <c r="W6" s="93" t="s">
        <v>62</v>
      </c>
      <c r="X6" s="92" t="s">
        <v>189</v>
      </c>
      <c r="Y6" s="89" t="s">
        <v>66</v>
      </c>
      <c r="Z6" s="89" t="s">
        <v>69</v>
      </c>
      <c r="AA6" s="89" t="s">
        <v>63</v>
      </c>
      <c r="AB6" s="94" t="s">
        <v>58</v>
      </c>
      <c r="AC6" s="93" t="s">
        <v>62</v>
      </c>
      <c r="AD6" s="92" t="s">
        <v>189</v>
      </c>
      <c r="AE6" s="89" t="s">
        <v>66</v>
      </c>
      <c r="AF6" s="89" t="s">
        <v>69</v>
      </c>
      <c r="AG6" s="89" t="s">
        <v>63</v>
      </c>
      <c r="AH6" s="94" t="s">
        <v>58</v>
      </c>
      <c r="AI6" s="93" t="s">
        <v>62</v>
      </c>
      <c r="AJ6" s="92" t="s">
        <v>189</v>
      </c>
      <c r="AK6" s="89" t="s">
        <v>66</v>
      </c>
      <c r="AL6" s="89" t="s">
        <v>69</v>
      </c>
      <c r="AM6" s="89" t="s">
        <v>63</v>
      </c>
      <c r="AN6" s="94" t="s">
        <v>58</v>
      </c>
    </row>
    <row r="7" spans="2:40" ht="13.5" thickBot="1" x14ac:dyDescent="0.25">
      <c r="B7" s="2" t="s">
        <v>59</v>
      </c>
      <c r="C7" s="42"/>
      <c r="D7" s="42"/>
      <c r="E7" s="42"/>
      <c r="F7" s="1410"/>
      <c r="G7" s="1411"/>
      <c r="H7" s="1411"/>
      <c r="I7" s="1411"/>
      <c r="J7" s="1412"/>
      <c r="K7" s="93"/>
      <c r="L7" s="92"/>
      <c r="M7" s="89"/>
      <c r="N7" s="89"/>
      <c r="O7" s="89"/>
      <c r="P7" s="94"/>
      <c r="Q7" s="93"/>
      <c r="R7" s="92"/>
      <c r="S7" s="89"/>
      <c r="T7" s="89"/>
      <c r="U7" s="89"/>
      <c r="V7" s="94"/>
      <c r="W7" s="93"/>
      <c r="X7" s="92"/>
      <c r="Y7" s="89"/>
      <c r="Z7" s="89"/>
      <c r="AA7" s="89"/>
      <c r="AB7" s="94"/>
      <c r="AC7" s="93"/>
      <c r="AD7" s="92"/>
      <c r="AE7" s="197" t="s">
        <v>0</v>
      </c>
      <c r="AF7" s="89"/>
      <c r="AG7" s="89"/>
      <c r="AH7" s="94"/>
      <c r="AI7" s="93"/>
      <c r="AJ7" s="92"/>
      <c r="AK7" s="197" t="s">
        <v>0</v>
      </c>
      <c r="AL7" s="89"/>
      <c r="AM7" s="89"/>
      <c r="AN7" s="94"/>
    </row>
    <row r="8" spans="2:40" x14ac:dyDescent="0.2">
      <c r="B8" s="710">
        <f>'2. T7 LOANS'!B13</f>
        <v>0</v>
      </c>
      <c r="C8" s="711">
        <f>'2. T7 LOANS'!C13</f>
        <v>0</v>
      </c>
      <c r="D8" s="712">
        <f>'2. T7 LOANS'!D13</f>
        <v>0</v>
      </c>
      <c r="E8" s="713">
        <f>'2. T7 LOANS'!E13</f>
        <v>0</v>
      </c>
      <c r="F8" s="1413"/>
      <c r="G8" s="1414"/>
      <c r="H8" s="1414"/>
      <c r="I8" s="1414"/>
      <c r="J8" s="1415"/>
      <c r="K8" s="714">
        <f>'2. T7 LOANS'!F13</f>
        <v>0</v>
      </c>
      <c r="L8" s="717">
        <f>IF(I8&gt;0,IF(D8-1&gt;0,D8-1,D8),D8)</f>
        <v>0</v>
      </c>
      <c r="M8" s="715">
        <f>'2. T7 LOANS'!G13</f>
        <v>0</v>
      </c>
      <c r="N8" s="715">
        <f>F8-G8+K8-M8/4</f>
        <v>0</v>
      </c>
      <c r="O8" s="715">
        <f>K8-M8</f>
        <v>0</v>
      </c>
      <c r="P8" s="716">
        <f>IF($E8*N8&lt;0,0,N8*$E8)</f>
        <v>0</v>
      </c>
      <c r="Q8" s="718">
        <f>'2. T7 LOANS'!I13</f>
        <v>0</v>
      </c>
      <c r="R8" s="717">
        <f>IF(F8=0,IF(K8=0,L8,$D8-1),$D8-2)</f>
        <v>0</v>
      </c>
      <c r="S8" s="715">
        <f>'2. T7 LOANS'!J13</f>
        <v>0</v>
      </c>
      <c r="T8" s="715">
        <f>O8+Q8-S8/4</f>
        <v>0</v>
      </c>
      <c r="U8" s="715">
        <f t="shared" ref="U8:U14" si="0">O8+Q8-S8</f>
        <v>0</v>
      </c>
      <c r="V8" s="716">
        <f t="shared" ref="V8:V14" si="1">IF($E8*T8&lt;0,0,T8*$E8)</f>
        <v>0</v>
      </c>
      <c r="W8" s="718">
        <f>'2. T7 LOANS'!L13</f>
        <v>0</v>
      </c>
      <c r="X8" s="717">
        <f t="shared" ref="X8:X15" si="2">IF(R8-1&gt;0,R8-1,0)</f>
        <v>0</v>
      </c>
      <c r="Y8" s="715">
        <f>'2. T7 LOANS'!M13</f>
        <v>0</v>
      </c>
      <c r="Z8" s="715">
        <f>(U8+W8-Y8/4)</f>
        <v>0</v>
      </c>
      <c r="AA8" s="715">
        <f t="shared" ref="AA8:AA16" si="3">U8+W8-Y8</f>
        <v>0</v>
      </c>
      <c r="AB8" s="716">
        <f t="shared" ref="AB8:AB16" si="4">IF($E8*Z8&lt;0,0,Z8*$E8)</f>
        <v>0</v>
      </c>
      <c r="AC8" s="718">
        <f>'2. T7 LOANS'!O13</f>
        <v>0</v>
      </c>
      <c r="AD8" s="717">
        <f t="shared" ref="AD8:AD19" si="5">IF(X8-1&gt;0,X8-1,0)</f>
        <v>0</v>
      </c>
      <c r="AE8" s="719">
        <f>'2. T7 LOANS'!P13</f>
        <v>0</v>
      </c>
      <c r="AF8" s="715">
        <f>(AA8+AC8-AE8/4)</f>
        <v>0</v>
      </c>
      <c r="AG8" s="715">
        <f t="shared" ref="AG8:AG21" si="6">AA8+AC8-AE8</f>
        <v>0</v>
      </c>
      <c r="AH8" s="716">
        <f t="shared" ref="AH8:AH21" si="7">IF($E8*AF8&lt;0,0,AF8*$E8)</f>
        <v>0</v>
      </c>
      <c r="AI8" s="718">
        <v>0</v>
      </c>
      <c r="AJ8" s="717">
        <f t="shared" ref="AJ8:AJ23" si="8">IF(AD8-1&gt;0,AD8-1,0)</f>
        <v>0</v>
      </c>
      <c r="AK8" s="719">
        <f>IF(D8=0,0,IF(C8-S8-Y8-AE8-M8&lt;=0,0,'AT2 Lainat, alv'!AE8))</f>
        <v>0</v>
      </c>
      <c r="AL8" s="715">
        <f>(AG8+AI8-AK8/4)</f>
        <v>0</v>
      </c>
      <c r="AM8" s="715">
        <f t="shared" ref="AM8:AM22" si="9">AG8+AI8-AK8</f>
        <v>0</v>
      </c>
      <c r="AN8" s="716">
        <f t="shared" ref="AN8:AN22" si="10">IF($E8*AL8&lt;0,0,AL8*$E8)</f>
        <v>0</v>
      </c>
    </row>
    <row r="9" spans="2:40" x14ac:dyDescent="0.2">
      <c r="B9" s="720">
        <f>'2. T7 LOANS'!B14</f>
        <v>0</v>
      </c>
      <c r="C9" s="90">
        <f>'2. T7 LOANS'!C14</f>
        <v>0</v>
      </c>
      <c r="D9" s="97">
        <f>'2. T7 LOANS'!D14</f>
        <v>0</v>
      </c>
      <c r="E9" s="91">
        <f>'2. T7 LOANS'!E14</f>
        <v>0</v>
      </c>
      <c r="F9" s="1416"/>
      <c r="G9" s="1417"/>
      <c r="H9" s="1417"/>
      <c r="I9" s="1417"/>
      <c r="J9" s="1418"/>
      <c r="K9" s="199">
        <f>'2. T7 LOANS'!F14</f>
        <v>0</v>
      </c>
      <c r="L9" s="200">
        <f>IF(I9&gt;0,IF(D9-1&gt;0,D9-1,D9),D9)</f>
        <v>0</v>
      </c>
      <c r="M9" s="192">
        <f>'2. T7 LOANS'!G14</f>
        <v>0</v>
      </c>
      <c r="N9" s="192">
        <f>F9-G9+K9-M9/4</f>
        <v>0</v>
      </c>
      <c r="O9" s="192">
        <f>K9-M9</f>
        <v>0</v>
      </c>
      <c r="P9" s="168">
        <f>IF($E9*N9&lt;0,0,N9*$E9)</f>
        <v>0</v>
      </c>
      <c r="Q9" s="169">
        <f>'2. T7 LOANS'!I14</f>
        <v>0</v>
      </c>
      <c r="R9" s="200">
        <f>IF(F9=0,IF(K9=0,L9,$D9-1),$D9-2)</f>
        <v>0</v>
      </c>
      <c r="S9" s="192">
        <f>'2. T7 LOANS'!J14</f>
        <v>0</v>
      </c>
      <c r="T9" s="192">
        <f t="shared" ref="T9:T15" si="11">O9+Q9-S9/4</f>
        <v>0</v>
      </c>
      <c r="U9" s="192">
        <f t="shared" si="0"/>
        <v>0</v>
      </c>
      <c r="V9" s="168">
        <f t="shared" si="1"/>
        <v>0</v>
      </c>
      <c r="W9" s="169">
        <f>'2. T7 LOANS'!L14</f>
        <v>0</v>
      </c>
      <c r="X9" s="200">
        <f t="shared" si="2"/>
        <v>0</v>
      </c>
      <c r="Y9" s="192">
        <f>'2. T7 LOANS'!M14</f>
        <v>0</v>
      </c>
      <c r="Z9" s="192">
        <f t="shared" ref="Z9:Z19" si="12">(U9+W9-Y9/4)</f>
        <v>0</v>
      </c>
      <c r="AA9" s="192">
        <f>U9+W9-Y9</f>
        <v>0</v>
      </c>
      <c r="AB9" s="168">
        <f>IF($E9*Z9&lt;0,0,Z9*$E9)</f>
        <v>0</v>
      </c>
      <c r="AC9" s="169">
        <f>'2. T7 LOANS'!O14</f>
        <v>0</v>
      </c>
      <c r="AD9" s="200">
        <f t="shared" si="5"/>
        <v>0</v>
      </c>
      <c r="AE9" s="197">
        <f>'2. T7 LOANS'!P14</f>
        <v>0</v>
      </c>
      <c r="AF9" s="192">
        <f t="shared" ref="AF9:AF23" si="13">(AA9+AC9-AE9/4)</f>
        <v>0</v>
      </c>
      <c r="AG9" s="192">
        <f t="shared" si="6"/>
        <v>0</v>
      </c>
      <c r="AH9" s="168">
        <f t="shared" si="7"/>
        <v>0</v>
      </c>
      <c r="AI9" s="169">
        <v>0</v>
      </c>
      <c r="AJ9" s="200">
        <f t="shared" si="8"/>
        <v>0</v>
      </c>
      <c r="AK9" s="197">
        <f>IF(D9=0,0,IF(C9-S9-Y9-AE9-M9&lt;=0,0,'AT2 Lainat, alv'!AE9))</f>
        <v>0</v>
      </c>
      <c r="AL9" s="192">
        <f t="shared" ref="AL9:AL23" si="14">(AG9+AI9-AK9/4)</f>
        <v>0</v>
      </c>
      <c r="AM9" s="192">
        <f t="shared" si="9"/>
        <v>0</v>
      </c>
      <c r="AN9" s="168">
        <f t="shared" si="10"/>
        <v>0</v>
      </c>
    </row>
    <row r="10" spans="2:40" x14ac:dyDescent="0.2">
      <c r="B10" s="720">
        <f>'2. T7 LOANS'!B15</f>
        <v>0</v>
      </c>
      <c r="C10" s="90">
        <f>'2. T7 LOANS'!C15</f>
        <v>0</v>
      </c>
      <c r="D10" s="97">
        <f>'2. T7 LOANS'!D15</f>
        <v>0</v>
      </c>
      <c r="E10" s="91">
        <f>'2. T7 LOANS'!E15</f>
        <v>0</v>
      </c>
      <c r="F10" s="1416"/>
      <c r="G10" s="1417"/>
      <c r="H10" s="1417"/>
      <c r="I10" s="1417"/>
      <c r="J10" s="1418"/>
      <c r="K10" s="199">
        <f>'2. T7 LOANS'!F15</f>
        <v>0</v>
      </c>
      <c r="L10" s="200">
        <f>IF(I10&gt;0,IF(D10-1&gt;0,D10-1,D10),D10)</f>
        <v>0</v>
      </c>
      <c r="M10" s="192">
        <f>'2. T7 LOANS'!G15</f>
        <v>0</v>
      </c>
      <c r="N10" s="192">
        <f>F10-G10+K10-M10/4</f>
        <v>0</v>
      </c>
      <c r="O10" s="192">
        <f>K10-M10</f>
        <v>0</v>
      </c>
      <c r="P10" s="168">
        <f>IF($E10*N10&lt;0,0,N10*$E10)</f>
        <v>0</v>
      </c>
      <c r="Q10" s="169">
        <f>'2. T7 LOANS'!I15</f>
        <v>0</v>
      </c>
      <c r="R10" s="200">
        <f>IF(F10=0,IF(K10=0,L10,$D10-1),$D10-2)</f>
        <v>0</v>
      </c>
      <c r="S10" s="192">
        <f>'2. T7 LOANS'!J15</f>
        <v>0</v>
      </c>
      <c r="T10" s="192">
        <f t="shared" si="11"/>
        <v>0</v>
      </c>
      <c r="U10" s="192">
        <f t="shared" si="0"/>
        <v>0</v>
      </c>
      <c r="V10" s="168">
        <f t="shared" si="1"/>
        <v>0</v>
      </c>
      <c r="W10" s="169">
        <f>'2. T7 LOANS'!L15</f>
        <v>0</v>
      </c>
      <c r="X10" s="200">
        <f t="shared" si="2"/>
        <v>0</v>
      </c>
      <c r="Y10" s="192">
        <f>'2. T7 LOANS'!M15</f>
        <v>0</v>
      </c>
      <c r="Z10" s="192">
        <f t="shared" si="12"/>
        <v>0</v>
      </c>
      <c r="AA10" s="192">
        <f>U10+W10-Y10</f>
        <v>0</v>
      </c>
      <c r="AB10" s="168">
        <f>IF($E10*Z10&lt;0,0,Z10*$E10)</f>
        <v>0</v>
      </c>
      <c r="AC10" s="169">
        <f>'2. T7 LOANS'!O15</f>
        <v>0</v>
      </c>
      <c r="AD10" s="200">
        <f t="shared" si="5"/>
        <v>0</v>
      </c>
      <c r="AE10" s="197">
        <f>'2. T7 LOANS'!P15</f>
        <v>0</v>
      </c>
      <c r="AF10" s="192">
        <f t="shared" si="13"/>
        <v>0</v>
      </c>
      <c r="AG10" s="192">
        <f t="shared" si="6"/>
        <v>0</v>
      </c>
      <c r="AH10" s="168">
        <f t="shared" si="7"/>
        <v>0</v>
      </c>
      <c r="AI10" s="169">
        <v>0</v>
      </c>
      <c r="AJ10" s="200">
        <f t="shared" si="8"/>
        <v>0</v>
      </c>
      <c r="AK10" s="197">
        <f>IF(D10=0,0,IF(C10-S10-Y10-AE10-M10&lt;=0,0,'AT2 Lainat, alv'!AE10))</f>
        <v>0</v>
      </c>
      <c r="AL10" s="192">
        <f t="shared" si="14"/>
        <v>0</v>
      </c>
      <c r="AM10" s="192">
        <f t="shared" si="9"/>
        <v>0</v>
      </c>
      <c r="AN10" s="168">
        <f t="shared" si="10"/>
        <v>0</v>
      </c>
    </row>
    <row r="11" spans="2:40" ht="13.5" thickBot="1" x14ac:dyDescent="0.25">
      <c r="B11" s="721">
        <f>'2. T7 LOANS'!B16</f>
        <v>0</v>
      </c>
      <c r="C11" s="722">
        <f>'2. T7 LOANS'!C16</f>
        <v>0</v>
      </c>
      <c r="D11" s="723">
        <f>'2. T7 LOANS'!D16</f>
        <v>0</v>
      </c>
      <c r="E11" s="724">
        <f>'2. T7 LOANS'!E16</f>
        <v>0</v>
      </c>
      <c r="F11" s="1419"/>
      <c r="G11" s="1420"/>
      <c r="H11" s="1420"/>
      <c r="I11" s="1420"/>
      <c r="J11" s="1421"/>
      <c r="K11" s="725">
        <f>'2. T7 LOANS'!F16</f>
        <v>0</v>
      </c>
      <c r="L11" s="728">
        <f>IF(I11&gt;0,IF(D11-1&gt;0,D11-1,D11),D11)</f>
        <v>0</v>
      </c>
      <c r="M11" s="726">
        <f>'2. T7 LOANS'!G16</f>
        <v>0</v>
      </c>
      <c r="N11" s="726">
        <f>F11-G11+K11-M11/4</f>
        <v>0</v>
      </c>
      <c r="O11" s="726">
        <f>K11-M11</f>
        <v>0</v>
      </c>
      <c r="P11" s="727">
        <f>IF($E11*N11&lt;0,0,N11*$E11)</f>
        <v>0</v>
      </c>
      <c r="Q11" s="729">
        <f>'2. T7 LOANS'!I16</f>
        <v>0</v>
      </c>
      <c r="R11" s="728">
        <f>IF(F11=0,IF(K11=0,L11,$D11-1),$D11-2)</f>
        <v>0</v>
      </c>
      <c r="S11" s="726">
        <f>'2. T7 LOANS'!J16</f>
        <v>0</v>
      </c>
      <c r="T11" s="726">
        <f t="shared" si="11"/>
        <v>0</v>
      </c>
      <c r="U11" s="726">
        <f>O11+Q11-S11</f>
        <v>0</v>
      </c>
      <c r="V11" s="727">
        <f>IF($E11*T11&lt;0,0,T11*$E11)</f>
        <v>0</v>
      </c>
      <c r="W11" s="729">
        <f>'2. T7 LOANS'!L16</f>
        <v>0</v>
      </c>
      <c r="X11" s="728">
        <f t="shared" si="2"/>
        <v>0</v>
      </c>
      <c r="Y11" s="726">
        <f>'2. T7 LOANS'!M16</f>
        <v>0</v>
      </c>
      <c r="Z11" s="726">
        <f t="shared" si="12"/>
        <v>0</v>
      </c>
      <c r="AA11" s="726">
        <f>U11+W11-Y11</f>
        <v>0</v>
      </c>
      <c r="AB11" s="727">
        <f>IF($E11*Z11&lt;0,0,Z11*$E11)</f>
        <v>0</v>
      </c>
      <c r="AC11" s="729">
        <f>'2. T7 LOANS'!O16</f>
        <v>0</v>
      </c>
      <c r="AD11" s="728">
        <f>IF(X11-1&gt;0,X11-1,0)</f>
        <v>0</v>
      </c>
      <c r="AE11" s="574">
        <f>'2. T7 LOANS'!P16</f>
        <v>0</v>
      </c>
      <c r="AF11" s="726">
        <f t="shared" si="13"/>
        <v>0</v>
      </c>
      <c r="AG11" s="726">
        <f>AA11+AC11-AE11</f>
        <v>0</v>
      </c>
      <c r="AH11" s="727">
        <f>IF($E11*AF11&lt;0,0,AF11*$E11)</f>
        <v>0</v>
      </c>
      <c r="AI11" s="729">
        <v>0</v>
      </c>
      <c r="AJ11" s="728">
        <f>IF(AD11-1&gt;0,AD11-1,0)</f>
        <v>0</v>
      </c>
      <c r="AK11" s="574">
        <f>IF(D11=0,0,IF(C11-S11-Y11-AE11-M11&lt;=0,0,'AT2 Lainat, alv'!AE11))</f>
        <v>0</v>
      </c>
      <c r="AL11" s="726">
        <f t="shared" si="14"/>
        <v>0</v>
      </c>
      <c r="AM11" s="726">
        <f>AG11+AI11-AK11</f>
        <v>0</v>
      </c>
      <c r="AN11" s="727">
        <f>IF($E11*AL11&lt;0,0,AL11*$E11)</f>
        <v>0</v>
      </c>
    </row>
    <row r="12" spans="2:40" x14ac:dyDescent="0.2">
      <c r="B12" s="700">
        <f>'2. T7 LOANS'!B18</f>
        <v>0</v>
      </c>
      <c r="C12" s="701">
        <f>'2. T7 LOANS'!C18</f>
        <v>0</v>
      </c>
      <c r="D12" s="702">
        <f>'2. T7 LOANS'!D18</f>
        <v>0</v>
      </c>
      <c r="E12" s="703">
        <f>'2. T7 LOANS'!E18</f>
        <v>0</v>
      </c>
      <c r="F12" s="1422"/>
      <c r="G12" s="1423"/>
      <c r="H12" s="1423"/>
      <c r="I12" s="1423"/>
      <c r="J12" s="1424"/>
      <c r="K12" s="704"/>
      <c r="L12" s="707"/>
      <c r="M12" s="705"/>
      <c r="N12" s="705"/>
      <c r="O12" s="705"/>
      <c r="P12" s="706"/>
      <c r="Q12" s="708">
        <f>'2. T7 LOANS'!I18</f>
        <v>0</v>
      </c>
      <c r="R12" s="707">
        <f>IF(D12&gt;0,D12,0)</f>
        <v>0</v>
      </c>
      <c r="S12" s="705">
        <f>'2. T7 LOANS'!J18</f>
        <v>0</v>
      </c>
      <c r="T12" s="705">
        <f t="shared" si="11"/>
        <v>0</v>
      </c>
      <c r="U12" s="705">
        <f t="shared" si="0"/>
        <v>0</v>
      </c>
      <c r="V12" s="706">
        <f t="shared" si="1"/>
        <v>0</v>
      </c>
      <c r="W12" s="708">
        <f>'2. T7 LOANS'!L18</f>
        <v>0</v>
      </c>
      <c r="X12" s="707">
        <f t="shared" si="2"/>
        <v>0</v>
      </c>
      <c r="Y12" s="705">
        <f>'2. T7 LOANS'!M18</f>
        <v>0</v>
      </c>
      <c r="Z12" s="705">
        <f t="shared" si="12"/>
        <v>0</v>
      </c>
      <c r="AA12" s="705">
        <f t="shared" si="3"/>
        <v>0</v>
      </c>
      <c r="AB12" s="706">
        <f t="shared" si="4"/>
        <v>0</v>
      </c>
      <c r="AC12" s="708">
        <f>'2. T7 LOANS'!O18</f>
        <v>0</v>
      </c>
      <c r="AD12" s="707">
        <f>IF(X12-1&gt;0,X12-1,0)</f>
        <v>0</v>
      </c>
      <c r="AE12" s="709">
        <f>'2. T7 LOANS'!P18</f>
        <v>0</v>
      </c>
      <c r="AF12" s="705">
        <f t="shared" si="13"/>
        <v>0</v>
      </c>
      <c r="AG12" s="705">
        <f t="shared" si="6"/>
        <v>0</v>
      </c>
      <c r="AH12" s="706">
        <f t="shared" si="7"/>
        <v>0</v>
      </c>
      <c r="AI12" s="708">
        <v>0</v>
      </c>
      <c r="AJ12" s="707">
        <f t="shared" si="8"/>
        <v>0</v>
      </c>
      <c r="AK12" s="709">
        <f>IF(D12=0,0,IF(C12-S12-Y12-AE12-M12&lt;=0,0,'AT2 Lainat, alv'!AE12))</f>
        <v>0</v>
      </c>
      <c r="AL12" s="705">
        <f t="shared" si="14"/>
        <v>0</v>
      </c>
      <c r="AM12" s="705">
        <f t="shared" si="9"/>
        <v>0</v>
      </c>
      <c r="AN12" s="705">
        <f t="shared" si="10"/>
        <v>0</v>
      </c>
    </row>
    <row r="13" spans="2:40" x14ac:dyDescent="0.2">
      <c r="B13" s="84">
        <f>'2. T7 LOANS'!B19</f>
        <v>0</v>
      </c>
      <c r="C13" s="90">
        <f>'2. T7 LOANS'!C19</f>
        <v>0</v>
      </c>
      <c r="D13" s="97">
        <f>'2. T7 LOANS'!D19</f>
        <v>0</v>
      </c>
      <c r="E13" s="91">
        <f>'2. T7 LOANS'!E19</f>
        <v>0</v>
      </c>
      <c r="F13" s="1416"/>
      <c r="G13" s="1417"/>
      <c r="H13" s="1417"/>
      <c r="I13" s="1417"/>
      <c r="J13" s="1418"/>
      <c r="K13" s="199"/>
      <c r="L13" s="200"/>
      <c r="M13" s="192"/>
      <c r="N13" s="192"/>
      <c r="O13" s="192"/>
      <c r="P13" s="168"/>
      <c r="Q13" s="169">
        <f>'2. T7 LOANS'!I19</f>
        <v>0</v>
      </c>
      <c r="R13" s="200">
        <f>IF(D13&gt;0,D13,0)</f>
        <v>0</v>
      </c>
      <c r="S13" s="192">
        <f>'2. T7 LOANS'!J19</f>
        <v>0</v>
      </c>
      <c r="T13" s="192">
        <f t="shared" si="11"/>
        <v>0</v>
      </c>
      <c r="U13" s="192">
        <f t="shared" si="0"/>
        <v>0</v>
      </c>
      <c r="V13" s="168">
        <f t="shared" si="1"/>
        <v>0</v>
      </c>
      <c r="W13" s="169">
        <f>'2. T7 LOANS'!L19</f>
        <v>0</v>
      </c>
      <c r="X13" s="200">
        <f t="shared" si="2"/>
        <v>0</v>
      </c>
      <c r="Y13" s="192">
        <f>'2. T7 LOANS'!M19</f>
        <v>0</v>
      </c>
      <c r="Z13" s="192">
        <f t="shared" si="12"/>
        <v>0</v>
      </c>
      <c r="AA13" s="192">
        <f>U13+W13-Y13</f>
        <v>0</v>
      </c>
      <c r="AB13" s="168">
        <f>IF($E13*Z13&lt;0,0,Z13*$E13)</f>
        <v>0</v>
      </c>
      <c r="AC13" s="169">
        <f>'2. T7 LOANS'!O19</f>
        <v>0</v>
      </c>
      <c r="AD13" s="200">
        <f>IF(X13-1&gt;0,X13-1,0)</f>
        <v>0</v>
      </c>
      <c r="AE13" s="197">
        <f>'2. T7 LOANS'!P19</f>
        <v>0</v>
      </c>
      <c r="AF13" s="192">
        <f t="shared" si="13"/>
        <v>0</v>
      </c>
      <c r="AG13" s="192">
        <f t="shared" si="6"/>
        <v>0</v>
      </c>
      <c r="AH13" s="168">
        <f t="shared" si="7"/>
        <v>0</v>
      </c>
      <c r="AI13" s="169">
        <v>0</v>
      </c>
      <c r="AJ13" s="200">
        <f t="shared" si="8"/>
        <v>0</v>
      </c>
      <c r="AK13" s="197">
        <f>IF(D13=0,0,IF(C13-S13-Y13-AE13-M13&lt;=0,0,'AT2 Lainat, alv'!AE13))</f>
        <v>0</v>
      </c>
      <c r="AL13" s="192">
        <f t="shared" si="14"/>
        <v>0</v>
      </c>
      <c r="AM13" s="192">
        <f t="shared" si="9"/>
        <v>0</v>
      </c>
      <c r="AN13" s="192">
        <f t="shared" si="10"/>
        <v>0</v>
      </c>
    </row>
    <row r="14" spans="2:40" x14ac:dyDescent="0.2">
      <c r="B14" s="84">
        <f>'2. T7 LOANS'!B20</f>
        <v>0</v>
      </c>
      <c r="C14" s="90">
        <f>'2. T7 LOANS'!C20</f>
        <v>0</v>
      </c>
      <c r="D14" s="97">
        <f>'2. T7 LOANS'!D20</f>
        <v>0</v>
      </c>
      <c r="E14" s="91">
        <f>'2. T7 LOANS'!E20</f>
        <v>0</v>
      </c>
      <c r="F14" s="1416"/>
      <c r="G14" s="1417"/>
      <c r="H14" s="1417"/>
      <c r="I14" s="1417"/>
      <c r="J14" s="1418"/>
      <c r="K14" s="199"/>
      <c r="L14" s="200"/>
      <c r="M14" s="192"/>
      <c r="N14" s="192"/>
      <c r="O14" s="192"/>
      <c r="P14" s="168"/>
      <c r="Q14" s="169">
        <f>'2. T7 LOANS'!I20</f>
        <v>0</v>
      </c>
      <c r="R14" s="200">
        <f>IF(D14&gt;0,D14,0)</f>
        <v>0</v>
      </c>
      <c r="S14" s="192">
        <f>'2. T7 LOANS'!J20</f>
        <v>0</v>
      </c>
      <c r="T14" s="192">
        <f t="shared" si="11"/>
        <v>0</v>
      </c>
      <c r="U14" s="192">
        <f t="shared" si="0"/>
        <v>0</v>
      </c>
      <c r="V14" s="168">
        <f t="shared" si="1"/>
        <v>0</v>
      </c>
      <c r="W14" s="169">
        <f>'2. T7 LOANS'!L20</f>
        <v>0</v>
      </c>
      <c r="X14" s="200">
        <f t="shared" si="2"/>
        <v>0</v>
      </c>
      <c r="Y14" s="192">
        <f>'2. T7 LOANS'!M20</f>
        <v>0</v>
      </c>
      <c r="Z14" s="192">
        <f t="shared" si="12"/>
        <v>0</v>
      </c>
      <c r="AA14" s="192">
        <f t="shared" si="3"/>
        <v>0</v>
      </c>
      <c r="AB14" s="168">
        <f t="shared" si="4"/>
        <v>0</v>
      </c>
      <c r="AC14" s="169">
        <f>'2. T7 LOANS'!O20</f>
        <v>0</v>
      </c>
      <c r="AD14" s="200">
        <f>IF(X14-1&gt;0,X14-1,0)</f>
        <v>0</v>
      </c>
      <c r="AE14" s="197">
        <f>'2. T7 LOANS'!P20</f>
        <v>0</v>
      </c>
      <c r="AF14" s="192">
        <f t="shared" si="13"/>
        <v>0</v>
      </c>
      <c r="AG14" s="192">
        <f t="shared" si="6"/>
        <v>0</v>
      </c>
      <c r="AH14" s="168">
        <f t="shared" si="7"/>
        <v>0</v>
      </c>
      <c r="AI14" s="169">
        <v>0</v>
      </c>
      <c r="AJ14" s="200">
        <f t="shared" si="8"/>
        <v>0</v>
      </c>
      <c r="AK14" s="197">
        <f>IF(D14=0,0,IF(C14-S14-Y14-AE14-M14&lt;=0,0,'AT2 Lainat, alv'!AE14))</f>
        <v>0</v>
      </c>
      <c r="AL14" s="192">
        <f t="shared" si="14"/>
        <v>0</v>
      </c>
      <c r="AM14" s="192">
        <f t="shared" si="9"/>
        <v>0</v>
      </c>
      <c r="AN14" s="192">
        <f t="shared" si="10"/>
        <v>0</v>
      </c>
    </row>
    <row r="15" spans="2:40" ht="13.5" thickBot="1" x14ac:dyDescent="0.25">
      <c r="B15" s="730">
        <f>'2. T7 LOANS'!B21</f>
        <v>0</v>
      </c>
      <c r="C15" s="731">
        <f>'2. T7 LOANS'!C21</f>
        <v>0</v>
      </c>
      <c r="D15" s="732">
        <f>'2. T7 LOANS'!D21</f>
        <v>0</v>
      </c>
      <c r="E15" s="733">
        <f>'2. T7 LOANS'!E21</f>
        <v>0</v>
      </c>
      <c r="F15" s="1425"/>
      <c r="G15" s="1426"/>
      <c r="H15" s="1426"/>
      <c r="I15" s="1426"/>
      <c r="J15" s="1427"/>
      <c r="K15" s="734"/>
      <c r="L15" s="737"/>
      <c r="M15" s="735"/>
      <c r="N15" s="735"/>
      <c r="O15" s="735"/>
      <c r="P15" s="736"/>
      <c r="Q15" s="738">
        <f>'2. T7 LOANS'!I21</f>
        <v>0</v>
      </c>
      <c r="R15" s="737">
        <f>IF(D15&gt;0,D15,0)</f>
        <v>0</v>
      </c>
      <c r="S15" s="735">
        <f>'2. T7 LOANS'!J21</f>
        <v>0</v>
      </c>
      <c r="T15" s="735">
        <f t="shared" si="11"/>
        <v>0</v>
      </c>
      <c r="U15" s="735">
        <f>O15+Q15-S15</f>
        <v>0</v>
      </c>
      <c r="V15" s="736">
        <f>IF($E15*T15&lt;0,0,T15*$E15)</f>
        <v>0</v>
      </c>
      <c r="W15" s="169">
        <f>'2. T7 LOANS'!L21</f>
        <v>0</v>
      </c>
      <c r="X15" s="737">
        <f t="shared" si="2"/>
        <v>0</v>
      </c>
      <c r="Y15" s="735">
        <f>'2. T7 LOANS'!M21</f>
        <v>0</v>
      </c>
      <c r="Z15" s="735">
        <f t="shared" si="12"/>
        <v>0</v>
      </c>
      <c r="AA15" s="735">
        <f>U15+W15-Y15</f>
        <v>0</v>
      </c>
      <c r="AB15" s="736">
        <f>IF($E15*Z15&lt;0,0,Z15*$E15)</f>
        <v>0</v>
      </c>
      <c r="AC15" s="738">
        <f>'2. T7 LOANS'!O21</f>
        <v>0</v>
      </c>
      <c r="AD15" s="737">
        <f>IF(X15-1&gt;0,X15-1,0)</f>
        <v>0</v>
      </c>
      <c r="AE15" s="197">
        <f>'2. T7 LOANS'!P21</f>
        <v>0</v>
      </c>
      <c r="AF15" s="735">
        <f t="shared" si="13"/>
        <v>0</v>
      </c>
      <c r="AG15" s="735">
        <f>AA15+AC15-AE15</f>
        <v>0</v>
      </c>
      <c r="AH15" s="736">
        <f>IF($E15*AF15&lt;0,0,AF15*$E15)</f>
        <v>0</v>
      </c>
      <c r="AI15" s="738"/>
      <c r="AJ15" s="737">
        <f t="shared" si="8"/>
        <v>0</v>
      </c>
      <c r="AK15" s="197">
        <f>IF(D15=0,0,IF(C15-S15-Y15-AE15-M15&lt;=0,0,'AT2 Lainat, alv'!AE15))</f>
        <v>0</v>
      </c>
      <c r="AL15" s="735">
        <f t="shared" si="14"/>
        <v>0</v>
      </c>
      <c r="AM15" s="735">
        <f>AG15+AI15-AK15</f>
        <v>0</v>
      </c>
      <c r="AN15" s="735">
        <f>IF($E15*AL15&lt;0,0,AL15*$E15)</f>
        <v>0</v>
      </c>
    </row>
    <row r="16" spans="2:40" x14ac:dyDescent="0.2">
      <c r="B16" s="710">
        <f>'2. T7 LOANS'!B23</f>
        <v>0</v>
      </c>
      <c r="C16" s="711">
        <f>'2. T7 LOANS'!C23</f>
        <v>0</v>
      </c>
      <c r="D16" s="712">
        <f>'2. T7 LOANS'!D23</f>
        <v>0</v>
      </c>
      <c r="E16" s="713">
        <f>'2. T7 LOANS'!E23</f>
        <v>0</v>
      </c>
      <c r="F16" s="1413"/>
      <c r="G16" s="1414"/>
      <c r="H16" s="1414"/>
      <c r="I16" s="1414"/>
      <c r="J16" s="1415"/>
      <c r="K16" s="714"/>
      <c r="L16" s="717"/>
      <c r="M16" s="715"/>
      <c r="N16" s="715"/>
      <c r="O16" s="715"/>
      <c r="P16" s="716"/>
      <c r="Q16" s="718"/>
      <c r="R16" s="717">
        <f>IF(F16=0,IF(K16=0,L16,$D16-1),$D16-2)</f>
        <v>0</v>
      </c>
      <c r="S16" s="715"/>
      <c r="T16" s="715"/>
      <c r="U16" s="715"/>
      <c r="V16" s="716"/>
      <c r="W16" s="718">
        <f>'2. T7 LOANS'!L23</f>
        <v>0</v>
      </c>
      <c r="X16" s="717">
        <f>IF(D16&gt;0,D16,0)</f>
        <v>0</v>
      </c>
      <c r="Y16" s="715">
        <f>'2. T7 LOANS'!M23</f>
        <v>0</v>
      </c>
      <c r="Z16" s="715">
        <f t="shared" si="12"/>
        <v>0</v>
      </c>
      <c r="AA16" s="715">
        <f t="shared" si="3"/>
        <v>0</v>
      </c>
      <c r="AB16" s="716">
        <f t="shared" si="4"/>
        <v>0</v>
      </c>
      <c r="AC16" s="718">
        <f>'2. T7 LOANS'!O23</f>
        <v>0</v>
      </c>
      <c r="AD16" s="717">
        <f t="shared" si="5"/>
        <v>0</v>
      </c>
      <c r="AE16" s="719">
        <f>'2. T7 LOANS'!P23</f>
        <v>0</v>
      </c>
      <c r="AF16" s="715">
        <f t="shared" si="13"/>
        <v>0</v>
      </c>
      <c r="AG16" s="715">
        <f t="shared" si="6"/>
        <v>0</v>
      </c>
      <c r="AH16" s="716">
        <f t="shared" si="7"/>
        <v>0</v>
      </c>
      <c r="AI16" s="718">
        <v>0</v>
      </c>
      <c r="AJ16" s="717">
        <f t="shared" si="8"/>
        <v>0</v>
      </c>
      <c r="AK16" s="719">
        <f>IF(D16=0,0,IF(C16-S16-Y16-AE16-M16&lt;=0,0,'AT2 Lainat, alv'!AE16))</f>
        <v>0</v>
      </c>
      <c r="AL16" s="715">
        <f t="shared" si="14"/>
        <v>0</v>
      </c>
      <c r="AM16" s="715">
        <f t="shared" si="9"/>
        <v>0</v>
      </c>
      <c r="AN16" s="716">
        <f t="shared" si="10"/>
        <v>0</v>
      </c>
    </row>
    <row r="17" spans="2:40" x14ac:dyDescent="0.2">
      <c r="B17" s="720">
        <f>'2. T7 LOANS'!B24</f>
        <v>0</v>
      </c>
      <c r="C17" s="90">
        <f>'2. T7 LOANS'!C24</f>
        <v>0</v>
      </c>
      <c r="D17" s="97">
        <f>'2. T7 LOANS'!D24</f>
        <v>0</v>
      </c>
      <c r="E17" s="91">
        <f>'2. T7 LOANS'!E24</f>
        <v>0</v>
      </c>
      <c r="F17" s="1416"/>
      <c r="G17" s="1417"/>
      <c r="H17" s="1417"/>
      <c r="I17" s="1417"/>
      <c r="J17" s="1418"/>
      <c r="K17" s="199"/>
      <c r="L17" s="200"/>
      <c r="M17" s="192"/>
      <c r="N17" s="192"/>
      <c r="O17" s="192"/>
      <c r="P17" s="168"/>
      <c r="Q17" s="169"/>
      <c r="R17" s="200"/>
      <c r="S17" s="192"/>
      <c r="T17" s="192"/>
      <c r="U17" s="192"/>
      <c r="V17" s="168"/>
      <c r="W17" s="169">
        <f>'2. T7 LOANS'!L24</f>
        <v>0</v>
      </c>
      <c r="X17" s="200">
        <f>IF(D17&gt;0,D17,0)</f>
        <v>0</v>
      </c>
      <c r="Y17" s="192">
        <f>'2. T7 LOANS'!M24</f>
        <v>0</v>
      </c>
      <c r="Z17" s="192">
        <f t="shared" si="12"/>
        <v>0</v>
      </c>
      <c r="AA17" s="192">
        <f>U17+W17-Y17</f>
        <v>0</v>
      </c>
      <c r="AB17" s="168">
        <f>IF($E17*Z17&lt;0,0,Z17*$E17)</f>
        <v>0</v>
      </c>
      <c r="AC17" s="169">
        <f>'2. T7 LOANS'!O24</f>
        <v>0</v>
      </c>
      <c r="AD17" s="200">
        <f t="shared" si="5"/>
        <v>0</v>
      </c>
      <c r="AE17" s="197">
        <f>'2. T7 LOANS'!P24</f>
        <v>0</v>
      </c>
      <c r="AF17" s="192">
        <f t="shared" si="13"/>
        <v>0</v>
      </c>
      <c r="AG17" s="192">
        <f t="shared" si="6"/>
        <v>0</v>
      </c>
      <c r="AH17" s="168">
        <f t="shared" si="7"/>
        <v>0</v>
      </c>
      <c r="AI17" s="169">
        <v>0</v>
      </c>
      <c r="AJ17" s="200">
        <f t="shared" si="8"/>
        <v>0</v>
      </c>
      <c r="AK17" s="197">
        <f>IF(D17=0,0,IF(C17-S17-Y17-AE17-M17&lt;=0,0,'AT2 Lainat, alv'!AE17))</f>
        <v>0</v>
      </c>
      <c r="AL17" s="192">
        <f t="shared" si="14"/>
        <v>0</v>
      </c>
      <c r="AM17" s="192">
        <f t="shared" si="9"/>
        <v>0</v>
      </c>
      <c r="AN17" s="168">
        <f t="shared" si="10"/>
        <v>0</v>
      </c>
    </row>
    <row r="18" spans="2:40" x14ac:dyDescent="0.2">
      <c r="B18" s="720">
        <f>'2. T7 LOANS'!B25</f>
        <v>0</v>
      </c>
      <c r="C18" s="90">
        <f>'2. T7 LOANS'!C25</f>
        <v>0</v>
      </c>
      <c r="D18" s="84">
        <f>'2. T7 LOANS'!D25</f>
        <v>0</v>
      </c>
      <c r="E18" s="91">
        <f>'2. T7 LOANS'!E25</f>
        <v>0</v>
      </c>
      <c r="F18" s="1416"/>
      <c r="G18" s="1417"/>
      <c r="H18" s="1417"/>
      <c r="I18" s="1417"/>
      <c r="J18" s="1418"/>
      <c r="K18" s="199"/>
      <c r="L18" s="200"/>
      <c r="M18" s="192"/>
      <c r="N18" s="192"/>
      <c r="O18" s="192"/>
      <c r="P18" s="168"/>
      <c r="Q18" s="169"/>
      <c r="R18" s="200"/>
      <c r="S18" s="192"/>
      <c r="T18" s="192"/>
      <c r="U18" s="192"/>
      <c r="V18" s="168"/>
      <c r="W18" s="169">
        <f>'2. T7 LOANS'!L25</f>
        <v>0</v>
      </c>
      <c r="X18" s="200">
        <f>IF(D18&gt;0,D18,0)</f>
        <v>0</v>
      </c>
      <c r="Y18" s="192">
        <f>'2. T7 LOANS'!M25</f>
        <v>0</v>
      </c>
      <c r="Z18" s="192">
        <f t="shared" si="12"/>
        <v>0</v>
      </c>
      <c r="AA18" s="192">
        <f>U18+W18-Y18</f>
        <v>0</v>
      </c>
      <c r="AB18" s="168">
        <f>IF($E18*Z18&lt;0,0,Z18*$E18)</f>
        <v>0</v>
      </c>
      <c r="AC18" s="169">
        <f>'2. T7 LOANS'!O25</f>
        <v>0</v>
      </c>
      <c r="AD18" s="200">
        <f t="shared" si="5"/>
        <v>0</v>
      </c>
      <c r="AE18" s="197">
        <f>'2. T7 LOANS'!P25</f>
        <v>0</v>
      </c>
      <c r="AF18" s="192">
        <f t="shared" si="13"/>
        <v>0</v>
      </c>
      <c r="AG18" s="192">
        <f t="shared" si="6"/>
        <v>0</v>
      </c>
      <c r="AH18" s="168">
        <f t="shared" si="7"/>
        <v>0</v>
      </c>
      <c r="AI18" s="169">
        <v>0</v>
      </c>
      <c r="AJ18" s="200">
        <f t="shared" si="8"/>
        <v>0</v>
      </c>
      <c r="AK18" s="197">
        <f>IF(D18=0,0,IF(C18-S18-Y18-AE18-M18&lt;=0,0,'AT2 Lainat, alv'!AE18))</f>
        <v>0</v>
      </c>
      <c r="AL18" s="192">
        <f t="shared" si="14"/>
        <v>0</v>
      </c>
      <c r="AM18" s="192">
        <f t="shared" si="9"/>
        <v>0</v>
      </c>
      <c r="AN18" s="168">
        <f t="shared" si="10"/>
        <v>0</v>
      </c>
    </row>
    <row r="19" spans="2:40" ht="13.5" thickBot="1" x14ac:dyDescent="0.25">
      <c r="B19" s="721">
        <f>'2. T7 LOANS'!B26</f>
        <v>0</v>
      </c>
      <c r="C19" s="722">
        <f>'2. T7 LOANS'!C26</f>
        <v>0</v>
      </c>
      <c r="D19" s="739">
        <f>'2. T7 LOANS'!D26</f>
        <v>0</v>
      </c>
      <c r="E19" s="724">
        <f>'2. T7 LOANS'!E26</f>
        <v>0</v>
      </c>
      <c r="F19" s="1419"/>
      <c r="G19" s="1420"/>
      <c r="H19" s="1420"/>
      <c r="I19" s="1420"/>
      <c r="J19" s="1421"/>
      <c r="K19" s="725"/>
      <c r="L19" s="728"/>
      <c r="M19" s="726"/>
      <c r="N19" s="726"/>
      <c r="O19" s="726"/>
      <c r="P19" s="727"/>
      <c r="Q19" s="729"/>
      <c r="R19" s="728"/>
      <c r="S19" s="726"/>
      <c r="T19" s="726"/>
      <c r="U19" s="726"/>
      <c r="V19" s="727"/>
      <c r="W19" s="729">
        <f>'2. T7 LOANS'!L26</f>
        <v>0</v>
      </c>
      <c r="X19" s="728">
        <f>IF(D19&gt;0,D19,0)</f>
        <v>0</v>
      </c>
      <c r="Y19" s="726">
        <f>'2. T7 LOANS'!M26</f>
        <v>0</v>
      </c>
      <c r="Z19" s="726">
        <f t="shared" si="12"/>
        <v>0</v>
      </c>
      <c r="AA19" s="726">
        <f>U19+W19-Y19</f>
        <v>0</v>
      </c>
      <c r="AB19" s="727">
        <f>IF($E19*Z19&lt;0,0,Z19*$E19)</f>
        <v>0</v>
      </c>
      <c r="AC19" s="169">
        <f>'2. T7 LOANS'!O26</f>
        <v>0</v>
      </c>
      <c r="AD19" s="728">
        <f t="shared" si="5"/>
        <v>0</v>
      </c>
      <c r="AE19" s="574">
        <f>'2. T7 LOANS'!P26</f>
        <v>0</v>
      </c>
      <c r="AF19" s="726">
        <f t="shared" si="13"/>
        <v>0</v>
      </c>
      <c r="AG19" s="726">
        <f>AA19+AC19-AE19</f>
        <v>0</v>
      </c>
      <c r="AH19" s="727">
        <f>IF($E19*AF19&lt;0,0,AF19*$E19)</f>
        <v>0</v>
      </c>
      <c r="AI19" s="729"/>
      <c r="AJ19" s="728">
        <f t="shared" si="8"/>
        <v>0</v>
      </c>
      <c r="AK19" s="574">
        <f>IF(D19=0,0,IF(C19-S19-Y19-AE19-M19&lt;=0,0,'AT2 Lainat, alv'!AE19))</f>
        <v>0</v>
      </c>
      <c r="AL19" s="726">
        <f t="shared" si="14"/>
        <v>0</v>
      </c>
      <c r="AM19" s="726">
        <f>AG19+AI19-AK19</f>
        <v>0</v>
      </c>
      <c r="AN19" s="727">
        <f>IF($E19*AL19&lt;0,0,AL19*$E19)</f>
        <v>0</v>
      </c>
    </row>
    <row r="20" spans="2:40" x14ac:dyDescent="0.2">
      <c r="B20" s="710">
        <f>'2. T7 LOANS'!B28</f>
        <v>0</v>
      </c>
      <c r="C20" s="711">
        <f>'2. T7 LOANS'!C28</f>
        <v>0</v>
      </c>
      <c r="D20" s="740">
        <f>'2. T7 LOANS'!D28</f>
        <v>0</v>
      </c>
      <c r="E20" s="713">
        <f>'2. T7 LOANS'!E28</f>
        <v>0</v>
      </c>
      <c r="F20" s="1413"/>
      <c r="G20" s="1414"/>
      <c r="H20" s="1414"/>
      <c r="I20" s="1414"/>
      <c r="J20" s="1415"/>
      <c r="K20" s="714"/>
      <c r="L20" s="717"/>
      <c r="M20" s="715"/>
      <c r="N20" s="715"/>
      <c r="O20" s="715"/>
      <c r="P20" s="716"/>
      <c r="Q20" s="718"/>
      <c r="R20" s="717"/>
      <c r="S20" s="715"/>
      <c r="T20" s="715"/>
      <c r="U20" s="715"/>
      <c r="V20" s="716"/>
      <c r="W20" s="718"/>
      <c r="X20" s="717"/>
      <c r="Y20" s="715"/>
      <c r="Z20" s="715"/>
      <c r="AA20" s="715"/>
      <c r="AB20" s="716"/>
      <c r="AC20" s="718">
        <f>'2. T7 LOANS'!O28</f>
        <v>0</v>
      </c>
      <c r="AD20" s="717">
        <f>IF(D20&gt;0,D20,0)</f>
        <v>0</v>
      </c>
      <c r="AE20" s="719">
        <f>'2. T7 LOANS'!P28</f>
        <v>0</v>
      </c>
      <c r="AF20" s="715">
        <f t="shared" si="13"/>
        <v>0</v>
      </c>
      <c r="AG20" s="715">
        <f t="shared" si="6"/>
        <v>0</v>
      </c>
      <c r="AH20" s="716">
        <f t="shared" si="7"/>
        <v>0</v>
      </c>
      <c r="AI20" s="718">
        <v>0</v>
      </c>
      <c r="AJ20" s="717">
        <f t="shared" si="8"/>
        <v>0</v>
      </c>
      <c r="AK20" s="719">
        <f>IF(D20=0,0,IF(C20-S20-Y20-AE20-M20&lt;=0,0,'AT2 Lainat, alv'!AE20))</f>
        <v>0</v>
      </c>
      <c r="AL20" s="715">
        <f t="shared" si="14"/>
        <v>0</v>
      </c>
      <c r="AM20" s="715">
        <f t="shared" si="9"/>
        <v>0</v>
      </c>
      <c r="AN20" s="716">
        <f t="shared" si="10"/>
        <v>0</v>
      </c>
    </row>
    <row r="21" spans="2:40" x14ac:dyDescent="0.2">
      <c r="B21" s="720">
        <f>'2. T7 LOANS'!B29</f>
        <v>0</v>
      </c>
      <c r="C21" s="90">
        <f>'2. T7 LOANS'!C29</f>
        <v>0</v>
      </c>
      <c r="D21" s="84">
        <f>'2. T7 LOANS'!D29</f>
        <v>0</v>
      </c>
      <c r="E21" s="91">
        <f>'2. T7 LOANS'!E29</f>
        <v>0</v>
      </c>
      <c r="F21" s="1416"/>
      <c r="G21" s="1417"/>
      <c r="H21" s="1417"/>
      <c r="I21" s="1417"/>
      <c r="J21" s="1418"/>
      <c r="K21" s="199"/>
      <c r="L21" s="200"/>
      <c r="M21" s="192"/>
      <c r="N21" s="192"/>
      <c r="O21" s="192"/>
      <c r="P21" s="168"/>
      <c r="Q21" s="169"/>
      <c r="R21" s="200"/>
      <c r="S21" s="192"/>
      <c r="T21" s="192"/>
      <c r="U21" s="192"/>
      <c r="V21" s="168"/>
      <c r="W21" s="169"/>
      <c r="X21" s="200"/>
      <c r="Y21" s="192"/>
      <c r="Z21" s="192"/>
      <c r="AA21" s="192"/>
      <c r="AB21" s="168"/>
      <c r="AC21" s="169">
        <f>'2. T7 LOANS'!O29</f>
        <v>0</v>
      </c>
      <c r="AD21" s="200">
        <f>IF(D21&gt;0,D21,0)</f>
        <v>0</v>
      </c>
      <c r="AE21" s="197">
        <f>'2. T7 LOANS'!P29</f>
        <v>0</v>
      </c>
      <c r="AF21" s="192">
        <f t="shared" si="13"/>
        <v>0</v>
      </c>
      <c r="AG21" s="192">
        <f t="shared" si="6"/>
        <v>0</v>
      </c>
      <c r="AH21" s="168">
        <f t="shared" si="7"/>
        <v>0</v>
      </c>
      <c r="AI21" s="169">
        <v>0</v>
      </c>
      <c r="AJ21" s="200">
        <f t="shared" si="8"/>
        <v>0</v>
      </c>
      <c r="AK21" s="197">
        <f>IF(D21=0,0,IF(C21-S21-Y21-AE21-M21&lt;=0,0,'AT2 Lainat, alv'!AE21))</f>
        <v>0</v>
      </c>
      <c r="AL21" s="192">
        <f t="shared" si="14"/>
        <v>0</v>
      </c>
      <c r="AM21" s="192">
        <f t="shared" si="9"/>
        <v>0</v>
      </c>
      <c r="AN21" s="168">
        <f t="shared" si="10"/>
        <v>0</v>
      </c>
    </row>
    <row r="22" spans="2:40" x14ac:dyDescent="0.2">
      <c r="B22" s="720">
        <f>'2. T7 LOANS'!B30</f>
        <v>0</v>
      </c>
      <c r="C22" s="90">
        <f>'2. T7 LOANS'!C30</f>
        <v>0</v>
      </c>
      <c r="D22" s="84">
        <f>'2. T7 LOANS'!D30</f>
        <v>0</v>
      </c>
      <c r="E22" s="91">
        <f>'2. T7 LOANS'!E30</f>
        <v>0</v>
      </c>
      <c r="F22" s="1416"/>
      <c r="G22" s="1417"/>
      <c r="H22" s="1417"/>
      <c r="I22" s="1417"/>
      <c r="J22" s="1418"/>
      <c r="K22" s="199"/>
      <c r="L22" s="200"/>
      <c r="M22" s="192"/>
      <c r="N22" s="192"/>
      <c r="O22" s="192"/>
      <c r="P22" s="168"/>
      <c r="Q22" s="169"/>
      <c r="R22" s="200"/>
      <c r="S22" s="192"/>
      <c r="T22" s="192"/>
      <c r="U22" s="192"/>
      <c r="V22" s="168"/>
      <c r="W22" s="169"/>
      <c r="X22" s="200"/>
      <c r="Y22" s="192"/>
      <c r="Z22" s="192"/>
      <c r="AA22" s="192"/>
      <c r="AB22" s="168"/>
      <c r="AC22" s="169">
        <f>'2. T7 LOANS'!O30</f>
        <v>0</v>
      </c>
      <c r="AD22" s="200">
        <f>IF(D22&gt;0,D22,0)</f>
        <v>0</v>
      </c>
      <c r="AE22" s="197">
        <f>'2. T7 LOANS'!P30</f>
        <v>0</v>
      </c>
      <c r="AF22" s="192">
        <f t="shared" si="13"/>
        <v>0</v>
      </c>
      <c r="AG22" s="192">
        <f>AA22+AC22-AE22</f>
        <v>0</v>
      </c>
      <c r="AH22" s="168">
        <f>IF($E22*AF22&lt;0,0,AF22*$E22)</f>
        <v>0</v>
      </c>
      <c r="AI22" s="169">
        <v>0</v>
      </c>
      <c r="AJ22" s="200">
        <f t="shared" si="8"/>
        <v>0</v>
      </c>
      <c r="AK22" s="197">
        <f>IF(D22=0,0,IF(C22-S22-Y22-AE22-M22&lt;=0,0,'AT2 Lainat, alv'!AE22))</f>
        <v>0</v>
      </c>
      <c r="AL22" s="192">
        <f t="shared" si="14"/>
        <v>0</v>
      </c>
      <c r="AM22" s="192">
        <f t="shared" si="9"/>
        <v>0</v>
      </c>
      <c r="AN22" s="168">
        <f t="shared" si="10"/>
        <v>0</v>
      </c>
    </row>
    <row r="23" spans="2:40" ht="13.5" thickBot="1" x14ac:dyDescent="0.25">
      <c r="B23" s="721">
        <f>'2. T7 LOANS'!B31</f>
        <v>0</v>
      </c>
      <c r="C23" s="722">
        <f>'2. T7 LOANS'!C31</f>
        <v>0</v>
      </c>
      <c r="D23" s="739">
        <f>'2. T7 LOANS'!D31</f>
        <v>0</v>
      </c>
      <c r="E23" s="724">
        <f>'2. T7 LOANS'!E31</f>
        <v>0</v>
      </c>
      <c r="F23" s="1428"/>
      <c r="G23" s="1429"/>
      <c r="H23" s="1429"/>
      <c r="I23" s="1429"/>
      <c r="J23" s="1429"/>
      <c r="K23" s="741"/>
      <c r="L23" s="240"/>
      <c r="M23" s="240"/>
      <c r="N23" s="240"/>
      <c r="O23" s="240"/>
      <c r="P23" s="240"/>
      <c r="Q23" s="240"/>
      <c r="R23" s="240"/>
      <c r="S23" s="240"/>
      <c r="T23" s="240"/>
      <c r="U23" s="240"/>
      <c r="V23" s="240"/>
      <c r="W23" s="240"/>
      <c r="X23" s="240"/>
      <c r="Y23" s="240"/>
      <c r="Z23" s="240"/>
      <c r="AA23" s="240"/>
      <c r="AB23" s="240"/>
      <c r="AC23" s="729">
        <f>'2. T7 LOANS'!O31</f>
        <v>0</v>
      </c>
      <c r="AD23" s="728">
        <f>IF(D23&gt;0,D23,0)</f>
        <v>0</v>
      </c>
      <c r="AE23" s="574">
        <f>'2. T7 LOANS'!P31</f>
        <v>0</v>
      </c>
      <c r="AF23" s="726">
        <f t="shared" si="13"/>
        <v>0</v>
      </c>
      <c r="AG23" s="726">
        <f>AA23+AC23-AE23</f>
        <v>0</v>
      </c>
      <c r="AH23" s="727">
        <f>IF($E23*AF23&lt;0,0,AF23*$E23)</f>
        <v>0</v>
      </c>
      <c r="AI23" s="729">
        <v>0</v>
      </c>
      <c r="AJ23" s="728">
        <f t="shared" si="8"/>
        <v>0</v>
      </c>
      <c r="AK23" s="574">
        <f>IF(D23=0,0,IF(C23-S23-Y23-AE23-M23&lt;=0,0,'AT2 Lainat, alv'!AE23))</f>
        <v>0</v>
      </c>
      <c r="AL23" s="726">
        <f t="shared" si="14"/>
        <v>0</v>
      </c>
      <c r="AM23" s="726">
        <f>AG23+AI23-AK23</f>
        <v>0</v>
      </c>
      <c r="AN23" s="727">
        <f>IF($E23*AL23&lt;0,0,AL23*$E23)</f>
        <v>0</v>
      </c>
    </row>
    <row r="24" spans="2:40" s="2" customFormat="1" x14ac:dyDescent="0.2">
      <c r="B24" s="2" t="s">
        <v>64</v>
      </c>
      <c r="C24" s="252">
        <f>SUM(C8:C22)</f>
        <v>0</v>
      </c>
      <c r="D24" s="253"/>
      <c r="F24" s="1430"/>
      <c r="G24" s="1430">
        <f>SUM(G8:G23)</f>
        <v>0</v>
      </c>
      <c r="H24" s="1430"/>
      <c r="I24" s="1430">
        <f>SUM(I8:I23)</f>
        <v>0</v>
      </c>
      <c r="J24" s="1430">
        <f>SUM(J7:J23)</f>
        <v>0</v>
      </c>
      <c r="K24" s="170">
        <f>SUM(K7:K23)</f>
        <v>0</v>
      </c>
      <c r="L24" s="170" t="s">
        <v>0</v>
      </c>
      <c r="M24" s="170">
        <f>SUM(M8:M23)</f>
        <v>0</v>
      </c>
      <c r="N24" s="170">
        <f>SUM(N8:N23)</f>
        <v>0</v>
      </c>
      <c r="O24" s="170">
        <f>SUM(O8:O23)</f>
        <v>0</v>
      </c>
      <c r="P24" s="170">
        <f>SUM(P8:P23)</f>
        <v>0</v>
      </c>
      <c r="Q24" s="170">
        <f>SUM(Q7:Q23)</f>
        <v>0</v>
      </c>
      <c r="R24" s="170">
        <f>SUM(R7:R23)</f>
        <v>0</v>
      </c>
      <c r="S24" s="170">
        <f>SUM(S8:S23)</f>
        <v>0</v>
      </c>
      <c r="T24" s="170">
        <f>SUM(T8:T23)</f>
        <v>0</v>
      </c>
      <c r="U24" s="170">
        <f>SUM(U8:U23)</f>
        <v>0</v>
      </c>
      <c r="V24" s="170">
        <f>SUM(V8:V23)</f>
        <v>0</v>
      </c>
      <c r="W24" s="170">
        <f>SUM(W8:W23)</f>
        <v>0</v>
      </c>
      <c r="X24" s="170" t="s">
        <v>0</v>
      </c>
      <c r="Y24" s="170">
        <f>SUM(Y8:Y23)</f>
        <v>0</v>
      </c>
      <c r="Z24" s="170">
        <f>SUM(Z8:Z23)</f>
        <v>0</v>
      </c>
      <c r="AA24" s="170">
        <f>SUM(AA8:AA23)</f>
        <v>0</v>
      </c>
      <c r="AB24" s="170">
        <f>SUM(AB8:AB23)</f>
        <v>0</v>
      </c>
      <c r="AC24" s="170">
        <f>SUM(AC8:AC23)</f>
        <v>0</v>
      </c>
      <c r="AD24" s="170" t="s">
        <v>0</v>
      </c>
      <c r="AE24" s="170">
        <f>SUM(AE8:AE23)</f>
        <v>0</v>
      </c>
      <c r="AF24" s="170">
        <f>SUM(AF8:AF23)</f>
        <v>0</v>
      </c>
      <c r="AG24" s="170">
        <f>SUM(AG8:AG23)</f>
        <v>0</v>
      </c>
      <c r="AH24" s="170">
        <f>SUM(AH8:AH23)</f>
        <v>0</v>
      </c>
      <c r="AI24" s="170">
        <f>SUM(AI8:AI23)</f>
        <v>0</v>
      </c>
      <c r="AJ24" s="170" t="s">
        <v>0</v>
      </c>
      <c r="AK24" s="170">
        <f>SUM(AK8:AK23)</f>
        <v>0</v>
      </c>
      <c r="AL24" s="170">
        <f>SUM(AL8:AL23)</f>
        <v>0</v>
      </c>
      <c r="AM24" s="170">
        <f>SUM(AM8:AM23)</f>
        <v>0</v>
      </c>
      <c r="AN24" s="170">
        <f>SUM(AN8:AN23)</f>
        <v>0</v>
      </c>
    </row>
    <row r="25" spans="2:40" s="2" customFormat="1" x14ac:dyDescent="0.2">
      <c r="C25" s="252"/>
      <c r="D25" s="253"/>
      <c r="F25" s="1430"/>
      <c r="G25" s="1430"/>
      <c r="H25" s="1430"/>
      <c r="I25" s="1430"/>
      <c r="J25" s="143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row>
    <row r="26" spans="2:40" s="2" customFormat="1" ht="13.5" thickBot="1" x14ac:dyDescent="0.25">
      <c r="B26" s="2" t="s">
        <v>340</v>
      </c>
      <c r="C26" s="252"/>
      <c r="D26" s="253"/>
      <c r="F26" s="1431"/>
      <c r="G26" s="1430"/>
      <c r="H26" s="1432"/>
      <c r="I26" s="1431"/>
      <c r="J26" s="1431"/>
      <c r="K26" s="252"/>
      <c r="L26" s="170"/>
      <c r="M26" s="6" t="s">
        <v>57</v>
      </c>
      <c r="N26" s="252"/>
      <c r="O26" s="252"/>
      <c r="P26" s="252"/>
      <c r="Q26" s="252"/>
      <c r="R26" s="170"/>
      <c r="S26" s="6" t="s">
        <v>57</v>
      </c>
      <c r="T26" s="252"/>
      <c r="U26" s="252"/>
      <c r="V26" s="252"/>
      <c r="W26" s="252"/>
      <c r="X26" s="170"/>
      <c r="Y26" s="6" t="s">
        <v>57</v>
      </c>
      <c r="Z26" s="252"/>
      <c r="AA26" s="252"/>
      <c r="AB26" s="252"/>
      <c r="AC26" s="252"/>
      <c r="AD26" s="170">
        <f>SUM(AD9:AD24)</f>
        <v>0</v>
      </c>
      <c r="AE26" s="6" t="s">
        <v>57</v>
      </c>
      <c r="AF26" s="252"/>
      <c r="AG26" s="252"/>
      <c r="AH26" s="252"/>
      <c r="AI26" s="252"/>
      <c r="AJ26" s="170"/>
      <c r="AK26" s="6" t="s">
        <v>57</v>
      </c>
      <c r="AL26" s="170"/>
      <c r="AM26" s="170"/>
      <c r="AN26" s="170"/>
    </row>
    <row r="27" spans="2:40" s="2" customFormat="1" x14ac:dyDescent="0.2">
      <c r="D27" s="6" t="s">
        <v>68</v>
      </c>
      <c r="F27" s="2270"/>
      <c r="G27" s="2268"/>
      <c r="H27" s="2268"/>
      <c r="I27" s="2268"/>
      <c r="J27" s="2268"/>
      <c r="K27" s="2251" t="str">
        <f>K3</f>
        <v>Forecast 1</v>
      </c>
      <c r="L27" s="2252"/>
      <c r="M27" s="2252"/>
      <c r="N27" s="2252"/>
      <c r="O27" s="2252"/>
      <c r="P27" s="2253"/>
      <c r="Q27" s="2251" t="str">
        <f>Q3</f>
        <v>Forecast 2</v>
      </c>
      <c r="R27" s="2252"/>
      <c r="S27" s="2252"/>
      <c r="T27" s="2252"/>
      <c r="U27" s="2252"/>
      <c r="V27" s="2253"/>
      <c r="W27" s="2251" t="str">
        <f>W3</f>
        <v>Forecast 3</v>
      </c>
      <c r="X27" s="2252"/>
      <c r="Y27" s="2252"/>
      <c r="Z27" s="2252"/>
      <c r="AA27" s="2252"/>
      <c r="AB27" s="2253"/>
      <c r="AC27" s="2251" t="s">
        <v>146</v>
      </c>
      <c r="AD27" s="2252"/>
      <c r="AE27" s="2252"/>
      <c r="AF27" s="2252"/>
      <c r="AG27" s="2252"/>
      <c r="AH27" s="2253"/>
      <c r="AI27" s="2251" t="s">
        <v>154</v>
      </c>
      <c r="AJ27" s="2252"/>
      <c r="AK27" s="2252"/>
      <c r="AL27" s="2252"/>
      <c r="AM27" s="2252"/>
      <c r="AN27" s="2253"/>
    </row>
    <row r="28" spans="2:40" ht="13.5" thickBot="1" x14ac:dyDescent="0.25">
      <c r="C28" s="6" t="s">
        <v>61</v>
      </c>
      <c r="D28" s="6" t="s">
        <v>67</v>
      </c>
      <c r="E28" s="6" t="s">
        <v>58</v>
      </c>
      <c r="F28" s="2273"/>
      <c r="G28" s="2274"/>
      <c r="H28" s="2274"/>
      <c r="I28" s="2274"/>
      <c r="J28" s="2274"/>
      <c r="K28" s="93" t="s">
        <v>62</v>
      </c>
      <c r="L28" s="89" t="s">
        <v>0</v>
      </c>
      <c r="M28" s="89" t="s">
        <v>66</v>
      </c>
      <c r="N28" s="89" t="s">
        <v>0</v>
      </c>
      <c r="O28" s="89" t="s">
        <v>63</v>
      </c>
      <c r="P28" s="94" t="s">
        <v>58</v>
      </c>
      <c r="Q28" s="93" t="s">
        <v>62</v>
      </c>
      <c r="R28" s="89" t="s">
        <v>0</v>
      </c>
      <c r="S28" s="89" t="s">
        <v>66</v>
      </c>
      <c r="T28" s="89" t="s">
        <v>0</v>
      </c>
      <c r="U28" s="89" t="s">
        <v>63</v>
      </c>
      <c r="V28" s="94" t="s">
        <v>58</v>
      </c>
      <c r="W28" s="93" t="s">
        <v>62</v>
      </c>
      <c r="X28" s="89" t="s">
        <v>0</v>
      </c>
      <c r="Y28" s="89" t="s">
        <v>66</v>
      </c>
      <c r="Z28" s="89" t="s">
        <v>0</v>
      </c>
      <c r="AA28" s="89" t="s">
        <v>63</v>
      </c>
      <c r="AB28" s="94" t="s">
        <v>58</v>
      </c>
      <c r="AC28" s="93" t="s">
        <v>62</v>
      </c>
      <c r="AD28" s="89" t="s">
        <v>0</v>
      </c>
      <c r="AE28" s="89" t="s">
        <v>66</v>
      </c>
      <c r="AF28" s="89" t="s">
        <v>0</v>
      </c>
      <c r="AG28" s="89" t="s">
        <v>63</v>
      </c>
      <c r="AH28" s="94" t="s">
        <v>58</v>
      </c>
      <c r="AI28" s="93" t="s">
        <v>62</v>
      </c>
      <c r="AJ28" s="89" t="s">
        <v>0</v>
      </c>
      <c r="AK28" s="89" t="s">
        <v>66</v>
      </c>
      <c r="AL28" s="89" t="s">
        <v>0</v>
      </c>
      <c r="AM28" s="89" t="s">
        <v>63</v>
      </c>
      <c r="AN28" s="94" t="s">
        <v>58</v>
      </c>
    </row>
    <row r="29" spans="2:40" x14ac:dyDescent="0.2">
      <c r="B29" s="1398" t="s">
        <v>122</v>
      </c>
      <c r="C29" s="1399">
        <f>'2. T7 LOANS'!C34</f>
        <v>0</v>
      </c>
      <c r="D29" s="1400">
        <f>'2. T7 LOANS'!D34*12</f>
        <v>0</v>
      </c>
      <c r="E29" s="1401">
        <f>'2. T7 LOANS'!E34</f>
        <v>0</v>
      </c>
      <c r="F29" s="1433"/>
      <c r="G29" s="1434"/>
      <c r="H29" s="1433"/>
      <c r="I29" s="1433"/>
      <c r="J29" s="1433"/>
      <c r="K29" s="1455">
        <f>'2. T7 LOANS'!F34</f>
        <v>0</v>
      </c>
      <c r="L29" s="1446"/>
      <c r="M29" s="1446">
        <f>IF($E29=0,0,-CUMPRINC($E29/12,$D29,$C29,K30,K31,0))</f>
        <v>0</v>
      </c>
      <c r="N29" s="1446"/>
      <c r="O29" s="1446">
        <f>K29-M29</f>
        <v>0</v>
      </c>
      <c r="P29" s="1447">
        <f>IF($D29&lt;K30,0,IF($E29=0,0,-CUMIPMT($E29/12,$D29,$C29,K30,K31,0)))</f>
        <v>0</v>
      </c>
      <c r="Q29" s="1445"/>
      <c r="R29" s="1446"/>
      <c r="S29" s="1446">
        <f>IF($D29&lt;Q30,0,IF($E29=0,0,-CUMPRINC($E29/12,$D29,$C29,Q30,Q31,0)))</f>
        <v>0</v>
      </c>
      <c r="T29" s="1446"/>
      <c r="U29" s="1446">
        <f>O29-S29</f>
        <v>0</v>
      </c>
      <c r="V29" s="1447">
        <f>IF($D29&lt;Q30,0,IF($E29=0,0,-CUMIPMT($E29/12,$D29,$C29,Q30,Q31,0)))</f>
        <v>0</v>
      </c>
      <c r="W29" s="1445"/>
      <c r="X29" s="1446"/>
      <c r="Y29" s="1446">
        <f>IF($D29&lt;W30,0,IF($E29=0,0,-CUMPRINC($E29/12,$D29,$C29,W30,W31,0)))</f>
        <v>0</v>
      </c>
      <c r="Z29" s="1446"/>
      <c r="AA29" s="1446">
        <f>U29-Y29</f>
        <v>0</v>
      </c>
      <c r="AB29" s="1447">
        <f>IF($D29&lt;W30,0,IF($E29=0,0,-CUMIPMT($E29/12,$D29,$C29,W30,W31,0)))</f>
        <v>0</v>
      </c>
      <c r="AC29" s="1445"/>
      <c r="AD29" s="1446"/>
      <c r="AE29" s="1446">
        <f>IF($D29&lt;AC30,0,IF($E29=0,0,-CUMPRINC($E29/12,$D29,$C29,AC30,AC31,0)))</f>
        <v>0</v>
      </c>
      <c r="AF29" s="1446"/>
      <c r="AG29" s="1446">
        <f>AA29-AE29</f>
        <v>0</v>
      </c>
      <c r="AH29" s="1447">
        <f>IF($D29&lt;AC30,0,IF($E29=0,0,-CUMIPMT($E29/12,$D29,$C29,AC30,AC31,0)))</f>
        <v>0</v>
      </c>
      <c r="AI29" s="1445"/>
      <c r="AJ29" s="1446"/>
      <c r="AK29" s="1446">
        <f>IF($D29&lt;AI30,0,IF($E29=0,0,-CUMPRINC($E29/12,$D29,$C29,AI30,AI31,0)))</f>
        <v>0</v>
      </c>
      <c r="AL29" s="1446"/>
      <c r="AM29" s="1446">
        <f>AG29-AK29</f>
        <v>0</v>
      </c>
      <c r="AN29" s="1447">
        <f>IF($D29&lt;AI30,0,IF($E29=0,0,-CUMIPMT($E29/12,$D29,$C29,AI30,AI31,0)))</f>
        <v>0</v>
      </c>
    </row>
    <row r="30" spans="2:40" x14ac:dyDescent="0.2">
      <c r="B30" s="1402" t="s">
        <v>120</v>
      </c>
      <c r="C30" s="1097"/>
      <c r="D30" s="1403"/>
      <c r="E30" s="1097"/>
      <c r="F30" s="1435"/>
      <c r="G30" s="1436"/>
      <c r="H30" s="1435"/>
      <c r="I30" s="1435"/>
      <c r="J30" s="1435"/>
      <c r="K30" s="169">
        <v>1</v>
      </c>
      <c r="L30" s="1453"/>
      <c r="M30" s="192"/>
      <c r="N30" s="192"/>
      <c r="O30" s="192"/>
      <c r="P30" s="168"/>
      <c r="Q30" s="169">
        <v>13</v>
      </c>
      <c r="R30" s="1453"/>
      <c r="S30" s="192"/>
      <c r="T30" s="192"/>
      <c r="U30" s="192"/>
      <c r="V30" s="168"/>
      <c r="W30" s="169">
        <v>25</v>
      </c>
      <c r="X30" s="192"/>
      <c r="Y30" s="192"/>
      <c r="Z30" s="192"/>
      <c r="AA30" s="192"/>
      <c r="AB30" s="168"/>
      <c r="AC30" s="720">
        <v>37</v>
      </c>
      <c r="AD30" s="84"/>
      <c r="AE30" s="84"/>
      <c r="AF30" s="84"/>
      <c r="AG30" s="84"/>
      <c r="AH30" s="1448"/>
      <c r="AI30" s="720">
        <v>49</v>
      </c>
      <c r="AJ30" s="84"/>
      <c r="AK30" s="84"/>
      <c r="AL30" s="84"/>
      <c r="AM30" s="84"/>
      <c r="AN30" s="1448"/>
    </row>
    <row r="31" spans="2:40" ht="13.5" thickBot="1" x14ac:dyDescent="0.25">
      <c r="B31" s="1404" t="s">
        <v>121</v>
      </c>
      <c r="C31" s="1405"/>
      <c r="D31" s="1406"/>
      <c r="E31" s="1405"/>
      <c r="F31" s="1437"/>
      <c r="G31" s="1438"/>
      <c r="H31" s="1437"/>
      <c r="I31" s="1437"/>
      <c r="J31" s="1437"/>
      <c r="K31" s="729">
        <v>12</v>
      </c>
      <c r="L31" s="1454"/>
      <c r="M31" s="726"/>
      <c r="N31" s="726"/>
      <c r="O31" s="726"/>
      <c r="P31" s="727"/>
      <c r="Q31" s="729">
        <v>24</v>
      </c>
      <c r="R31" s="1454"/>
      <c r="S31" s="726"/>
      <c r="T31" s="726"/>
      <c r="U31" s="726"/>
      <c r="V31" s="727"/>
      <c r="W31" s="729">
        <v>36</v>
      </c>
      <c r="X31" s="726"/>
      <c r="Y31" s="726"/>
      <c r="Z31" s="726"/>
      <c r="AA31" s="726"/>
      <c r="AB31" s="727"/>
      <c r="AC31" s="721">
        <v>48</v>
      </c>
      <c r="AD31" s="739"/>
      <c r="AE31" s="739"/>
      <c r="AF31" s="739"/>
      <c r="AG31" s="739"/>
      <c r="AH31" s="1449"/>
      <c r="AI31" s="721">
        <v>60</v>
      </c>
      <c r="AJ31" s="739"/>
      <c r="AK31" s="739"/>
      <c r="AL31" s="739"/>
      <c r="AM31" s="739"/>
      <c r="AN31" s="1449"/>
    </row>
    <row r="32" spans="2:40" s="2" customFormat="1" x14ac:dyDescent="0.2">
      <c r="B32" s="1398" t="s">
        <v>123</v>
      </c>
      <c r="C32" s="1399">
        <f>'2. T7 LOANS'!C35</f>
        <v>0</v>
      </c>
      <c r="D32" s="1400">
        <f>'2. T7 LOANS'!D35*12</f>
        <v>0</v>
      </c>
      <c r="E32" s="1401">
        <f>'2. T7 LOANS'!E35</f>
        <v>0</v>
      </c>
      <c r="F32" s="1433"/>
      <c r="G32" s="1434"/>
      <c r="H32" s="1433"/>
      <c r="I32" s="1433"/>
      <c r="J32" s="1433"/>
      <c r="K32" s="1455">
        <f>'2. T7 LOANS'!F35</f>
        <v>0</v>
      </c>
      <c r="L32" s="1446"/>
      <c r="M32" s="1446">
        <f>IF($E32=0,0,IF($K32=0,0,-CUMPRINC($E32/12,$D32,$C32,Q33,Q34,0)))</f>
        <v>0</v>
      </c>
      <c r="N32" s="1446"/>
      <c r="O32" s="1446"/>
      <c r="P32" s="1447">
        <v>0</v>
      </c>
      <c r="Q32" s="1445">
        <f>'2. T7 LOANS'!I35</f>
        <v>0</v>
      </c>
      <c r="R32" s="1446"/>
      <c r="S32" s="1446">
        <f>IF($D32&lt;Q33,0,IF($E32=0,0,-CUMPRINC($E32/12,$D32,$C32,Q33,Q34,0)))</f>
        <v>0</v>
      </c>
      <c r="T32" s="1446"/>
      <c r="U32" s="1446">
        <f>Q32-S32</f>
        <v>0</v>
      </c>
      <c r="V32" s="1447">
        <f>IF($D32&lt;Q33,0,IF($E32=0,0,-CUMIPMT($E32/12,$D32,$C32,Q33,Q34,0)))</f>
        <v>0</v>
      </c>
      <c r="W32" s="1445"/>
      <c r="X32" s="1446"/>
      <c r="Y32" s="1446">
        <f>IF($D32&lt;W33,0,IF($E32=0,0,-CUMPRINC($E32/12,$D32,$C32,W33,W34,0)))</f>
        <v>0</v>
      </c>
      <c r="Z32" s="1446"/>
      <c r="AA32" s="1446">
        <f>U32-Y32</f>
        <v>0</v>
      </c>
      <c r="AB32" s="1447">
        <f>IF($D32&lt;W33,0,IF($E32=0,0,-CUMIPMT($E32/12,$D32,$C32,W33,W34,0)))</f>
        <v>0</v>
      </c>
      <c r="AC32" s="1445"/>
      <c r="AD32" s="1446"/>
      <c r="AE32" s="1446">
        <f>IF($D32&lt;AC33,0,IF($E32=0,0,-CUMPRINC($E32/12,$D32,$C32,AC33,AC34,0)))</f>
        <v>0</v>
      </c>
      <c r="AF32" s="1446"/>
      <c r="AG32" s="1446">
        <f>AA32-AE32</f>
        <v>0</v>
      </c>
      <c r="AH32" s="1447">
        <f>IF($D32&lt;AC33,0,IF($E32=0,0,-CUMIPMT($E32/12,$D32,$C32,AC33,AC34,0)))</f>
        <v>0</v>
      </c>
      <c r="AI32" s="1445"/>
      <c r="AJ32" s="1446"/>
      <c r="AK32" s="1446">
        <f>IF($D32&lt;AI33,0,IF($E32=0,0,-CUMPRINC($E32/12,$D32,$C32,AI33,AI34,0)))</f>
        <v>0</v>
      </c>
      <c r="AL32" s="1446"/>
      <c r="AM32" s="1446">
        <f>AG32-AK32</f>
        <v>0</v>
      </c>
      <c r="AN32" s="1447">
        <f>IF($D32&lt;AI33,0,IF($E32=0,0,-CUMIPMT($E32/12,$D32,$C32,AI33,AI34,0)))</f>
        <v>0</v>
      </c>
    </row>
    <row r="33" spans="2:40" x14ac:dyDescent="0.2">
      <c r="B33" s="1402" t="s">
        <v>120</v>
      </c>
      <c r="C33" s="1097"/>
      <c r="D33" s="1403"/>
      <c r="E33" s="1097"/>
      <c r="F33" s="1435"/>
      <c r="G33" s="1436"/>
      <c r="H33" s="1435"/>
      <c r="I33" s="1435"/>
      <c r="J33" s="1435"/>
      <c r="K33" s="169"/>
      <c r="L33" s="1453"/>
      <c r="M33" s="192"/>
      <c r="N33" s="192"/>
      <c r="O33" s="192"/>
      <c r="P33" s="168"/>
      <c r="Q33" s="169">
        <v>1</v>
      </c>
      <c r="R33" s="1453"/>
      <c r="S33" s="192"/>
      <c r="T33" s="192"/>
      <c r="U33" s="192"/>
      <c r="V33" s="168"/>
      <c r="W33" s="169">
        <v>13</v>
      </c>
      <c r="X33" s="192"/>
      <c r="Y33" s="192"/>
      <c r="Z33" s="192"/>
      <c r="AA33" s="192"/>
      <c r="AB33" s="168"/>
      <c r="AC33" s="720">
        <v>25</v>
      </c>
      <c r="AD33" s="84"/>
      <c r="AE33" s="84"/>
      <c r="AF33" s="84"/>
      <c r="AG33" s="84"/>
      <c r="AH33" s="1448"/>
      <c r="AI33" s="720">
        <v>37</v>
      </c>
      <c r="AJ33" s="84"/>
      <c r="AK33" s="84"/>
      <c r="AL33" s="84"/>
      <c r="AM33" s="84"/>
      <c r="AN33" s="1448"/>
    </row>
    <row r="34" spans="2:40" ht="13.5" thickBot="1" x14ac:dyDescent="0.25">
      <c r="B34" s="1404" t="s">
        <v>121</v>
      </c>
      <c r="C34" s="1405"/>
      <c r="D34" s="1406"/>
      <c r="E34" s="1405"/>
      <c r="F34" s="1437"/>
      <c r="G34" s="1438"/>
      <c r="H34" s="1437"/>
      <c r="I34" s="1437"/>
      <c r="J34" s="1437"/>
      <c r="K34" s="729"/>
      <c r="L34" s="1454"/>
      <c r="M34" s="726"/>
      <c r="N34" s="726"/>
      <c r="O34" s="726"/>
      <c r="P34" s="727"/>
      <c r="Q34" s="729">
        <v>12</v>
      </c>
      <c r="R34" s="1454"/>
      <c r="S34" s="726"/>
      <c r="T34" s="726"/>
      <c r="U34" s="726"/>
      <c r="V34" s="727"/>
      <c r="W34" s="729">
        <v>24</v>
      </c>
      <c r="X34" s="726"/>
      <c r="Y34" s="726"/>
      <c r="Z34" s="726"/>
      <c r="AA34" s="726"/>
      <c r="AB34" s="727"/>
      <c r="AC34" s="721">
        <v>36</v>
      </c>
      <c r="AD34" s="739"/>
      <c r="AE34" s="739"/>
      <c r="AF34" s="739"/>
      <c r="AG34" s="739"/>
      <c r="AH34" s="1449"/>
      <c r="AI34" s="721">
        <v>48</v>
      </c>
      <c r="AJ34" s="739"/>
      <c r="AK34" s="739"/>
      <c r="AL34" s="739"/>
      <c r="AM34" s="739"/>
      <c r="AN34" s="1449"/>
    </row>
    <row r="35" spans="2:40" x14ac:dyDescent="0.2">
      <c r="B35" s="1398" t="s">
        <v>124</v>
      </c>
      <c r="C35" s="1399">
        <f>'2. T7 LOANS'!C36</f>
        <v>0</v>
      </c>
      <c r="D35" s="1400">
        <f>'2. T7 LOANS'!D36*12</f>
        <v>0</v>
      </c>
      <c r="E35" s="1401">
        <f>'2. T7 LOANS'!E36</f>
        <v>0</v>
      </c>
      <c r="F35" s="1433"/>
      <c r="G35" s="1434"/>
      <c r="H35" s="1433"/>
      <c r="I35" s="1444" t="s">
        <v>0</v>
      </c>
      <c r="J35" s="1433"/>
      <c r="K35" s="1455"/>
      <c r="L35" s="1446"/>
      <c r="M35" s="1446"/>
      <c r="N35" s="1446"/>
      <c r="O35" s="1446"/>
      <c r="P35" s="1447"/>
      <c r="Q35" s="1445"/>
      <c r="R35" s="1446"/>
      <c r="S35" s="1446"/>
      <c r="T35" s="1446"/>
      <c r="U35" s="1446"/>
      <c r="V35" s="1447"/>
      <c r="W35" s="1445">
        <f>'2. T7 LOANS'!L36</f>
        <v>0</v>
      </c>
      <c r="X35" s="1446"/>
      <c r="Y35" s="1446">
        <f>IF($D35&lt;W36,0,IF($E35=0,0,-CUMPRINC($E35/12,$D35,$C35,W36,W37,0)))</f>
        <v>0</v>
      </c>
      <c r="Z35" s="1446"/>
      <c r="AA35" s="1446">
        <f>W35-Y35</f>
        <v>0</v>
      </c>
      <c r="AB35" s="1447">
        <f>IF($D35&lt;W36,0,IF($E35=0,0,-CUMIPMT($E35/12,$D35,$C35,W36,W37,0)))</f>
        <v>0</v>
      </c>
      <c r="AC35" s="1445"/>
      <c r="AD35" s="1446"/>
      <c r="AE35" s="1446">
        <f>IF($D35&lt;AC36,0,IF($E35=0,0,-CUMPRINC($E35/12,$D35,$C35,AC36,AC37,0)))</f>
        <v>0</v>
      </c>
      <c r="AF35" s="1446"/>
      <c r="AG35" s="1446">
        <f>AA35-AE35</f>
        <v>0</v>
      </c>
      <c r="AH35" s="1447">
        <f>IF($D35&lt;AC36,0,IF($E35=0,0,-CUMIPMT($E35/12,$D35,$C35,AC36,AC37,0)))</f>
        <v>0</v>
      </c>
      <c r="AI35" s="1445"/>
      <c r="AJ35" s="1446"/>
      <c r="AK35" s="1446">
        <f>IF($D35&lt;AI36,0,IF($E35=0,0,-CUMPRINC($E35/12,$D35,$C35,AI36,AI37,0)))</f>
        <v>0</v>
      </c>
      <c r="AL35" s="1446"/>
      <c r="AM35" s="1446">
        <f>AG35-AK35</f>
        <v>0</v>
      </c>
      <c r="AN35" s="1447">
        <f>IF($D35&lt;AI36,0,IF($E35=0,0,-CUMIPMT($E35/12,$D35,$C35,AI36,AI37,0)))</f>
        <v>0</v>
      </c>
    </row>
    <row r="36" spans="2:40" x14ac:dyDescent="0.2">
      <c r="B36" s="1402" t="s">
        <v>120</v>
      </c>
      <c r="C36" s="1097"/>
      <c r="D36" s="1403"/>
      <c r="E36" s="1097"/>
      <c r="F36" s="1435"/>
      <c r="G36" s="1436"/>
      <c r="H36" s="1435"/>
      <c r="I36" s="1435"/>
      <c r="J36" s="1435"/>
      <c r="K36" s="169"/>
      <c r="L36" s="1453"/>
      <c r="M36" s="192"/>
      <c r="N36" s="192"/>
      <c r="O36" s="192"/>
      <c r="P36" s="168"/>
      <c r="Q36" s="169"/>
      <c r="R36" s="1453"/>
      <c r="S36" s="192"/>
      <c r="T36" s="192"/>
      <c r="U36" s="192"/>
      <c r="V36" s="168"/>
      <c r="W36" s="169">
        <v>1</v>
      </c>
      <c r="X36" s="192"/>
      <c r="Y36" s="192"/>
      <c r="Z36" s="192"/>
      <c r="AA36" s="192"/>
      <c r="AB36" s="168"/>
      <c r="AC36" s="720">
        <v>13</v>
      </c>
      <c r="AD36" s="84"/>
      <c r="AE36" s="84"/>
      <c r="AF36" s="84"/>
      <c r="AG36" s="84"/>
      <c r="AH36" s="1448"/>
      <c r="AI36" s="720">
        <v>25</v>
      </c>
      <c r="AJ36" s="84"/>
      <c r="AK36" s="84"/>
      <c r="AL36" s="84"/>
      <c r="AM36" s="84"/>
      <c r="AN36" s="1448"/>
    </row>
    <row r="37" spans="2:40" ht="13.5" thickBot="1" x14ac:dyDescent="0.25">
      <c r="B37" s="1404" t="s">
        <v>121</v>
      </c>
      <c r="C37" s="1405"/>
      <c r="D37" s="1406"/>
      <c r="E37" s="1405"/>
      <c r="F37" s="1437"/>
      <c r="G37" s="1438"/>
      <c r="H37" s="1437"/>
      <c r="I37" s="1437"/>
      <c r="J37" s="1437"/>
      <c r="K37" s="729"/>
      <c r="L37" s="1454"/>
      <c r="M37" s="726"/>
      <c r="N37" s="726"/>
      <c r="O37" s="726"/>
      <c r="P37" s="727"/>
      <c r="Q37" s="729"/>
      <c r="R37" s="1454"/>
      <c r="S37" s="726"/>
      <c r="T37" s="726"/>
      <c r="U37" s="726"/>
      <c r="V37" s="727"/>
      <c r="W37" s="729">
        <v>12</v>
      </c>
      <c r="X37" s="726"/>
      <c r="Y37" s="726"/>
      <c r="Z37" s="726"/>
      <c r="AA37" s="726"/>
      <c r="AB37" s="727"/>
      <c r="AC37" s="721">
        <v>24</v>
      </c>
      <c r="AD37" s="739"/>
      <c r="AE37" s="739"/>
      <c r="AF37" s="739"/>
      <c r="AG37" s="739"/>
      <c r="AH37" s="1449"/>
      <c r="AI37" s="721">
        <v>36</v>
      </c>
      <c r="AJ37" s="739"/>
      <c r="AK37" s="739"/>
      <c r="AL37" s="739"/>
      <c r="AM37" s="739"/>
      <c r="AN37" s="1449"/>
    </row>
    <row r="38" spans="2:40" x14ac:dyDescent="0.2">
      <c r="B38" s="1398" t="s">
        <v>155</v>
      </c>
      <c r="C38" s="1399">
        <f>'2. T7 LOANS'!C37</f>
        <v>0</v>
      </c>
      <c r="D38" s="1400">
        <f>'2. T7 LOANS'!D37*12</f>
        <v>0</v>
      </c>
      <c r="E38" s="1401">
        <f>'2. T7 LOANS'!E37</f>
        <v>0</v>
      </c>
      <c r="F38" s="1433"/>
      <c r="G38" s="1434"/>
      <c r="H38" s="1433"/>
      <c r="I38" s="1433"/>
      <c r="J38" s="1433"/>
      <c r="K38" s="1455"/>
      <c r="L38" s="1446"/>
      <c r="M38" s="1446"/>
      <c r="N38" s="1446"/>
      <c r="O38" s="1446"/>
      <c r="P38" s="1447"/>
      <c r="Q38" s="1445"/>
      <c r="R38" s="1446"/>
      <c r="S38" s="1446"/>
      <c r="T38" s="1446"/>
      <c r="U38" s="1446"/>
      <c r="V38" s="1447"/>
      <c r="W38" s="1445">
        <f>'2. T7 LOANS'!L39</f>
        <v>0</v>
      </c>
      <c r="X38" s="1446"/>
      <c r="Y38" s="1446">
        <f>IF($E38=0,0,IF(W38=0,0,-CUMPRINC($E38/12,$D38,$C38,W39,W40,0)))</f>
        <v>0</v>
      </c>
      <c r="Z38" s="1446"/>
      <c r="AA38" s="1446">
        <f>W38-Y38</f>
        <v>0</v>
      </c>
      <c r="AB38" s="1447">
        <f>IF($E38=0,0,IF($W38=0,0,-CUMIPMT($E38/12,$D38,$C38,W39,W40,0)))</f>
        <v>0</v>
      </c>
      <c r="AC38" s="1445">
        <f>'2. T7 LOANS'!O37</f>
        <v>0</v>
      </c>
      <c r="AD38" s="1446"/>
      <c r="AE38" s="1446">
        <f>IF($D38&lt;AC39,0,IF($E38=0,0,-CUMPRINC($E38/12,$D38,$C38,AC39,AC40,0)))</f>
        <v>0</v>
      </c>
      <c r="AF38" s="1446"/>
      <c r="AG38" s="1446">
        <f>AC38-AE38</f>
        <v>0</v>
      </c>
      <c r="AH38" s="1447">
        <f>IF($D38&lt;AC39,0,IF($E38=0,0,-CUMIPMT($E38/12,$D38,$C38,AC39,AC40,0)))</f>
        <v>0</v>
      </c>
      <c r="AI38" s="1445"/>
      <c r="AJ38" s="1446"/>
      <c r="AK38" s="1446">
        <f>IF($D38&lt;AI39,0,IF($E38=0,0,-CUMPRINC($E38/12,$D38,$C38,AI39,AI40,0)))</f>
        <v>0</v>
      </c>
      <c r="AL38" s="1446"/>
      <c r="AM38" s="1446">
        <f>AG38-AK38</f>
        <v>0</v>
      </c>
      <c r="AN38" s="1447">
        <f>IF($D38&lt;AI39,0,IF($E38=0,0,-CUMIPMT($E38/12,$D38,$C38,AI39,AI40,0)))</f>
        <v>0</v>
      </c>
    </row>
    <row r="39" spans="2:40" x14ac:dyDescent="0.2">
      <c r="B39" s="1402" t="s">
        <v>120</v>
      </c>
      <c r="C39" s="1097"/>
      <c r="D39" s="1403"/>
      <c r="E39" s="1097"/>
      <c r="F39" s="1435"/>
      <c r="G39" s="1436"/>
      <c r="H39" s="1435"/>
      <c r="I39" s="1435"/>
      <c r="J39" s="1435"/>
      <c r="K39" s="169"/>
      <c r="L39" s="1453"/>
      <c r="M39" s="192"/>
      <c r="N39" s="192"/>
      <c r="O39" s="192"/>
      <c r="P39" s="168"/>
      <c r="Q39" s="169"/>
      <c r="R39" s="1453"/>
      <c r="S39" s="192"/>
      <c r="T39" s="192"/>
      <c r="U39" s="192"/>
      <c r="V39" s="168"/>
      <c r="W39" s="169"/>
      <c r="X39" s="192"/>
      <c r="Y39" s="192"/>
      <c r="Z39" s="192"/>
      <c r="AA39" s="192"/>
      <c r="AB39" s="168"/>
      <c r="AC39" s="720">
        <v>1</v>
      </c>
      <c r="AD39" s="84"/>
      <c r="AE39" s="84"/>
      <c r="AF39" s="84"/>
      <c r="AG39" s="84"/>
      <c r="AH39" s="1448"/>
      <c r="AI39" s="720">
        <v>13</v>
      </c>
      <c r="AJ39" s="84"/>
      <c r="AK39" s="84"/>
      <c r="AL39" s="84"/>
      <c r="AM39" s="84"/>
      <c r="AN39" s="1448"/>
    </row>
    <row r="40" spans="2:40" ht="13.5" thickBot="1" x14ac:dyDescent="0.25">
      <c r="B40" s="1404" t="s">
        <v>121</v>
      </c>
      <c r="C40" s="1405"/>
      <c r="D40" s="1406"/>
      <c r="E40" s="1405"/>
      <c r="F40" s="1437"/>
      <c r="G40" s="1438"/>
      <c r="H40" s="1437"/>
      <c r="I40" s="1437"/>
      <c r="J40" s="1437"/>
      <c r="K40" s="729"/>
      <c r="L40" s="1454"/>
      <c r="M40" s="726"/>
      <c r="N40" s="726"/>
      <c r="O40" s="726"/>
      <c r="P40" s="727"/>
      <c r="Q40" s="729"/>
      <c r="R40" s="1454"/>
      <c r="S40" s="726"/>
      <c r="T40" s="726"/>
      <c r="U40" s="726"/>
      <c r="V40" s="727"/>
      <c r="W40" s="729"/>
      <c r="X40" s="726"/>
      <c r="Y40" s="726"/>
      <c r="Z40" s="726"/>
      <c r="AA40" s="726"/>
      <c r="AB40" s="727"/>
      <c r="AC40" s="721">
        <v>12</v>
      </c>
      <c r="AD40" s="739"/>
      <c r="AE40" s="739"/>
      <c r="AF40" s="739"/>
      <c r="AG40" s="739"/>
      <c r="AH40" s="1449"/>
      <c r="AI40" s="721">
        <v>24</v>
      </c>
      <c r="AJ40" s="739"/>
      <c r="AK40" s="739"/>
      <c r="AL40" s="739"/>
      <c r="AM40" s="739"/>
      <c r="AN40" s="1449"/>
    </row>
    <row r="41" spans="2:40" s="2" customFormat="1" x14ac:dyDescent="0.2">
      <c r="B41" s="193" t="s">
        <v>145</v>
      </c>
      <c r="C41" s="194"/>
      <c r="D41" s="195"/>
      <c r="E41" s="194"/>
      <c r="F41" s="1439"/>
      <c r="G41" s="1440"/>
      <c r="H41" s="1439"/>
      <c r="I41" s="1439"/>
      <c r="J41" s="1439"/>
      <c r="K41" s="1450">
        <f>K29+K32+K35+K38</f>
        <v>0</v>
      </c>
      <c r="L41" s="1451"/>
      <c r="M41" s="1451">
        <f>SUM(M29:M37)</f>
        <v>0</v>
      </c>
      <c r="N41" s="1451"/>
      <c r="O41" s="1451">
        <f>SUM(O29:O37)</f>
        <v>0</v>
      </c>
      <c r="P41" s="1452">
        <f>SUM(P29:P37)</f>
        <v>0</v>
      </c>
      <c r="Q41" s="1450">
        <f>Q29+Q32+Q35+Q38</f>
        <v>0</v>
      </c>
      <c r="R41" s="1451"/>
      <c r="S41" s="1451">
        <f>SUM(S29:S37)</f>
        <v>0</v>
      </c>
      <c r="T41" s="1451"/>
      <c r="U41" s="1451">
        <f>SUM(U29:U37)</f>
        <v>0</v>
      </c>
      <c r="V41" s="1452">
        <f>SUM(V29:V37)</f>
        <v>0</v>
      </c>
      <c r="W41" s="1450">
        <f>W29+W32+W35+W38</f>
        <v>0</v>
      </c>
      <c r="X41" s="1451"/>
      <c r="Y41" s="1451">
        <f>SUM(Y29:Y38)</f>
        <v>0</v>
      </c>
      <c r="Z41" s="1451"/>
      <c r="AA41" s="1451">
        <f>SUM(AA29:AA37)</f>
        <v>0</v>
      </c>
      <c r="AB41" s="1452">
        <f>SUM(AB29:AB37)</f>
        <v>0</v>
      </c>
      <c r="AC41" s="1450">
        <f>AC29+AC32+AC35+AC38</f>
        <v>0</v>
      </c>
      <c r="AD41" s="1451"/>
      <c r="AE41" s="1451">
        <f>AE29+AE32+AE35+AE38</f>
        <v>0</v>
      </c>
      <c r="AF41" s="1451"/>
      <c r="AG41" s="1451">
        <f>AG29+AG32+AG35+AG38</f>
        <v>0</v>
      </c>
      <c r="AH41" s="1452">
        <f>AH29+AH32+AH35+AH38</f>
        <v>0</v>
      </c>
      <c r="AI41" s="1450">
        <f>AI29+AI32+AI35+AI38</f>
        <v>0</v>
      </c>
      <c r="AJ41" s="1451"/>
      <c r="AK41" s="1451">
        <f>AK29+AK32+AK35+AK38</f>
        <v>0</v>
      </c>
      <c r="AL41" s="1451"/>
      <c r="AM41" s="1451">
        <f>AM29+AM32+AM35+AM38</f>
        <v>0</v>
      </c>
      <c r="AN41" s="1452">
        <f>AN29+AN32+AN35+AN38</f>
        <v>0</v>
      </c>
    </row>
    <row r="42" spans="2:40" s="2" customFormat="1" ht="13.5" thickBot="1" x14ac:dyDescent="0.25">
      <c r="B42" s="167"/>
      <c r="D42" s="253"/>
      <c r="F42" s="1439"/>
      <c r="G42" s="1440"/>
      <c r="H42" s="1439"/>
      <c r="I42" s="1439"/>
      <c r="J42" s="1439"/>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row>
    <row r="43" spans="2:40" s="2" customFormat="1" ht="13.5" thickBot="1" x14ac:dyDescent="0.25">
      <c r="B43" s="167"/>
      <c r="D43" s="253"/>
      <c r="F43" s="2271">
        <f>F4</f>
        <v>0</v>
      </c>
      <c r="G43" s="2271"/>
      <c r="H43" s="2271"/>
      <c r="I43" s="2271"/>
      <c r="J43" s="2272"/>
      <c r="K43" s="2254">
        <f>K4</f>
        <v>2027</v>
      </c>
      <c r="L43" s="2255"/>
      <c r="M43" s="2255"/>
      <c r="N43" s="2255"/>
      <c r="O43" s="2255"/>
      <c r="P43" s="2256"/>
      <c r="Q43" s="2254">
        <f>Q4</f>
        <v>2028</v>
      </c>
      <c r="R43" s="2255"/>
      <c r="S43" s="2255"/>
      <c r="T43" s="2255"/>
      <c r="U43" s="2255"/>
      <c r="V43" s="2256"/>
      <c r="W43" s="2254">
        <f>W4</f>
        <v>2029</v>
      </c>
      <c r="X43" s="2255"/>
      <c r="Y43" s="2255"/>
      <c r="Z43" s="2255"/>
      <c r="AA43" s="2255"/>
      <c r="AB43" s="2256"/>
      <c r="AC43" s="2254">
        <f>AC4</f>
        <v>2030</v>
      </c>
      <c r="AD43" s="2255"/>
      <c r="AE43" s="2255"/>
      <c r="AF43" s="2255"/>
      <c r="AG43" s="2255"/>
      <c r="AH43" s="2256"/>
      <c r="AI43" s="2254">
        <f>AI4</f>
        <v>2031</v>
      </c>
      <c r="AJ43" s="2255"/>
      <c r="AK43" s="2255"/>
      <c r="AL43" s="2255"/>
      <c r="AM43" s="2255"/>
      <c r="AN43" s="2256"/>
    </row>
    <row r="44" spans="2:40" s="2" customFormat="1" x14ac:dyDescent="0.2">
      <c r="B44" s="167"/>
      <c r="D44" s="253"/>
      <c r="F44" s="1431"/>
      <c r="G44" s="1430"/>
      <c r="H44" s="1432" t="s">
        <v>57</v>
      </c>
      <c r="I44" s="1431"/>
      <c r="J44" s="1431"/>
      <c r="K44" s="264"/>
      <c r="L44" s="238"/>
      <c r="M44" s="265" t="s">
        <v>57</v>
      </c>
      <c r="N44" s="266"/>
      <c r="O44" s="266"/>
      <c r="P44" s="239"/>
      <c r="Q44" s="264"/>
      <c r="R44" s="238"/>
      <c r="S44" s="265" t="s">
        <v>57</v>
      </c>
      <c r="T44" s="266"/>
      <c r="U44" s="266"/>
      <c r="V44" s="239"/>
      <c r="W44" s="264"/>
      <c r="X44" s="238"/>
      <c r="Y44" s="265" t="s">
        <v>57</v>
      </c>
      <c r="Z44" s="266"/>
      <c r="AA44" s="266"/>
      <c r="AB44" s="239"/>
      <c r="AC44" s="264"/>
      <c r="AD44" s="238"/>
      <c r="AE44" s="265" t="s">
        <v>57</v>
      </c>
      <c r="AF44" s="266"/>
      <c r="AG44" s="266"/>
      <c r="AH44" s="239"/>
      <c r="AI44" s="264"/>
      <c r="AJ44" s="238"/>
      <c r="AK44" s="265" t="s">
        <v>57</v>
      </c>
      <c r="AL44" s="266"/>
      <c r="AM44" s="266"/>
      <c r="AN44" s="239"/>
    </row>
    <row r="45" spans="2:40" s="2" customFormat="1" ht="13.5" thickBot="1" x14ac:dyDescent="0.25">
      <c r="B45" s="167" t="s">
        <v>176</v>
      </c>
      <c r="D45" s="253"/>
      <c r="F45" s="1441" t="s">
        <v>62</v>
      </c>
      <c r="G45" s="1430"/>
      <c r="H45" s="1432" t="s">
        <v>175</v>
      </c>
      <c r="I45" s="1411" t="s">
        <v>173</v>
      </c>
      <c r="J45" s="1411" t="s">
        <v>174</v>
      </c>
      <c r="K45" s="271" t="s">
        <v>62</v>
      </c>
      <c r="L45" s="267"/>
      <c r="M45" s="268" t="s">
        <v>175</v>
      </c>
      <c r="N45" s="269" t="s">
        <v>173</v>
      </c>
      <c r="O45" s="269" t="s">
        <v>174</v>
      </c>
      <c r="P45" s="270"/>
      <c r="Q45" s="271" t="s">
        <v>62</v>
      </c>
      <c r="R45" s="267"/>
      <c r="S45" s="268" t="s">
        <v>175</v>
      </c>
      <c r="T45" s="269" t="s">
        <v>173</v>
      </c>
      <c r="U45" s="269" t="s">
        <v>174</v>
      </c>
      <c r="V45" s="270"/>
      <c r="W45" s="271" t="s">
        <v>62</v>
      </c>
      <c r="X45" s="267"/>
      <c r="Y45" s="268" t="s">
        <v>175</v>
      </c>
      <c r="Z45" s="269" t="s">
        <v>173</v>
      </c>
      <c r="AA45" s="269" t="s">
        <v>174</v>
      </c>
      <c r="AB45" s="270"/>
      <c r="AC45" s="271" t="s">
        <v>62</v>
      </c>
      <c r="AD45" s="267"/>
      <c r="AE45" s="268" t="s">
        <v>175</v>
      </c>
      <c r="AF45" s="269" t="s">
        <v>173</v>
      </c>
      <c r="AG45" s="269" t="s">
        <v>174</v>
      </c>
      <c r="AH45" s="270"/>
      <c r="AI45" s="271" t="s">
        <v>62</v>
      </c>
      <c r="AJ45" s="267"/>
      <c r="AK45" s="268" t="s">
        <v>175</v>
      </c>
      <c r="AL45" s="269" t="s">
        <v>173</v>
      </c>
      <c r="AM45" s="269" t="s">
        <v>174</v>
      </c>
      <c r="AN45" s="270"/>
    </row>
    <row r="46" spans="2:40" s="2" customFormat="1" x14ac:dyDescent="0.2">
      <c r="B46" s="1650"/>
      <c r="C46" s="1651"/>
      <c r="D46" s="1652"/>
      <c r="E46" s="1651"/>
      <c r="F46" s="1651"/>
      <c r="G46" s="1653"/>
      <c r="H46" s="1651"/>
      <c r="I46" s="1654">
        <v>0</v>
      </c>
      <c r="J46" s="1655">
        <v>0</v>
      </c>
      <c r="K46" s="261"/>
      <c r="L46" s="262"/>
      <c r="M46" s="262"/>
      <c r="N46" s="262">
        <v>0</v>
      </c>
      <c r="O46" s="262">
        <v>0</v>
      </c>
      <c r="P46" s="263"/>
      <c r="Q46" s="262"/>
      <c r="R46" s="262"/>
      <c r="S46" s="262">
        <f>S29</f>
        <v>0</v>
      </c>
      <c r="T46" s="262">
        <v>0</v>
      </c>
      <c r="U46" s="262">
        <v>0</v>
      </c>
      <c r="V46" s="263"/>
      <c r="W46" s="261"/>
      <c r="X46" s="262"/>
      <c r="Y46" s="262"/>
      <c r="Z46" s="262">
        <v>0</v>
      </c>
      <c r="AA46" s="262">
        <v>0</v>
      </c>
      <c r="AB46" s="263"/>
      <c r="AC46" s="261"/>
      <c r="AD46" s="262"/>
      <c r="AE46" s="262"/>
      <c r="AF46" s="262">
        <v>0</v>
      </c>
      <c r="AG46" s="262">
        <v>0</v>
      </c>
      <c r="AH46" s="263"/>
      <c r="AI46" s="261"/>
      <c r="AJ46" s="262"/>
      <c r="AK46" s="262"/>
      <c r="AL46" s="262"/>
      <c r="AM46" s="262"/>
      <c r="AN46" s="263"/>
    </row>
    <row r="47" spans="2:40" s="2" customFormat="1" x14ac:dyDescent="0.2">
      <c r="B47" s="167" t="s">
        <v>122</v>
      </c>
      <c r="D47" s="253"/>
      <c r="F47" s="1442"/>
      <c r="G47" s="1443"/>
      <c r="H47" s="1442"/>
      <c r="I47" s="1442"/>
      <c r="J47" s="1442"/>
      <c r="K47" s="258">
        <f>K29</f>
        <v>0</v>
      </c>
      <c r="L47" s="196"/>
      <c r="M47" s="196">
        <f>M29</f>
        <v>0</v>
      </c>
      <c r="N47" s="196">
        <f>IF(O29&gt;0,S29,0)</f>
        <v>0</v>
      </c>
      <c r="O47" s="196"/>
      <c r="P47" s="259"/>
      <c r="Q47" s="196">
        <f>Q29</f>
        <v>0</v>
      </c>
      <c r="R47" s="196"/>
      <c r="S47" s="196">
        <f>IF(Q47&gt;0,S29,0)</f>
        <v>0</v>
      </c>
      <c r="T47" s="196">
        <f>IF(O29&gt;0,Y29,0)</f>
        <v>0</v>
      </c>
      <c r="U47" s="262">
        <f>AA29</f>
        <v>0</v>
      </c>
      <c r="V47" s="259"/>
      <c r="W47" s="196">
        <f>W29</f>
        <v>0</v>
      </c>
      <c r="X47" s="196"/>
      <c r="Y47" s="196">
        <f>IF(W47&gt;0,Y29,0)</f>
        <v>0</v>
      </c>
      <c r="Z47" s="196">
        <f>IF(U29&gt;0,AE29,0)</f>
        <v>0</v>
      </c>
      <c r="AA47" s="262">
        <f>AG29</f>
        <v>0</v>
      </c>
      <c r="AB47" s="259"/>
      <c r="AC47" s="196">
        <f>AC29</f>
        <v>0</v>
      </c>
      <c r="AD47" s="196"/>
      <c r="AE47" s="196">
        <f>IF(AC47&gt;0,AE29,0)</f>
        <v>0</v>
      </c>
      <c r="AF47" s="196">
        <f>IF(AA29&gt;0,AK29,0)</f>
        <v>0</v>
      </c>
      <c r="AG47" s="262">
        <f>AM29</f>
        <v>0</v>
      </c>
      <c r="AH47" s="259"/>
      <c r="AI47" s="196">
        <f>AI29</f>
        <v>0</v>
      </c>
      <c r="AJ47" s="196"/>
      <c r="AK47" s="196">
        <f>IF(AI47&gt;0,AK29,0)</f>
        <v>0</v>
      </c>
      <c r="AL47" s="196">
        <f>IF(AG29&gt;0,AQ29,0)</f>
        <v>0</v>
      </c>
      <c r="AM47" s="262">
        <f>AS29</f>
        <v>0</v>
      </c>
      <c r="AN47" s="259"/>
    </row>
    <row r="48" spans="2:40" s="2" customFormat="1" x14ac:dyDescent="0.2">
      <c r="B48" s="167" t="s">
        <v>123</v>
      </c>
      <c r="D48" s="253"/>
      <c r="F48" s="1442"/>
      <c r="G48" s="1443"/>
      <c r="H48" s="1442"/>
      <c r="I48" s="1442"/>
      <c r="J48" s="1442"/>
      <c r="K48" s="258"/>
      <c r="L48" s="196"/>
      <c r="M48" s="196"/>
      <c r="N48" s="196">
        <f>IF(O32&gt;0,S32,0)</f>
        <v>0</v>
      </c>
      <c r="O48" s="196"/>
      <c r="P48" s="259"/>
      <c r="Q48" s="196">
        <f>Q32</f>
        <v>0</v>
      </c>
      <c r="R48" s="196"/>
      <c r="S48" s="196">
        <f>IF(Q48&gt;0,S32,0)</f>
        <v>0</v>
      </c>
      <c r="T48" s="196">
        <f>IF(O32&gt;0,Y32,0)</f>
        <v>0</v>
      </c>
      <c r="U48" s="262">
        <f>AA32</f>
        <v>0</v>
      </c>
      <c r="V48" s="259"/>
      <c r="W48" s="196">
        <f>W32</f>
        <v>0</v>
      </c>
      <c r="X48" s="196"/>
      <c r="Y48" s="196">
        <f>IF(W48&gt;0,Y32,0)</f>
        <v>0</v>
      </c>
      <c r="Z48" s="196">
        <f>IF(U32&gt;0,AE32,0)</f>
        <v>0</v>
      </c>
      <c r="AA48" s="262">
        <f>AG32</f>
        <v>0</v>
      </c>
      <c r="AB48" s="259"/>
      <c r="AC48" s="196">
        <f>AC32</f>
        <v>0</v>
      </c>
      <c r="AD48" s="196"/>
      <c r="AE48" s="196">
        <f>IF(AC48&gt;0,AE32,0)</f>
        <v>0</v>
      </c>
      <c r="AF48" s="196">
        <f>IF(AA32&gt;0,AK32,0)</f>
        <v>0</v>
      </c>
      <c r="AG48" s="262">
        <f>AM32</f>
        <v>0</v>
      </c>
      <c r="AH48" s="259"/>
      <c r="AI48" s="196">
        <f>AI32</f>
        <v>0</v>
      </c>
      <c r="AJ48" s="196"/>
      <c r="AK48" s="196">
        <f>IF(AI48&gt;0,AK32,0)</f>
        <v>0</v>
      </c>
      <c r="AL48" s="196">
        <f>IF(AG32&gt;0,AQ32,0)</f>
        <v>0</v>
      </c>
      <c r="AM48" s="262">
        <f>AS32</f>
        <v>0</v>
      </c>
      <c r="AN48" s="259"/>
    </row>
    <row r="49" spans="2:40" s="2" customFormat="1" x14ac:dyDescent="0.2">
      <c r="B49" s="167" t="s">
        <v>124</v>
      </c>
      <c r="D49" s="253"/>
      <c r="F49" s="1442"/>
      <c r="G49" s="1443"/>
      <c r="H49" s="1442"/>
      <c r="I49" s="1442"/>
      <c r="J49" s="1442"/>
      <c r="K49" s="258"/>
      <c r="L49" s="196"/>
      <c r="M49" s="196"/>
      <c r="N49" s="196">
        <f>IF(O35&gt;0,S35,0)</f>
        <v>0</v>
      </c>
      <c r="O49" s="196"/>
      <c r="P49" s="259"/>
      <c r="Q49" s="196">
        <f>Q35</f>
        <v>0</v>
      </c>
      <c r="R49" s="196"/>
      <c r="S49" s="196">
        <f>IF(Q49&gt;0,S35,0)</f>
        <v>0</v>
      </c>
      <c r="T49" s="196">
        <f>IF(O35&gt;0,Y35,0)</f>
        <v>0</v>
      </c>
      <c r="U49" s="262">
        <f>AA35</f>
        <v>0</v>
      </c>
      <c r="V49" s="259"/>
      <c r="W49" s="196">
        <f>W35</f>
        <v>0</v>
      </c>
      <c r="X49" s="196"/>
      <c r="Y49" s="196">
        <f>IF(W49&gt;0,Y35,0)</f>
        <v>0</v>
      </c>
      <c r="Z49" s="196">
        <f>IF(U35&gt;0,AE35,0)</f>
        <v>0</v>
      </c>
      <c r="AA49" s="262">
        <f>AG35</f>
        <v>0</v>
      </c>
      <c r="AB49" s="259"/>
      <c r="AC49" s="196">
        <f>AC35</f>
        <v>0</v>
      </c>
      <c r="AD49" s="196"/>
      <c r="AE49" s="196">
        <f>IF(AC49&gt;0,AE35,0)</f>
        <v>0</v>
      </c>
      <c r="AF49" s="196">
        <f>IF(AA35&gt;0,AK35,0)</f>
        <v>0</v>
      </c>
      <c r="AG49" s="262">
        <f>AM35</f>
        <v>0</v>
      </c>
      <c r="AH49" s="259"/>
      <c r="AI49" s="196">
        <f>AI35</f>
        <v>0</v>
      </c>
      <c r="AJ49" s="196"/>
      <c r="AK49" s="196">
        <f>IF(AI49&gt;0,AK35,0)</f>
        <v>0</v>
      </c>
      <c r="AL49" s="196">
        <f>IF(AG35&gt;0,AQ35,0)</f>
        <v>0</v>
      </c>
      <c r="AM49" s="262">
        <f>AS35</f>
        <v>0</v>
      </c>
      <c r="AN49" s="259"/>
    </row>
    <row r="50" spans="2:40" s="2" customFormat="1" x14ac:dyDescent="0.2">
      <c r="B50" s="167" t="s">
        <v>155</v>
      </c>
      <c r="D50" s="253"/>
      <c r="F50" s="1442"/>
      <c r="G50" s="1443"/>
      <c r="H50" s="1442"/>
      <c r="I50" s="1442"/>
      <c r="J50" s="1442"/>
      <c r="K50" s="258"/>
      <c r="L50" s="196"/>
      <c r="M50" s="196"/>
      <c r="N50" s="196">
        <f>IF(O38&gt;0,S38,0)</f>
        <v>0</v>
      </c>
      <c r="O50" s="196"/>
      <c r="P50" s="259"/>
      <c r="Q50" s="196">
        <f>Q38</f>
        <v>0</v>
      </c>
      <c r="R50" s="196"/>
      <c r="S50" s="196">
        <f>IF(Q50&gt;0,S38,0)</f>
        <v>0</v>
      </c>
      <c r="T50" s="196">
        <f>IF(O38&gt;0,Y38,0)</f>
        <v>0</v>
      </c>
      <c r="U50" s="262">
        <f>AA38</f>
        <v>0</v>
      </c>
      <c r="V50" s="259"/>
      <c r="W50" s="196">
        <f>W38</f>
        <v>0</v>
      </c>
      <c r="X50" s="196"/>
      <c r="Y50" s="196">
        <f>IF(W50&gt;0,Y38,0)</f>
        <v>0</v>
      </c>
      <c r="Z50" s="196">
        <f>IF(U38&gt;0,AE38,0)</f>
        <v>0</v>
      </c>
      <c r="AA50" s="262">
        <f>AG38</f>
        <v>0</v>
      </c>
      <c r="AB50" s="259"/>
      <c r="AC50" s="196">
        <f>AC38</f>
        <v>0</v>
      </c>
      <c r="AD50" s="196"/>
      <c r="AE50" s="196">
        <f>IF(AC50&gt;0,AE38,0)</f>
        <v>0</v>
      </c>
      <c r="AF50" s="196">
        <f>IF(AA38&gt;0,AK38,0)</f>
        <v>0</v>
      </c>
      <c r="AG50" s="262">
        <f>AM38</f>
        <v>0</v>
      </c>
      <c r="AH50" s="259"/>
      <c r="AI50" s="196">
        <f>AI38</f>
        <v>0</v>
      </c>
      <c r="AJ50" s="196"/>
      <c r="AK50" s="196">
        <f>IF(AI50&gt;0,AK38,0)</f>
        <v>0</v>
      </c>
      <c r="AL50" s="196">
        <f>IF(AG38&gt;0,AQ38,0)</f>
        <v>0</v>
      </c>
      <c r="AM50" s="262">
        <f>AS38</f>
        <v>0</v>
      </c>
      <c r="AN50" s="259"/>
    </row>
    <row r="51" spans="2:40" s="2" customFormat="1" x14ac:dyDescent="0.2">
      <c r="B51" s="167"/>
      <c r="D51" s="253"/>
      <c r="G51" s="187"/>
      <c r="K51" s="257">
        <f>SUM(K46:K50)</f>
        <v>0</v>
      </c>
      <c r="L51" s="257"/>
      <c r="M51" s="257">
        <f>SUM(M46:M50)</f>
        <v>0</v>
      </c>
      <c r="N51" s="257">
        <f>SUM(N46:N50)</f>
        <v>0</v>
      </c>
      <c r="O51" s="257">
        <f>SUM(O46:O50)</f>
        <v>0</v>
      </c>
      <c r="P51" s="260"/>
      <c r="Q51" s="257">
        <f>SUM(Q46:Q50)</f>
        <v>0</v>
      </c>
      <c r="R51" s="257"/>
      <c r="S51" s="257">
        <f>SUM(S46:S50)</f>
        <v>0</v>
      </c>
      <c r="T51" s="257">
        <f>SUM(T46:T50)</f>
        <v>0</v>
      </c>
      <c r="U51" s="257">
        <f>SUM(U46:U50)</f>
        <v>0</v>
      </c>
      <c r="V51" s="260"/>
      <c r="W51" s="257">
        <f>SUM(W46:W50)</f>
        <v>0</v>
      </c>
      <c r="X51" s="257"/>
      <c r="Y51" s="257">
        <f>SUM(Y46:Y50)</f>
        <v>0</v>
      </c>
      <c r="Z51" s="257">
        <f>SUM(Z46:Z50)</f>
        <v>0</v>
      </c>
      <c r="AA51" s="257">
        <f>SUM(AA46:AA50)</f>
        <v>0</v>
      </c>
      <c r="AB51" s="260"/>
      <c r="AC51" s="257">
        <f>SUM(AC46:AC50)</f>
        <v>0</v>
      </c>
      <c r="AD51" s="257"/>
      <c r="AE51" s="257">
        <f>SUM(AE46:AE50)</f>
        <v>0</v>
      </c>
      <c r="AF51" s="257">
        <f>SUM(AF46:AF50)</f>
        <v>0</v>
      </c>
      <c r="AG51" s="257">
        <f>SUM(AG46:AG50)</f>
        <v>0</v>
      </c>
      <c r="AH51" s="260"/>
      <c r="AI51" s="257">
        <f>SUM(AI46:AI50)</f>
        <v>0</v>
      </c>
      <c r="AJ51" s="257"/>
      <c r="AK51" s="257">
        <f>SUM(AK46:AK50)</f>
        <v>0</v>
      </c>
      <c r="AL51" s="196">
        <f>IF(AM39&gt;0,AQ39,0)</f>
        <v>0</v>
      </c>
      <c r="AM51" s="257">
        <f>SUM(AM46:AM50)</f>
        <v>0</v>
      </c>
      <c r="AN51" s="260"/>
    </row>
    <row r="52" spans="2:40" s="2" customFormat="1" x14ac:dyDescent="0.2">
      <c r="B52" s="167"/>
      <c r="D52" s="253"/>
      <c r="G52" s="187"/>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row>
    <row r="53" spans="2:40" x14ac:dyDescent="0.2">
      <c r="B53" s="139"/>
      <c r="C53" s="120"/>
      <c r="D53" s="1397"/>
      <c r="E53" s="1397"/>
      <c r="F53" s="1397"/>
      <c r="G53" s="1397"/>
      <c r="H53" s="1397"/>
      <c r="I53" s="1397"/>
      <c r="K53" s="1397"/>
      <c r="L53" s="1397"/>
      <c r="M53" s="1397"/>
      <c r="N53" s="1397"/>
      <c r="O53" s="1397"/>
    </row>
    <row r="54" spans="2:40" x14ac:dyDescent="0.2">
      <c r="B54" s="112"/>
      <c r="C54" s="120"/>
      <c r="D54" s="121"/>
      <c r="E54" s="121"/>
      <c r="F54" s="121"/>
    </row>
    <row r="55" spans="2:40" s="2" customFormat="1" ht="22.9" customHeight="1" x14ac:dyDescent="0.2">
      <c r="B55" s="2275" t="s">
        <v>182</v>
      </c>
      <c r="C55" s="2276"/>
      <c r="D55" s="2277"/>
      <c r="E55" s="1729">
        <f>'7. T2 RESULT BUDGET '!G8</f>
        <v>2027</v>
      </c>
      <c r="F55" s="1729"/>
      <c r="G55" s="1729">
        <f>'7. T2 RESULT BUDGET '!I8</f>
        <v>2028</v>
      </c>
      <c r="H55" s="1729"/>
      <c r="I55" s="1729">
        <f>'7. T2 RESULT BUDGET '!K8</f>
        <v>2029</v>
      </c>
      <c r="J55" s="1729"/>
      <c r="K55" s="1729">
        <f>'7. T2 RESULT BUDGET '!M8</f>
        <v>2030</v>
      </c>
      <c r="L55" s="184"/>
    </row>
    <row r="56" spans="2:40" ht="15" customHeight="1" x14ac:dyDescent="0.2">
      <c r="B56" s="1730" t="s">
        <v>465</v>
      </c>
      <c r="C56" s="1396" t="s">
        <v>466</v>
      </c>
      <c r="D56" s="1731">
        <v>0</v>
      </c>
      <c r="E56" s="2241">
        <f>'3. E1 OPERATING COSTS'!D47+'3. E1 OPERATING COSTS'!D50+'3. E1 OPERATING COSTS'!D56+'3. E1 OPERATING COSTS'!D57+'3. E1 OPERATING COSTS'!D58+'3. E1 OPERATING COSTS'!D59+'3. E1 OPERATING COSTS'!D60+'3. E1 OPERATING COSTS'!D61+'3. E1 OPERATING COSTS'!D62+'3. E1 OPERATING COSTS'!D71+'3. E1 OPERATING COSTS'!D78+'3. E1 OPERATING COSTS'!D79+'3. E1 OPERATING COSTS'!D81+'3. E1 OPERATING COSTS'!D82+'3. E1 OPERATING COSTS'!D94+'3. E1 OPERATING COSTS'!D95+'3. E1 OPERATING COSTS'!D101-'3. E1 OPERATING COSTS'!D103+'3. E1 OPERATING COSTS'!D106-'3. E1 OPERATING COSTS'!D110+'3. E1 OPERATING COSTS'!D116+'3. E1 OPERATING COSTS'!D117+'3. E1 OPERATING COSTS'!D124+'3. E1 OPERATING COSTS'!D125+'3. E1 OPERATING COSTS'!D126+'3. E1 OPERATING COSTS'!D129</f>
        <v>0</v>
      </c>
      <c r="F56" s="2242"/>
      <c r="G56" s="2241">
        <f>'3. E1 OPERATING COSTS'!F47+'3. E1 OPERATING COSTS'!F50+'3. E1 OPERATING COSTS'!F56+'3. E1 OPERATING COSTS'!F57+'3. E1 OPERATING COSTS'!F58+'3. E1 OPERATING COSTS'!F59+'3. E1 OPERATING COSTS'!F60+'3. E1 OPERATING COSTS'!F61+'3. E1 OPERATING COSTS'!F62+'3. E1 OPERATING COSTS'!F71+'3. E1 OPERATING COSTS'!F78+'3. E1 OPERATING COSTS'!F79+'3. E1 OPERATING COSTS'!F81+'3. E1 OPERATING COSTS'!F82+'3. E1 OPERATING COSTS'!F94+'3. E1 OPERATING COSTS'!F95+'3. E1 OPERATING COSTS'!F101-'3. E1 OPERATING COSTS'!F103+'3. E1 OPERATING COSTS'!F106-'3. E1 OPERATING COSTS'!F110+'3. E1 OPERATING COSTS'!F116+'3. E1 OPERATING COSTS'!F117+'3. E1 OPERATING COSTS'!F124+'3. E1 OPERATING COSTS'!F125+'3. E1 OPERATING COSTS'!F126+'3. E1 OPERATING COSTS'!F129</f>
        <v>0</v>
      </c>
      <c r="H56" s="2242"/>
      <c r="I56" s="2241">
        <f>'3. E1 OPERATING COSTS'!H47+'3. E1 OPERATING COSTS'!H50+'3. E1 OPERATING COSTS'!H56+'3. E1 OPERATING COSTS'!H57+'3. E1 OPERATING COSTS'!H58+'3. E1 OPERATING COSTS'!H59+'3. E1 OPERATING COSTS'!H60+'3. E1 OPERATING COSTS'!H61+'3. E1 OPERATING COSTS'!H62+'3. E1 OPERATING COSTS'!H71+'3. E1 OPERATING COSTS'!H78+'3. E1 OPERATING COSTS'!H79+'3. E1 OPERATING COSTS'!H81+'3. E1 OPERATING COSTS'!H82+'3. E1 OPERATING COSTS'!H94+'3. E1 OPERATING COSTS'!H95+'3. E1 OPERATING COSTS'!H101-'3. E1 OPERATING COSTS'!H103+'3. E1 OPERATING COSTS'!H106-'3. E1 OPERATING COSTS'!H110+'3. E1 OPERATING COSTS'!H116+'3. E1 OPERATING COSTS'!H117+'3. E1 OPERATING COSTS'!H124+'3. E1 OPERATING COSTS'!H125+'3. E1 OPERATING COSTS'!H126+'3. E1 OPERATING COSTS'!H129</f>
        <v>0</v>
      </c>
      <c r="J56" s="2242"/>
      <c r="K56" s="2241">
        <f>'3. E1 OPERATING COSTS'!J47+'3. E1 OPERATING COSTS'!J50+'3. E1 OPERATING COSTS'!J56+'3. E1 OPERATING COSTS'!J57+'3. E1 OPERATING COSTS'!J58+'3. E1 OPERATING COSTS'!J59+'3. E1 OPERATING COSTS'!J60+'3. E1 OPERATING COSTS'!J61+'3. E1 OPERATING COSTS'!J62+'3. E1 OPERATING COSTS'!J71+'3. E1 OPERATING COSTS'!J78+'3. E1 OPERATING COSTS'!J79+'3. E1 OPERATING COSTS'!J81+'3. E1 OPERATING COSTS'!J82+'3. E1 OPERATING COSTS'!J94+'3. E1 OPERATING COSTS'!J95+'3. E1 OPERATING COSTS'!J101-'3. E1 OPERATING COSTS'!J103+'3. E1 OPERATING COSTS'!J106-'3. E1 OPERATING COSTS'!J110+'3. E1 OPERATING COSTS'!J116+'3. E1 OPERATING COSTS'!J117+'3. E1 OPERATING COSTS'!J124+'3. E1 OPERATING COSTS'!J125+'3. E1 OPERATING COSTS'!J126+'3. E1 OPERATING COSTS'!J129</f>
        <v>0</v>
      </c>
      <c r="L56" s="2242"/>
    </row>
    <row r="57" spans="2:40" ht="15" customHeight="1" x14ac:dyDescent="0.2">
      <c r="B57" s="1730"/>
      <c r="C57" s="1396" t="s">
        <v>467</v>
      </c>
      <c r="D57" s="1731">
        <v>0.255</v>
      </c>
      <c r="E57" s="2241">
        <f>E56+$D57*E56</f>
        <v>0</v>
      </c>
      <c r="F57" s="2242"/>
      <c r="G57" s="2241">
        <f>G56+$D57*G56</f>
        <v>0</v>
      </c>
      <c r="H57" s="2242"/>
      <c r="I57" s="2241">
        <f>I56+$D57*I56</f>
        <v>0</v>
      </c>
      <c r="J57" s="2242"/>
      <c r="K57" s="2241">
        <f>K56+$D57*K56</f>
        <v>0</v>
      </c>
      <c r="L57" s="2242"/>
    </row>
    <row r="58" spans="2:40" ht="15" customHeight="1" x14ac:dyDescent="0.2">
      <c r="B58" s="1730" t="s">
        <v>472</v>
      </c>
      <c r="C58" s="1396" t="s">
        <v>466</v>
      </c>
      <c r="D58" s="1731">
        <v>0</v>
      </c>
      <c r="E58" s="2241">
        <f>'3. E1 OPERATING COSTS'!D112+'3. E1 OPERATING COSTS'!D87+'3. E1 OPERATING COSTS'!D89</f>
        <v>0</v>
      </c>
      <c r="F58" s="2242"/>
      <c r="G58" s="2241">
        <f>'3. E1 OPERATING COSTS'!F112+'3. E1 OPERATING COSTS'!F87+'3. E1 OPERATING COSTS'!F89</f>
        <v>0</v>
      </c>
      <c r="H58" s="2242"/>
      <c r="I58" s="2241">
        <f>'3. E1 OPERATING COSTS'!H112+'3. E1 OPERATING COSTS'!H87+'3. E1 OPERATING COSTS'!H89</f>
        <v>0</v>
      </c>
      <c r="J58" s="2242"/>
      <c r="K58" s="2241">
        <f>'3. E1 OPERATING COSTS'!J112+'3. E1 OPERATING COSTS'!J87+'3. E1 OPERATING COSTS'!J89</f>
        <v>0</v>
      </c>
      <c r="L58" s="2242"/>
    </row>
    <row r="59" spans="2:40" ht="15" customHeight="1" x14ac:dyDescent="0.2">
      <c r="B59" s="1730"/>
      <c r="C59" s="1396" t="s">
        <v>467</v>
      </c>
      <c r="D59" s="1731">
        <v>0.14000000000000001</v>
      </c>
      <c r="E59" s="2241">
        <f>E58+$D59*E58</f>
        <v>0</v>
      </c>
      <c r="F59" s="2242"/>
      <c r="G59" s="2241">
        <f>G58+$D59*G58</f>
        <v>0</v>
      </c>
      <c r="H59" s="2242"/>
      <c r="I59" s="2241">
        <f>I58+$D59*I58</f>
        <v>0</v>
      </c>
      <c r="J59" s="2242"/>
      <c r="K59" s="2241">
        <f>K58+$D59*K58</f>
        <v>0</v>
      </c>
      <c r="L59" s="2242"/>
    </row>
    <row r="60" spans="2:40" ht="15" customHeight="1" x14ac:dyDescent="0.2">
      <c r="B60" s="1730" t="s">
        <v>468</v>
      </c>
      <c r="C60" s="1396" t="s">
        <v>466</v>
      </c>
      <c r="D60" s="1731">
        <v>0</v>
      </c>
      <c r="E60" s="2241">
        <f>'3. E1 OPERATING COSTS'!D113</f>
        <v>0</v>
      </c>
      <c r="F60" s="2242"/>
      <c r="G60" s="2241">
        <f>'3. E1 OPERATING COSTS'!F113</f>
        <v>0</v>
      </c>
      <c r="H60" s="2242"/>
      <c r="I60" s="2241">
        <f>'3. E1 OPERATING COSTS'!H113</f>
        <v>0</v>
      </c>
      <c r="J60" s="2242"/>
      <c r="K60" s="2241">
        <f>'3. E1 OPERATING COSTS'!J113</f>
        <v>0</v>
      </c>
      <c r="L60" s="2242"/>
    </row>
    <row r="61" spans="2:40" ht="15" customHeight="1" x14ac:dyDescent="0.2">
      <c r="B61" s="1730"/>
      <c r="C61" s="1396" t="s">
        <v>467</v>
      </c>
      <c r="D61" s="1731">
        <v>0.1</v>
      </c>
      <c r="E61" s="2241">
        <f>E60+$D61*E60</f>
        <v>0</v>
      </c>
      <c r="F61" s="2242"/>
      <c r="G61" s="2241">
        <f>G60+$D61*G60</f>
        <v>0</v>
      </c>
      <c r="H61" s="2242"/>
      <c r="I61" s="2241">
        <f>I60+$D61*I60</f>
        <v>0</v>
      </c>
      <c r="J61" s="2242"/>
      <c r="K61" s="2241">
        <f>K60+$D61*K60</f>
        <v>0</v>
      </c>
      <c r="L61" s="2242"/>
    </row>
    <row r="62" spans="2:40" ht="15" customHeight="1" x14ac:dyDescent="0.2">
      <c r="B62" s="2243" t="s">
        <v>469</v>
      </c>
      <c r="C62" s="2243"/>
      <c r="D62" s="2244"/>
      <c r="E62" s="2245">
        <f>E57+E59+E61</f>
        <v>0</v>
      </c>
      <c r="F62" s="2246"/>
      <c r="G62" s="2245">
        <f>G57+G59+G61</f>
        <v>0</v>
      </c>
      <c r="H62" s="2246"/>
      <c r="I62" s="2245">
        <f>I57+I59+I61</f>
        <v>0</v>
      </c>
      <c r="J62" s="2246"/>
      <c r="K62" s="2245">
        <f>K57+K59+K61</f>
        <v>0</v>
      </c>
      <c r="L62" s="2246"/>
    </row>
    <row r="63" spans="2:40" ht="15" customHeight="1" x14ac:dyDescent="0.2">
      <c r="B63" s="2243" t="s">
        <v>470</v>
      </c>
      <c r="C63" s="2243"/>
      <c r="D63" s="2244"/>
      <c r="E63" s="2245">
        <f>E56+E58+E60</f>
        <v>0</v>
      </c>
      <c r="F63" s="2246"/>
      <c r="G63" s="2245">
        <f>G56+G58+G60</f>
        <v>0</v>
      </c>
      <c r="H63" s="2246"/>
      <c r="I63" s="2245">
        <f>I56+I58+I60</f>
        <v>0</v>
      </c>
      <c r="J63" s="2246"/>
      <c r="K63" s="2245">
        <f>K56+K58+K60</f>
        <v>0</v>
      </c>
      <c r="L63" s="2246"/>
    </row>
    <row r="64" spans="2:40" ht="15" customHeight="1" x14ac:dyDescent="0.2">
      <c r="B64" s="2243" t="s">
        <v>471</v>
      </c>
      <c r="C64" s="2243"/>
      <c r="D64" s="2244"/>
      <c r="E64" s="2249">
        <f>IF(E63=0,0,E65/E63)</f>
        <v>0</v>
      </c>
      <c r="F64" s="2250"/>
      <c r="G64" s="2249">
        <f>IF(G63=0,0,G65/G63)</f>
        <v>0</v>
      </c>
      <c r="H64" s="2250"/>
      <c r="I64" s="2249">
        <f>IF(I63=0,0,I65/I63)</f>
        <v>0</v>
      </c>
      <c r="J64" s="2250"/>
      <c r="K64" s="2249">
        <f>IF(K63=0,0,K65/K63)</f>
        <v>0</v>
      </c>
      <c r="L64" s="2250"/>
    </row>
    <row r="65" spans="2:20" ht="13.5" customHeight="1" x14ac:dyDescent="0.2">
      <c r="B65" s="2247" t="s">
        <v>464</v>
      </c>
      <c r="C65" s="2247"/>
      <c r="D65" s="2248"/>
      <c r="E65" s="2261">
        <f>E57+E59+E61-E56-E58-E60</f>
        <v>0</v>
      </c>
      <c r="F65" s="2262"/>
      <c r="G65" s="2261">
        <f>G57+G59+G61-G56-G58-G60</f>
        <v>0</v>
      </c>
      <c r="H65" s="2262"/>
      <c r="I65" s="2261">
        <f>I57+I59+I61-I56-I58-I60</f>
        <v>0</v>
      </c>
      <c r="J65" s="2262"/>
      <c r="K65" s="2261">
        <f>K57+K59+K61-K56-K58-K60</f>
        <v>0</v>
      </c>
      <c r="L65" s="2262"/>
    </row>
    <row r="66" spans="2:20" ht="13.5" customHeight="1" x14ac:dyDescent="0.2">
      <c r="B66" s="1735"/>
      <c r="C66" s="1735"/>
      <c r="D66" s="1735"/>
      <c r="E66" s="1736"/>
      <c r="F66" s="1736"/>
      <c r="G66" s="1736"/>
      <c r="H66" s="1736"/>
      <c r="I66" s="1736"/>
      <c r="J66" s="1736"/>
      <c r="K66" s="1736"/>
      <c r="L66" s="1736"/>
    </row>
    <row r="67" spans="2:20" ht="15" customHeight="1" x14ac:dyDescent="0.2">
      <c r="B67" s="2238" t="s">
        <v>300</v>
      </c>
      <c r="C67" s="2239"/>
      <c r="D67" s="2240"/>
      <c r="E67" s="2259">
        <f>'3. E1 OPERATING COSTS'!D48+'3. E1 OPERATING COSTS'!D49+'3. E1 OPERATING COSTS'!D51+'3. E1 OPERATING COSTS'!D63*0.003+'3. E1 OPERATING COSTS'!D64+'3. E1 OPERATING COSTS'!D80+'3. E1 OPERATING COSTS'!D88+'3. E1 OPERATING COSTS'!D90+'3. E1 OPERATING COSTS'!D93+'3. E1 OPERATING COSTS'!D103+'3. E1 OPERATING COSTS'!D110+'3. E1 OPERATING COSTS'!D114+'3. E1 OPERATING COSTS'!D118+'3. E1 OPERATING COSTS'!D119+'3. E1 OPERATING COSTS'!D120+'3. E1 OPERATING COSTS'!D127+'3. E1 OPERATING COSTS'!D128+'3. E1 OPERATING COSTS'!D131</f>
        <v>0</v>
      </c>
      <c r="F67" s="2260"/>
      <c r="G67" s="2259">
        <f>'3. E1 OPERATING COSTS'!F48+'3. E1 OPERATING COSTS'!F49+'3. E1 OPERATING COSTS'!F51+'3. E1 OPERATING COSTS'!F63*0.003+'3. E1 OPERATING COSTS'!F64+'3. E1 OPERATING COSTS'!F80+'3. E1 OPERATING COSTS'!F88+'3. E1 OPERATING COSTS'!F90+'3. E1 OPERATING COSTS'!F93+'3. E1 OPERATING COSTS'!F103+'3. E1 OPERATING COSTS'!F110+'3. E1 OPERATING COSTS'!F114+'3. E1 OPERATING COSTS'!F118+'3. E1 OPERATING COSTS'!F119+'3. E1 OPERATING COSTS'!F120+'3. E1 OPERATING COSTS'!F127+'3. E1 OPERATING COSTS'!F128+'3. E1 OPERATING COSTS'!F131</f>
        <v>0</v>
      </c>
      <c r="H67" s="2260"/>
      <c r="I67" s="2259">
        <f>'3. E1 OPERATING COSTS'!H48+'3. E1 OPERATING COSTS'!H49+'3. E1 OPERATING COSTS'!H51+'3. E1 OPERATING COSTS'!H63*0.003+'3. E1 OPERATING COSTS'!H64+'3. E1 OPERATING COSTS'!H80+'3. E1 OPERATING COSTS'!H88+'3. E1 OPERATING COSTS'!H90+'3. E1 OPERATING COSTS'!H93+'3. E1 OPERATING COSTS'!H103+'3. E1 OPERATING COSTS'!H110+'3. E1 OPERATING COSTS'!H114+'3. E1 OPERATING COSTS'!H118+'3. E1 OPERATING COSTS'!H119+'3. E1 OPERATING COSTS'!H120+'3. E1 OPERATING COSTS'!H127+'3. E1 OPERATING COSTS'!H128+'3. E1 OPERATING COSTS'!H131</f>
        <v>0</v>
      </c>
      <c r="J67" s="2260"/>
      <c r="K67" s="2259">
        <f>'3. E1 OPERATING COSTS'!J48+'3. E1 OPERATING COSTS'!J49+'3. E1 OPERATING COSTS'!J51+'3. E1 OPERATING COSTS'!J63*0.003+'3. E1 OPERATING COSTS'!J64+'3. E1 OPERATING COSTS'!J80+'3. E1 OPERATING COSTS'!J88+'3. E1 OPERATING COSTS'!J90+'3. E1 OPERATING COSTS'!J93+'3. E1 OPERATING COSTS'!J103+'3. E1 OPERATING COSTS'!J110+'3. E1 OPERATING COSTS'!J114+'3. E1 OPERATING COSTS'!J118+'3. E1 OPERATING COSTS'!J119+'3. E1 OPERATING COSTS'!J120+'3. E1 OPERATING COSTS'!J127+'3. E1 OPERATING COSTS'!J128+'3. E1 OPERATING COSTS'!J131</f>
        <v>0</v>
      </c>
      <c r="L67" s="2260"/>
    </row>
    <row r="68" spans="2:20" x14ac:dyDescent="0.2">
      <c r="B68" s="4"/>
      <c r="C68" s="120"/>
      <c r="D68" s="121"/>
      <c r="E68" s="121"/>
      <c r="F68" s="121"/>
    </row>
    <row r="69" spans="2:20" x14ac:dyDescent="0.2">
      <c r="B69" s="1"/>
      <c r="C69" s="51"/>
      <c r="D69" s="51"/>
      <c r="E69" s="51"/>
      <c r="F69" s="51"/>
      <c r="G69" s="51"/>
      <c r="H69" s="51"/>
      <c r="J69" s="1739"/>
      <c r="K69" s="2"/>
      <c r="L69" s="2"/>
      <c r="M69" s="1740"/>
      <c r="N69" s="2"/>
      <c r="O69" s="7"/>
      <c r="P69" s="2"/>
      <c r="Q69" s="7"/>
      <c r="R69" s="2"/>
    </row>
    <row r="70" spans="2:20" x14ac:dyDescent="0.2">
      <c r="B70" s="188"/>
      <c r="D70" s="121"/>
      <c r="J70" s="1741"/>
      <c r="K70" s="2258"/>
      <c r="L70" s="2258"/>
      <c r="M70" s="2258"/>
      <c r="N70" s="2258"/>
      <c r="O70" s="2258"/>
      <c r="P70" s="2258"/>
      <c r="Q70" s="2258"/>
      <c r="R70" s="2258"/>
      <c r="S70" s="2258"/>
      <c r="T70" s="2258"/>
    </row>
    <row r="71" spans="2:20" x14ac:dyDescent="0.2">
      <c r="B71" s="188"/>
      <c r="D71" s="121"/>
      <c r="E71" s="121"/>
      <c r="F71" s="121"/>
      <c r="G71" s="121"/>
      <c r="J71" s="1742"/>
      <c r="K71" s="2257"/>
      <c r="L71" s="2257"/>
      <c r="M71" s="2257"/>
      <c r="N71" s="2257"/>
      <c r="O71" s="2257"/>
      <c r="P71" s="2257"/>
      <c r="Q71" s="2257"/>
      <c r="R71" s="2257"/>
      <c r="S71" s="2257"/>
      <c r="T71" s="2257"/>
    </row>
    <row r="72" spans="2:20" x14ac:dyDescent="0.2">
      <c r="B72" s="112"/>
      <c r="C72" s="120"/>
      <c r="D72" s="121"/>
      <c r="E72" s="121"/>
      <c r="F72" s="121"/>
      <c r="G72" s="121"/>
      <c r="H72" s="39"/>
      <c r="I72" s="1743"/>
      <c r="J72" s="1744"/>
      <c r="K72" s="1745"/>
      <c r="L72" s="1"/>
      <c r="M72" s="104"/>
      <c r="N72" s="1"/>
      <c r="O72" s="104"/>
      <c r="P72" s="1"/>
      <c r="Q72" s="104"/>
      <c r="R72" s="1"/>
      <c r="S72" s="104"/>
    </row>
    <row r="73" spans="2:20" x14ac:dyDescent="0.2">
      <c r="B73" s="114"/>
      <c r="C73" s="120"/>
      <c r="D73" s="121"/>
      <c r="E73" s="121"/>
      <c r="F73" s="121"/>
      <c r="G73" s="121"/>
      <c r="H73" s="121"/>
      <c r="I73" s="1746"/>
      <c r="J73" s="1741"/>
      <c r="K73" s="6"/>
      <c r="L73" s="2"/>
      <c r="M73" s="7"/>
      <c r="N73" s="104"/>
      <c r="O73" s="7"/>
      <c r="P73" s="104"/>
      <c r="Q73" s="7"/>
      <c r="R73" s="1"/>
      <c r="S73" s="7"/>
    </row>
    <row r="74" spans="2:20" x14ac:dyDescent="0.2">
      <c r="B74" s="112"/>
      <c r="C74" s="120"/>
      <c r="D74" s="121"/>
      <c r="E74" s="121"/>
      <c r="F74" s="121"/>
      <c r="G74" s="121"/>
      <c r="J74" s="1739"/>
      <c r="K74" s="1"/>
      <c r="L74" s="1"/>
      <c r="M74" s="1747"/>
      <c r="N74" s="1"/>
      <c r="O74" s="1747"/>
      <c r="P74" s="1"/>
      <c r="Q74" s="1747"/>
      <c r="R74" s="1"/>
    </row>
    <row r="75" spans="2:20" x14ac:dyDescent="0.2">
      <c r="B75" s="112"/>
      <c r="C75" s="120"/>
      <c r="D75" s="121"/>
      <c r="E75" s="121"/>
      <c r="F75" s="121"/>
      <c r="G75" s="121"/>
    </row>
    <row r="76" spans="2:20" x14ac:dyDescent="0.2">
      <c r="B76" s="112"/>
      <c r="C76" s="120"/>
      <c r="D76" s="121"/>
      <c r="E76" s="121"/>
      <c r="F76" s="121"/>
      <c r="G76" s="121"/>
    </row>
    <row r="77" spans="2:20" s="2" customFormat="1" x14ac:dyDescent="0.2">
      <c r="B77" s="112"/>
      <c r="C77" s="120"/>
      <c r="D77" s="121"/>
      <c r="E77" s="121"/>
      <c r="F77" s="121"/>
      <c r="G77" s="121"/>
    </row>
    <row r="78" spans="2:20" x14ac:dyDescent="0.2">
      <c r="B78" s="112"/>
      <c r="C78" s="120"/>
      <c r="D78" s="121"/>
      <c r="E78" s="121"/>
      <c r="F78" s="121"/>
      <c r="G78" s="121"/>
    </row>
    <row r="79" spans="2:20" x14ac:dyDescent="0.2">
      <c r="B79" s="112"/>
      <c r="C79" s="120"/>
      <c r="D79" s="121"/>
      <c r="E79" s="121"/>
      <c r="F79" s="121"/>
      <c r="G79" s="121"/>
    </row>
    <row r="80" spans="2:20" x14ac:dyDescent="0.2">
      <c r="B80" s="112"/>
      <c r="C80" s="120"/>
      <c r="D80" s="121"/>
      <c r="E80" s="121"/>
      <c r="F80" s="121"/>
      <c r="G80" s="121"/>
    </row>
    <row r="81" spans="2:7" x14ac:dyDescent="0.2">
      <c r="B81" s="112"/>
      <c r="C81" s="120"/>
      <c r="D81" s="121"/>
      <c r="E81" s="121"/>
      <c r="F81" s="121"/>
      <c r="G81" s="121"/>
    </row>
    <row r="82" spans="2:7" x14ac:dyDescent="0.2">
      <c r="B82" s="112"/>
      <c r="C82" s="120"/>
      <c r="D82" s="121"/>
      <c r="E82" s="121"/>
      <c r="F82" s="121"/>
      <c r="G82" s="121"/>
    </row>
    <row r="83" spans="2:7" x14ac:dyDescent="0.2">
      <c r="B83" s="112"/>
      <c r="C83" s="120"/>
      <c r="D83" s="121"/>
      <c r="E83" s="121"/>
      <c r="F83" s="121"/>
      <c r="G83" s="121"/>
    </row>
    <row r="84" spans="2:7" x14ac:dyDescent="0.2">
      <c r="B84" s="112"/>
      <c r="C84" s="120"/>
      <c r="D84" s="121"/>
      <c r="E84" s="121"/>
      <c r="F84" s="121"/>
      <c r="G84" s="121"/>
    </row>
    <row r="85" spans="2:7" x14ac:dyDescent="0.2">
      <c r="B85" s="112"/>
      <c r="C85" s="120"/>
      <c r="D85" s="121"/>
      <c r="E85" s="121"/>
      <c r="F85" s="121"/>
      <c r="G85" s="121"/>
    </row>
    <row r="86" spans="2:7" x14ac:dyDescent="0.2">
      <c r="B86" s="112"/>
      <c r="C86" s="120"/>
      <c r="D86" s="121"/>
      <c r="E86" s="121"/>
      <c r="F86" s="121"/>
      <c r="G86" s="121"/>
    </row>
    <row r="87" spans="2:7" x14ac:dyDescent="0.2">
      <c r="B87" s="112"/>
      <c r="C87" s="120"/>
      <c r="D87" s="121"/>
      <c r="E87" s="121"/>
      <c r="F87" s="121"/>
      <c r="G87" s="121"/>
    </row>
    <row r="88" spans="2:7" x14ac:dyDescent="0.2">
      <c r="B88" s="112"/>
      <c r="C88" s="120"/>
      <c r="D88" s="121"/>
      <c r="E88" s="121"/>
      <c r="F88" s="121"/>
      <c r="G88" s="121"/>
    </row>
    <row r="89" spans="2:7" x14ac:dyDescent="0.2">
      <c r="B89" s="112"/>
      <c r="C89" s="120"/>
      <c r="D89" s="121"/>
      <c r="E89" s="121"/>
      <c r="F89" s="121"/>
      <c r="G89" s="121"/>
    </row>
    <row r="90" spans="2:7" x14ac:dyDescent="0.2">
      <c r="B90" s="112"/>
      <c r="C90" s="120"/>
      <c r="D90" s="121"/>
      <c r="E90" s="121"/>
      <c r="F90" s="121"/>
      <c r="G90" s="121"/>
    </row>
    <row r="91" spans="2:7" x14ac:dyDescent="0.2">
      <c r="B91" s="112"/>
      <c r="C91" s="120"/>
      <c r="D91" s="121"/>
      <c r="E91" s="121"/>
      <c r="F91" s="121"/>
      <c r="G91" s="121"/>
    </row>
    <row r="92" spans="2:7" x14ac:dyDescent="0.2">
      <c r="B92" s="110"/>
      <c r="C92" s="124"/>
      <c r="D92" s="124"/>
      <c r="E92" s="124"/>
      <c r="F92" s="124"/>
      <c r="G92" s="124"/>
    </row>
    <row r="93" spans="2:7" x14ac:dyDescent="0.2">
      <c r="B93" s="2"/>
      <c r="D93" s="124"/>
      <c r="E93" s="124"/>
      <c r="F93" s="124"/>
      <c r="G93" s="124"/>
    </row>
    <row r="94" spans="2:7" x14ac:dyDescent="0.2">
      <c r="B94" s="115"/>
      <c r="C94" s="124"/>
      <c r="D94" s="124"/>
      <c r="E94" s="124"/>
      <c r="F94" s="124"/>
      <c r="G94" s="124"/>
    </row>
    <row r="95" spans="2:7" x14ac:dyDescent="0.2">
      <c r="B95" s="110"/>
    </row>
    <row r="96" spans="2:7" s="2" customFormat="1" x14ac:dyDescent="0.2">
      <c r="B96" s="110"/>
      <c r="C96" s="121"/>
      <c r="D96" s="125"/>
      <c r="E96" s="125"/>
      <c r="F96" s="125"/>
    </row>
    <row r="97" spans="2:6" x14ac:dyDescent="0.2">
      <c r="B97" s="111"/>
      <c r="C97" s="117"/>
      <c r="D97" s="229"/>
      <c r="E97" s="229"/>
      <c r="F97" s="229"/>
    </row>
    <row r="98" spans="2:6" x14ac:dyDescent="0.2">
      <c r="B98" s="2"/>
      <c r="C98" s="118"/>
      <c r="D98" s="118"/>
      <c r="E98" s="118"/>
      <c r="F98" s="118"/>
    </row>
    <row r="99" spans="2:6" x14ac:dyDescent="0.2">
      <c r="B99" s="2"/>
      <c r="C99" s="120"/>
      <c r="D99" s="121"/>
      <c r="E99" s="121"/>
      <c r="F99" s="121"/>
    </row>
    <row r="100" spans="2:6" x14ac:dyDescent="0.2">
      <c r="B100" s="1"/>
      <c r="C100" s="120"/>
      <c r="D100" s="120"/>
      <c r="E100" s="120"/>
      <c r="F100" s="120"/>
    </row>
    <row r="101" spans="2:6" x14ac:dyDescent="0.2">
      <c r="B101" s="112"/>
      <c r="D101"/>
    </row>
    <row r="102" spans="2:6" x14ac:dyDescent="0.2">
      <c r="B102" s="112"/>
      <c r="C102" s="121"/>
      <c r="D102" s="121"/>
      <c r="E102" s="121"/>
      <c r="F102" s="121"/>
    </row>
    <row r="103" spans="2:6" x14ac:dyDescent="0.2">
      <c r="B103" s="112"/>
      <c r="C103" s="120"/>
      <c r="D103" s="121"/>
      <c r="E103" s="121"/>
      <c r="F103" s="121"/>
    </row>
    <row r="104" spans="2:6" x14ac:dyDescent="0.2">
      <c r="B104" s="113"/>
      <c r="C104" s="120"/>
      <c r="D104" s="121"/>
      <c r="E104" s="121"/>
      <c r="F104" s="121"/>
    </row>
    <row r="105" spans="2:6" x14ac:dyDescent="0.2">
      <c r="B105" s="112"/>
      <c r="C105" s="120"/>
      <c r="D105" s="121"/>
      <c r="E105" s="121"/>
      <c r="F105" s="121"/>
    </row>
    <row r="106" spans="2:6" s="65" customFormat="1" x14ac:dyDescent="0.2">
      <c r="C106" s="126"/>
      <c r="D106" s="126"/>
      <c r="E106" s="126"/>
      <c r="F106" s="126"/>
    </row>
    <row r="107" spans="2:6" x14ac:dyDescent="0.2">
      <c r="B107" s="111"/>
      <c r="C107" s="117"/>
      <c r="D107" s="117"/>
      <c r="E107" s="117"/>
      <c r="F107" s="117"/>
    </row>
    <row r="108" spans="2:6" x14ac:dyDescent="0.2">
      <c r="B108" s="1"/>
      <c r="C108" s="116"/>
      <c r="D108" s="116"/>
      <c r="E108" s="116"/>
      <c r="F108" s="116"/>
    </row>
    <row r="109" spans="2:6" x14ac:dyDescent="0.2">
      <c r="B109" s="1"/>
      <c r="C109" s="120"/>
      <c r="D109" s="120"/>
      <c r="E109" s="120"/>
      <c r="F109" s="120"/>
    </row>
    <row r="110" spans="2:6" x14ac:dyDescent="0.2">
      <c r="B110" s="1"/>
      <c r="C110" s="120"/>
      <c r="D110" s="120"/>
      <c r="E110" s="120"/>
      <c r="F110" s="120"/>
    </row>
    <row r="111" spans="2:6" x14ac:dyDescent="0.2">
      <c r="B111" s="112"/>
      <c r="D111"/>
    </row>
    <row r="112" spans="2:6" x14ac:dyDescent="0.2">
      <c r="B112" s="112"/>
      <c r="C112" s="121"/>
      <c r="D112" s="121"/>
      <c r="E112" s="121"/>
      <c r="F112" s="121"/>
    </row>
    <row r="113" spans="2:6" x14ac:dyDescent="0.2">
      <c r="B113" s="112"/>
      <c r="C113" s="120"/>
      <c r="D113" s="121"/>
      <c r="E113" s="121"/>
      <c r="F113" s="121"/>
    </row>
    <row r="114" spans="2:6" x14ac:dyDescent="0.2">
      <c r="B114" s="113"/>
      <c r="C114" s="120"/>
      <c r="D114" s="121"/>
      <c r="E114" s="121"/>
      <c r="F114" s="121"/>
    </row>
    <row r="115" spans="2:6" x14ac:dyDescent="0.2">
      <c r="B115" s="112"/>
      <c r="C115" s="120"/>
      <c r="D115" s="121"/>
      <c r="E115" s="121"/>
      <c r="F115" s="121"/>
    </row>
    <row r="116" spans="2:6" x14ac:dyDescent="0.2">
      <c r="B116" s="112"/>
      <c r="C116" s="120"/>
      <c r="D116" s="121"/>
      <c r="E116" s="121"/>
      <c r="F116" s="121"/>
    </row>
    <row r="117" spans="2:6" x14ac:dyDescent="0.2">
      <c r="B117" s="110"/>
      <c r="C117" s="120"/>
      <c r="D117" s="121"/>
      <c r="E117" s="121"/>
      <c r="F117" s="121"/>
    </row>
    <row r="118" spans="2:6" s="2" customFormat="1" x14ac:dyDescent="0.2">
      <c r="C118" s="2263"/>
      <c r="D118" s="2263"/>
      <c r="E118" s="125"/>
      <c r="F118" s="125"/>
    </row>
    <row r="119" spans="2:6" x14ac:dyDescent="0.2">
      <c r="B119" s="111"/>
      <c r="C119" s="117"/>
      <c r="D119" s="117"/>
      <c r="E119" s="117"/>
      <c r="F119" s="117"/>
    </row>
    <row r="120" spans="2:6" x14ac:dyDescent="0.2">
      <c r="B120" s="1"/>
      <c r="C120" s="116"/>
      <c r="D120" s="116"/>
      <c r="E120" s="116"/>
      <c r="F120" s="116"/>
    </row>
    <row r="121" spans="2:6" x14ac:dyDescent="0.2">
      <c r="B121" s="1"/>
      <c r="C121" s="116"/>
      <c r="D121" s="116"/>
      <c r="E121" s="116"/>
      <c r="F121" s="116"/>
    </row>
    <row r="122" spans="2:6" x14ac:dyDescent="0.2">
      <c r="B122" s="1"/>
      <c r="C122" s="122"/>
      <c r="D122" s="122"/>
      <c r="E122" s="122"/>
      <c r="F122" s="122"/>
    </row>
    <row r="123" spans="2:6" x14ac:dyDescent="0.2">
      <c r="B123" s="1"/>
      <c r="C123" s="118"/>
      <c r="D123" s="118"/>
      <c r="E123" s="118"/>
      <c r="F123" s="118"/>
    </row>
    <row r="124" spans="2:6" x14ac:dyDescent="0.2">
      <c r="B124" s="1"/>
      <c r="C124" s="119"/>
      <c r="D124" s="119"/>
      <c r="E124" s="119"/>
      <c r="F124" s="119"/>
    </row>
    <row r="125" spans="2:6" x14ac:dyDescent="0.2">
      <c r="B125" s="1"/>
      <c r="C125" s="119"/>
      <c r="D125" s="119"/>
      <c r="E125" s="119"/>
      <c r="F125" s="119"/>
    </row>
    <row r="126" spans="2:6" x14ac:dyDescent="0.2">
      <c r="B126" s="1"/>
      <c r="C126" s="21"/>
      <c r="D126" s="21"/>
      <c r="E126" s="21"/>
      <c r="F126" s="21"/>
    </row>
    <row r="127" spans="2:6" x14ac:dyDescent="0.2">
      <c r="B127" s="1"/>
      <c r="C127" s="123"/>
      <c r="D127" s="123"/>
      <c r="E127" s="123"/>
      <c r="F127" s="123"/>
    </row>
    <row r="128" spans="2:6" x14ac:dyDescent="0.2">
      <c r="B128" s="2"/>
      <c r="C128" s="124"/>
      <c r="D128" s="124"/>
      <c r="E128" s="124"/>
      <c r="F128" s="124"/>
    </row>
    <row r="129" spans="2:6" x14ac:dyDescent="0.2">
      <c r="B129" s="112"/>
      <c r="D129"/>
    </row>
    <row r="130" spans="2:6" x14ac:dyDescent="0.2">
      <c r="B130" s="112"/>
      <c r="C130" s="120"/>
      <c r="D130" s="120"/>
      <c r="E130" s="120"/>
      <c r="F130" s="120"/>
    </row>
    <row r="131" spans="2:6" x14ac:dyDescent="0.2">
      <c r="B131" s="112"/>
      <c r="C131" s="120"/>
      <c r="D131" s="121"/>
      <c r="E131" s="121"/>
      <c r="F131" s="121"/>
    </row>
    <row r="132" spans="2:6" x14ac:dyDescent="0.2">
      <c r="B132" s="114"/>
      <c r="C132" s="120"/>
      <c r="D132" s="121"/>
      <c r="E132" s="121"/>
      <c r="F132" s="121"/>
    </row>
    <row r="133" spans="2:6" x14ac:dyDescent="0.2">
      <c r="B133" s="115"/>
      <c r="C133" s="124"/>
      <c r="D133" s="124"/>
      <c r="E133" s="124"/>
      <c r="F133" s="124"/>
    </row>
    <row r="134" spans="2:6" x14ac:dyDescent="0.2">
      <c r="B134" s="112"/>
      <c r="C134" s="121"/>
      <c r="D134" s="121"/>
      <c r="E134" s="121"/>
      <c r="F134" s="121"/>
    </row>
    <row r="135" spans="2:6" x14ac:dyDescent="0.2">
      <c r="B135" s="115"/>
      <c r="C135" s="124"/>
      <c r="D135" s="124"/>
      <c r="E135" s="124"/>
      <c r="F135" s="124"/>
    </row>
  </sheetData>
  <sheetProtection algorithmName="SHA-512" hashValue="3QjRdyWmFEgIqlfHDMjPoezIUt/Hld9pF2PgorpYFb8KpYP14V/C0vI54Yw8RasxgS+4uwuzokyoVrasvkyycQ==" saltValue="a/MoMKvwX1YAFFi80xQPcQ==" spinCount="100000" sheet="1" objects="1" scenarios="1" selectLockedCells="1" selectUnlockedCells="1"/>
  <mergeCells count="86">
    <mergeCell ref="AI3:AN3"/>
    <mergeCell ref="AI4:AN4"/>
    <mergeCell ref="E56:F56"/>
    <mergeCell ref="G56:H56"/>
    <mergeCell ref="I56:J56"/>
    <mergeCell ref="K3:P3"/>
    <mergeCell ref="Q3:V3"/>
    <mergeCell ref="AC3:AH3"/>
    <mergeCell ref="AC4:AH4"/>
    <mergeCell ref="W3:AB3"/>
    <mergeCell ref="K4:P4"/>
    <mergeCell ref="W43:AB43"/>
    <mergeCell ref="Q4:V4"/>
    <mergeCell ref="W4:AB4"/>
    <mergeCell ref="AI27:AN27"/>
    <mergeCell ref="AI43:AN43"/>
    <mergeCell ref="C118:D118"/>
    <mergeCell ref="F4:J4"/>
    <mergeCell ref="F3:J3"/>
    <mergeCell ref="F27:J27"/>
    <mergeCell ref="F43:J43"/>
    <mergeCell ref="E67:F67"/>
    <mergeCell ref="E65:F65"/>
    <mergeCell ref="G65:H65"/>
    <mergeCell ref="F28:J28"/>
    <mergeCell ref="I67:J67"/>
    <mergeCell ref="G67:H67"/>
    <mergeCell ref="I65:J65"/>
    <mergeCell ref="B55:D55"/>
    <mergeCell ref="E60:F60"/>
    <mergeCell ref="G60:H60"/>
    <mergeCell ref="I60:J60"/>
    <mergeCell ref="K67:L67"/>
    <mergeCell ref="S70:T70"/>
    <mergeCell ref="M70:N70"/>
    <mergeCell ref="O70:P70"/>
    <mergeCell ref="K65:L65"/>
    <mergeCell ref="S71:T71"/>
    <mergeCell ref="Q71:R71"/>
    <mergeCell ref="K71:L71"/>
    <mergeCell ref="M71:N71"/>
    <mergeCell ref="Q70:R70"/>
    <mergeCell ref="O71:P71"/>
    <mergeCell ref="K70:L70"/>
    <mergeCell ref="K64:L64"/>
    <mergeCell ref="K27:P27"/>
    <mergeCell ref="Q27:V27"/>
    <mergeCell ref="W27:AB27"/>
    <mergeCell ref="AC27:AH27"/>
    <mergeCell ref="K43:P43"/>
    <mergeCell ref="AC43:AH43"/>
    <mergeCell ref="Q43:V43"/>
    <mergeCell ref="K56:L56"/>
    <mergeCell ref="K58:L58"/>
    <mergeCell ref="K60:L60"/>
    <mergeCell ref="K62:L62"/>
    <mergeCell ref="E58:F58"/>
    <mergeCell ref="G58:H58"/>
    <mergeCell ref="I58:J58"/>
    <mergeCell ref="B65:D65"/>
    <mergeCell ref="B62:D62"/>
    <mergeCell ref="E62:F62"/>
    <mergeCell ref="G62:H62"/>
    <mergeCell ref="I62:J62"/>
    <mergeCell ref="G63:H63"/>
    <mergeCell ref="I63:J63"/>
    <mergeCell ref="B64:D64"/>
    <mergeCell ref="E64:F64"/>
    <mergeCell ref="G64:H64"/>
    <mergeCell ref="I64:J64"/>
    <mergeCell ref="B67:D67"/>
    <mergeCell ref="E57:F57"/>
    <mergeCell ref="G57:H57"/>
    <mergeCell ref="I57:J57"/>
    <mergeCell ref="K57:L57"/>
    <mergeCell ref="E59:F59"/>
    <mergeCell ref="G59:H59"/>
    <mergeCell ref="I59:J59"/>
    <mergeCell ref="K59:L59"/>
    <mergeCell ref="E61:F61"/>
    <mergeCell ref="G61:H61"/>
    <mergeCell ref="I61:J61"/>
    <mergeCell ref="K61:L61"/>
    <mergeCell ref="B63:D63"/>
    <mergeCell ref="E63:F63"/>
    <mergeCell ref="K63:L63"/>
  </mergeCells>
  <pageMargins left="0.7" right="0.7" top="0.75" bottom="0.75" header="0.3" footer="0.3"/>
  <pageSetup paperSize="9" orientation="portrait" verticalDpi="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C7F5-6276-4CF6-8D5A-4B3B0EF8F8B3}">
  <sheetPr>
    <tabColor rgb="FF0152A1"/>
  </sheetPr>
  <dimension ref="A1:Y122"/>
  <sheetViews>
    <sheetView showGridLines="0" showZeros="0" zoomScaleNormal="100" workbookViewId="0">
      <selection activeCell="L40" sqref="L40:O40"/>
    </sheetView>
  </sheetViews>
  <sheetFormatPr defaultRowHeight="12.75" x14ac:dyDescent="0.2"/>
  <cols>
    <col min="1" max="1" width="8.28515625" customWidth="1"/>
    <col min="2" max="2" width="3.28515625" style="40" customWidth="1"/>
    <col min="3" max="3" width="28.140625" customWidth="1"/>
    <col min="4" max="4" width="10.85546875" customWidth="1"/>
    <col min="5" max="5" width="3.85546875" customWidth="1"/>
    <col min="6" max="10" width="10.28515625" customWidth="1"/>
    <col min="11" max="11" width="3.140625" customWidth="1"/>
    <col min="12" max="13" width="10.7109375" customWidth="1"/>
    <col min="14" max="14" width="10.28515625" customWidth="1"/>
    <col min="15" max="15" width="5.28515625" customWidth="1"/>
    <col min="16" max="20" width="10.7109375" customWidth="1"/>
  </cols>
  <sheetData>
    <row r="1" spans="1:20" x14ac:dyDescent="0.2">
      <c r="O1" s="345"/>
    </row>
    <row r="2" spans="1:20" ht="13.15" customHeight="1" x14ac:dyDescent="0.25">
      <c r="B2" s="2170" t="s">
        <v>803</v>
      </c>
      <c r="C2" s="2170"/>
      <c r="D2" s="2170"/>
      <c r="F2" s="49"/>
      <c r="I2" s="61"/>
      <c r="J2" s="61"/>
      <c r="L2" s="2170" t="str">
        <f>B2</f>
        <v>T4 FINANCING PLAN</v>
      </c>
      <c r="M2" s="2170"/>
      <c r="N2" s="2170"/>
      <c r="O2" s="2170"/>
    </row>
    <row r="3" spans="1:20" ht="6.75" customHeight="1" x14ac:dyDescent="0.2">
      <c r="B3" s="2170"/>
      <c r="C3" s="2170"/>
      <c r="D3" s="2170"/>
      <c r="F3" s="1071"/>
      <c r="L3" s="2170"/>
      <c r="M3" s="2170"/>
      <c r="N3" s="2170"/>
      <c r="O3" s="2170"/>
    </row>
    <row r="4" spans="1:20" ht="3.75" customHeight="1" x14ac:dyDescent="0.2">
      <c r="G4" s="82">
        <v>0</v>
      </c>
      <c r="O4" s="347"/>
    </row>
    <row r="5" spans="1:20" s="45" customFormat="1" ht="10.5" x14ac:dyDescent="0.15">
      <c r="B5" s="49" t="str">
        <f>'1. T1 INVESTMENT PLAN'!B6</f>
        <v>Company name</v>
      </c>
      <c r="C5" s="160"/>
      <c r="D5" s="160"/>
      <c r="E5" s="160"/>
      <c r="F5" s="160"/>
      <c r="G5" s="2284" t="str">
        <f>'1. T1 INVESTMENT PLAN'!F3</f>
        <v>Date</v>
      </c>
      <c r="H5" s="2284"/>
      <c r="I5" s="2284"/>
      <c r="J5" s="2284"/>
      <c r="L5" s="49" t="str">
        <f>'1. T1 INVESTMENT PLAN'!B6</f>
        <v>Company name</v>
      </c>
      <c r="M5" s="160"/>
      <c r="N5" s="160"/>
      <c r="O5" s="160"/>
      <c r="P5" s="160"/>
      <c r="Q5" s="2284" t="str">
        <f>'1. T1 INVESTMENT PLAN'!F3</f>
        <v>Date</v>
      </c>
      <c r="R5" s="2284"/>
      <c r="S5" s="2284"/>
      <c r="T5" s="2284"/>
    </row>
    <row r="6" spans="1:20" ht="15" customHeight="1" x14ac:dyDescent="0.2">
      <c r="B6" s="2285">
        <f>'7. T2 RESULT BUDGET '!B5</f>
        <v>0</v>
      </c>
      <c r="C6" s="2285"/>
      <c r="D6" s="2285"/>
      <c r="E6" s="69"/>
      <c r="F6" s="69"/>
      <c r="G6" s="571">
        <f>'1. T1 INVESTMENT PLAN'!F4</f>
        <v>0</v>
      </c>
      <c r="H6" s="1069"/>
      <c r="I6" s="1069"/>
      <c r="J6" s="1069"/>
      <c r="L6" s="2286">
        <f>B6</f>
        <v>0</v>
      </c>
      <c r="M6" s="2286"/>
      <c r="N6" s="2286"/>
      <c r="O6" s="2286"/>
      <c r="P6" s="1072"/>
      <c r="Q6" s="570">
        <f>'1. T1 INVESTMENT PLAN'!F4</f>
        <v>0</v>
      </c>
      <c r="R6" s="619"/>
      <c r="S6" s="619"/>
      <c r="T6" s="619"/>
    </row>
    <row r="7" spans="1:20" s="45" customFormat="1" ht="10.5" x14ac:dyDescent="0.15">
      <c r="B7" s="2217" t="str">
        <f>'1. T1 INVESTMENT PLAN'!B8</f>
        <v>Drawn by</v>
      </c>
      <c r="C7" s="2217"/>
      <c r="D7" s="2217"/>
      <c r="E7" s="160"/>
      <c r="F7" s="160"/>
      <c r="G7" s="160"/>
      <c r="H7" s="160"/>
      <c r="I7" s="160"/>
      <c r="J7" s="160"/>
      <c r="L7" s="1073" t="str">
        <f>'1. T1 INVESTMENT PLAN'!B8</f>
        <v>Drawn by</v>
      </c>
      <c r="M7" s="1074"/>
      <c r="N7" s="1074"/>
      <c r="O7" s="1074"/>
      <c r="P7" s="1074"/>
      <c r="Q7" s="2287"/>
      <c r="R7" s="2287"/>
      <c r="S7" s="2287"/>
      <c r="T7" s="2287"/>
    </row>
    <row r="8" spans="1:20" ht="15" customHeight="1" x14ac:dyDescent="0.2">
      <c r="A8" s="53"/>
      <c r="B8" s="2288">
        <f>'1. T1 INVESTMENT PLAN'!B9</f>
        <v>0</v>
      </c>
      <c r="C8" s="2288"/>
      <c r="D8" s="2288"/>
      <c r="E8" s="69"/>
      <c r="F8" s="69"/>
      <c r="G8" s="2289"/>
      <c r="H8" s="2289"/>
      <c r="I8" s="2289"/>
      <c r="J8" s="2289"/>
      <c r="L8" s="2286">
        <f>B8</f>
        <v>0</v>
      </c>
      <c r="M8" s="2286"/>
      <c r="N8" s="2286"/>
      <c r="O8" s="2286"/>
      <c r="P8" s="1072"/>
      <c r="Q8" s="2290"/>
      <c r="R8" s="2290"/>
      <c r="S8" s="2290"/>
      <c r="T8" s="2290"/>
    </row>
    <row r="9" spans="1:20" ht="3.75" customHeight="1" x14ac:dyDescent="0.2">
      <c r="L9" s="1748"/>
      <c r="M9" s="1748"/>
      <c r="N9" s="1748"/>
      <c r="O9" s="1748"/>
      <c r="P9" s="1748"/>
      <c r="Q9" s="1748"/>
      <c r="R9" s="1748"/>
      <c r="S9" s="1748"/>
      <c r="T9" s="1748"/>
    </row>
    <row r="10" spans="1:20" ht="12.75" customHeight="1" x14ac:dyDescent="0.2">
      <c r="A10" s="53"/>
      <c r="B10" s="1992"/>
      <c r="C10" s="1993"/>
      <c r="D10" s="1993"/>
      <c r="E10" s="1994"/>
      <c r="F10" s="1995"/>
      <c r="G10" s="1995" t="str">
        <f>'1. T1 INVESTMENT PLAN'!E15</f>
        <v>Forecast 1</v>
      </c>
      <c r="H10" s="1995" t="str">
        <f>'1. T1 INVESTMENT PLAN'!F15</f>
        <v>Forecast 2</v>
      </c>
      <c r="I10" s="1995" t="str">
        <f>'1. T1 INVESTMENT PLAN'!G15</f>
        <v>Forecast 3</v>
      </c>
      <c r="J10" s="1996" t="str">
        <f>'1. T1 INVESTMENT PLAN'!H15</f>
        <v>Forecast 4</v>
      </c>
      <c r="L10" s="2293" t="s">
        <v>660</v>
      </c>
      <c r="M10" s="2294"/>
      <c r="N10" s="2294"/>
      <c r="O10" s="2294"/>
      <c r="P10" s="2044"/>
      <c r="Q10" s="2045" t="str">
        <f t="shared" ref="Q10:S11" si="0">G10</f>
        <v>Forecast 1</v>
      </c>
      <c r="R10" s="2045" t="str">
        <f t="shared" si="0"/>
        <v>Forecast 2</v>
      </c>
      <c r="S10" s="2045" t="str">
        <f t="shared" si="0"/>
        <v>Forecast 3</v>
      </c>
      <c r="T10" s="2046" t="s">
        <v>146</v>
      </c>
    </row>
    <row r="11" spans="1:20" ht="15.75" customHeight="1" thickBot="1" x14ac:dyDescent="0.25">
      <c r="A11" s="2"/>
      <c r="B11" s="1997"/>
      <c r="C11" s="1175"/>
      <c r="D11" s="1175"/>
      <c r="E11" s="1176"/>
      <c r="F11" s="1177"/>
      <c r="G11" s="1178">
        <f>'4. E2 TURNOVER'!E8</f>
        <v>2027</v>
      </c>
      <c r="H11" s="1178">
        <f>'4. E2 TURNOVER'!F8</f>
        <v>2028</v>
      </c>
      <c r="I11" s="1178">
        <f>'4. E2 TURNOVER'!G8</f>
        <v>2029</v>
      </c>
      <c r="J11" s="1998">
        <f>'4. E2 TURNOVER'!H8</f>
        <v>2030</v>
      </c>
      <c r="L11" s="2295"/>
      <c r="M11" s="2296"/>
      <c r="N11" s="2296"/>
      <c r="O11" s="2296"/>
      <c r="P11" s="1185"/>
      <c r="Q11" s="1186">
        <f t="shared" si="0"/>
        <v>2027</v>
      </c>
      <c r="R11" s="1186">
        <f t="shared" si="0"/>
        <v>2028</v>
      </c>
      <c r="S11" s="1186">
        <f t="shared" si="0"/>
        <v>2029</v>
      </c>
      <c r="T11" s="2031">
        <f>J11</f>
        <v>2030</v>
      </c>
    </row>
    <row r="12" spans="1:20" ht="13.5" customHeight="1" thickBot="1" x14ac:dyDescent="0.25">
      <c r="A12" s="53"/>
      <c r="B12" s="1999"/>
      <c r="C12" s="1179"/>
      <c r="D12" s="1179"/>
      <c r="E12" s="1180"/>
      <c r="F12" s="1181"/>
      <c r="G12" s="1182" t="s">
        <v>926</v>
      </c>
      <c r="H12" s="1182" t="s">
        <v>926</v>
      </c>
      <c r="I12" s="1182" t="s">
        <v>926</v>
      </c>
      <c r="J12" s="1182" t="s">
        <v>926</v>
      </c>
      <c r="L12" s="2047" t="s">
        <v>661</v>
      </c>
      <c r="M12" s="1075"/>
      <c r="N12" s="1075"/>
      <c r="O12" s="1075"/>
      <c r="P12" s="1076"/>
      <c r="Q12" s="1076"/>
      <c r="R12" s="1076"/>
      <c r="S12" s="1076"/>
      <c r="T12" s="2048"/>
    </row>
    <row r="13" spans="1:20" ht="13.5" customHeight="1" x14ac:dyDescent="0.2">
      <c r="B13" s="2297" t="s">
        <v>409</v>
      </c>
      <c r="C13" s="2145"/>
      <c r="D13" s="2000"/>
      <c r="E13" s="1020"/>
      <c r="F13" s="2001"/>
      <c r="G13" s="1021" t="s">
        <v>49</v>
      </c>
      <c r="H13" s="1022"/>
      <c r="I13" s="1021"/>
      <c r="J13" s="2002"/>
      <c r="L13" s="2049" t="s">
        <v>662</v>
      </c>
      <c r="M13" s="1065"/>
      <c r="N13" s="1065"/>
      <c r="O13" s="1066"/>
      <c r="P13" s="595"/>
      <c r="Q13" s="584">
        <f>'7. T2 RESULT BUDGET '!G11</f>
        <v>0</v>
      </c>
      <c r="R13" s="584">
        <f>'7. T2 RESULT BUDGET '!I11</f>
        <v>0</v>
      </c>
      <c r="S13" s="689">
        <f>'7. T2 RESULT BUDGET '!K11</f>
        <v>0</v>
      </c>
      <c r="T13" s="2005">
        <f>'7. T2 RESULT BUDGET '!M11</f>
        <v>0</v>
      </c>
    </row>
    <row r="14" spans="1:20" ht="13.5" customHeight="1" x14ac:dyDescent="0.2">
      <c r="A14" s="53"/>
      <c r="B14" s="2297"/>
      <c r="C14" s="2145"/>
      <c r="F14" s="455"/>
      <c r="G14" s="970"/>
      <c r="H14" s="970"/>
      <c r="I14" s="970"/>
      <c r="J14" s="2003"/>
      <c r="L14" s="2050" t="s">
        <v>663</v>
      </c>
      <c r="M14" s="1067"/>
      <c r="N14" s="1067"/>
      <c r="O14" s="1068"/>
      <c r="P14" s="595"/>
      <c r="Q14" s="584">
        <f>IF('7. T2 RESULT BUDGET '!G33=0,0,Q13/'7. T2 RESULT BUDGET '!G33)</f>
        <v>0</v>
      </c>
      <c r="R14" s="584">
        <f>IF('7. T2 RESULT BUDGET '!I33=0,0,R13/'7. T2 RESULT BUDGET '!I33)</f>
        <v>0</v>
      </c>
      <c r="S14" s="689">
        <f>IF('7. T2 RESULT BUDGET '!K33=0,0,S13/'7. T2 RESULT BUDGET '!K33)</f>
        <v>0</v>
      </c>
      <c r="T14" s="2006">
        <f>IF('7. T2 RESULT BUDGET '!M33=0,0,T13/'7. T2 RESULT BUDGET '!M33)</f>
        <v>0</v>
      </c>
    </row>
    <row r="15" spans="1:20" ht="13.5" customHeight="1" x14ac:dyDescent="0.2">
      <c r="B15" s="2004" t="s">
        <v>2</v>
      </c>
      <c r="C15" s="317" t="s">
        <v>404</v>
      </c>
      <c r="D15" s="317"/>
      <c r="E15" s="318" t="s">
        <v>27</v>
      </c>
      <c r="F15" s="302"/>
      <c r="G15" s="580">
        <f>'7. T2 RESULT BUDGET '!G26+'7. T2 RESULT BUDGET '!G27-'7. T2 RESULT BUDGET '!G21</f>
        <v>0</v>
      </c>
      <c r="H15" s="580">
        <f>'7. T2 RESULT BUDGET '!I26+'7. T2 RESULT BUDGET '!I27-'7. T2 RESULT BUDGET '!I21</f>
        <v>0</v>
      </c>
      <c r="I15" s="580">
        <f>'7. T2 RESULT BUDGET '!K26+'7. T2 RESULT BUDGET '!K27-'7. T2 RESULT BUDGET '!K21</f>
        <v>0</v>
      </c>
      <c r="J15" s="2005">
        <f>'7. T2 RESULT BUDGET '!M26+'7. T2 RESULT BUDGET '!M27-'7. T2 RESULT BUDGET '!M21</f>
        <v>0</v>
      </c>
      <c r="L15" s="2050" t="s">
        <v>664</v>
      </c>
      <c r="M15" s="1067"/>
      <c r="N15" s="1067"/>
      <c r="O15" s="1068"/>
      <c r="P15" s="602"/>
      <c r="Q15" s="321">
        <f>'7. T2 RESULT BUDGET '!G33</f>
        <v>1</v>
      </c>
      <c r="R15" s="321">
        <f>'7. T2 RESULT BUDGET '!I33</f>
        <v>1</v>
      </c>
      <c r="S15" s="1077">
        <f>'7. T2 RESULT BUDGET '!K33</f>
        <v>1</v>
      </c>
      <c r="T15" s="2051">
        <f>'7. T2 RESULT BUDGET '!M33</f>
        <v>1</v>
      </c>
    </row>
    <row r="16" spans="1:20" ht="13.5" customHeight="1" x14ac:dyDescent="0.2">
      <c r="A16" s="53"/>
      <c r="B16" s="2004" t="s">
        <v>3</v>
      </c>
      <c r="C16" s="319" t="s">
        <v>405</v>
      </c>
      <c r="D16" s="319"/>
      <c r="E16" s="320" t="s">
        <v>27</v>
      </c>
      <c r="F16" s="589">
        <v>0</v>
      </c>
      <c r="G16" s="584">
        <f>'1. T1 INVESTMENT PLAN'!E48+'1. T1 INVESTMENT PLAN'!E49+'1. T1 INVESTMENT PLAN'!E52</f>
        <v>0</v>
      </c>
      <c r="H16" s="584">
        <f>'1. T1 INVESTMENT PLAN'!F48+'1. T1 INVESTMENT PLAN'!F49+'1. T1 INVESTMENT PLAN'!F52</f>
        <v>0</v>
      </c>
      <c r="I16" s="584">
        <f>'1. T1 INVESTMENT PLAN'!G48+'1. T1 INVESTMENT PLAN'!G49+'1. T1 INVESTMENT PLAN'!G52</f>
        <v>0</v>
      </c>
      <c r="J16" s="2006">
        <f>'1. T1 INVESTMENT PLAN'!H48+'1. T1 INVESTMENT PLAN'!H49+'1. T1 INVESTMENT PLAN'!H52</f>
        <v>0</v>
      </c>
      <c r="L16" s="2298" t="s">
        <v>665</v>
      </c>
      <c r="M16" s="2299"/>
      <c r="N16" s="2299"/>
      <c r="O16" s="2300"/>
      <c r="P16" s="595"/>
      <c r="Q16" s="584">
        <f>Q110</f>
        <v>0</v>
      </c>
      <c r="R16" s="584">
        <f>R110</f>
        <v>0</v>
      </c>
      <c r="S16" s="584">
        <f>S110</f>
        <v>0</v>
      </c>
      <c r="T16" s="2006">
        <f>T110</f>
        <v>0</v>
      </c>
    </row>
    <row r="17" spans="1:24" ht="13.5" customHeight="1" x14ac:dyDescent="0.2">
      <c r="A17" s="2"/>
      <c r="B17" s="2004" t="s">
        <v>4</v>
      </c>
      <c r="C17" s="2301" t="s">
        <v>406</v>
      </c>
      <c r="D17" s="2301"/>
      <c r="E17" s="320" t="s">
        <v>27</v>
      </c>
      <c r="F17" s="589"/>
      <c r="G17" s="584">
        <f>'2. T7 LOANS'!F32+'6. T3 BALANCE SHEET '!G73</f>
        <v>0</v>
      </c>
      <c r="H17" s="584">
        <f>'2. T7 LOANS'!I32+IF('6. T3 BALANCE SHEET '!H73-'6. T3 BALANCE SHEET '!G73&gt;0,'6. T3 BALANCE SHEET '!H73-'6. T3 BALANCE SHEET '!G73,0)+IF('6. T3 BALANCE SHEET '!H71-'6. T3 BALANCE SHEET '!G71&gt;0,'6. T3 BALANCE SHEET '!H71-'6. T3 BALANCE SHEET '!G71,0)</f>
        <v>0</v>
      </c>
      <c r="I17" s="584">
        <f>'2. T7 LOANS'!L32+IF('6. T3 BALANCE SHEET '!I73-'6. T3 BALANCE SHEET '!H73&gt;0,'6. T3 BALANCE SHEET '!I73-'6. T3 BALANCE SHEET '!H73,0)+IF('6. T3 BALANCE SHEET '!I71-'6. T3 BALANCE SHEET '!H71&gt;0,'6. T3 BALANCE SHEET '!I71-'6. T3 BALANCE SHEET '!H71,0)</f>
        <v>0</v>
      </c>
      <c r="J17" s="2006">
        <f>'2. T7 LOANS'!O32+IF('6. T3 BALANCE SHEET '!J73-'6. T3 BALANCE SHEET '!I73&gt;0,'6. T3 BALANCE SHEET '!J73-'6. T3 BALANCE SHEET '!I73,0)+IF('6. T3 BALANCE SHEET '!J71-'6. T3 BALANCE SHEET '!I71&gt;0,'6. T3 BALANCE SHEET '!J71-'6. T3 BALANCE SHEET '!I71,0)</f>
        <v>0</v>
      </c>
      <c r="L17" s="2052" t="s">
        <v>666</v>
      </c>
      <c r="M17" s="1748"/>
      <c r="N17" s="1748"/>
      <c r="O17" s="2302"/>
      <c r="P17" s="2302"/>
      <c r="Q17" s="2302"/>
      <c r="R17" s="2302"/>
      <c r="S17" s="1748"/>
      <c r="T17" s="2053"/>
    </row>
    <row r="18" spans="1:24" ht="13.5" customHeight="1" x14ac:dyDescent="0.2">
      <c r="B18" s="2004" t="s">
        <v>5</v>
      </c>
      <c r="C18" s="319" t="s">
        <v>632</v>
      </c>
      <c r="D18" s="319"/>
      <c r="E18" s="320" t="s">
        <v>27</v>
      </c>
      <c r="F18" s="589">
        <v>0</v>
      </c>
      <c r="G18" s="584">
        <f>'2. T7 LOANS'!F34</f>
        <v>0</v>
      </c>
      <c r="H18" s="584">
        <f>'2. T7 LOANS'!I35</f>
        <v>0</v>
      </c>
      <c r="I18" s="584">
        <f>'2. T7 LOANS'!L36</f>
        <v>0</v>
      </c>
      <c r="J18" s="2006">
        <f>'2. T7 LOANS'!O38</f>
        <v>0</v>
      </c>
      <c r="L18" s="2303" t="s">
        <v>667</v>
      </c>
      <c r="M18" s="2304"/>
      <c r="N18" s="2304"/>
      <c r="O18" s="2305"/>
      <c r="P18" s="595"/>
      <c r="Q18" s="584">
        <f>'7. T2 RESULT BUDGET '!G20</f>
        <v>0</v>
      </c>
      <c r="R18" s="584">
        <f>'7. T2 RESULT BUDGET '!I20</f>
        <v>0</v>
      </c>
      <c r="S18" s="689">
        <f>'7. T2 RESULT BUDGET '!K20</f>
        <v>0</v>
      </c>
      <c r="T18" s="2006">
        <f>'7. T2 RESULT BUDGET '!M20</f>
        <v>0</v>
      </c>
      <c r="X18">
        <v>0</v>
      </c>
    </row>
    <row r="19" spans="1:24" ht="13.5" customHeight="1" x14ac:dyDescent="0.2">
      <c r="B19" s="2004" t="s">
        <v>6</v>
      </c>
      <c r="C19" s="432" t="s">
        <v>407</v>
      </c>
      <c r="D19" s="432"/>
      <c r="E19" s="320" t="s">
        <v>27</v>
      </c>
      <c r="F19" s="589">
        <v>0</v>
      </c>
      <c r="G19" s="584">
        <f>'6. T3 BALANCE SHEET '!G77+'6. T3 BALANCE SHEET '!G78</f>
        <v>0</v>
      </c>
      <c r="H19" s="584">
        <f>IF('6. T3 BALANCE SHEET '!H77-'6. T3 BALANCE SHEET '!G77&gt;0,'6. T3 BALANCE SHEET '!H77-'6. T3 BALANCE SHEET '!G77,0)+IF('6. T3 BALANCE SHEET '!H78-'6. T3 BALANCE SHEET '!G78&gt;0,'6. T3 BALANCE SHEET '!H78-'6. T3 BALANCE SHEET '!G78,0)</f>
        <v>0</v>
      </c>
      <c r="I19" s="584">
        <f>IF('6. T3 BALANCE SHEET '!I77-'6. T3 BALANCE SHEET '!H77&gt;0,'6. T3 BALANCE SHEET '!I77-'6. T3 BALANCE SHEET '!H77,0)+IF('6. T3 BALANCE SHEET '!I78-'6. T3 BALANCE SHEET '!H78&gt;0,'6. T3 BALANCE SHEET '!I78-'6. T3 BALANCE SHEET '!H78,0)</f>
        <v>0</v>
      </c>
      <c r="J19" s="2006">
        <f>IF('6. T3 BALANCE SHEET '!J77-'6. T3 BALANCE SHEET '!I77&gt;0,'6. T3 BALANCE SHEET '!J77-'6. T3 BALANCE SHEET '!I77,0)+IF('6. T3 BALANCE SHEET '!J78-'6. T3 BALANCE SHEET '!I78&gt;0,'6. T3 BALANCE SHEET '!J78-'6. T3 BALANCE SHEET '!I78,0)</f>
        <v>0</v>
      </c>
      <c r="L19" s="2306" t="s">
        <v>668</v>
      </c>
      <c r="M19" s="2307"/>
      <c r="N19" s="2307"/>
      <c r="O19" s="2308"/>
      <c r="P19" s="601"/>
      <c r="Q19" s="830">
        <f>'7. T2 RESULT BUDGET '!H20/100</f>
        <v>0</v>
      </c>
      <c r="R19" s="830">
        <f>'7. T2 RESULT BUDGET '!J20/100</f>
        <v>0</v>
      </c>
      <c r="S19" s="1078">
        <f>'7. T2 RESULT BUDGET '!L20/100</f>
        <v>0</v>
      </c>
      <c r="T19" s="2054">
        <f>'7. T2 RESULT BUDGET '!N20/100</f>
        <v>0</v>
      </c>
    </row>
    <row r="20" spans="1:24" ht="24" customHeight="1" x14ac:dyDescent="0.2">
      <c r="B20" s="2004" t="s">
        <v>7</v>
      </c>
      <c r="C20" s="2309" t="s">
        <v>874</v>
      </c>
      <c r="D20" s="2309"/>
      <c r="E20" s="320" t="s">
        <v>27</v>
      </c>
      <c r="F20" s="590"/>
      <c r="G20" s="584">
        <f>'AT1 Avustus, alv'!E50+'1. T1 INVESTMENT PLAN'!E51+'6. T3 BALANCE SHEET '!G36+'6. T3 BALANCE SHEET '!G16+'6. T3 BALANCE SHEET '!G21+'6. T3 BALANCE SHEET '!G24+'6. T3 BALANCE SHEET '!G28+'6. T3 BALANCE SHEET '!G32</f>
        <v>0</v>
      </c>
      <c r="H20" s="584">
        <f>'AT1 Avustus, alv'!F50+'1. T1 INVESTMENT PLAN'!F51+'6. T3 BALANCE SHEET '!H36+'6. T3 BALANCE SHEET '!H16+'6. T3 BALANCE SHEET '!H21+'6. T3 BALANCE SHEET '!H24+'6. T3 BALANCE SHEET '!H28+'6. T3 BALANCE SHEET '!H32</f>
        <v>0</v>
      </c>
      <c r="I20" s="584">
        <f>'AT1 Avustus, alv'!G50+'1. T1 INVESTMENT PLAN'!G51+'6. T3 BALANCE SHEET '!I36+'6. T3 BALANCE SHEET '!I16+'6. T3 BALANCE SHEET '!I21+'6. T3 BALANCE SHEET '!I24+'6. T3 BALANCE SHEET '!I28+'6. T3 BALANCE SHEET '!I32</f>
        <v>0</v>
      </c>
      <c r="J20" s="2006">
        <f>'AT1 Avustus, alv'!H50+'1. T1 INVESTMENT PLAN'!H51+'6. T3 BALANCE SHEET '!J36+'6. T3 BALANCE SHEET '!J16+'6. T3 BALANCE SHEET '!J21+'6. T3 BALANCE SHEET '!J24+'6. T3 BALANCE SHEET '!J28+'6. T3 BALANCE SHEET '!J32</f>
        <v>0</v>
      </c>
      <c r="L20" s="2055" t="s">
        <v>669</v>
      </c>
      <c r="P20" s="601"/>
      <c r="Q20" s="584">
        <f>'7. T2 RESULT BUDGET '!G22</f>
        <v>0</v>
      </c>
      <c r="R20" s="584">
        <f>'7. T2 RESULT BUDGET '!I22</f>
        <v>0</v>
      </c>
      <c r="S20" s="689">
        <f>'7. T2 RESULT BUDGET '!K22</f>
        <v>0</v>
      </c>
      <c r="T20" s="2006">
        <f>'7. T2 RESULT BUDGET '!M22</f>
        <v>0</v>
      </c>
      <c r="X20">
        <v>0</v>
      </c>
    </row>
    <row r="21" spans="1:24" ht="13.5" customHeight="1" x14ac:dyDescent="0.2">
      <c r="B21" s="2007" t="s">
        <v>8</v>
      </c>
      <c r="C21" s="2008" t="s">
        <v>408</v>
      </c>
      <c r="D21" s="2008"/>
      <c r="E21" s="2009"/>
      <c r="F21" s="2010"/>
      <c r="G21" s="2011">
        <f>SUM(G15:G20)</f>
        <v>0</v>
      </c>
      <c r="H21" s="2011">
        <f>SUM(H15:H20)</f>
        <v>0</v>
      </c>
      <c r="I21" s="2011">
        <f>SUM(I15:I20)</f>
        <v>0</v>
      </c>
      <c r="J21" s="2012">
        <f>SUM(J15:J20)</f>
        <v>0</v>
      </c>
      <c r="L21" s="2306" t="s">
        <v>670</v>
      </c>
      <c r="M21" s="2307"/>
      <c r="N21" s="2307"/>
      <c r="O21" s="2308"/>
      <c r="P21" s="601"/>
      <c r="Q21" s="830">
        <f>'7. T2 RESULT BUDGET '!H22/100</f>
        <v>0</v>
      </c>
      <c r="R21" s="830">
        <f>'7. T2 RESULT BUDGET '!J22/100</f>
        <v>0</v>
      </c>
      <c r="S21" s="1078">
        <f>'7. T2 RESULT BUDGET '!L22/100</f>
        <v>0</v>
      </c>
      <c r="T21" s="2054">
        <f>'7. T2 RESULT BUDGET '!N22/100</f>
        <v>0</v>
      </c>
    </row>
    <row r="22" spans="1:24" ht="13.5" customHeight="1" x14ac:dyDescent="0.2">
      <c r="B22" s="225"/>
      <c r="C22" s="69"/>
      <c r="D22" s="69"/>
      <c r="E22" s="483"/>
      <c r="F22" s="484"/>
      <c r="G22" s="971"/>
      <c r="H22" s="971"/>
      <c r="I22" s="971"/>
      <c r="J22" s="971"/>
      <c r="L22" s="2056"/>
      <c r="M22" s="2082" t="s">
        <v>674</v>
      </c>
      <c r="N22" s="829"/>
      <c r="P22" s="601"/>
      <c r="Q22" s="1019">
        <f>IF(Q21=0,0,IF(Q21&gt;10%,"Good",IF(Q21&lt;5%,"Weak","Satisfactory")))</f>
        <v>0</v>
      </c>
      <c r="R22" s="1019">
        <f>IF(R21=0,0,IF(R21&gt;10%,"Good",IF(R21&lt;5%,"Weak","Satisfactory")))</f>
        <v>0</v>
      </c>
      <c r="S22" s="1019">
        <f>IF(S21=0,0,IF(S21&gt;10%,"Good",IF(S21&lt;5%,"Weak","Satisfactory")))</f>
        <v>0</v>
      </c>
      <c r="T22" s="1019">
        <f>IF(T21=0,0,IF(T21&gt;10%,"Good",IF(T21&lt;5%,"Weak","Satisfactory")))</f>
        <v>0</v>
      </c>
    </row>
    <row r="23" spans="1:24" ht="13.5" customHeight="1" x14ac:dyDescent="0.2">
      <c r="B23" s="2013" t="s">
        <v>410</v>
      </c>
      <c r="C23" s="2014"/>
      <c r="D23" s="2014"/>
      <c r="E23" s="2015"/>
      <c r="F23" s="2016"/>
      <c r="G23" s="2017"/>
      <c r="H23" s="2017"/>
      <c r="I23" s="2017"/>
      <c r="J23" s="2018"/>
      <c r="L23" s="2050" t="s">
        <v>671</v>
      </c>
      <c r="M23" s="1067"/>
      <c r="N23" s="1067"/>
      <c r="O23" s="1068"/>
      <c r="P23" s="595"/>
      <c r="Q23" s="584">
        <f>'7. T2 RESULT BUDGET '!G31</f>
        <v>0</v>
      </c>
      <c r="R23" s="584">
        <f>'7. T2 RESULT BUDGET '!I31</f>
        <v>0</v>
      </c>
      <c r="S23" s="689">
        <f>'7. T2 RESULT BUDGET '!K31</f>
        <v>0</v>
      </c>
      <c r="T23" s="2006">
        <f>'7. T2 RESULT BUDGET '!M31</f>
        <v>0</v>
      </c>
    </row>
    <row r="24" spans="1:24" ht="13.5" customHeight="1" x14ac:dyDescent="0.2">
      <c r="B24" s="2004" t="s">
        <v>9</v>
      </c>
      <c r="C24" s="164" t="s">
        <v>633</v>
      </c>
      <c r="D24" s="164"/>
      <c r="E24" s="323" t="s">
        <v>27</v>
      </c>
      <c r="F24" s="590"/>
      <c r="G24" s="584">
        <f>'AT1 Avustus, alv'!E4</f>
        <v>0</v>
      </c>
      <c r="H24" s="584">
        <f>'AT1 Avustus, alv'!F4</f>
        <v>0</v>
      </c>
      <c r="I24" s="584">
        <f>'AT1 Avustus, alv'!G4</f>
        <v>0</v>
      </c>
      <c r="J24" s="2006">
        <f>'AT1 Avustus, alv'!H4</f>
        <v>0</v>
      </c>
      <c r="L24" s="2050" t="s">
        <v>672</v>
      </c>
      <c r="M24" s="1067"/>
      <c r="N24" s="1067"/>
      <c r="O24" s="1068"/>
      <c r="P24" s="597"/>
      <c r="Q24" s="830">
        <f>'7. T2 RESULT BUDGET '!H31/100</f>
        <v>0</v>
      </c>
      <c r="R24" s="830">
        <f>'7. T2 RESULT BUDGET '!J31/100</f>
        <v>0</v>
      </c>
      <c r="S24" s="1078">
        <f>'7. T2 RESULT BUDGET '!L31/100</f>
        <v>0</v>
      </c>
      <c r="T24" s="2054">
        <f>'7. T2 RESULT BUDGET '!N31/100</f>
        <v>0</v>
      </c>
    </row>
    <row r="25" spans="1:24" ht="13.5" customHeight="1" x14ac:dyDescent="0.2">
      <c r="B25" s="2004" t="s">
        <v>10</v>
      </c>
      <c r="C25" s="452" t="s">
        <v>634</v>
      </c>
      <c r="D25" s="452"/>
      <c r="E25" s="457" t="s">
        <v>27</v>
      </c>
      <c r="F25" s="590"/>
      <c r="G25" s="584">
        <f>'AT1 Avustus, alv'!E10+'AT1 Avustus, alv'!E15</f>
        <v>0</v>
      </c>
      <c r="H25" s="584">
        <f>'AT1 Avustus, alv'!F10+'AT1 Avustus, alv'!F15</f>
        <v>0</v>
      </c>
      <c r="I25" s="584">
        <f>'AT1 Avustus, alv'!G10+'AT1 Avustus, alv'!G15</f>
        <v>0</v>
      </c>
      <c r="J25" s="2006">
        <f>'AT1 Avustus, alv'!H10+'AT1 Avustus, alv'!H15</f>
        <v>0</v>
      </c>
      <c r="L25" s="2306" t="s">
        <v>688</v>
      </c>
      <c r="M25" s="2307"/>
      <c r="N25" s="2307"/>
      <c r="O25" s="2308"/>
      <c r="P25" s="597"/>
      <c r="Q25" s="830">
        <f>IF(Q16=0,0,(Q102-'7. T2 RESULT BUDGET '!G25-'7. T2 RESULT BUDGET '!G27)/'5. T4 FINANCING PLAN'!Q110)</f>
        <v>0</v>
      </c>
      <c r="R25" s="830">
        <f>IF(R16=0,0,(R102-'7. T2 RESULT BUDGET '!I25-'7. T2 RESULT BUDGET '!I27)/'5. T4 FINANCING PLAN'!R110)</f>
        <v>0</v>
      </c>
      <c r="S25" s="1078">
        <f>IF(S16=0,0,(S102-'7. T2 RESULT BUDGET '!K25-'7. T2 RESULT BUDGET '!K27)/'5. T4 FINANCING PLAN'!S110)</f>
        <v>0</v>
      </c>
      <c r="T25" s="2054">
        <f>IF(T16=0,0,(T102-'7. T2 RESULT BUDGET '!M25-'7. T2 RESULT BUDGET '!M27)/'5. T4 FINANCING PLAN'!T110)</f>
        <v>0</v>
      </c>
    </row>
    <row r="26" spans="1:24" ht="13.5" customHeight="1" x14ac:dyDescent="0.2">
      <c r="B26" s="2004" t="s">
        <v>11</v>
      </c>
      <c r="C26" s="452" t="s">
        <v>635</v>
      </c>
      <c r="D26" s="452"/>
      <c r="E26" s="457" t="s">
        <v>27</v>
      </c>
      <c r="F26" s="590"/>
      <c r="G26" s="584">
        <f>'AT1 Avustus, alv'!E23+'AT1 Avustus, alv'!E30</f>
        <v>0</v>
      </c>
      <c r="H26" s="584">
        <f>'AT1 Avustus, alv'!F23+'AT1 Avustus, alv'!F30</f>
        <v>0</v>
      </c>
      <c r="I26" s="584">
        <f>'AT1 Avustus, alv'!G23+'AT1 Avustus, alv'!G30</f>
        <v>0</v>
      </c>
      <c r="J26" s="2006">
        <f>'AT1 Avustus, alv'!H23+'AT1 Avustus, alv'!H30</f>
        <v>0</v>
      </c>
      <c r="L26" s="2052" t="s">
        <v>673</v>
      </c>
      <c r="M26" s="1748"/>
      <c r="N26" s="2057"/>
      <c r="O26" s="2057"/>
      <c r="P26" s="2057"/>
      <c r="Q26" s="2058"/>
      <c r="R26" s="2058"/>
      <c r="S26" s="2058"/>
      <c r="T26" s="2059"/>
    </row>
    <row r="27" spans="1:24" ht="13.5" customHeight="1" x14ac:dyDescent="0.2">
      <c r="B27" s="2004" t="s">
        <v>74</v>
      </c>
      <c r="C27" s="452" t="s">
        <v>390</v>
      </c>
      <c r="D27" s="452"/>
      <c r="E27" s="457" t="s">
        <v>27</v>
      </c>
      <c r="F27" s="590"/>
      <c r="G27" s="584">
        <f>'AT1 Avustus, alv'!E36+'AT1 Avustus, alv'!E43</f>
        <v>0</v>
      </c>
      <c r="H27" s="584">
        <f>'AT1 Avustus, alv'!F36+'AT1 Avustus, alv'!F43</f>
        <v>0</v>
      </c>
      <c r="I27" s="584">
        <f>'AT1 Avustus, alv'!G36+'AT1 Avustus, alv'!G43</f>
        <v>0</v>
      </c>
      <c r="J27" s="2006">
        <f>'AT1 Avustus, alv'!H36+'AT1 Avustus, alv'!H43</f>
        <v>0</v>
      </c>
      <c r="L27" s="2303" t="s">
        <v>167</v>
      </c>
      <c r="M27" s="2304"/>
      <c r="N27" s="2304"/>
      <c r="O27" s="2305"/>
      <c r="P27" s="599"/>
      <c r="Q27" s="973">
        <f>IF('6. T3 BALANCE SHEET '!G74=0,0,('6. T3 BALANCE SHEET '!G48+'6. T3 BALANCE SHEET '!G49)/'6. T3 BALANCE SHEET '!G74)</f>
        <v>0</v>
      </c>
      <c r="R27" s="973">
        <f>IF('6. T3 BALANCE SHEET '!H74=0,0,('6. T3 BALANCE SHEET '!H48+'6. T3 BALANCE SHEET '!H49)/'6. T3 BALANCE SHEET '!H74)</f>
        <v>0</v>
      </c>
      <c r="S27" s="973">
        <f>IF('6. T3 BALANCE SHEET '!I74=0,0,('6. T3 BALANCE SHEET '!I48+'6. T3 BALANCE SHEET '!I49)/'6. T3 BALANCE SHEET '!I74)</f>
        <v>0</v>
      </c>
      <c r="T27" s="2060">
        <f>IF('6. T3 BALANCE SHEET '!J74=0,0,('6. T3 BALANCE SHEET '!J48+'6. T3 BALANCE SHEET '!J49)/'6. T3 BALANCE SHEET '!J74)</f>
        <v>0</v>
      </c>
    </row>
    <row r="28" spans="1:24" ht="13.5" customHeight="1" x14ac:dyDescent="0.2">
      <c r="B28" s="2004" t="s">
        <v>75</v>
      </c>
      <c r="C28" s="452" t="s">
        <v>636</v>
      </c>
      <c r="D28" s="452"/>
      <c r="E28" s="458" t="s">
        <v>41</v>
      </c>
      <c r="F28" s="590"/>
      <c r="G28" s="584">
        <f>G59</f>
        <v>0</v>
      </c>
      <c r="H28" s="584">
        <f>H60</f>
        <v>0</v>
      </c>
      <c r="I28" s="584">
        <f>I60</f>
        <v>0</v>
      </c>
      <c r="J28" s="2006">
        <f>J60</f>
        <v>0</v>
      </c>
      <c r="L28" s="2083"/>
      <c r="M28" s="2084" t="s">
        <v>674</v>
      </c>
      <c r="N28" s="764"/>
      <c r="O28" s="765"/>
      <c r="P28" s="598"/>
      <c r="Q28" s="1019">
        <f>IF('6. T3 BALANCE SHEET '!G74=0,0,IF(Q27&gt;1,"Good",IF(Q27&lt;0.5,"Weak","Satisfactory")))</f>
        <v>0</v>
      </c>
      <c r="R28" s="1019">
        <f>IF('6. T3 BALANCE SHEET '!H74=0,0,IF(R27&gt;1,"Good",IF(R27&lt;0.5,"Weak","Satisfactory")))</f>
        <v>0</v>
      </c>
      <c r="S28" s="1019">
        <f>IF('6. T3 BALANCE SHEET '!I74=0,0,IF(S27&gt;1,"Good",IF(S27&lt;0.5,"Weak","Satisfactory")))</f>
        <v>0</v>
      </c>
      <c r="T28" s="1019">
        <f>IF('6. T3 BALANCE SHEET '!J74=0,0,IF(T27&gt;1,"Good",IF(T27&lt;0.5,"Weak","Satisfactory")))</f>
        <v>0</v>
      </c>
      <c r="V28" s="1027"/>
    </row>
    <row r="29" spans="1:24" ht="13.5" customHeight="1" x14ac:dyDescent="0.2">
      <c r="B29" s="2004" t="s">
        <v>236</v>
      </c>
      <c r="C29" s="452" t="s">
        <v>637</v>
      </c>
      <c r="D29" s="452"/>
      <c r="E29" s="457" t="s">
        <v>27</v>
      </c>
      <c r="F29" s="589"/>
      <c r="G29" s="584">
        <f>'6. T3 BALANCE SHEET '!G48</f>
        <v>0</v>
      </c>
      <c r="H29" s="584">
        <f>'6. T3 BALANCE SHEET '!H48-'6. T3 BALANCE SHEET '!G48</f>
        <v>0</v>
      </c>
      <c r="I29" s="584">
        <f>'6. T3 BALANCE SHEET '!I48-'6. T3 BALANCE SHEET '!H48</f>
        <v>0</v>
      </c>
      <c r="J29" s="2006">
        <f>'6. T3 BALANCE SHEET '!J48-'6. T3 BALANCE SHEET '!I48</f>
        <v>0</v>
      </c>
      <c r="L29" s="2306" t="s">
        <v>168</v>
      </c>
      <c r="M29" s="2307"/>
      <c r="N29" s="2307"/>
      <c r="O29" s="2308"/>
      <c r="P29" s="600"/>
      <c r="Q29" s="973">
        <f>IF('6. T3 BALANCE SHEET '!G74=0,0,('6. T3 BALANCE SHEET '!G39+'6. T3 BALANCE SHEET '!G49+'6. T3 BALANCE SHEET '!G48)/'6. T3 BALANCE SHEET '!G74)</f>
        <v>0</v>
      </c>
      <c r="R29" s="973">
        <f>IF('6. T3 BALANCE SHEET '!H74=0,0,('6. T3 BALANCE SHEET '!H39+'6. T3 BALANCE SHEET '!H49+'6. T3 BALANCE SHEET '!H48)/'6. T3 BALANCE SHEET '!H74)</f>
        <v>0</v>
      </c>
      <c r="S29" s="973">
        <f>IF('6. T3 BALANCE SHEET '!I74=0,0,('6. T3 BALANCE SHEET '!I39+'6. T3 BALANCE SHEET '!I49+'6. T3 BALANCE SHEET '!I48)/'6. T3 BALANCE SHEET '!I74)</f>
        <v>0</v>
      </c>
      <c r="T29" s="2060">
        <f>IF('6. T3 BALANCE SHEET '!J74=0,0,('6. T3 BALANCE SHEET '!J39+'6. T3 BALANCE SHEET '!J49+'6. T3 BALANCE SHEET '!J48)/'6. T3 BALANCE SHEET '!J74)</f>
        <v>0</v>
      </c>
    </row>
    <row r="30" spans="1:24" ht="13.5" customHeight="1" x14ac:dyDescent="0.2">
      <c r="B30" s="2004" t="s">
        <v>76</v>
      </c>
      <c r="C30" s="452" t="s">
        <v>638</v>
      </c>
      <c r="D30" s="452"/>
      <c r="E30" s="457" t="s">
        <v>27</v>
      </c>
      <c r="F30" s="589"/>
      <c r="G30" s="584">
        <f>'2. T7 LOANS'!G32</f>
        <v>0</v>
      </c>
      <c r="H30" s="584">
        <f>'2. T7 LOANS'!J32</f>
        <v>0</v>
      </c>
      <c r="I30" s="584">
        <f>'2. T7 LOANS'!M32</f>
        <v>0</v>
      </c>
      <c r="J30" s="2006">
        <f>'2. T7 LOANS'!P32</f>
        <v>0</v>
      </c>
      <c r="L30" s="2061"/>
      <c r="M30" s="2084" t="s">
        <v>674</v>
      </c>
      <c r="N30" s="764"/>
      <c r="O30" s="765"/>
      <c r="P30" s="598"/>
      <c r="Q30" s="1019">
        <f>IF('6. T3 BALANCE SHEET '!G74=0,0,IF(Q29&gt;2,"Good",IF(Q29&lt;1,"Weak","Satisfactory")))</f>
        <v>0</v>
      </c>
      <c r="R30" s="1019">
        <f>IF('6. T3 BALANCE SHEET '!H74=0,0,IF(R29&gt;2,"Good",IF(R29&lt;1,"Weak","Satisfactory")))</f>
        <v>0</v>
      </c>
      <c r="S30" s="1019">
        <f>IF('6. T3 BALANCE SHEET '!I74=0,0,IF(S29&gt;2,"Good",IF(S29&lt;1,"Weak","Satisfactory")))</f>
        <v>0</v>
      </c>
      <c r="T30" s="1019">
        <f>IF('6. T3 BALANCE SHEET '!J74=0,0,IF(T29&gt;2,"Good",IF(T29&lt;1,"Weak","Satisfactory")))</f>
        <v>0</v>
      </c>
    </row>
    <row r="31" spans="1:24" ht="13.5" customHeight="1" x14ac:dyDescent="0.2">
      <c r="B31" s="2004" t="s">
        <v>77</v>
      </c>
      <c r="C31" s="452" t="s">
        <v>639</v>
      </c>
      <c r="D31" s="452"/>
      <c r="E31" s="457" t="s">
        <v>27</v>
      </c>
      <c r="F31" s="589"/>
      <c r="G31" s="1341">
        <v>0</v>
      </c>
      <c r="H31" s="584">
        <f>-IF('6. T3 BALANCE SHEET '!H61-'6. T3 BALANCE SHEET '!G61&lt;0,'6. T3 BALANCE SHEET '!H61-'6. T3 BALANCE SHEET '!G61,0)</f>
        <v>0</v>
      </c>
      <c r="I31" s="584">
        <f>-IF('6. T3 BALANCE SHEET '!I61-'6. T3 BALANCE SHEET '!H61&lt;0,'6. T3 BALANCE SHEET '!I61-'6. T3 BALANCE SHEET '!H61,0)</f>
        <v>0</v>
      </c>
      <c r="J31" s="2006">
        <f>-IF('6. T3 BALANCE SHEET '!J61-'6. T3 BALANCE SHEET '!I61&lt;0,'6. T3 BALANCE SHEET '!J61-'6. T3 BALANCE SHEET '!I61,0)</f>
        <v>0</v>
      </c>
      <c r="L31" s="2306" t="s">
        <v>675</v>
      </c>
      <c r="M31" s="2307"/>
      <c r="N31" s="2307"/>
      <c r="O31" s="2308"/>
      <c r="P31" s="599"/>
      <c r="Q31" s="973">
        <f>IF(G15=0,0,('AT2 Lainat, alv'!O24)/'5. T4 FINANCING PLAN'!G15)</f>
        <v>0</v>
      </c>
      <c r="R31" s="973">
        <f>IF(H15=0,0,('AT2 Lainat, alv'!U24)/'5. T4 FINANCING PLAN'!H15)</f>
        <v>0</v>
      </c>
      <c r="S31" s="1079">
        <f>IF(I15=0,0,('AT2 Lainat, alv'!AA24)/'5. T4 FINANCING PLAN'!I15)</f>
        <v>0</v>
      </c>
      <c r="T31" s="2060">
        <f>IF(J15=0,0,('AT2 Lainat, alv'!AG24)/'5. T4 FINANCING PLAN'!J15)</f>
        <v>0</v>
      </c>
    </row>
    <row r="32" spans="1:24" ht="13.5" customHeight="1" x14ac:dyDescent="0.2">
      <c r="B32" s="2004" t="s">
        <v>78</v>
      </c>
      <c r="C32" s="452" t="s">
        <v>640</v>
      </c>
      <c r="D32" s="452"/>
      <c r="E32" s="457" t="s">
        <v>27</v>
      </c>
      <c r="F32" s="589"/>
      <c r="G32" s="1341"/>
      <c r="H32" s="584">
        <f>-IF('6. T3 BALANCE SHEET '!H69-'6. T3 BALANCE SHEET '!G69&lt;0,'6. T3 BALANCE SHEET '!H69-'6. T3 BALANCE SHEET '!G69,0)</f>
        <v>0</v>
      </c>
      <c r="I32" s="584">
        <f>-IF('6. T3 BALANCE SHEET '!I69-'6. T3 BALANCE SHEET '!H69&lt;0,'6. T3 BALANCE SHEET '!I69-'6. T3 BALANCE SHEET '!H69,0)</f>
        <v>0</v>
      </c>
      <c r="J32" s="2006">
        <f>-IF('6. T3 BALANCE SHEET '!J69-'6. T3 BALANCE SHEET '!I69&lt;0,'6. T3 BALANCE SHEET '!J69-'6. T3 BALANCE SHEET '!I69,0)</f>
        <v>0</v>
      </c>
      <c r="L32" s="2306" t="s">
        <v>455</v>
      </c>
      <c r="M32" s="2307"/>
      <c r="N32" s="2307"/>
      <c r="O32" s="2308"/>
      <c r="P32" s="600"/>
      <c r="Q32" s="973">
        <f>IF(-'7. T2 RESULT BUDGET '!G25+'2. T7 LOANS'!G48=0,0,(G15-'7. T2 RESULT BUDGET '!G25)/(-'7. T2 RESULT BUDGET '!G25+'2. T7 LOANS'!G32))</f>
        <v>0</v>
      </c>
      <c r="R32" s="973">
        <f>IF(-'7. T2 RESULT BUDGET '!I25+'2. T7 LOANS'!J32=0,0,(H15-'7. T2 RESULT BUDGET '!I25)/(-'7. T2 RESULT BUDGET '!I25+'2. T7 LOANS'!J32))</f>
        <v>0</v>
      </c>
      <c r="S32" s="1079">
        <f>IF(-'7. T2 RESULT BUDGET '!K25+'2. T7 LOANS'!M32=0,0,(I15-'7. T2 RESULT BUDGET '!K25)/(-'7. T2 RESULT BUDGET '!K25+'2. T7 LOANS'!M32))</f>
        <v>0</v>
      </c>
      <c r="T32" s="2060">
        <f>IF(-'7. T2 RESULT BUDGET '!M25+'2. T7 LOANS'!P32=0,0,(J15-'7. T2 RESULT BUDGET '!M25)/(-'7. T2 RESULT BUDGET '!M25+'2. T7 LOANS'!P32))</f>
        <v>0</v>
      </c>
    </row>
    <row r="33" spans="2:25" ht="13.5" customHeight="1" x14ac:dyDescent="0.2">
      <c r="B33" s="2004" t="s">
        <v>79</v>
      </c>
      <c r="C33" s="452" t="s">
        <v>641</v>
      </c>
      <c r="D33" s="452"/>
      <c r="E33" s="457" t="s">
        <v>27</v>
      </c>
      <c r="F33" s="589"/>
      <c r="G33" s="1341"/>
      <c r="H33" s="584">
        <f>-IF('6. T3 BALANCE SHEET '!H71-'6. T3 BALANCE SHEET '!G71&lt;0,'6. T3 BALANCE SHEET '!H71-'6. T3 BALANCE SHEET '!G71,0)</f>
        <v>0</v>
      </c>
      <c r="I33" s="584">
        <f>-IF('6. T3 BALANCE SHEET '!I71-'6. T3 BALANCE SHEET '!H71&lt;0,'6. T3 BALANCE SHEET '!I71-'6. T3 BALANCE SHEET '!H71,0)</f>
        <v>0</v>
      </c>
      <c r="J33" s="2006">
        <f>-IF('6. T3 BALANCE SHEET '!J71-'6. T3 BALANCE SHEET '!I71&lt;0,'6. T3 BALANCE SHEET '!J71-'6. T3 BALANCE SHEET '!I71,0)</f>
        <v>0</v>
      </c>
      <c r="L33" s="2061"/>
      <c r="M33" s="2084" t="s">
        <v>674</v>
      </c>
      <c r="N33" s="764"/>
      <c r="O33" s="765"/>
      <c r="P33" s="598"/>
      <c r="Q33" s="1019">
        <f>IF('7. T2 RESULT BUDGET '!G25+'2. T7 LOANS'!G32=0,0,IF(Q32&gt;2,"Good",IF(Q32&lt;1,"Weak","Satisfactory")))</f>
        <v>0</v>
      </c>
      <c r="R33" s="1019">
        <f>IF('7. T2 RESULT BUDGET '!H25+'2. T7 LOANS'!H32=0,0,IF(R32&gt;2,"Good",IF(R32&lt;1,"Weak","Satisfactory")))</f>
        <v>0</v>
      </c>
      <c r="S33" s="1019">
        <f>IF('7. T2 RESULT BUDGET '!I25+'2. T7 LOANS'!I32=0,0,IF(S32&gt;2,"Good",IF(S32&lt;1,"Weak","Satisfactory")))</f>
        <v>0</v>
      </c>
      <c r="T33" s="1019">
        <f>IF('7. T2 RESULT BUDGET '!J25+'2. T7 LOANS'!J32=0,0,IF(T32&gt;2,"Good",IF(T32&lt;1,"Weak","Satisfactory")))</f>
        <v>0</v>
      </c>
    </row>
    <row r="34" spans="2:25" ht="12.75" customHeight="1" x14ac:dyDescent="0.2">
      <c r="B34" s="2004" t="s">
        <v>80</v>
      </c>
      <c r="C34" s="2310" t="s">
        <v>642</v>
      </c>
      <c r="D34" s="2310"/>
      <c r="E34" s="205" t="s">
        <v>27</v>
      </c>
      <c r="F34" s="590"/>
      <c r="G34" s="1341">
        <v>0</v>
      </c>
      <c r="H34" s="584">
        <f>-IF('6. T3 BALANCE SHEET '!H73-'6. T3 BALANCE SHEET '!G73&lt;0,'6. T3 BALANCE SHEET '!H73-'6. T3 BALANCE SHEET '!G73,0)</f>
        <v>0</v>
      </c>
      <c r="I34" s="584">
        <f>-IF('6. T3 BALANCE SHEET '!I73-'6. T3 BALANCE SHEET '!H73&lt;0,'6. T3 BALANCE SHEET '!I73-'6. T3 BALANCE SHEET '!H73,0)</f>
        <v>0</v>
      </c>
      <c r="J34" s="2006">
        <f>-IF('6. T3 BALANCE SHEET '!J73-'6. T3 BALANCE SHEET '!I73&lt;0,'6. T3 BALANCE SHEET '!J73-'6. T3 BALANCE SHEET '!I73,0)</f>
        <v>0</v>
      </c>
      <c r="L34" s="2052" t="s">
        <v>676</v>
      </c>
      <c r="M34" s="1748"/>
      <c r="N34" s="1748"/>
      <c r="O34" s="1748"/>
      <c r="P34" s="1748"/>
      <c r="Q34" s="2058"/>
      <c r="R34" s="2058"/>
      <c r="S34" s="2058"/>
      <c r="T34" s="2062"/>
    </row>
    <row r="35" spans="2:25" ht="13.5" customHeight="1" x14ac:dyDescent="0.2">
      <c r="B35" s="2004" t="s">
        <v>81</v>
      </c>
      <c r="C35" s="452" t="s">
        <v>802</v>
      </c>
      <c r="D35" s="452"/>
      <c r="E35" s="458" t="s">
        <v>41</v>
      </c>
      <c r="F35" s="590"/>
      <c r="G35" s="351">
        <v>0</v>
      </c>
      <c r="H35" s="351">
        <v>0</v>
      </c>
      <c r="I35" s="351">
        <v>0</v>
      </c>
      <c r="J35" s="2019">
        <v>0</v>
      </c>
      <c r="L35" s="2303" t="s">
        <v>456</v>
      </c>
      <c r="M35" s="2304"/>
      <c r="N35" s="2304"/>
      <c r="O35" s="2305"/>
      <c r="P35" s="597"/>
      <c r="Q35" s="830">
        <f>IF('6. T3 BALANCE SHEET '!G98=0,0,IF('6. T3 BALANCE SHEET '!G98&lt;0,0,'6. T3 BALANCE SHEET '!G56/('6. T3 BALANCE SHEET '!G98-'6. T3 BALANCE SHEET '!G94)))</f>
        <v>0</v>
      </c>
      <c r="R35" s="830">
        <f>IF('6. T3 BALANCE SHEET '!H98=0,0,IF('6. T3 BALANCE SHEET '!H98&lt;0,0,'6. T3 BALANCE SHEET '!H56/('6. T3 BALANCE SHEET '!H98-'6. T3 BALANCE SHEET '!H94)))</f>
        <v>0</v>
      </c>
      <c r="S35" s="1078">
        <f>IF('6. T3 BALANCE SHEET '!I98=0,0,IF('6. T3 BALANCE SHEET '!I98&lt;0,0,'6. T3 BALANCE SHEET '!I56/('6. T3 BALANCE SHEET '!I98-'6. T3 BALANCE SHEET '!I94)))</f>
        <v>0</v>
      </c>
      <c r="T35" s="2054">
        <f>IF('6. T3 BALANCE SHEET '!J98=0,0,IF('6. T3 BALANCE SHEET '!J98&lt;0,0,'6. T3 BALANCE SHEET '!J56/('6. T3 BALANCE SHEET '!J98-'6. T3 BALANCE SHEET '!J94)))</f>
        <v>0</v>
      </c>
    </row>
    <row r="36" spans="2:25" ht="13.5" customHeight="1" x14ac:dyDescent="0.2">
      <c r="B36" s="2004" t="s">
        <v>30</v>
      </c>
      <c r="C36" s="452" t="s">
        <v>643</v>
      </c>
      <c r="D36" s="452"/>
      <c r="E36" s="457" t="s">
        <v>27</v>
      </c>
      <c r="F36" s="590"/>
      <c r="G36" s="584">
        <f>'2. T7 LOANS'!G38</f>
        <v>0</v>
      </c>
      <c r="H36" s="584">
        <f>'2. T7 LOANS'!J38</f>
        <v>0</v>
      </c>
      <c r="I36" s="584">
        <f>'2. T7 LOANS'!M38</f>
        <v>0</v>
      </c>
      <c r="J36" s="2006">
        <f>'2. T7 LOANS'!P38</f>
        <v>0</v>
      </c>
      <c r="L36" s="2061"/>
      <c r="M36" s="2084" t="s">
        <v>674</v>
      </c>
      <c r="N36" s="764"/>
      <c r="O36" s="765"/>
      <c r="P36" s="598"/>
      <c r="Q36" s="1019">
        <f>IF(Q35=0,0,IF(Q35&gt;40%,"Good",IF(Q35&lt;20%,"Weak","Satisfactory")))</f>
        <v>0</v>
      </c>
      <c r="R36" s="1019">
        <f>IF(R35=0,0,IF(R35&gt;40%,"Good",IF(R35&lt;20%,"Weak","Satisfactory")))</f>
        <v>0</v>
      </c>
      <c r="S36" s="1019">
        <f>IF(S35=0,0,IF(S35&gt;40%,"Good",IF(S35&lt;20%,"Weak","Satisfactory")))</f>
        <v>0</v>
      </c>
      <c r="T36" s="1019">
        <f>IF(T35=0,0,IF(T35&gt;40%,"Good",IF(T35&lt;20%,"Weak","Satisfactory")))</f>
        <v>0</v>
      </c>
    </row>
    <row r="37" spans="2:25" ht="13.5" customHeight="1" x14ac:dyDescent="0.2">
      <c r="B37" s="2004" t="s">
        <v>254</v>
      </c>
      <c r="C37" s="452" t="s">
        <v>644</v>
      </c>
      <c r="D37" s="452"/>
      <c r="E37" s="458" t="s">
        <v>41</v>
      </c>
      <c r="F37" s="590"/>
      <c r="G37" s="584">
        <f>'6. T3 BALANCE SHEET '!G83+'6. T3 BALANCE SHEET '!G89</f>
        <v>0</v>
      </c>
      <c r="H37" s="584">
        <f>'6. T3 BALANCE SHEET '!H83+'6. T3 BALANCE SHEET '!H89-'6. T3 BALANCE SHEET '!G83-'6. T3 BALANCE SHEET '!G89</f>
        <v>0</v>
      </c>
      <c r="I37" s="584">
        <f>'6. T3 BALANCE SHEET '!I83+'6. T3 BALANCE SHEET '!I89-'6. T3 BALANCE SHEET '!H83-'6. T3 BALANCE SHEET '!H89</f>
        <v>0</v>
      </c>
      <c r="J37" s="2006">
        <f>'6. T3 BALANCE SHEET '!J83+'6. T3 BALANCE SHEET '!J89-'6. T3 BALANCE SHEET '!I83-'6. T3 BALANCE SHEET '!I89</f>
        <v>0</v>
      </c>
      <c r="L37" s="2324" t="s">
        <v>806</v>
      </c>
      <c r="M37" s="2325"/>
      <c r="N37" s="2325"/>
      <c r="O37" s="2326"/>
      <c r="P37" s="594"/>
      <c r="Q37" s="977">
        <f>IF(Q104=0,0,(Q114-Q115)/Q104)</f>
        <v>0</v>
      </c>
      <c r="R37" s="977">
        <f>IF(R104=0,0,(R114-R115)/R104)</f>
        <v>0</v>
      </c>
      <c r="S37" s="977">
        <f>IF(S104=0,0,(S114-S115)/S104)</f>
        <v>0</v>
      </c>
      <c r="T37" s="2064">
        <f>IF(T104=0,0,(T114-T115)/T104)</f>
        <v>0</v>
      </c>
    </row>
    <row r="38" spans="2:25" ht="13.5" customHeight="1" x14ac:dyDescent="0.2">
      <c r="B38" s="2004" t="s">
        <v>255</v>
      </c>
      <c r="C38" s="452" t="s">
        <v>645</v>
      </c>
      <c r="D38" s="452"/>
      <c r="E38" s="457" t="s">
        <v>27</v>
      </c>
      <c r="F38" s="589"/>
      <c r="G38" s="1341">
        <v>0</v>
      </c>
      <c r="H38" s="584">
        <f>-IF('6. T3 BALANCE SHEET '!H77-'6. T3 BALANCE SHEET '!G77&lt;0,'6. T3 BALANCE SHEET '!H77-'6. T3 BALANCE SHEET '!G77,0)-IF('6. T3 BALANCE SHEET '!H78-'6. T3 BALANCE SHEET '!G78&lt;0,'6. T3 BALANCE SHEET '!H78-'6. T3 BALANCE SHEET '!G78,0)</f>
        <v>0</v>
      </c>
      <c r="I38" s="584">
        <f>-IF('6. T3 BALANCE SHEET '!I77-'6. T3 BALANCE SHEET '!H77&lt;0,'6. T3 BALANCE SHEET '!I77-'6. T3 BALANCE SHEET '!H77,0)-IF('6. T3 BALANCE SHEET '!I78-'6. T3 BALANCE SHEET '!H78&lt;0,'6. T3 BALANCE SHEET '!I78-'6. T3 BALANCE SHEET '!H78,0)</f>
        <v>0</v>
      </c>
      <c r="J38" s="2006">
        <f>-IF('6. T3 BALANCE SHEET '!J77-'6. T3 BALANCE SHEET '!I77&lt;0,'6. T3 BALANCE SHEET '!J77-'6. T3 BALANCE SHEET '!I77,0)-IF('6. T3 BALANCE SHEET '!J78-'6. T3 BALANCE SHEET '!I78&lt;0,'6. T3 BALANCE SHEET '!J78-'6. T3 BALANCE SHEET '!I78,0)</f>
        <v>0</v>
      </c>
      <c r="L38" s="2065"/>
      <c r="M38" s="2084" t="s">
        <v>674</v>
      </c>
      <c r="N38" s="766"/>
      <c r="O38" s="1803"/>
      <c r="P38" s="767"/>
      <c r="Q38" s="1019" t="str">
        <f>IF(Q37=0,"",IF('6. T3 BALANCE SHEET '!G56&lt;0,"Weak",IF(Q37&lt;0,"Net dept-free",IF(Q37&gt;1,"","Good"))))</f>
        <v/>
      </c>
      <c r="R38" s="1019" t="str">
        <f>IF(R37=0,"",IF('6. T3 BALANCE SHEET '!H56&lt;0,"Weak",IF(R37&lt;0,"Net dept-free",IF(R37&gt;1,"","Good"))))</f>
        <v/>
      </c>
      <c r="S38" s="1019" t="str">
        <f>IF(S37=0,"",IF('6. T3 BALANCE SHEET '!I56&lt;0,"Weak",IF(S37&lt;0,"Net dept-free",IF(S37&gt;1,"","Good"))))</f>
        <v/>
      </c>
      <c r="T38" s="1019" t="str">
        <f>IF(T37=0,"",IF('6. T3 BALANCE SHEET '!J56&lt;0,"Weak",IF(T37&lt;0,"Net dept-free",IF(T37&gt;1,"","Good"))))</f>
        <v/>
      </c>
    </row>
    <row r="39" spans="2:25" ht="13.5" customHeight="1" x14ac:dyDescent="0.2">
      <c r="B39" s="2004" t="s">
        <v>259</v>
      </c>
      <c r="C39" s="452" t="s">
        <v>646</v>
      </c>
      <c r="D39" s="452"/>
      <c r="E39" s="457" t="s">
        <v>27</v>
      </c>
      <c r="F39" s="590"/>
      <c r="G39" s="573">
        <v>0</v>
      </c>
      <c r="H39" s="573">
        <f>R48</f>
        <v>0</v>
      </c>
      <c r="I39" s="573">
        <f>S48</f>
        <v>0</v>
      </c>
      <c r="J39" s="2020">
        <f>T48</f>
        <v>0</v>
      </c>
      <c r="L39" s="2066" t="s">
        <v>677</v>
      </c>
      <c r="M39" s="129"/>
      <c r="N39" s="129"/>
      <c r="O39" s="129"/>
      <c r="P39" s="129"/>
      <c r="Q39" s="231"/>
      <c r="R39" s="231"/>
      <c r="S39" s="231"/>
      <c r="T39" s="2067"/>
    </row>
    <row r="40" spans="2:25" ht="13.5" customHeight="1" x14ac:dyDescent="0.2">
      <c r="B40" s="2004" t="s">
        <v>262</v>
      </c>
      <c r="C40" s="2311" t="s">
        <v>386</v>
      </c>
      <c r="D40" s="2311"/>
      <c r="E40" s="458" t="s">
        <v>27</v>
      </c>
      <c r="F40" s="589"/>
      <c r="G40" s="584">
        <f>'1. T1 INVESTMENT PLAN'!E38</f>
        <v>0</v>
      </c>
      <c r="H40" s="584">
        <f>'1. T1 INVESTMENT PLAN'!F38</f>
        <v>0</v>
      </c>
      <c r="I40" s="584">
        <f>'1. T1 INVESTMENT PLAN'!G38</f>
        <v>0</v>
      </c>
      <c r="J40" s="2006">
        <f>'1. T1 INVESTMENT PLAN'!H38</f>
        <v>0</v>
      </c>
      <c r="L40" s="2327" t="s">
        <v>678</v>
      </c>
      <c r="M40" s="2328"/>
      <c r="N40" s="2328"/>
      <c r="O40" s="2329"/>
      <c r="P40" s="594"/>
      <c r="Q40" s="584">
        <f>('3. E1 OPERATING COSTS'!D11+'3. E1 OPERATING COSTS'!D29+'3. E1 OPERATING COSTS'!D36+'3. E1 OPERATING COSTS'!D38)/'7. T2 RESULT BUDGET '!G33</f>
        <v>0.44030000000000002</v>
      </c>
      <c r="R40" s="584">
        <f>('3. E1 OPERATING COSTS'!F11+'3. E1 OPERATING COSTS'!F29+'3. E1 OPERATING COSTS'!F36+'3. E1 OPERATING COSTS'!F38)/'7. T2 RESULT BUDGET '!I33</f>
        <v>0.44030000000000002</v>
      </c>
      <c r="S40" s="689">
        <f>('3. E1 OPERATING COSTS'!H11+'3. E1 OPERATING COSTS'!H29+'3. E1 OPERATING COSTS'!H36+'3. E1 OPERATING COSTS'!H38)/'7. T2 RESULT BUDGET '!K33</f>
        <v>0.44030000000000002</v>
      </c>
      <c r="T40" s="2006">
        <f>('3. E1 OPERATING COSTS'!J11+'3. E1 OPERATING COSTS'!J29+'3. E1 OPERATING COSTS'!J36+'3. E1 OPERATING COSTS'!J38)/'7. T2 RESULT BUDGET '!M33</f>
        <v>0.44030000000000002</v>
      </c>
    </row>
    <row r="41" spans="2:25" ht="13.5" customHeight="1" x14ac:dyDescent="0.2">
      <c r="B41" s="2004" t="s">
        <v>264</v>
      </c>
      <c r="C41" s="459" t="s">
        <v>408</v>
      </c>
      <c r="D41" s="459"/>
      <c r="E41" s="460"/>
      <c r="F41" s="590"/>
      <c r="G41" s="584">
        <f>G24+G25+G26+G27+G28+G29+G34+G36-G37+G38+G39+G40+G35+G30+G31+G32+G33</f>
        <v>0</v>
      </c>
      <c r="H41" s="584">
        <f>H24+H25+H26+H27+H28+H29+H34+H36-H37+H38+H39+H40+H35+H30+H31+H32+H33</f>
        <v>0</v>
      </c>
      <c r="I41" s="584">
        <f>I24+I25+I26+I27+I28+I29+I34+I36-I37+I38+I39+I40+I35+I30+I31+I32+I33</f>
        <v>0</v>
      </c>
      <c r="J41" s="2006">
        <f>J24+J25+J26+J27+J28+J29+J34+J36-J37+J38+J39+J40+J35+J30+J31+J32+J33</f>
        <v>0</v>
      </c>
      <c r="L41" s="2330" t="s">
        <v>679</v>
      </c>
      <c r="M41" s="2331"/>
      <c r="N41" s="2331"/>
      <c r="O41" s="2332"/>
      <c r="P41" s="595"/>
      <c r="Q41" s="584">
        <f>'3. E1 OPERATING COSTS'!D41/'7. T2 RESULT BUDGET '!G33</f>
        <v>0</v>
      </c>
      <c r="R41" s="584">
        <f>'3. E1 OPERATING COSTS'!F41/'7. T2 RESULT BUDGET '!I33</f>
        <v>0</v>
      </c>
      <c r="S41" s="689">
        <f>'3. E1 OPERATING COSTS'!H41/'7. T2 RESULT BUDGET '!K33</f>
        <v>0</v>
      </c>
      <c r="T41" s="2006">
        <f>'3. E1 OPERATING COSTS'!J41/'7. T2 RESULT BUDGET '!M33</f>
        <v>0</v>
      </c>
      <c r="Y41">
        <v>0</v>
      </c>
    </row>
    <row r="42" spans="2:25" ht="13.5" customHeight="1" thickBot="1" x14ac:dyDescent="0.25">
      <c r="B42" s="2004" t="s">
        <v>265</v>
      </c>
      <c r="C42" s="449" t="s">
        <v>647</v>
      </c>
      <c r="D42" s="449"/>
      <c r="E42" s="460"/>
      <c r="F42" s="592"/>
      <c r="G42" s="795">
        <f>G21-G41</f>
        <v>0</v>
      </c>
      <c r="H42" s="795">
        <f>H21-H41</f>
        <v>0</v>
      </c>
      <c r="I42" s="795">
        <f>I21-I41</f>
        <v>0</v>
      </c>
      <c r="J42" s="2021">
        <f>J21-J41</f>
        <v>0</v>
      </c>
      <c r="L42" s="2068" t="s">
        <v>680</v>
      </c>
      <c r="M42" s="131"/>
      <c r="N42" s="131"/>
      <c r="O42" s="456"/>
      <c r="P42" s="1188"/>
      <c r="Q42" s="1188">
        <f>'5. T4 FINANCING PLAN'!G11</f>
        <v>2027</v>
      </c>
      <c r="R42" s="1188">
        <f>'5. T4 FINANCING PLAN'!H11</f>
        <v>2028</v>
      </c>
      <c r="S42" s="1189">
        <f>'5. T4 FINANCING PLAN'!I11</f>
        <v>2029</v>
      </c>
      <c r="T42" s="2069">
        <f>'5. T4 FINANCING PLAN'!J11</f>
        <v>2030</v>
      </c>
    </row>
    <row r="43" spans="2:25" ht="13.5" customHeight="1" x14ac:dyDescent="0.2">
      <c r="B43" s="2022" t="s">
        <v>266</v>
      </c>
      <c r="C43" s="2023" t="s">
        <v>648</v>
      </c>
      <c r="D43" s="2023"/>
      <c r="E43" s="2024">
        <v>0</v>
      </c>
      <c r="F43" s="2025"/>
      <c r="G43" s="2026">
        <f>G42+F43</f>
        <v>0</v>
      </c>
      <c r="H43" s="2026">
        <f>H42+G43</f>
        <v>0</v>
      </c>
      <c r="I43" s="2026">
        <f>I42+H43</f>
        <v>0</v>
      </c>
      <c r="J43" s="2012">
        <f>J42+I43</f>
        <v>0</v>
      </c>
      <c r="L43" s="2049" t="s">
        <v>681</v>
      </c>
      <c r="M43" s="276"/>
      <c r="N43" s="276"/>
      <c r="O43" s="325"/>
      <c r="P43" s="595"/>
      <c r="Q43" s="584">
        <f>'6. T3 BALANCE SHEET '!G98</f>
        <v>0</v>
      </c>
      <c r="R43" s="584">
        <f>'6. T3 BALANCE SHEET '!H98</f>
        <v>0</v>
      </c>
      <c r="S43" s="689">
        <f>'6. T3 BALANCE SHEET '!I98</f>
        <v>0</v>
      </c>
      <c r="T43" s="2006">
        <f>'6. T3 BALANCE SHEET '!J98</f>
        <v>0</v>
      </c>
    </row>
    <row r="44" spans="2:25" ht="13.5" customHeight="1" x14ac:dyDescent="0.2">
      <c r="B44" s="225"/>
      <c r="C44" s="53"/>
      <c r="D44" s="53"/>
      <c r="E44" s="53"/>
      <c r="F44" s="248"/>
      <c r="G44" s="690"/>
      <c r="H44" s="690"/>
      <c r="I44" s="690"/>
      <c r="J44" s="690"/>
      <c r="K44" s="2"/>
      <c r="L44" s="2050" t="s">
        <v>682</v>
      </c>
      <c r="M44" s="277"/>
      <c r="N44" s="277"/>
      <c r="O44" s="324"/>
      <c r="P44" s="595"/>
      <c r="Q44" s="584">
        <f>-('6. T3 BALANCE SHEET '!G67+'6. T3 BALANCE SHEET '!G74)</f>
        <v>0</v>
      </c>
      <c r="R44" s="584">
        <f>-('6. T3 BALANCE SHEET '!H67+'6. T3 BALANCE SHEET '!H74)</f>
        <v>0</v>
      </c>
      <c r="S44" s="689">
        <f>-('6. T3 BALANCE SHEET '!I67+'6. T3 BALANCE SHEET '!I74)</f>
        <v>0</v>
      </c>
      <c r="T44" s="2006">
        <f>-('6. T3 BALANCE SHEET '!J67+'6. T3 BALANCE SHEET '!J74)</f>
        <v>0</v>
      </c>
    </row>
    <row r="45" spans="2:25" ht="13.5" customHeight="1" x14ac:dyDescent="0.2">
      <c r="B45" s="2312" t="s">
        <v>649</v>
      </c>
      <c r="C45" s="2313"/>
      <c r="D45" s="2313"/>
      <c r="E45" s="2027"/>
      <c r="F45" s="2028"/>
      <c r="G45" s="2029" t="str">
        <f t="shared" ref="G45:J46" si="1">G10</f>
        <v>Forecast 1</v>
      </c>
      <c r="H45" s="2029" t="str">
        <f t="shared" si="1"/>
        <v>Forecast 2</v>
      </c>
      <c r="I45" s="2029" t="str">
        <f t="shared" si="1"/>
        <v>Forecast 3</v>
      </c>
      <c r="J45" s="2030" t="str">
        <f t="shared" si="1"/>
        <v>Forecast 4</v>
      </c>
      <c r="L45" s="2306" t="s">
        <v>683</v>
      </c>
      <c r="M45" s="2307"/>
      <c r="N45" s="2307"/>
      <c r="O45" s="2308"/>
      <c r="P45" s="1547"/>
      <c r="Q45" s="573">
        <v>0</v>
      </c>
      <c r="R45" s="573">
        <v>0</v>
      </c>
      <c r="S45" s="983">
        <v>0</v>
      </c>
      <c r="T45" s="2020">
        <v>0</v>
      </c>
    </row>
    <row r="46" spans="2:25" ht="13.5" customHeight="1" thickBot="1" x14ac:dyDescent="0.25">
      <c r="B46" s="2314"/>
      <c r="C46" s="2315"/>
      <c r="D46" s="2315"/>
      <c r="E46" s="1187"/>
      <c r="F46" s="1178"/>
      <c r="G46" s="1186">
        <f t="shared" si="1"/>
        <v>2027</v>
      </c>
      <c r="H46" s="1186">
        <f t="shared" si="1"/>
        <v>2028</v>
      </c>
      <c r="I46" s="1186">
        <f t="shared" si="1"/>
        <v>2029</v>
      </c>
      <c r="J46" s="2031">
        <f t="shared" si="1"/>
        <v>2030</v>
      </c>
      <c r="L46" s="2306" t="s">
        <v>684</v>
      </c>
      <c r="M46" s="2307"/>
      <c r="N46" s="2307"/>
      <c r="O46" s="2308"/>
      <c r="P46" s="1547"/>
      <c r="Q46" s="573">
        <v>0</v>
      </c>
      <c r="R46" s="573">
        <v>0</v>
      </c>
      <c r="S46" s="983">
        <v>0</v>
      </c>
      <c r="T46" s="2020">
        <v>0</v>
      </c>
    </row>
    <row r="47" spans="2:25" ht="13.5" customHeight="1" x14ac:dyDescent="0.2">
      <c r="B47" s="2004" t="s">
        <v>267</v>
      </c>
      <c r="C47" s="164" t="s">
        <v>650</v>
      </c>
      <c r="D47" s="446"/>
      <c r="E47" s="447" t="s">
        <v>27</v>
      </c>
      <c r="F47" s="593"/>
      <c r="G47" s="791">
        <f>IF('7. T2 RESULT BUDGET '!H14=0,0,G48*'7. T2 RESULT BUDGET '!G11)</f>
        <v>0</v>
      </c>
      <c r="H47" s="791">
        <f>IF('7. T2 RESULT BUDGET '!I14=0,0,H48*'7. T2 RESULT BUDGET '!I11)</f>
        <v>0</v>
      </c>
      <c r="I47" s="791">
        <f>IF('7. T2 RESULT BUDGET '!J14=0,0,I48*'7. T2 RESULT BUDGET '!K11)</f>
        <v>0</v>
      </c>
      <c r="J47" s="2032">
        <f>IF('7. T2 RESULT BUDGET '!K14=0,0,J48*'7. T2 RESULT BUDGET '!M11)</f>
        <v>0</v>
      </c>
      <c r="L47" s="2063" t="s">
        <v>685</v>
      </c>
      <c r="M47" s="326"/>
      <c r="N47" s="326"/>
      <c r="O47" s="327"/>
      <c r="P47" s="596"/>
      <c r="Q47" s="791">
        <f>Q43+Q44-Q45-Q46</f>
        <v>0</v>
      </c>
      <c r="R47" s="791">
        <f>R43+R44-R45-R46</f>
        <v>0</v>
      </c>
      <c r="S47" s="1080">
        <f>S43+S44-S45-S46</f>
        <v>0</v>
      </c>
      <c r="T47" s="2006">
        <f>T43+T44-T45-T46</f>
        <v>0</v>
      </c>
    </row>
    <row r="48" spans="2:25" ht="13.5" customHeight="1" x14ac:dyDescent="0.2">
      <c r="B48" s="2004"/>
      <c r="C48" s="2291" t="s">
        <v>651</v>
      </c>
      <c r="D48" s="2292"/>
      <c r="E48" s="768"/>
      <c r="F48" s="769"/>
      <c r="G48" s="1813">
        <f>IF(Q13=0,0,('1. T1 INVESTMENT PLAN'!E40-'1. T1 INVESTMENT PLAN'!E40*'1. T1 INVESTMENT PLAN'!E41)/Q13)</f>
        <v>0</v>
      </c>
      <c r="H48" s="1376">
        <f>G48</f>
        <v>0</v>
      </c>
      <c r="I48" s="1376">
        <f>H48</f>
        <v>0</v>
      </c>
      <c r="J48" s="2033">
        <f>I48</f>
        <v>0</v>
      </c>
      <c r="L48" s="2070" t="s">
        <v>686</v>
      </c>
      <c r="M48" s="831"/>
      <c r="N48" s="831"/>
      <c r="O48" s="832"/>
      <c r="P48" s="833"/>
      <c r="Q48" s="573">
        <v>0</v>
      </c>
      <c r="R48" s="573">
        <f>IF(Q47&lt;0,0,8%*Q47)</f>
        <v>0</v>
      </c>
      <c r="S48" s="573">
        <f>IF(R47&lt;0,0,8%*R47)</f>
        <v>0</v>
      </c>
      <c r="T48" s="2071">
        <f>IF(S47&lt;0,0,8%*S47)</f>
        <v>0</v>
      </c>
    </row>
    <row r="49" spans="2:24" ht="13.5" customHeight="1" x14ac:dyDescent="0.2">
      <c r="B49" s="2004" t="s">
        <v>268</v>
      </c>
      <c r="C49" s="450" t="s">
        <v>652</v>
      </c>
      <c r="D49" s="451"/>
      <c r="E49" s="448" t="s">
        <v>27</v>
      </c>
      <c r="F49" s="589"/>
      <c r="G49" s="584">
        <f>G50*('4. E2 TURNOVER'!E10+'4. E2 TURNOVER'!E13)/365</f>
        <v>0</v>
      </c>
      <c r="H49" s="584">
        <f>H50*('4. E2 TURNOVER'!F10+'4. E2 TURNOVER'!F13)/365</f>
        <v>0</v>
      </c>
      <c r="I49" s="584">
        <f>I50*('4. E2 TURNOVER'!G10+'4. E2 TURNOVER'!G13)/365</f>
        <v>0</v>
      </c>
      <c r="J49" s="2006">
        <f>J50*('4. E2 TURNOVER'!H10+'4. E2 TURNOVER'!H13)/365</f>
        <v>0</v>
      </c>
      <c r="L49" s="2320" t="s">
        <v>687</v>
      </c>
      <c r="M49" s="2321"/>
      <c r="N49" s="2321"/>
      <c r="O49" s="2321"/>
      <c r="P49" s="2322"/>
      <c r="Q49" s="976">
        <f>IF(P47=0,0,Q48/P47)</f>
        <v>0</v>
      </c>
      <c r="R49" s="801">
        <f>IF(R48=0,0,R48/Q47)</f>
        <v>0</v>
      </c>
      <c r="S49" s="801">
        <f>IF(S48=0,0,S48/R47)</f>
        <v>0</v>
      </c>
      <c r="T49" s="2072">
        <f>IF(T48=0,0,T48/S47)</f>
        <v>0</v>
      </c>
    </row>
    <row r="50" spans="2:24" ht="13.5" customHeight="1" x14ac:dyDescent="0.2">
      <c r="B50" s="2004"/>
      <c r="C50" s="2317" t="s">
        <v>856</v>
      </c>
      <c r="D50" s="2318"/>
      <c r="E50" s="770"/>
      <c r="F50" s="771"/>
      <c r="G50" s="1377">
        <v>14</v>
      </c>
      <c r="H50" s="1377">
        <f>G50</f>
        <v>14</v>
      </c>
      <c r="I50" s="1377">
        <f>H50</f>
        <v>14</v>
      </c>
      <c r="J50" s="2034">
        <f>I50</f>
        <v>14</v>
      </c>
      <c r="L50" s="2073"/>
      <c r="M50" s="164"/>
      <c r="N50" s="164"/>
      <c r="O50" s="164"/>
      <c r="P50" s="164"/>
      <c r="Q50" s="164"/>
      <c r="R50" s="164"/>
      <c r="S50" s="164"/>
      <c r="T50" s="2074"/>
    </row>
    <row r="51" spans="2:24" ht="13.5" customHeight="1" x14ac:dyDescent="0.2">
      <c r="B51" s="2004" t="s">
        <v>269</v>
      </c>
      <c r="C51" s="450" t="s">
        <v>423</v>
      </c>
      <c r="D51" s="451"/>
      <c r="E51" s="448" t="s">
        <v>27</v>
      </c>
      <c r="F51" s="589"/>
      <c r="G51" s="1378">
        <v>0</v>
      </c>
      <c r="H51" s="1378">
        <v>0</v>
      </c>
      <c r="I51" s="1378">
        <v>0</v>
      </c>
      <c r="J51" s="2035">
        <v>0</v>
      </c>
      <c r="L51" s="2075" t="s">
        <v>492</v>
      </c>
      <c r="M51" s="164"/>
      <c r="N51" s="164"/>
      <c r="O51" s="164"/>
      <c r="P51" s="164"/>
      <c r="Q51" s="164"/>
      <c r="R51" s="164"/>
      <c r="S51" s="164"/>
      <c r="T51" s="2074"/>
    </row>
    <row r="52" spans="2:24" ht="13.5" customHeight="1" x14ac:dyDescent="0.2">
      <c r="B52" s="2004" t="s">
        <v>270</v>
      </c>
      <c r="C52" s="2323" t="s">
        <v>653</v>
      </c>
      <c r="D52" s="2323"/>
      <c r="E52" s="448" t="s">
        <v>27</v>
      </c>
      <c r="F52" s="589"/>
      <c r="G52" s="1378">
        <f>30%*('3. E1 OPERATING COSTS'!D73+'3. E1 OPERATING COSTS'!D80+'3. E1 OPERATING COSTS'!D112+'3. E1 OPERATING COSTS'!D114+'3. E1 OPERATING COSTS'!D120)</f>
        <v>0</v>
      </c>
      <c r="H52" s="1378">
        <f>30%*('3. E1 OPERATING COSTS'!F73+'3. E1 OPERATING COSTS'!F80+'3. E1 OPERATING COSTS'!F112+'3. E1 OPERATING COSTS'!F114+'3. E1 OPERATING COSTS'!F120)</f>
        <v>0</v>
      </c>
      <c r="I52" s="1378">
        <f>30%*('3. E1 OPERATING COSTS'!H73+'3. E1 OPERATING COSTS'!H80+'3. E1 OPERATING COSTS'!H112+'3. E1 OPERATING COSTS'!H114+'3. E1 OPERATING COSTS'!H120)</f>
        <v>0</v>
      </c>
      <c r="J52" s="2035">
        <f>30%*('3. E1 OPERATING COSTS'!J73+'3. E1 OPERATING COSTS'!J80+'3. E1 OPERATING COSTS'!J112+'3. E1 OPERATING COSTS'!J114+'3. E1 OPERATING COSTS'!J120)</f>
        <v>0</v>
      </c>
      <c r="L52" s="2333"/>
      <c r="M52" s="2334"/>
      <c r="N52" s="2334"/>
      <c r="O52" s="2334"/>
      <c r="P52" s="2334"/>
      <c r="Q52" s="2334"/>
      <c r="R52" s="2334"/>
      <c r="S52" s="2334"/>
      <c r="T52" s="2335"/>
    </row>
    <row r="53" spans="2:24" ht="13.5" customHeight="1" x14ac:dyDescent="0.2">
      <c r="B53" s="2004" t="s">
        <v>271</v>
      </c>
      <c r="C53" s="2323" t="s">
        <v>654</v>
      </c>
      <c r="D53" s="2323"/>
      <c r="E53" s="448" t="s">
        <v>27</v>
      </c>
      <c r="F53" s="589"/>
      <c r="G53" s="584">
        <f>G54*'7. T2 RESULT BUDGET '!G11</f>
        <v>0</v>
      </c>
      <c r="H53" s="584">
        <f>H54*'7. T2 RESULT BUDGET '!I11</f>
        <v>0</v>
      </c>
      <c r="I53" s="584">
        <f>I54*'7. T2 RESULT BUDGET '!K11</f>
        <v>0</v>
      </c>
      <c r="J53" s="2006">
        <f>J54*'7. T2 RESULT BUDGET '!M11</f>
        <v>0</v>
      </c>
      <c r="L53" s="2076"/>
      <c r="M53" s="2077"/>
      <c r="N53" s="2077"/>
      <c r="O53" s="2077"/>
      <c r="P53" s="2077"/>
      <c r="Q53" s="2077"/>
      <c r="R53" s="2077"/>
      <c r="S53" s="2077"/>
      <c r="T53" s="2078"/>
    </row>
    <row r="54" spans="2:24" ht="13.5" customHeight="1" x14ac:dyDescent="0.2">
      <c r="B54" s="2004"/>
      <c r="C54" s="2317" t="s">
        <v>655</v>
      </c>
      <c r="D54" s="2318"/>
      <c r="E54" s="770"/>
      <c r="F54" s="772"/>
      <c r="G54" s="792">
        <v>0</v>
      </c>
      <c r="H54" s="793">
        <v>0</v>
      </c>
      <c r="I54" s="793">
        <v>0</v>
      </c>
      <c r="J54" s="2036">
        <v>0</v>
      </c>
      <c r="L54" s="2076"/>
      <c r="M54" s="2077"/>
      <c r="N54" s="2077"/>
      <c r="O54" s="2077"/>
      <c r="P54" s="2077"/>
      <c r="Q54" s="2077"/>
      <c r="R54" s="2077"/>
      <c r="S54" s="2077"/>
      <c r="T54" s="2078"/>
    </row>
    <row r="55" spans="2:24" ht="13.5" customHeight="1" x14ac:dyDescent="0.2">
      <c r="B55" s="2004" t="s">
        <v>272</v>
      </c>
      <c r="C55" s="452" t="s">
        <v>656</v>
      </c>
      <c r="D55" s="453"/>
      <c r="E55" s="448" t="s">
        <v>28</v>
      </c>
      <c r="F55" s="589"/>
      <c r="G55" s="584">
        <f>IF('7. T2 RESULT BUDGET '!G11=0,0,G56*('4. E2 TURNOVER'!E11+'AT2 Lainat, alv'!E56+'AT2 Lainat, alv'!E67)/365)</f>
        <v>0</v>
      </c>
      <c r="H55" s="584">
        <f>IF('7. T2 RESULT BUDGET '!I11=0,0,H56*('4. E2 TURNOVER'!F11+'AT2 Lainat, alv'!G56+'AT2 Lainat, alv'!G67)/365)</f>
        <v>0</v>
      </c>
      <c r="I55" s="584">
        <f>IF('7. T2 RESULT BUDGET '!K11=0,0,I56*('4. E2 TURNOVER'!G11+'AT2 Lainat, alv'!I56+'AT2 Lainat, alv'!I67)/365)</f>
        <v>0</v>
      </c>
      <c r="J55" s="2006">
        <f>IF('7. T2 RESULT BUDGET '!M11=0,0,J56*('4. E2 TURNOVER'!H11+'AT2 Lainat, alv'!K56+'AT2 Lainat, alv'!K67)/365)</f>
        <v>0</v>
      </c>
      <c r="L55" s="2076"/>
      <c r="M55" s="2077"/>
      <c r="N55" s="2077"/>
      <c r="O55" s="2077"/>
      <c r="P55" s="2077"/>
      <c r="Q55" s="2077"/>
      <c r="R55" s="2077"/>
      <c r="S55" s="2077"/>
      <c r="T55" s="2078"/>
    </row>
    <row r="56" spans="2:24" ht="13.5" customHeight="1" x14ac:dyDescent="0.2">
      <c r="B56" s="2004"/>
      <c r="C56" s="2317" t="s">
        <v>657</v>
      </c>
      <c r="D56" s="2318"/>
      <c r="E56" s="770"/>
      <c r="F56" s="771"/>
      <c r="G56" s="1377">
        <v>14</v>
      </c>
      <c r="H56" s="1377">
        <f>G56</f>
        <v>14</v>
      </c>
      <c r="I56" s="1377">
        <f>H56</f>
        <v>14</v>
      </c>
      <c r="J56" s="2034">
        <f>I56</f>
        <v>14</v>
      </c>
      <c r="L56" s="2076"/>
      <c r="M56" s="2077"/>
      <c r="N56" s="2077"/>
      <c r="O56" s="2077"/>
      <c r="P56" s="2077"/>
      <c r="Q56" s="2077"/>
      <c r="R56" s="2077"/>
      <c r="S56" s="2077"/>
      <c r="T56" s="2078"/>
    </row>
    <row r="57" spans="2:24" ht="13.5" customHeight="1" x14ac:dyDescent="0.2">
      <c r="B57" s="2004" t="s">
        <v>273</v>
      </c>
      <c r="C57" s="452" t="s">
        <v>658</v>
      </c>
      <c r="D57" s="453"/>
      <c r="E57" s="448" t="s">
        <v>28</v>
      </c>
      <c r="F57" s="589"/>
      <c r="G57" s="584">
        <f>G58*'4. E2 TURNOVER'!E10</f>
        <v>0</v>
      </c>
      <c r="H57" s="584">
        <f>'4. E2 TURNOVER'!F10*H58</f>
        <v>0</v>
      </c>
      <c r="I57" s="584">
        <f>'4. E2 TURNOVER'!G10*I58</f>
        <v>0</v>
      </c>
      <c r="J57" s="2006">
        <f>'4. E2 TURNOVER'!H10*J58</f>
        <v>0</v>
      </c>
      <c r="L57" s="2076"/>
      <c r="M57" s="2077"/>
      <c r="N57" s="2077"/>
      <c r="O57" s="2077"/>
      <c r="P57" s="2077"/>
      <c r="Q57" s="2077"/>
      <c r="R57" s="2077"/>
      <c r="S57" s="2077"/>
      <c r="T57" s="2078"/>
    </row>
    <row r="58" spans="2:24" ht="13.5" customHeight="1" x14ac:dyDescent="0.2">
      <c r="B58" s="2004"/>
      <c r="C58" s="2317" t="s">
        <v>659</v>
      </c>
      <c r="D58" s="2318"/>
      <c r="E58" s="770"/>
      <c r="F58" s="773"/>
      <c r="G58" s="794">
        <v>0</v>
      </c>
      <c r="H58" s="794">
        <v>0</v>
      </c>
      <c r="I58" s="794">
        <v>0</v>
      </c>
      <c r="J58" s="2036">
        <v>0</v>
      </c>
      <c r="L58" s="2076"/>
      <c r="M58" s="2077"/>
      <c r="N58" s="2077"/>
      <c r="O58" s="2077"/>
      <c r="P58" s="2077"/>
      <c r="Q58" s="2077"/>
      <c r="R58" s="2077"/>
      <c r="S58" s="2077"/>
      <c r="T58" s="2078"/>
    </row>
    <row r="59" spans="2:24" ht="13.5" customHeight="1" x14ac:dyDescent="0.2">
      <c r="B59" s="2004" t="s">
        <v>274</v>
      </c>
      <c r="C59" s="452" t="s">
        <v>426</v>
      </c>
      <c r="D59" s="454"/>
      <c r="E59" s="448" t="s">
        <v>70</v>
      </c>
      <c r="F59" s="589"/>
      <c r="G59" s="584">
        <f>G47+G49+G53-G55-G57+G51+G52</f>
        <v>0</v>
      </c>
      <c r="H59" s="584">
        <f>H47+H49+H53-H55-H57+H51+H52</f>
        <v>0</v>
      </c>
      <c r="I59" s="584">
        <f>I47+I49+I53-I55-I57+I51+I52</f>
        <v>0</v>
      </c>
      <c r="J59" s="2006">
        <f>J47+J49+J53-J55-J57+J51+J52</f>
        <v>0</v>
      </c>
      <c r="L59" s="2076"/>
      <c r="M59" s="2077"/>
      <c r="N59" s="2077"/>
      <c r="O59" s="2077"/>
      <c r="P59" s="2077"/>
      <c r="Q59" s="2077"/>
      <c r="R59" s="2077"/>
      <c r="S59" s="2077"/>
      <c r="T59" s="2078"/>
    </row>
    <row r="60" spans="2:24" ht="13.5" customHeight="1" x14ac:dyDescent="0.2">
      <c r="B60" s="2022" t="s">
        <v>291</v>
      </c>
      <c r="C60" s="2037" t="s">
        <v>411</v>
      </c>
      <c r="D60" s="2038"/>
      <c r="E60" s="2039" t="s">
        <v>41</v>
      </c>
      <c r="F60" s="2040"/>
      <c r="G60" s="2041"/>
      <c r="H60" s="2042">
        <f>H59-G59</f>
        <v>0</v>
      </c>
      <c r="I60" s="2042">
        <f>I59-H59</f>
        <v>0</v>
      </c>
      <c r="J60" s="2043">
        <f>J59-I59</f>
        <v>0</v>
      </c>
      <c r="L60" s="2079"/>
      <c r="M60" s="2080"/>
      <c r="N60" s="2080"/>
      <c r="O60" s="2080"/>
      <c r="P60" s="2080"/>
      <c r="Q60" s="2080"/>
      <c r="R60" s="2080"/>
      <c r="S60" s="2080"/>
      <c r="T60" s="2081"/>
    </row>
    <row r="61" spans="2:24" ht="3" customHeight="1" x14ac:dyDescent="0.2">
      <c r="J61" s="129"/>
    </row>
    <row r="62" spans="2:24" ht="10.15" customHeight="1" x14ac:dyDescent="0.2">
      <c r="B62" s="236">
        <f>'1. T1 INVESTMENT PLAN'!B66</f>
        <v>0</v>
      </c>
      <c r="J62" s="237">
        <f>'Front Page'!F6</f>
        <v>0</v>
      </c>
      <c r="T62" s="153">
        <f>'Front Page'!F6</f>
        <v>0</v>
      </c>
      <c r="X62" s="237">
        <f>'Front Page'!T6</f>
        <v>0</v>
      </c>
    </row>
    <row r="63" spans="2:24" ht="13.35" customHeight="1" x14ac:dyDescent="0.2">
      <c r="B63" s="236" t="str">
        <f>'1. T1 INVESTMENT PLAN'!B67</f>
        <v>BP6 Financial Projection</v>
      </c>
      <c r="E63" s="1064"/>
      <c r="F63" s="2319" t="str">
        <f>'1. T1 INVESTMENT PLAN'!I67</f>
        <v>Enontekiö, Kittilä, Kolari, Muonio, Pello</v>
      </c>
      <c r="G63" s="2319"/>
      <c r="H63" s="2319"/>
      <c r="I63" s="2319"/>
      <c r="J63" s="2319"/>
      <c r="L63" s="4"/>
      <c r="M63" s="4"/>
      <c r="N63" s="4"/>
      <c r="O63" s="4"/>
      <c r="P63" s="4"/>
      <c r="Q63" s="1082"/>
      <c r="R63" s="2319" t="str">
        <f>'1. T1 INVESTMENT PLAN'!I67</f>
        <v>Enontekiö, Kittilä, Kolari, Muonio, Pello</v>
      </c>
      <c r="S63" s="2319"/>
      <c r="T63" s="2319"/>
      <c r="U63" s="1693"/>
      <c r="V63" s="1693"/>
      <c r="W63" s="1693"/>
      <c r="X63" s="1693"/>
    </row>
    <row r="64" spans="2:24" x14ac:dyDescent="0.2">
      <c r="B64" s="2149"/>
      <c r="C64" s="2149"/>
      <c r="G64" s="1064"/>
      <c r="H64" s="1064"/>
      <c r="I64" s="1064"/>
      <c r="J64" s="1064"/>
      <c r="L64" s="1083"/>
      <c r="M64" s="4"/>
      <c r="N64" s="4"/>
      <c r="O64" s="4"/>
      <c r="P64" s="4"/>
      <c r="Q64" s="4"/>
      <c r="R64" s="4"/>
      <c r="S64" s="4"/>
      <c r="T64" s="4"/>
      <c r="U64" s="4"/>
      <c r="V64" s="4"/>
      <c r="W64" s="4"/>
    </row>
    <row r="65" spans="2:23" x14ac:dyDescent="0.2">
      <c r="B65" s="348"/>
      <c r="L65" s="4"/>
      <c r="M65" s="4"/>
      <c r="N65" s="4"/>
      <c r="O65" s="4"/>
      <c r="P65" s="4"/>
      <c r="Q65" s="4"/>
      <c r="R65" s="4"/>
      <c r="S65" s="4"/>
      <c r="T65" s="4"/>
      <c r="U65" s="4"/>
      <c r="V65" s="4"/>
      <c r="W65" s="4"/>
    </row>
    <row r="66" spans="2:23" x14ac:dyDescent="0.2">
      <c r="B66" s="52" t="str">
        <f>'1. T1 INVESTMENT PLAN'!B70</f>
        <v>The user acknowledges that the program may contain errors and the results provided by the program are referential and directional.</v>
      </c>
      <c r="L66" s="4"/>
      <c r="M66" s="4"/>
      <c r="N66" s="4"/>
      <c r="O66" s="4"/>
      <c r="P66" s="4"/>
      <c r="Q66" s="4"/>
      <c r="R66" s="4"/>
      <c r="S66" s="4"/>
      <c r="T66" s="4"/>
      <c r="U66" s="4"/>
      <c r="V66" s="4"/>
      <c r="W66" s="4"/>
    </row>
    <row r="67" spans="2:23" x14ac:dyDescent="0.2">
      <c r="B67" s="52" t="str">
        <f>'1. T1 INVESTMENT PLAN'!B71</f>
        <v>The user uses the program and interprets results at his own risk.</v>
      </c>
      <c r="L67" s="4"/>
      <c r="M67" s="4"/>
      <c r="N67" s="4"/>
      <c r="O67" s="4"/>
      <c r="P67" s="4"/>
      <c r="Q67" s="4"/>
      <c r="R67" s="4"/>
      <c r="S67" s="4"/>
      <c r="T67" s="4"/>
      <c r="U67" s="4"/>
      <c r="V67" s="4"/>
      <c r="W67" s="4"/>
    </row>
    <row r="68" spans="2:23" x14ac:dyDescent="0.2">
      <c r="C68" s="519" t="s">
        <v>0</v>
      </c>
      <c r="D68" s="519"/>
      <c r="V68" s="4"/>
      <c r="W68" s="4"/>
    </row>
    <row r="69" spans="2:23" x14ac:dyDescent="0.2">
      <c r="V69" s="4"/>
      <c r="W69" s="4"/>
    </row>
    <row r="70" spans="2:23" x14ac:dyDescent="0.2">
      <c r="V70" s="4"/>
      <c r="W70" s="4"/>
    </row>
    <row r="71" spans="2:23" x14ac:dyDescent="0.2">
      <c r="V71" s="4"/>
      <c r="W71" s="4"/>
    </row>
    <row r="72" spans="2:23" x14ac:dyDescent="0.2">
      <c r="V72" s="4"/>
      <c r="W72" s="4"/>
    </row>
    <row r="73" spans="2:23" x14ac:dyDescent="0.2">
      <c r="V73" s="4"/>
      <c r="W73" s="4"/>
    </row>
    <row r="74" spans="2:23" x14ac:dyDescent="0.2">
      <c r="V74" s="4"/>
      <c r="W74" s="4"/>
    </row>
    <row r="75" spans="2:23" x14ac:dyDescent="0.2">
      <c r="V75" s="4"/>
      <c r="W75" s="4"/>
    </row>
    <row r="76" spans="2:23" x14ac:dyDescent="0.2">
      <c r="V76" s="4"/>
      <c r="W76" s="4"/>
    </row>
    <row r="77" spans="2:23" x14ac:dyDescent="0.2">
      <c r="V77" s="4"/>
      <c r="W77" s="4"/>
    </row>
    <row r="78" spans="2:23" x14ac:dyDescent="0.2">
      <c r="V78" s="4"/>
      <c r="W78" s="4"/>
    </row>
    <row r="79" spans="2:23" x14ac:dyDescent="0.2">
      <c r="V79" s="4"/>
      <c r="W79" s="4"/>
    </row>
    <row r="80" spans="2:23" x14ac:dyDescent="0.2">
      <c r="V80" s="4"/>
      <c r="W80" s="4"/>
    </row>
    <row r="81" spans="12:23" x14ac:dyDescent="0.2">
      <c r="V81" s="4"/>
      <c r="W81" s="4"/>
    </row>
    <row r="82" spans="12:23" x14ac:dyDescent="0.2">
      <c r="V82" s="4"/>
      <c r="W82" s="4"/>
    </row>
    <row r="83" spans="12:23" x14ac:dyDescent="0.2">
      <c r="V83" s="4"/>
      <c r="W83" s="4"/>
    </row>
    <row r="84" spans="12:23" x14ac:dyDescent="0.2">
      <c r="L84" s="4"/>
      <c r="M84" s="4"/>
      <c r="N84" s="4"/>
      <c r="O84" s="4"/>
      <c r="P84" s="4"/>
      <c r="Q84" s="4"/>
      <c r="R84" s="4"/>
      <c r="S84" s="4"/>
      <c r="T84" s="4"/>
      <c r="U84" s="4"/>
      <c r="V84" s="4"/>
      <c r="W84" s="4"/>
    </row>
    <row r="85" spans="12:23" x14ac:dyDescent="0.2">
      <c r="L85" s="4"/>
      <c r="M85" s="4"/>
      <c r="N85" s="4"/>
      <c r="O85" s="4"/>
      <c r="P85" s="4"/>
      <c r="Q85" s="4"/>
      <c r="R85" s="4"/>
      <c r="S85" s="4"/>
      <c r="T85" s="4"/>
      <c r="U85" s="4"/>
      <c r="V85" s="4"/>
      <c r="W85" s="4"/>
    </row>
    <row r="86" spans="12:23" x14ac:dyDescent="0.2">
      <c r="L86" s="4"/>
      <c r="M86" s="4"/>
      <c r="N86" s="4"/>
      <c r="O86" s="4"/>
      <c r="P86" s="4"/>
      <c r="Q86" s="4"/>
      <c r="R86" s="4"/>
      <c r="S86" s="4"/>
      <c r="T86" s="4"/>
      <c r="U86" s="4"/>
      <c r="V86" s="4"/>
      <c r="W86" s="4"/>
    </row>
    <row r="87" spans="12:23" x14ac:dyDescent="0.2">
      <c r="L87" s="4"/>
      <c r="M87" s="4"/>
      <c r="N87" s="4"/>
      <c r="O87" s="4"/>
      <c r="P87" s="4"/>
      <c r="Q87" s="4"/>
      <c r="R87" s="4"/>
      <c r="S87" s="4"/>
      <c r="T87" s="4"/>
      <c r="U87" s="4"/>
      <c r="V87" s="4"/>
      <c r="W87" s="4"/>
    </row>
    <row r="88" spans="12:23" x14ac:dyDescent="0.2">
      <c r="L88" s="4"/>
      <c r="M88" s="4"/>
      <c r="N88" s="4"/>
      <c r="O88" s="4"/>
      <c r="P88" s="4"/>
      <c r="Q88" s="4"/>
      <c r="R88" s="4"/>
      <c r="S88" s="4"/>
      <c r="T88" s="4"/>
      <c r="U88" s="4"/>
      <c r="V88" s="4"/>
      <c r="W88" s="4"/>
    </row>
    <row r="89" spans="12:23" x14ac:dyDescent="0.2">
      <c r="L89" s="4"/>
      <c r="M89" s="4"/>
      <c r="N89" s="4"/>
      <c r="O89" s="4"/>
      <c r="P89" s="4"/>
      <c r="Q89" s="4"/>
      <c r="R89" s="4"/>
      <c r="S89" s="4"/>
      <c r="T89" s="4"/>
      <c r="U89" s="4"/>
      <c r="V89" s="4"/>
      <c r="W89" s="4"/>
    </row>
    <row r="98" spans="12:21" ht="16.899999999999999" customHeight="1" x14ac:dyDescent="0.2"/>
    <row r="99" spans="12:21" ht="12.6" customHeight="1" x14ac:dyDescent="0.2"/>
    <row r="100" spans="12:21" hidden="1" x14ac:dyDescent="0.2">
      <c r="L100" s="463" t="s">
        <v>313</v>
      </c>
      <c r="M100" s="131"/>
      <c r="N100" s="131"/>
      <c r="O100" s="131"/>
      <c r="P100" s="131"/>
      <c r="Q100" s="131" t="s">
        <v>48</v>
      </c>
      <c r="R100" s="131" t="s">
        <v>43</v>
      </c>
      <c r="S100" s="131" t="s">
        <v>44</v>
      </c>
      <c r="T100" s="131" t="s">
        <v>146</v>
      </c>
      <c r="U100" s="4"/>
    </row>
    <row r="101" spans="12:21" hidden="1" x14ac:dyDescent="0.2">
      <c r="L101" s="1088" t="s">
        <v>301</v>
      </c>
      <c r="M101" s="1088"/>
      <c r="N101" s="1088"/>
      <c r="O101" s="1088"/>
      <c r="P101" s="1088"/>
      <c r="Q101" s="1088"/>
      <c r="R101" s="1088"/>
      <c r="S101" s="1088"/>
      <c r="T101" s="1088"/>
      <c r="U101" s="4"/>
    </row>
    <row r="102" spans="12:21" hidden="1" x14ac:dyDescent="0.2">
      <c r="L102" s="1088" t="s">
        <v>302</v>
      </c>
      <c r="M102" s="1088"/>
      <c r="N102" s="1088"/>
      <c r="O102" s="1088"/>
      <c r="P102" s="1088"/>
      <c r="Q102" s="1089">
        <f>Q20+'7. T2 RESULT BUDGET '!G24-'7. T2 RESULT BUDGET '!G25+'7. T2 RESULT BUDGET '!G27</f>
        <v>0</v>
      </c>
      <c r="R102" s="1089">
        <f>R20+'7. T2 RESULT BUDGET '!I24-'7. T2 RESULT BUDGET '!I25+'7. T2 RESULT BUDGET '!I27</f>
        <v>0</v>
      </c>
      <c r="S102" s="1089">
        <f>S20+'7. T2 RESULT BUDGET '!K24-'7. T2 RESULT BUDGET '!K25+'7. T2 RESULT BUDGET '!K27</f>
        <v>0</v>
      </c>
      <c r="T102" s="1089">
        <f>T20+'7. T2 RESULT BUDGET '!M24-'7. T2 RESULT BUDGET '!M25+'7. T2 RESULT BUDGET '!M27</f>
        <v>0</v>
      </c>
      <c r="U102" s="4"/>
    </row>
    <row r="103" spans="12:21" hidden="1" x14ac:dyDescent="0.2">
      <c r="L103" s="1088" t="s">
        <v>303</v>
      </c>
      <c r="M103" s="1088"/>
      <c r="N103" s="1088"/>
      <c r="O103" s="1088"/>
      <c r="P103" s="1088"/>
      <c r="Q103" s="1088"/>
      <c r="R103" s="1089">
        <f>Q104</f>
        <v>0</v>
      </c>
      <c r="S103" s="1089">
        <f>R104</f>
        <v>0</v>
      </c>
      <c r="T103" s="1089">
        <f>S104</f>
        <v>0</v>
      </c>
      <c r="U103" s="4"/>
    </row>
    <row r="104" spans="12:21" hidden="1" x14ac:dyDescent="0.2">
      <c r="L104" s="1088" t="s">
        <v>304</v>
      </c>
      <c r="M104" s="1088"/>
      <c r="N104" s="1088"/>
      <c r="O104" s="1088"/>
      <c r="P104" s="1088"/>
      <c r="Q104" s="1089">
        <f>'6. T3 BALANCE SHEET '!G56</f>
        <v>0</v>
      </c>
      <c r="R104" s="1089">
        <f>'6. T3 BALANCE SHEET '!H56</f>
        <v>0</v>
      </c>
      <c r="S104" s="1089">
        <f>'6. T3 BALANCE SHEET '!I56</f>
        <v>0</v>
      </c>
      <c r="T104" s="1089">
        <f>'6. T3 BALANCE SHEET '!J56</f>
        <v>0</v>
      </c>
      <c r="U104" s="4"/>
    </row>
    <row r="105" spans="12:21" hidden="1" x14ac:dyDescent="0.2">
      <c r="L105" s="1088" t="s">
        <v>309</v>
      </c>
      <c r="M105" s="1088"/>
      <c r="N105" s="1088"/>
      <c r="O105" s="1088"/>
      <c r="P105" s="1088"/>
      <c r="Q105" s="1088">
        <f>(Q103+Q104)/2</f>
        <v>0</v>
      </c>
      <c r="R105" s="1088">
        <f>(R103+R104)/2</f>
        <v>0</v>
      </c>
      <c r="S105" s="1088">
        <f>(S103+S104)/2</f>
        <v>0</v>
      </c>
      <c r="T105" s="1088">
        <f>(T103+T104)/2</f>
        <v>0</v>
      </c>
      <c r="U105" s="4"/>
    </row>
    <row r="106" spans="12:21" hidden="1" x14ac:dyDescent="0.2">
      <c r="L106" s="131"/>
      <c r="M106" s="131"/>
      <c r="N106" s="131"/>
      <c r="O106" s="131"/>
      <c r="P106" s="131"/>
      <c r="Q106" s="131"/>
      <c r="R106" s="131"/>
      <c r="S106" s="131"/>
      <c r="T106" s="131"/>
      <c r="U106" s="4"/>
    </row>
    <row r="107" spans="12:21" hidden="1" x14ac:dyDescent="0.2">
      <c r="L107" s="1088" t="s">
        <v>305</v>
      </c>
      <c r="M107" s="1088"/>
      <c r="N107" s="1088"/>
      <c r="O107" s="1088"/>
      <c r="P107" s="1088"/>
      <c r="Q107" s="1088"/>
      <c r="R107" s="1089">
        <f>Q108</f>
        <v>0</v>
      </c>
      <c r="S107" s="1089">
        <f>R108</f>
        <v>0</v>
      </c>
      <c r="T107" s="1089">
        <f>S108</f>
        <v>0</v>
      </c>
      <c r="U107" s="4"/>
    </row>
    <row r="108" spans="12:21" hidden="1" x14ac:dyDescent="0.2">
      <c r="L108" s="1088" t="s">
        <v>306</v>
      </c>
      <c r="M108" s="1088"/>
      <c r="N108" s="1088"/>
      <c r="O108" s="1088"/>
      <c r="P108" s="1088"/>
      <c r="Q108" s="1089">
        <f>'6. T3 BALANCE SHEET '!G67+'6. T3 BALANCE SHEET '!G75+'6. T3 BALANCE SHEET '!G78+'6. T3 BALANCE SHEET '!G82</f>
        <v>0</v>
      </c>
      <c r="R108" s="1089">
        <f>'6. T3 BALANCE SHEET '!H67+'6. T3 BALANCE SHEET '!H75+'6. T3 BALANCE SHEET '!H78+'6. T3 BALANCE SHEET '!H82</f>
        <v>0</v>
      </c>
      <c r="S108" s="1089">
        <f>'6. T3 BALANCE SHEET '!I67+'6. T3 BALANCE SHEET '!I75+'6. T3 BALANCE SHEET '!I78+'6. T3 BALANCE SHEET '!I82</f>
        <v>0</v>
      </c>
      <c r="T108" s="1089">
        <f>'6. T3 BALANCE SHEET '!J67+'6. T3 BALANCE SHEET '!J75+'6. T3 BALANCE SHEET '!J78+'6. T3 BALANCE SHEET '!J82</f>
        <v>0</v>
      </c>
      <c r="U108" s="4"/>
    </row>
    <row r="109" spans="12:21" hidden="1" x14ac:dyDescent="0.2">
      <c r="L109" s="1088" t="s">
        <v>310</v>
      </c>
      <c r="M109" s="1088"/>
      <c r="N109" s="1088"/>
      <c r="O109" s="1088"/>
      <c r="P109" s="1088"/>
      <c r="Q109" s="1088">
        <f>(Q107+Q108)/2</f>
        <v>0</v>
      </c>
      <c r="R109" s="1088">
        <f>(R107+R108)/2</f>
        <v>0</v>
      </c>
      <c r="S109" s="1088">
        <f>(S107+S108)/2</f>
        <v>0</v>
      </c>
      <c r="T109" s="1088">
        <f>(T107+T108)/2</f>
        <v>0</v>
      </c>
      <c r="U109" s="4"/>
    </row>
    <row r="110" spans="12:21" hidden="1" x14ac:dyDescent="0.2">
      <c r="L110" s="1087" t="s">
        <v>311</v>
      </c>
      <c r="M110" s="1087"/>
      <c r="N110" s="1087"/>
      <c r="O110" s="1087"/>
      <c r="P110" s="1087"/>
      <c r="Q110" s="1090">
        <f>IF(Q105&lt;0,Q109,Q105+Q109)</f>
        <v>0</v>
      </c>
      <c r="R110" s="1090">
        <f>IF(R105&lt;0,R109,R105+R109)</f>
        <v>0</v>
      </c>
      <c r="S110" s="1090">
        <f>IF(S105&lt;0,S109,S105+S109)</f>
        <v>0</v>
      </c>
      <c r="T110" s="1090">
        <f>IF(T105&lt;0,T109,T105+T109)</f>
        <v>0</v>
      </c>
      <c r="U110" s="4"/>
    </row>
    <row r="111" spans="12:21" hidden="1" x14ac:dyDescent="0.2">
      <c r="U111" s="4"/>
    </row>
    <row r="112" spans="12:21" hidden="1" x14ac:dyDescent="0.2">
      <c r="L112" s="1087" t="s">
        <v>312</v>
      </c>
      <c r="M112" s="1085"/>
      <c r="N112" s="1085"/>
      <c r="O112" s="1085"/>
      <c r="P112" s="1085"/>
      <c r="Q112" s="1085"/>
      <c r="R112" s="1085"/>
      <c r="S112" s="1085"/>
      <c r="T112" s="1085"/>
      <c r="U112" s="4"/>
    </row>
    <row r="113" spans="12:21" hidden="1" x14ac:dyDescent="0.2">
      <c r="L113" s="1084" t="s">
        <v>318</v>
      </c>
      <c r="M113" s="1085"/>
      <c r="N113" s="1085"/>
      <c r="O113" s="1085"/>
      <c r="P113" s="1085"/>
      <c r="Q113" s="1085"/>
      <c r="R113" s="1085"/>
      <c r="S113" s="1085"/>
      <c r="T113" s="1085"/>
      <c r="U113" s="4"/>
    </row>
    <row r="114" spans="12:21" hidden="1" x14ac:dyDescent="0.2">
      <c r="L114" s="2316" t="s">
        <v>308</v>
      </c>
      <c r="M114" s="2316"/>
      <c r="N114" s="2316"/>
      <c r="O114" s="2316"/>
      <c r="P114" s="2316"/>
      <c r="Q114" s="1086">
        <f>'6. T3 BALANCE SHEET '!G67-'6. T3 BALANCE SHEET '!G94+'6. T3 BALANCE SHEET '!G75+'6. T3 BALANCE SHEET '!G78+'6. T3 BALANCE SHEET '!G82</f>
        <v>0</v>
      </c>
      <c r="R114" s="1086">
        <f>'6. T3 BALANCE SHEET '!H67-'6. T3 BALANCE SHEET '!H94+'6. T3 BALANCE SHEET '!H75+'6. T3 BALANCE SHEET '!H78+'6. T3 BALANCE SHEET '!H82</f>
        <v>0</v>
      </c>
      <c r="S114" s="1086">
        <f>'6. T3 BALANCE SHEET '!I67-'6. T3 BALANCE SHEET '!I94+'6. T3 BALANCE SHEET '!I75+'6. T3 BALANCE SHEET '!I78+'6. T3 BALANCE SHEET '!I82</f>
        <v>0</v>
      </c>
      <c r="T114" s="1086">
        <f>'6. T3 BALANCE SHEET '!J67-'6. T3 BALANCE SHEET '!J94+'6. T3 BALANCE SHEET '!J75+'6. T3 BALANCE SHEET '!J78+'6. T3 BALANCE SHEET '!J82</f>
        <v>0</v>
      </c>
      <c r="U114" s="4"/>
    </row>
    <row r="115" spans="12:21" hidden="1" x14ac:dyDescent="0.2">
      <c r="L115" s="131" t="s">
        <v>307</v>
      </c>
      <c r="M115" s="4"/>
      <c r="N115" s="4"/>
      <c r="O115" s="4"/>
      <c r="P115" s="4"/>
      <c r="Q115" s="32">
        <f>'6. T3 BALANCE SHEET '!G48+'6. T3 BALANCE SHEET '!G49</f>
        <v>0</v>
      </c>
      <c r="R115" s="32">
        <f>'6. T3 BALANCE SHEET '!H48+'6. T3 BALANCE SHEET '!H49</f>
        <v>0</v>
      </c>
      <c r="S115" s="32">
        <f>'6. T3 BALANCE SHEET '!I48+'6. T3 BALANCE SHEET '!I49</f>
        <v>0</v>
      </c>
      <c r="T115" s="32">
        <f>'6. T3 BALANCE SHEET '!J48+'6. T3 BALANCE SHEET '!J49</f>
        <v>0</v>
      </c>
      <c r="U115" s="4"/>
    </row>
    <row r="116" spans="12:21" x14ac:dyDescent="0.2">
      <c r="L116" s="519"/>
      <c r="M116" s="519"/>
      <c r="N116" s="519"/>
      <c r="O116" s="519"/>
      <c r="P116" s="519"/>
      <c r="Q116" s="519"/>
      <c r="R116" s="519"/>
      <c r="S116" s="519"/>
      <c r="T116" s="519"/>
    </row>
    <row r="117" spans="12:21" x14ac:dyDescent="0.2">
      <c r="L117" s="519"/>
      <c r="M117" s="519"/>
      <c r="N117" s="519"/>
      <c r="O117" s="519"/>
      <c r="P117" s="519"/>
      <c r="Q117" s="519"/>
      <c r="R117" s="519"/>
      <c r="S117" s="519"/>
      <c r="T117" s="519"/>
    </row>
    <row r="118" spans="12:21" x14ac:dyDescent="0.2">
      <c r="L118" s="519"/>
      <c r="M118" s="519"/>
      <c r="N118" s="519"/>
      <c r="O118" s="519"/>
      <c r="P118" s="519"/>
      <c r="Q118" s="519"/>
      <c r="R118" s="519"/>
      <c r="S118" s="519"/>
      <c r="T118" s="519"/>
    </row>
    <row r="119" spans="12:21" x14ac:dyDescent="0.2">
      <c r="L119" s="519"/>
      <c r="M119" s="519"/>
      <c r="N119" s="519"/>
      <c r="O119" s="519"/>
      <c r="P119" s="519"/>
      <c r="Q119" s="519"/>
      <c r="R119" s="519"/>
      <c r="S119" s="519"/>
      <c r="T119" s="519"/>
    </row>
    <row r="120" spans="12:21" x14ac:dyDescent="0.2">
      <c r="L120" s="519"/>
      <c r="M120" s="519"/>
      <c r="N120" s="519"/>
      <c r="O120" s="519"/>
      <c r="P120" s="519"/>
      <c r="Q120" s="519"/>
      <c r="R120" s="519"/>
      <c r="S120" s="519"/>
      <c r="T120" s="519"/>
    </row>
    <row r="121" spans="12:21" x14ac:dyDescent="0.2">
      <c r="L121" s="519"/>
      <c r="M121" s="519"/>
      <c r="N121" s="519"/>
      <c r="O121" s="519"/>
      <c r="P121" s="519"/>
      <c r="Q121" s="519"/>
      <c r="R121" s="519"/>
      <c r="S121" s="519"/>
      <c r="T121" s="519"/>
    </row>
    <row r="122" spans="12:21" x14ac:dyDescent="0.2">
      <c r="L122" s="519"/>
      <c r="M122" s="519"/>
      <c r="N122" s="519"/>
      <c r="O122" s="519"/>
      <c r="P122" s="519"/>
      <c r="Q122" s="519"/>
      <c r="R122" s="519"/>
      <c r="S122" s="519"/>
      <c r="T122" s="519"/>
    </row>
  </sheetData>
  <sheetProtection algorithmName="SHA-512" hashValue="aeD40FTFwXX+XpTXhZnmcuP1TjsvlxcOZRVCa3sA1pq+EuOji0ifk6jE0pIi82JXoaPDOJhmG3lgdIzEHVWNkw==" saltValue="CCgSr7Yo2vvlrRGLJR3wYA==" spinCount="100000" sheet="1" objects="1" scenarios="1"/>
  <mergeCells count="48">
    <mergeCell ref="R63:T63"/>
    <mergeCell ref="L37:O37"/>
    <mergeCell ref="L40:O40"/>
    <mergeCell ref="L41:O41"/>
    <mergeCell ref="L52:T52"/>
    <mergeCell ref="L27:O27"/>
    <mergeCell ref="L29:O29"/>
    <mergeCell ref="L31:O31"/>
    <mergeCell ref="L32:O32"/>
    <mergeCell ref="L35:O35"/>
    <mergeCell ref="L114:P114"/>
    <mergeCell ref="C58:D58"/>
    <mergeCell ref="F63:J63"/>
    <mergeCell ref="B64:C64"/>
    <mergeCell ref="L49:P49"/>
    <mergeCell ref="C50:D50"/>
    <mergeCell ref="C52:D52"/>
    <mergeCell ref="C53:D53"/>
    <mergeCell ref="C54:D54"/>
    <mergeCell ref="C56:D56"/>
    <mergeCell ref="C48:D48"/>
    <mergeCell ref="L10:O11"/>
    <mergeCell ref="B13:C14"/>
    <mergeCell ref="L16:O16"/>
    <mergeCell ref="C17:D17"/>
    <mergeCell ref="O17:R17"/>
    <mergeCell ref="L18:O18"/>
    <mergeCell ref="L19:O19"/>
    <mergeCell ref="C20:D20"/>
    <mergeCell ref="C34:D34"/>
    <mergeCell ref="C40:D40"/>
    <mergeCell ref="B45:D46"/>
    <mergeCell ref="L45:O45"/>
    <mergeCell ref="L46:O46"/>
    <mergeCell ref="L21:O21"/>
    <mergeCell ref="L25:O25"/>
    <mergeCell ref="B7:D7"/>
    <mergeCell ref="Q7:T7"/>
    <mergeCell ref="B8:D8"/>
    <mergeCell ref="G8:J8"/>
    <mergeCell ref="L8:O8"/>
    <mergeCell ref="Q8:T8"/>
    <mergeCell ref="B2:D3"/>
    <mergeCell ref="L2:O3"/>
    <mergeCell ref="G5:J5"/>
    <mergeCell ref="Q5:T5"/>
    <mergeCell ref="B6:D6"/>
    <mergeCell ref="L6:O6"/>
  </mergeCells>
  <conditionalFormatting sqref="Q40">
    <cfRule type="containsText" dxfId="89" priority="3" operator="containsText" text="Net dept-free">
      <formula>NOT(ISERROR(SEARCH("Net dept-free",Q40)))</formula>
    </cfRule>
  </conditionalFormatting>
  <conditionalFormatting sqref="Q22:T22">
    <cfRule type="containsText" dxfId="88" priority="9" operator="containsText" text="Weak">
      <formula>NOT(ISERROR(SEARCH("Weak",Q22)))</formula>
    </cfRule>
    <cfRule type="containsText" dxfId="87" priority="70" operator="containsText" text="Tyydyttävä">
      <formula>NOT(ISERROR(SEARCH("Tyydyttävä",Q22)))</formula>
    </cfRule>
    <cfRule type="containsText" dxfId="86" priority="37" operator="containsText" text="Heikko">
      <formula>NOT(ISERROR(SEARCH("Heikko",Q22)))</formula>
    </cfRule>
    <cfRule type="containsText" dxfId="85" priority="7" operator="containsText" text="Good">
      <formula>NOT(ISERROR(SEARCH("Good",Q22)))</formula>
    </cfRule>
    <cfRule type="containsText" dxfId="84" priority="8" operator="containsText" text="Satisfactory">
      <formula>NOT(ISERROR(SEARCH("Satisfactory",Q22)))</formula>
    </cfRule>
    <cfRule type="containsText" dxfId="83" priority="80" operator="containsText" text="Heikko">
      <formula>NOT(ISERROR(SEARCH("Heikko",Q22)))</formula>
    </cfRule>
    <cfRule type="containsText" dxfId="82" priority="33" operator="containsText" text="Hyvä">
      <formula>NOT(ISERROR(SEARCH("Hyvä",Q22)))</formula>
    </cfRule>
    <cfRule type="containsText" dxfId="81" priority="35" operator="containsText" text="Tyydyttävä">
      <formula>NOT(ISERROR(SEARCH("Tyydyttävä",Q22)))</formula>
    </cfRule>
    <cfRule type="containsText" dxfId="80" priority="34" operator="containsText" text="Heikko">
      <formula>NOT(ISERROR(SEARCH("Heikko",Q22)))</formula>
    </cfRule>
    <cfRule type="containsText" dxfId="79" priority="36" operator="containsText" text="Hyvä">
      <formula>NOT(ISERROR(SEARCH("Hyvä",Q22)))</formula>
    </cfRule>
    <cfRule type="containsText" dxfId="78" priority="32" operator="containsText" text="Tyydyttävä">
      <formula>NOT(ISERROR(SEARCH("Tyydyttävä",Q22)))</formula>
    </cfRule>
    <cfRule type="containsText" dxfId="77" priority="79" operator="containsText" text="Hyvä">
      <formula>NOT(ISERROR(SEARCH("Hyvä",Q22)))</formula>
    </cfRule>
    <cfRule type="containsText" dxfId="76" priority="78" operator="containsText" text="Tyydyttävä">
      <formula>NOT(ISERROR(SEARCH("Tyydyttävä",Q22)))</formula>
    </cfRule>
    <cfRule type="containsText" dxfId="75" priority="77" operator="containsText" text="Hyvä">
      <formula>NOT(ISERROR(SEARCH("Hyvä",Q22)))</formula>
    </cfRule>
    <cfRule type="containsText" dxfId="74" priority="74" operator="containsText" text="Heikko">
      <formula>NOT(ISERROR(SEARCH("Heikko",Q22)))</formula>
    </cfRule>
  </conditionalFormatting>
  <conditionalFormatting sqref="Q28:T28">
    <cfRule type="containsText" dxfId="73" priority="24" operator="containsText" text="Satisfactory">
      <formula>NOT(ISERROR(SEARCH("Satisfactory",Q28)))</formula>
    </cfRule>
    <cfRule type="containsText" dxfId="72" priority="23" operator="containsText" text="Good">
      <formula>NOT(ISERROR(SEARCH("Good",Q28)))</formula>
    </cfRule>
    <cfRule type="containsText" dxfId="71" priority="25" operator="containsText" text="Weak">
      <formula>NOT(ISERROR(SEARCH("Weak",Q28)))</formula>
    </cfRule>
  </conditionalFormatting>
  <conditionalFormatting sqref="Q30:T30">
    <cfRule type="containsText" dxfId="70" priority="26" operator="containsText" text="Goog">
      <formula>NOT(ISERROR(SEARCH("Goog",Q30)))</formula>
    </cfRule>
    <cfRule type="containsText" dxfId="69" priority="22" operator="containsText" text="Weak">
      <formula>NOT(ISERROR(SEARCH("Weak",Q30)))</formula>
    </cfRule>
    <cfRule type="containsText" dxfId="68" priority="51" operator="containsText" text="Hyvä">
      <formula>NOT(ISERROR(SEARCH("Hyvä",Q30)))</formula>
    </cfRule>
    <cfRule type="containsText" dxfId="67" priority="52" operator="containsText" text="Tyydyttävä">
      <formula>NOT(ISERROR(SEARCH("Tyydyttävä",Q30)))</formula>
    </cfRule>
    <cfRule type="containsText" dxfId="66" priority="53" operator="containsText" text="Heikko">
      <formula>NOT(ISERROR(SEARCH("Heikko",Q30)))</formula>
    </cfRule>
    <cfRule type="containsText" dxfId="65" priority="21" operator="containsText" text="Satisfactory">
      <formula>NOT(ISERROR(SEARCH("Satisfactory",Q30)))</formula>
    </cfRule>
    <cfRule type="containsText" dxfId="64" priority="64" operator="containsText" text="Tyydyttävä">
      <formula>NOT(ISERROR(SEARCH("Tyydyttävä",Q30)))</formula>
    </cfRule>
    <cfRule type="containsText" dxfId="63" priority="65" operator="containsText" text="Heikko">
      <formula>NOT(ISERROR(SEARCH("Heikko",Q30)))</formula>
    </cfRule>
    <cfRule type="containsText" dxfId="62" priority="20" operator="containsText" text="Good">
      <formula>NOT(ISERROR(SEARCH("Good",Q30)))</formula>
    </cfRule>
    <cfRule type="containsText" dxfId="61" priority="63" operator="containsText" text="Hyvä">
      <formula>NOT(ISERROR(SEARCH("Hyvä",Q30)))</formula>
    </cfRule>
  </conditionalFormatting>
  <conditionalFormatting sqref="Q33:T33">
    <cfRule type="containsText" dxfId="60" priority="16" operator="containsText" text="Good">
      <formula>NOT(ISERROR(SEARCH("Good",Q33)))</formula>
    </cfRule>
    <cfRule type="containsText" dxfId="59" priority="48" operator="containsText" text="Hyvä">
      <formula>NOT(ISERROR(SEARCH("Hyvä",Q33)))</formula>
    </cfRule>
    <cfRule type="containsText" dxfId="58" priority="49" operator="containsText" text="Tyydyttävä">
      <formula>NOT(ISERROR(SEARCH("Tyydyttävä",Q33)))</formula>
    </cfRule>
    <cfRule type="containsText" dxfId="57" priority="50" operator="containsText" text="Heikko">
      <formula>NOT(ISERROR(SEARCH("Heikko",Q33)))</formula>
    </cfRule>
    <cfRule type="containsText" dxfId="56" priority="17" operator="containsText" text="Weak">
      <formula>NOT(ISERROR(SEARCH("Weak",Q33)))</formula>
    </cfRule>
    <cfRule type="containsText" dxfId="55" priority="19" operator="containsText" text="Weak">
      <formula>NOT(ISERROR(SEARCH("Weak",Q33)))</formula>
    </cfRule>
    <cfRule type="containsText" dxfId="54" priority="18" operator="containsText" text="Satisfactory">
      <formula>NOT(ISERROR(SEARCH("Satisfactory",Q33)))</formula>
    </cfRule>
  </conditionalFormatting>
  <conditionalFormatting sqref="Q36:T36">
    <cfRule type="containsText" dxfId="53" priority="13" operator="containsText" text="Good">
      <formula>NOT(ISERROR(SEARCH("Good",Q36)))</formula>
    </cfRule>
    <cfRule type="containsText" dxfId="52" priority="14" operator="containsText" text="Satisfactory">
      <formula>NOT(ISERROR(SEARCH("Satisfactory",Q36)))</formula>
    </cfRule>
    <cfRule type="containsText" dxfId="51" priority="15" operator="containsText" text="Weak">
      <formula>NOT(ISERROR(SEARCH("Weak",Q36)))</formula>
    </cfRule>
    <cfRule type="containsText" dxfId="50" priority="45" operator="containsText" text="Hyvä">
      <formula>NOT(ISERROR(SEARCH("Hyvä",Q36)))</formula>
    </cfRule>
    <cfRule type="containsText" dxfId="49" priority="46" operator="containsText" text="Tyydyttävä">
      <formula>NOT(ISERROR(SEARCH("Tyydyttävä",Q36)))</formula>
    </cfRule>
    <cfRule type="containsText" dxfId="48" priority="47" operator="containsText" text="Heikko">
      <formula>NOT(ISERROR(SEARCH("Heikko",Q36)))</formula>
    </cfRule>
  </conditionalFormatting>
  <conditionalFormatting sqref="Q38:T38">
    <cfRule type="containsText" dxfId="47" priority="2" operator="containsText" text="Net dept-free">
      <formula>NOT(ISERROR(SEARCH("Net dept-free",Q38)))</formula>
    </cfRule>
    <cfRule type="containsText" dxfId="46" priority="10" operator="containsText" text="Good">
      <formula>NOT(ISERROR(SEARCH("Good",Q38)))</formula>
    </cfRule>
    <cfRule type="containsText" dxfId="45" priority="1" operator="containsText" text="Weak">
      <formula>NOT(ISERROR(SEARCH("Weak",Q38)))</formula>
    </cfRule>
  </conditionalFormatting>
  <conditionalFormatting sqref="R38">
    <cfRule type="containsText" dxfId="44" priority="5" operator="containsText" text="Weak">
      <formula>NOT(ISERROR(SEARCH("Weak",R38)))</formula>
    </cfRule>
  </conditionalFormatting>
  <conditionalFormatting sqref="R22:T22">
    <cfRule type="containsText" dxfId="43" priority="71" operator="containsText" text="Hyvä">
      <formula>NOT(ISERROR(SEARCH("Hyvä",R22)))</formula>
    </cfRule>
  </conditionalFormatting>
  <conditionalFormatting sqref="S22:T22">
    <cfRule type="containsText" dxfId="42" priority="68" operator="containsText" text="Heikko">
      <formula>NOT(ISERROR(SEARCH("Heikko",S22)))</formula>
    </cfRule>
  </conditionalFormatting>
  <conditionalFormatting sqref="T22">
    <cfRule type="containsText" dxfId="41" priority="66" operator="containsText" text="Hyvä">
      <formula>NOT(ISERROR(SEARCH("Hyvä",T22)))</formula>
    </cfRule>
    <cfRule type="containsText" dxfId="40" priority="67" operator="containsText" text="Tyydyttävä">
      <formula>NOT(ISERROR(SEARCH("Tyydyttävä",T22)))</formula>
    </cfRule>
  </conditionalFormatting>
  <printOptions horizontalCentered="1"/>
  <pageMargins left="0.25" right="0.25" top="0.75" bottom="0.75" header="0.3" footer="0.3"/>
  <pageSetup paperSize="9" scale="94" orientation="portrait" verticalDpi="4" r:id="rId1"/>
  <colBreaks count="1" manualBreakCount="1">
    <brk id="10" min="1"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17</vt:i4>
      </vt:variant>
    </vt:vector>
  </HeadingPairs>
  <TitlesOfParts>
    <vt:vector size="32" baseType="lpstr">
      <vt:lpstr>Front Page</vt:lpstr>
      <vt:lpstr>1. T1 INVESTMENT PLAN</vt:lpstr>
      <vt:lpstr>2. T7 LOANS</vt:lpstr>
      <vt:lpstr>3. E1 OPERATING COSTS</vt:lpstr>
      <vt:lpstr>4. E2 TURNOVER</vt:lpstr>
      <vt:lpstr>AT Kassa</vt:lpstr>
      <vt:lpstr>AT1 Avustus, alv</vt:lpstr>
      <vt:lpstr>AT2 Lainat, alv</vt:lpstr>
      <vt:lpstr>5. T4 FINANCING PLAN</vt:lpstr>
      <vt:lpstr>6. T3 BALANCE SHEET </vt:lpstr>
      <vt:lpstr>7. T2 RESULT BUDGET </vt:lpstr>
      <vt:lpstr>8. T5 CASH BUDGET</vt:lpstr>
      <vt:lpstr>PRINT</vt:lpstr>
      <vt:lpstr>Tulostussivu</vt:lpstr>
      <vt:lpstr>Kaaviot</vt:lpstr>
      <vt:lpstr>_3_2012</vt:lpstr>
      <vt:lpstr>'3. E1 OPERATING COSTS'!Teksti37</vt:lpstr>
      <vt:lpstr>'3. E1 OPERATING COSTS'!Teksti38</vt:lpstr>
      <vt:lpstr>'3. E1 OPERATING COSTS'!Teksti39</vt:lpstr>
      <vt:lpstr>'1. T1 INVESTMENT PLAN'!Tulostusalue</vt:lpstr>
      <vt:lpstr>'2. T7 LOANS'!Tulostusalue</vt:lpstr>
      <vt:lpstr>'3. E1 OPERATING COSTS'!Tulostusalue</vt:lpstr>
      <vt:lpstr>'4. E2 TURNOVER'!Tulostusalue</vt:lpstr>
      <vt:lpstr>'5. T4 FINANCING PLAN'!Tulostusalue</vt:lpstr>
      <vt:lpstr>'6. T3 BALANCE SHEET '!Tulostusalue</vt:lpstr>
      <vt:lpstr>'7. T2 RESULT BUDGET '!Tulostusalue</vt:lpstr>
      <vt:lpstr>'8. T5 CASH BUDGET'!Tulostusalue</vt:lpstr>
      <vt:lpstr>'Front Page'!Tulostusalue</vt:lpstr>
      <vt:lpstr>PRINT!Tulostusalue</vt:lpstr>
      <vt:lpstr>Tulostussivu!Tulostusalue</vt:lpstr>
      <vt:lpstr>'3. E1 OPERATING COSTS'!Tulostusotsikot</vt:lpstr>
      <vt:lpstr>'6. T3 BALANCE SHEET '!Tulostusotsikot</vt:lpstr>
    </vt:vector>
  </TitlesOfParts>
  <Company>BusinessPilot | 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BP6 Financial Projection</dc:title>
  <dc:creator>Yritystulkki</dc:creator>
  <cp:lastModifiedBy>yritysTULKKI</cp:lastModifiedBy>
  <cp:lastPrinted>2026-04-27T09:36:59Z</cp:lastPrinted>
  <dcterms:created xsi:type="dcterms:W3CDTF">2006-08-01T10:09:48Z</dcterms:created>
  <dcterms:modified xsi:type="dcterms:W3CDTF">2026-05-16T09:28:20Z</dcterms:modified>
</cp:coreProperties>
</file>