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6 TOUKO2 260519\"/>
    </mc:Choice>
  </mc:AlternateContent>
  <xr:revisionPtr revIDLastSave="0" documentId="13_ncr:1_{D23776AA-174C-4FCA-9129-635A26D5FF62}" xr6:coauthVersionLast="47" xr6:coauthVersionMax="47" xr10:uidLastSave="{00000000-0000-0000-0000-000000000000}"/>
  <workbookProtection workbookAlgorithmName="SHA-512" workbookHashValue="joWDZOSdXi03uMqlkrD95RrGxej8V5CCP1MRNWz6pNPZyIwNRFlyiETtJqKE0eIItu8vqcB+M8wPj+Juk12sbA==" workbookSaltValue="MWiWlOPLFplNzNpRsAmizg==" workbookSpinCount="100000" lockStructure="1"/>
  <bookViews>
    <workbookView xWindow="17895" yWindow="0" windowWidth="34605" windowHeight="20985" tabRatio="717" xr2:uid="{AAC73C03-FFDC-4DAF-AFAE-6D2751798E04}"/>
  </bookViews>
  <sheets>
    <sheet name="OHJE" sheetId="31" r:id="rId1"/>
    <sheet name="1. T1 INVESTOINTISUUN." sheetId="26" r:id="rId2"/>
    <sheet name="2. T7 LAINAT" sheetId="28" r:id="rId3"/>
    <sheet name="3. E1 KUSTANNUKSET" sheetId="1" r:id="rId4"/>
    <sheet name="4. E2 LIIKEVAIHTO" sheetId="2" r:id="rId5"/>
    <sheet name="5. T4 RAHOITUSSUUN." sheetId="36" r:id="rId6"/>
    <sheet name="6. T3 TASE" sheetId="32" r:id="rId7"/>
    <sheet name="7. T2 TULOSSUUN." sheetId="20" r:id="rId8"/>
    <sheet name="8. T5 KASSABUDJETTI" sheetId="30" r:id="rId9"/>
    <sheet name="AT Kassa" sheetId="33" state="hidden" r:id="rId10"/>
    <sheet name="AT1 Avustus, alv" sheetId="22" state="hidden" r:id="rId11"/>
    <sheet name="AT2 Lainat, alv" sheetId="29" state="hidden" r:id="rId12"/>
    <sheet name="Tulostussivu" sheetId="34" r:id="rId13"/>
    <sheet name="Financial Projection" sheetId="37" state="hidden" r:id="rId14"/>
    <sheet name="Kaaviot" sheetId="35" state="hidden" r:id="rId15"/>
  </sheets>
  <externalReferences>
    <externalReference r:id="rId16"/>
  </externalReferences>
  <definedNames>
    <definedName name="_3_2010" localSheetId="5">'[1]3. E1 KUSTANNUKSET'!#REF!</definedName>
    <definedName name="_3_2010">'3. E1 KUSTANNUKSET'!#REF!</definedName>
    <definedName name="_3_2012">'3. E1 KUSTANNUKSET'!$F$8</definedName>
    <definedName name="Rahapalkat__TyEL_työntekijät" localSheetId="5">'[1]3. E1 KUSTANNUKSET'!#REF!</definedName>
    <definedName name="Rahapalkat__TyEL_työntekijät">'3. E1 KUSTANNUKSET'!#REF!</definedName>
    <definedName name="Teksti37" localSheetId="3">'3. E1 KUSTANNUKSET'!$D$6</definedName>
    <definedName name="Teksti38" localSheetId="3">'3. E1 KUSTANNUKSET'!$D$8</definedName>
    <definedName name="Teksti39" localSheetId="3">'3. E1 KUSTANNUKSET'!$F$8</definedName>
    <definedName name="Teksti39">#REF!</definedName>
    <definedName name="_xlnm.Print_Area" localSheetId="1">'1. T1 INVESTOINTISUUN.'!$B$3:$S$67</definedName>
    <definedName name="_xlnm.Print_Area" localSheetId="2">'2. T7 LAINAT'!$B$2:$Q$51</definedName>
    <definedName name="_xlnm.Print_Area" localSheetId="3">'3. E1 KUSTANNUKSET'!$B$2:$X$132</definedName>
    <definedName name="_xlnm.Print_Area" localSheetId="4">'4. E2 LIIKEVAIHTO'!$B$2:$V$80</definedName>
    <definedName name="_xlnm.Print_Area" localSheetId="5">'5. T4 RAHOITUSSUUN.'!$B$2:$T$63</definedName>
    <definedName name="_xlnm.Print_Area" localSheetId="6">'6. T3 TASE'!$B$2:$S$101</definedName>
    <definedName name="_xlnm.Print_Area" localSheetId="7">'7. T2 TULOSSUUN.'!$B$2:$AD$35</definedName>
    <definedName name="_xlnm.Print_Area" localSheetId="8">'8. T5 KASSABUDJETTI'!$B$6:$BR$117</definedName>
    <definedName name="_xlnm.Print_Area" localSheetId="13">'Financial Projection'!$B$1:$R$338</definedName>
    <definedName name="_xlnm.Print_Area" localSheetId="0">OHJE!$A$2:$F$22</definedName>
    <definedName name="_xlnm.Print_Area" localSheetId="12">Tulostussivu!$B$2:$R$324</definedName>
    <definedName name="_xlnm.Print_Titles" localSheetId="3">'3. E1 KUSTANNUKSET'!$2:$9</definedName>
    <definedName name="_xlnm.Print_Titles" localSheetId="6">'6. T3 TASE'!$2:$9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7" i="32" l="1"/>
  <c r="I77" i="32"/>
  <c r="H77" i="32"/>
  <c r="G77" i="32"/>
  <c r="Q40" i="28"/>
  <c r="N40" i="28"/>
  <c r="K40" i="28"/>
  <c r="H40" i="28"/>
  <c r="P31" i="28" l="1"/>
  <c r="P30" i="28"/>
  <c r="P29" i="28"/>
  <c r="P28" i="28"/>
  <c r="M26" i="28"/>
  <c r="M25" i="28"/>
  <c r="M24" i="28"/>
  <c r="M23" i="28"/>
  <c r="P21" i="28"/>
  <c r="P20" i="28"/>
  <c r="P19" i="28"/>
  <c r="M16" i="28"/>
  <c r="M15" i="28"/>
  <c r="M14" i="28"/>
  <c r="G13" i="28"/>
  <c r="G14" i="28"/>
  <c r="J19" i="28"/>
  <c r="J20" i="28"/>
  <c r="J21" i="28"/>
  <c r="J18" i="28"/>
  <c r="G15" i="28"/>
  <c r="G16" i="28"/>
  <c r="F12" i="1"/>
  <c r="D12" i="1"/>
  <c r="AN26" i="30"/>
  <c r="AG26" i="30"/>
  <c r="Z26" i="30"/>
  <c r="F25" i="1"/>
  <c r="Q81" i="37"/>
  <c r="O81" i="37"/>
  <c r="M81" i="37"/>
  <c r="K81" i="37"/>
  <c r="AK25" i="30" l="1"/>
  <c r="AR25" i="30"/>
  <c r="AS25" i="30"/>
  <c r="AA26" i="30"/>
  <c r="AC26" i="30"/>
  <c r="AH26" i="30"/>
  <c r="AJ26" i="30"/>
  <c r="AO26" i="30"/>
  <c r="AQ26" i="30"/>
  <c r="AK86" i="30"/>
  <c r="AR86" i="30"/>
  <c r="AS86" i="30"/>
  <c r="AC87" i="30"/>
  <c r="AJ87" i="30"/>
  <c r="AQ87" i="30"/>
  <c r="E80" i="30"/>
  <c r="Q37" i="33" s="1"/>
  <c r="J13" i="28"/>
  <c r="D24" i="1"/>
  <c r="AP26" i="30" s="1"/>
  <c r="AS26" i="30" s="1"/>
  <c r="D17" i="1"/>
  <c r="B38" i="30"/>
  <c r="B39" i="30" s="1"/>
  <c r="B40" i="30" s="1"/>
  <c r="B41" i="30" s="1"/>
  <c r="B42" i="30" s="1"/>
  <c r="B43" i="30" s="1"/>
  <c r="B44" i="30" s="1"/>
  <c r="B45" i="30" s="1"/>
  <c r="Q14" i="28"/>
  <c r="P14" i="28"/>
  <c r="J16" i="28"/>
  <c r="P16" i="28" s="1"/>
  <c r="J15" i="28"/>
  <c r="J14" i="28"/>
  <c r="P15" i="28"/>
  <c r="M18" i="28"/>
  <c r="P18" i="28" s="1"/>
  <c r="M19" i="28"/>
  <c r="M13" i="28" l="1"/>
  <c r="P13" i="28" s="1"/>
  <c r="AT26" i="30"/>
  <c r="AR26" i="30"/>
  <c r="AB26" i="30"/>
  <c r="AI26" i="30"/>
  <c r="S91" i="30"/>
  <c r="F36" i="26"/>
  <c r="G98" i="30" s="1"/>
  <c r="F33" i="26"/>
  <c r="J53" i="37"/>
  <c r="H53" i="37"/>
  <c r="K52" i="26"/>
  <c r="G27" i="30"/>
  <c r="G42" i="30"/>
  <c r="C30" i="37"/>
  <c r="C28" i="37"/>
  <c r="C26" i="37"/>
  <c r="C24" i="37"/>
  <c r="C22" i="37"/>
  <c r="C20" i="37"/>
  <c r="C30" i="34"/>
  <c r="C28" i="34"/>
  <c r="C24" i="34"/>
  <c r="C22" i="34"/>
  <c r="C20" i="34"/>
  <c r="H28" i="26"/>
  <c r="G28" i="26"/>
  <c r="F28" i="26"/>
  <c r="H22" i="26"/>
  <c r="G22" i="26"/>
  <c r="F22" i="26"/>
  <c r="AD26" i="30" l="1"/>
  <c r="AX26" i="30"/>
  <c r="U32" i="30" s="1"/>
  <c r="G32" i="30" s="1"/>
  <c r="H32" i="30" s="1"/>
  <c r="I32" i="30" s="1"/>
  <c r="J32" i="30" s="1"/>
  <c r="K32" i="30" s="1"/>
  <c r="L32" i="30" s="1"/>
  <c r="M32" i="30" s="1"/>
  <c r="N32" i="30" s="1"/>
  <c r="O32" i="30" s="1"/>
  <c r="P32" i="30" s="1"/>
  <c r="Q32" i="30" s="1"/>
  <c r="R32" i="30" s="1"/>
  <c r="AF26" i="30"/>
  <c r="AK26" i="30"/>
  <c r="AL26" i="30"/>
  <c r="AY26" i="30"/>
  <c r="U34" i="30" s="1"/>
  <c r="G33" i="26"/>
  <c r="H33" i="26" s="1"/>
  <c r="G83" i="30"/>
  <c r="G36" i="26"/>
  <c r="H36" i="26" s="1"/>
  <c r="D55" i="1"/>
  <c r="H93" i="32"/>
  <c r="F126" i="1"/>
  <c r="G34" i="30" l="1"/>
  <c r="H34" i="30"/>
  <c r="I36" i="30" s="1"/>
  <c r="J34" i="30"/>
  <c r="K36" i="30" s="1"/>
  <c r="K34" i="30"/>
  <c r="L34" i="30"/>
  <c r="M34" i="30"/>
  <c r="N34" i="30"/>
  <c r="O34" i="30"/>
  <c r="P34" i="30"/>
  <c r="Q34" i="30"/>
  <c r="R34" i="30"/>
  <c r="I34" i="30"/>
  <c r="J36" i="30" s="1"/>
  <c r="AU26" i="30"/>
  <c r="AV26" i="30"/>
  <c r="AM26" i="30"/>
  <c r="AW26" i="30" s="1"/>
  <c r="L35" i="22"/>
  <c r="H36" i="30" l="1"/>
  <c r="L36" i="30"/>
  <c r="F84" i="30"/>
  <c r="E57" i="29"/>
  <c r="B11" i="34" l="1"/>
  <c r="M36" i="30" l="1"/>
  <c r="F16" i="2"/>
  <c r="M19" i="2"/>
  <c r="N19" i="2" s="1"/>
  <c r="M25" i="2"/>
  <c r="N25" i="2" s="1"/>
  <c r="N113" i="1"/>
  <c r="O113" i="1"/>
  <c r="F113" i="1"/>
  <c r="E59" i="29"/>
  <c r="E60" i="29" s="1"/>
  <c r="E58" i="29"/>
  <c r="D111" i="1"/>
  <c r="T62" i="36"/>
  <c r="X62" i="36"/>
  <c r="H75" i="30"/>
  <c r="I75" i="30"/>
  <c r="J75" i="30"/>
  <c r="K75" i="30"/>
  <c r="L75" i="30"/>
  <c r="N75" i="30"/>
  <c r="O75" i="30"/>
  <c r="P75" i="30"/>
  <c r="Q75" i="30"/>
  <c r="R75" i="30"/>
  <c r="G75" i="30"/>
  <c r="H19" i="30"/>
  <c r="I19" i="30"/>
  <c r="J19" i="30"/>
  <c r="K19" i="30"/>
  <c r="L19" i="30"/>
  <c r="N19" i="30"/>
  <c r="O19" i="30"/>
  <c r="P19" i="30"/>
  <c r="Q19" i="30"/>
  <c r="R19" i="30"/>
  <c r="G19" i="30"/>
  <c r="H113" i="1" l="1"/>
  <c r="G59" i="29"/>
  <c r="G60" i="29" s="1"/>
  <c r="I12" i="20"/>
  <c r="N36" i="30" l="1"/>
  <c r="I59" i="29"/>
  <c r="I60" i="29" s="1"/>
  <c r="J113" i="1"/>
  <c r="K59" i="29" s="1"/>
  <c r="K60" i="29" s="1"/>
  <c r="B337" i="37" l="1"/>
  <c r="B251" i="37"/>
  <c r="B165" i="37"/>
  <c r="Q88" i="37"/>
  <c r="O88" i="37"/>
  <c r="M88" i="37"/>
  <c r="K88" i="37"/>
  <c r="C46" i="37"/>
  <c r="O36" i="30" l="1"/>
  <c r="H32" i="34"/>
  <c r="I32" i="34"/>
  <c r="J32" i="34"/>
  <c r="G32" i="34"/>
  <c r="H32" i="37" l="1"/>
  <c r="I32" i="37"/>
  <c r="J32" i="37"/>
  <c r="G32" i="37"/>
  <c r="B338" i="37"/>
  <c r="B252" i="37"/>
  <c r="R228" i="37"/>
  <c r="O228" i="37"/>
  <c r="L228" i="37"/>
  <c r="I228" i="37"/>
  <c r="F228" i="37"/>
  <c r="R227" i="37"/>
  <c r="O227" i="37"/>
  <c r="L227" i="37"/>
  <c r="I227" i="37"/>
  <c r="F227" i="37"/>
  <c r="D227" i="37"/>
  <c r="F225" i="37"/>
  <c r="F223" i="37"/>
  <c r="D223" i="37"/>
  <c r="O220" i="37"/>
  <c r="N220" i="37"/>
  <c r="M220" i="37"/>
  <c r="L220" i="37"/>
  <c r="K220" i="37"/>
  <c r="J220" i="37"/>
  <c r="I220" i="37"/>
  <c r="H220" i="37"/>
  <c r="G220" i="37"/>
  <c r="F220" i="37"/>
  <c r="E220" i="37"/>
  <c r="D220" i="37"/>
  <c r="B220" i="37"/>
  <c r="P219" i="37"/>
  <c r="L219" i="37"/>
  <c r="K219" i="37"/>
  <c r="J219" i="37"/>
  <c r="I219" i="37"/>
  <c r="H219" i="37"/>
  <c r="G219" i="37"/>
  <c r="F219" i="37"/>
  <c r="E219" i="37"/>
  <c r="D219" i="37"/>
  <c r="B219" i="37"/>
  <c r="P218" i="37"/>
  <c r="M218" i="37"/>
  <c r="I218" i="37"/>
  <c r="H218" i="37"/>
  <c r="G218" i="37"/>
  <c r="F218" i="37"/>
  <c r="E218" i="37"/>
  <c r="D218" i="37"/>
  <c r="B218" i="37"/>
  <c r="P217" i="37"/>
  <c r="M217" i="37"/>
  <c r="J217" i="37"/>
  <c r="F217" i="37"/>
  <c r="E217" i="37"/>
  <c r="D217" i="37"/>
  <c r="B217" i="37"/>
  <c r="Q214" i="37"/>
  <c r="O214" i="37"/>
  <c r="N214" i="37"/>
  <c r="M214" i="37"/>
  <c r="L214" i="37"/>
  <c r="K214" i="37"/>
  <c r="J214" i="37"/>
  <c r="I214" i="37"/>
  <c r="H214" i="37"/>
  <c r="G214" i="37"/>
  <c r="F214" i="37"/>
  <c r="E214" i="37"/>
  <c r="D214" i="37"/>
  <c r="B214" i="37"/>
  <c r="Q213" i="37"/>
  <c r="O213" i="37"/>
  <c r="N213" i="37"/>
  <c r="M213" i="37"/>
  <c r="L213" i="37"/>
  <c r="K213" i="37"/>
  <c r="J213" i="37"/>
  <c r="I213" i="37"/>
  <c r="H213" i="37"/>
  <c r="G213" i="37"/>
  <c r="F213" i="37"/>
  <c r="E213" i="37"/>
  <c r="D213" i="37"/>
  <c r="B213" i="37"/>
  <c r="Q212" i="37"/>
  <c r="O212" i="37"/>
  <c r="N212" i="37"/>
  <c r="M212" i="37"/>
  <c r="L212" i="37"/>
  <c r="K212" i="37"/>
  <c r="J212" i="37"/>
  <c r="I212" i="37"/>
  <c r="H212" i="37"/>
  <c r="G212" i="37"/>
  <c r="F212" i="37"/>
  <c r="E212" i="37"/>
  <c r="D212" i="37"/>
  <c r="B212" i="37"/>
  <c r="Q211" i="37"/>
  <c r="O211" i="37"/>
  <c r="N211" i="37"/>
  <c r="M211" i="37"/>
  <c r="L211" i="37"/>
  <c r="K211" i="37"/>
  <c r="J211" i="37"/>
  <c r="I211" i="37"/>
  <c r="H211" i="37"/>
  <c r="G211" i="37"/>
  <c r="F211" i="37"/>
  <c r="E211" i="37"/>
  <c r="D211" i="37"/>
  <c r="B211" i="37"/>
  <c r="P209" i="37"/>
  <c r="N209" i="37"/>
  <c r="L209" i="37"/>
  <c r="K209" i="37"/>
  <c r="J209" i="37"/>
  <c r="I209" i="37"/>
  <c r="H209" i="37"/>
  <c r="G209" i="37"/>
  <c r="F209" i="37"/>
  <c r="E209" i="37"/>
  <c r="D209" i="37"/>
  <c r="B209" i="37"/>
  <c r="P208" i="37"/>
  <c r="N208" i="37"/>
  <c r="L208" i="37"/>
  <c r="K208" i="37"/>
  <c r="J208" i="37"/>
  <c r="I208" i="37"/>
  <c r="H208" i="37"/>
  <c r="G208" i="37"/>
  <c r="F208" i="37"/>
  <c r="E208" i="37"/>
  <c r="D208" i="37"/>
  <c r="B208" i="37"/>
  <c r="P207" i="37"/>
  <c r="N207" i="37"/>
  <c r="L207" i="37"/>
  <c r="K207" i="37"/>
  <c r="J207" i="37"/>
  <c r="I207" i="37"/>
  <c r="H207" i="37"/>
  <c r="G207" i="37"/>
  <c r="F207" i="37"/>
  <c r="E207" i="37"/>
  <c r="D207" i="37"/>
  <c r="B207" i="37"/>
  <c r="P206" i="37"/>
  <c r="N206" i="37"/>
  <c r="L206" i="37"/>
  <c r="K206" i="37"/>
  <c r="J206" i="37"/>
  <c r="I206" i="37"/>
  <c r="H206" i="37"/>
  <c r="G206" i="37"/>
  <c r="F206" i="37"/>
  <c r="E206" i="37"/>
  <c r="D206" i="37"/>
  <c r="B206" i="37"/>
  <c r="P204" i="37"/>
  <c r="M204" i="37"/>
  <c r="K204" i="37"/>
  <c r="I204" i="37"/>
  <c r="H204" i="37"/>
  <c r="G204" i="37"/>
  <c r="F204" i="37"/>
  <c r="E204" i="37"/>
  <c r="D204" i="37"/>
  <c r="B204" i="37"/>
  <c r="P203" i="37"/>
  <c r="M203" i="37"/>
  <c r="K203" i="37"/>
  <c r="I203" i="37"/>
  <c r="H203" i="37"/>
  <c r="G203" i="37"/>
  <c r="F203" i="37"/>
  <c r="E203" i="37"/>
  <c r="D203" i="37"/>
  <c r="B203" i="37"/>
  <c r="P202" i="37"/>
  <c r="N202" i="37"/>
  <c r="M202" i="37"/>
  <c r="K202" i="37"/>
  <c r="I202" i="37"/>
  <c r="H202" i="37"/>
  <c r="G202" i="37"/>
  <c r="F202" i="37"/>
  <c r="E202" i="37"/>
  <c r="D202" i="37"/>
  <c r="B202" i="37"/>
  <c r="P201" i="37"/>
  <c r="N201" i="37"/>
  <c r="M201" i="37"/>
  <c r="K201" i="37"/>
  <c r="I201" i="37"/>
  <c r="H201" i="37"/>
  <c r="G201" i="37"/>
  <c r="F201" i="37"/>
  <c r="E201" i="37"/>
  <c r="D201" i="37"/>
  <c r="B201" i="37"/>
  <c r="P199" i="37"/>
  <c r="M199" i="37"/>
  <c r="J199" i="37"/>
  <c r="H199" i="37"/>
  <c r="F199" i="37"/>
  <c r="E199" i="37"/>
  <c r="D199" i="37"/>
  <c r="B199" i="37"/>
  <c r="P198" i="37"/>
  <c r="M198" i="37"/>
  <c r="J198" i="37"/>
  <c r="H198" i="37"/>
  <c r="F198" i="37"/>
  <c r="E198" i="37"/>
  <c r="D198" i="37"/>
  <c r="B198" i="37"/>
  <c r="P197" i="37"/>
  <c r="M197" i="37"/>
  <c r="J197" i="37"/>
  <c r="H197" i="37"/>
  <c r="F197" i="37"/>
  <c r="E197" i="37"/>
  <c r="D197" i="37"/>
  <c r="B197" i="37"/>
  <c r="P196" i="37"/>
  <c r="M196" i="37"/>
  <c r="J196" i="37"/>
  <c r="H196" i="37"/>
  <c r="F196" i="37"/>
  <c r="E196" i="37"/>
  <c r="D196" i="37"/>
  <c r="B196" i="37"/>
  <c r="Q185" i="37"/>
  <c r="O185" i="37"/>
  <c r="M185" i="37"/>
  <c r="K185" i="37"/>
  <c r="K183" i="37"/>
  <c r="Q181" i="37"/>
  <c r="O181" i="37"/>
  <c r="M181" i="37"/>
  <c r="K181" i="37"/>
  <c r="Q178" i="37"/>
  <c r="O178" i="37"/>
  <c r="M178" i="37"/>
  <c r="K178" i="37"/>
  <c r="K177" i="37"/>
  <c r="B166" i="37"/>
  <c r="Q160" i="37"/>
  <c r="O160" i="37"/>
  <c r="M160" i="37"/>
  <c r="K159" i="37"/>
  <c r="K158" i="37"/>
  <c r="Q155" i="37"/>
  <c r="O155" i="37"/>
  <c r="M155" i="37"/>
  <c r="K155" i="37"/>
  <c r="K154" i="37"/>
  <c r="K153" i="37"/>
  <c r="K152" i="37"/>
  <c r="K151" i="37"/>
  <c r="K127" i="37"/>
  <c r="Q124" i="37"/>
  <c r="O124" i="37"/>
  <c r="M124" i="37"/>
  <c r="K124" i="37"/>
  <c r="Q119" i="37"/>
  <c r="O119" i="37"/>
  <c r="M119" i="37"/>
  <c r="K119" i="37"/>
  <c r="K114" i="37"/>
  <c r="Q110" i="37"/>
  <c r="Q135" i="37" s="1"/>
  <c r="Q172" i="37" s="1"/>
  <c r="O110" i="37"/>
  <c r="O135" i="37" s="1"/>
  <c r="O172" i="37" s="1"/>
  <c r="M110" i="37"/>
  <c r="M135" i="37" s="1"/>
  <c r="M172" i="37" s="1"/>
  <c r="K110" i="37"/>
  <c r="K135" i="37" s="1"/>
  <c r="K172" i="37" s="1"/>
  <c r="K107" i="37"/>
  <c r="B83" i="37"/>
  <c r="R77" i="37"/>
  <c r="P77" i="37"/>
  <c r="N77" i="37"/>
  <c r="L77" i="37"/>
  <c r="R76" i="37"/>
  <c r="Q76" i="37"/>
  <c r="P76" i="37"/>
  <c r="O76" i="37"/>
  <c r="N76" i="37"/>
  <c r="M76" i="37"/>
  <c r="L76" i="37"/>
  <c r="K76" i="37"/>
  <c r="Q72" i="37"/>
  <c r="O72" i="37"/>
  <c r="M72" i="37"/>
  <c r="K72" i="37"/>
  <c r="Q71" i="37"/>
  <c r="O71" i="37"/>
  <c r="M71" i="37"/>
  <c r="K71" i="37"/>
  <c r="K64" i="37"/>
  <c r="Q61" i="37"/>
  <c r="O61" i="37"/>
  <c r="M61" i="37"/>
  <c r="K61" i="37"/>
  <c r="K60" i="37"/>
  <c r="K58" i="37"/>
  <c r="J52" i="37"/>
  <c r="I52" i="37"/>
  <c r="J49" i="37"/>
  <c r="I49" i="37"/>
  <c r="H49" i="37"/>
  <c r="G49" i="37"/>
  <c r="J48" i="37"/>
  <c r="I48" i="37"/>
  <c r="H48" i="37"/>
  <c r="G48" i="37"/>
  <c r="J47" i="37"/>
  <c r="I47" i="37"/>
  <c r="H47" i="37"/>
  <c r="G47" i="37"/>
  <c r="J46" i="37"/>
  <c r="I46" i="37"/>
  <c r="H46" i="37"/>
  <c r="G46" i="37"/>
  <c r="J45" i="37"/>
  <c r="I45" i="37"/>
  <c r="H45" i="37"/>
  <c r="G45" i="37"/>
  <c r="C45" i="37"/>
  <c r="J43" i="37"/>
  <c r="I43" i="37"/>
  <c r="H43" i="37"/>
  <c r="G43" i="37"/>
  <c r="J42" i="37"/>
  <c r="I42" i="37"/>
  <c r="H42" i="37"/>
  <c r="G42" i="37"/>
  <c r="J40" i="37"/>
  <c r="I40" i="37"/>
  <c r="H40" i="37"/>
  <c r="G40" i="37"/>
  <c r="J39" i="37"/>
  <c r="I39" i="37"/>
  <c r="H39" i="37"/>
  <c r="G39" i="37"/>
  <c r="L34" i="37"/>
  <c r="J34" i="37"/>
  <c r="I34" i="37"/>
  <c r="K33" i="37"/>
  <c r="G33" i="37"/>
  <c r="L32" i="37"/>
  <c r="L31" i="37"/>
  <c r="J31" i="37"/>
  <c r="I31" i="37"/>
  <c r="H31" i="37"/>
  <c r="G31" i="37"/>
  <c r="J30" i="37"/>
  <c r="I30" i="37"/>
  <c r="H30" i="37"/>
  <c r="G30" i="37"/>
  <c r="L29" i="37"/>
  <c r="J29" i="37"/>
  <c r="I29" i="37"/>
  <c r="H29" i="37"/>
  <c r="G29" i="37"/>
  <c r="J28" i="37"/>
  <c r="I28" i="37"/>
  <c r="H28" i="37"/>
  <c r="G28" i="37"/>
  <c r="L27" i="37"/>
  <c r="J27" i="37"/>
  <c r="I27" i="37"/>
  <c r="H27" i="37"/>
  <c r="G27" i="37"/>
  <c r="J26" i="37"/>
  <c r="I26" i="37"/>
  <c r="H26" i="37"/>
  <c r="G26" i="37"/>
  <c r="L25" i="37"/>
  <c r="J25" i="37"/>
  <c r="I25" i="37"/>
  <c r="H25" i="37"/>
  <c r="G25" i="37"/>
  <c r="J24" i="37"/>
  <c r="I24" i="37"/>
  <c r="H24" i="37"/>
  <c r="G24" i="37"/>
  <c r="L23" i="37"/>
  <c r="J23" i="37"/>
  <c r="I23" i="37"/>
  <c r="H23" i="37"/>
  <c r="G23" i="37"/>
  <c r="J22" i="37"/>
  <c r="I22" i="37"/>
  <c r="H22" i="37"/>
  <c r="G22" i="37"/>
  <c r="L21" i="37"/>
  <c r="J21" i="37"/>
  <c r="I21" i="37"/>
  <c r="H21" i="37"/>
  <c r="G21" i="37"/>
  <c r="J20" i="37"/>
  <c r="I20" i="37"/>
  <c r="H20" i="37"/>
  <c r="G20" i="37"/>
  <c r="L19" i="37"/>
  <c r="J19" i="37"/>
  <c r="I19" i="37"/>
  <c r="H19" i="37"/>
  <c r="G19" i="37"/>
  <c r="J18" i="37"/>
  <c r="I18" i="37"/>
  <c r="H18" i="37"/>
  <c r="G18" i="37"/>
  <c r="J17" i="37"/>
  <c r="I17" i="37"/>
  <c r="H17" i="37"/>
  <c r="G17" i="37"/>
  <c r="G16" i="37"/>
  <c r="G36" i="37" s="1"/>
  <c r="K56" i="37" s="1"/>
  <c r="L13" i="37"/>
  <c r="L11" i="37"/>
  <c r="L9" i="37"/>
  <c r="B9" i="37"/>
  <c r="L7" i="37"/>
  <c r="B7" i="37"/>
  <c r="L3" i="37"/>
  <c r="K6" i="30"/>
  <c r="X26" i="30" s="1"/>
  <c r="P36" i="30" l="1"/>
  <c r="BH7" i="30"/>
  <c r="J235" i="37"/>
  <c r="L235" i="37"/>
  <c r="B169" i="37"/>
  <c r="G194" i="37"/>
  <c r="N235" i="37"/>
  <c r="P235" i="37"/>
  <c r="B86" i="37"/>
  <c r="G11" i="30"/>
  <c r="F68" i="1"/>
  <c r="H68" i="1" s="1"/>
  <c r="J68" i="1" s="1"/>
  <c r="H16" i="36"/>
  <c r="M139" i="37" s="1"/>
  <c r="I16" i="36"/>
  <c r="O139" i="37" s="1"/>
  <c r="J16" i="36"/>
  <c r="Q139" i="37" s="1"/>
  <c r="G16" i="36"/>
  <c r="K139" i="37" s="1"/>
  <c r="C4" i="33" l="1"/>
  <c r="U38" i="30"/>
  <c r="N46" i="22"/>
  <c r="O46" i="22"/>
  <c r="P46" i="22"/>
  <c r="Q46" i="22"/>
  <c r="R46" i="22"/>
  <c r="S46" i="22"/>
  <c r="T46" i="22"/>
  <c r="U46" i="22"/>
  <c r="V46" i="22"/>
  <c r="W46" i="22"/>
  <c r="X46" i="22"/>
  <c r="M46" i="22"/>
  <c r="B2" i="33"/>
  <c r="N130" i="1"/>
  <c r="O130" i="1" s="1"/>
  <c r="F130" i="1"/>
  <c r="F128" i="1"/>
  <c r="H128" i="1" s="1"/>
  <c r="J128" i="1" s="1"/>
  <c r="Q36" i="30" l="1"/>
  <c r="L25" i="28"/>
  <c r="M208" i="37" s="1"/>
  <c r="L26" i="28"/>
  <c r="M209" i="37" s="1"/>
  <c r="O31" i="28" l="1"/>
  <c r="P214" i="37" s="1"/>
  <c r="O29" i="28"/>
  <c r="P212" i="37" s="1"/>
  <c r="O30" i="28"/>
  <c r="P213" i="37" s="1"/>
  <c r="O28" i="28"/>
  <c r="P211" i="37" s="1"/>
  <c r="L24" i="28"/>
  <c r="M207" i="37" s="1"/>
  <c r="L23" i="28"/>
  <c r="F14" i="28"/>
  <c r="G197" i="37" s="1"/>
  <c r="F15" i="28"/>
  <c r="F16" i="28"/>
  <c r="G199" i="37" s="1"/>
  <c r="F13" i="28"/>
  <c r="G196" i="37" s="1"/>
  <c r="I19" i="28"/>
  <c r="J202" i="37" s="1"/>
  <c r="I20" i="28"/>
  <c r="J203" i="37" s="1"/>
  <c r="I21" i="28"/>
  <c r="J204" i="37" s="1"/>
  <c r="I18" i="28"/>
  <c r="J201" i="37" s="1"/>
  <c r="F6" i="28"/>
  <c r="J6" i="28"/>
  <c r="R36" i="30" l="1"/>
  <c r="H46" i="28"/>
  <c r="I230" i="37" s="1"/>
  <c r="G198" i="37"/>
  <c r="N46" i="28"/>
  <c r="O230" i="37" s="1"/>
  <c r="M206" i="37"/>
  <c r="K46" i="28"/>
  <c r="L230" i="37" s="1"/>
  <c r="Q46" i="28"/>
  <c r="R230" i="37" s="1"/>
  <c r="BQ109" i="30"/>
  <c r="BQ108" i="30"/>
  <c r="B64" i="30"/>
  <c r="B8" i="30" s="1"/>
  <c r="BB69" i="30"/>
  <c r="U110" i="30"/>
  <c r="U109" i="30"/>
  <c r="U43" i="30"/>
  <c r="S117" i="30"/>
  <c r="S116" i="30"/>
  <c r="BA109" i="30"/>
  <c r="U99" i="30"/>
  <c r="U26" i="30"/>
  <c r="G92" i="30" l="1"/>
  <c r="L52" i="22"/>
  <c r="L48" i="22"/>
  <c r="L46" i="22"/>
  <c r="L44" i="22"/>
  <c r="L42" i="22"/>
  <c r="L40" i="22"/>
  <c r="L37" i="22"/>
  <c r="L33" i="22"/>
  <c r="K54" i="22"/>
  <c r="K52" i="22"/>
  <c r="K48" i="22"/>
  <c r="K46" i="22"/>
  <c r="K44" i="22"/>
  <c r="J40" i="22"/>
  <c r="K42" i="22"/>
  <c r="K40" i="22"/>
  <c r="J37" i="22"/>
  <c r="J35" i="22"/>
  <c r="J33" i="22"/>
  <c r="K37" i="22"/>
  <c r="K35" i="22"/>
  <c r="K33" i="22"/>
  <c r="X42" i="22"/>
  <c r="W42" i="22"/>
  <c r="V42" i="22"/>
  <c r="U42" i="22"/>
  <c r="T42" i="22"/>
  <c r="S42" i="22"/>
  <c r="R42" i="22"/>
  <c r="Q42" i="22"/>
  <c r="P42" i="22"/>
  <c r="O42" i="22"/>
  <c r="N42" i="22"/>
  <c r="M42" i="22"/>
  <c r="BG66" i="30"/>
  <c r="B106" i="30"/>
  <c r="B107" i="30" s="1"/>
  <c r="B108" i="30" s="1"/>
  <c r="B109" i="30" s="1"/>
  <c r="B110" i="30" s="1"/>
  <c r="S101" i="30"/>
  <c r="S100" i="30"/>
  <c r="Q99" i="30"/>
  <c r="R99" i="30"/>
  <c r="J99" i="30"/>
  <c r="S98" i="30"/>
  <c r="S83" i="30"/>
  <c r="S81" i="30"/>
  <c r="B81" i="30"/>
  <c r="B82" i="30" s="1"/>
  <c r="B83" i="30" s="1"/>
  <c r="B84" i="30" s="1"/>
  <c r="B85" i="30" s="1"/>
  <c r="B86" i="30" s="1"/>
  <c r="B87" i="30" s="1"/>
  <c r="B94" i="30" s="1"/>
  <c r="B95" i="30" s="1"/>
  <c r="B96" i="30" s="1"/>
  <c r="B97" i="30" s="1"/>
  <c r="B98" i="30" s="1"/>
  <c r="B99" i="30" s="1"/>
  <c r="B100" i="30" s="1"/>
  <c r="B101" i="30" s="1"/>
  <c r="S78" i="30"/>
  <c r="S72" i="30"/>
  <c r="T72" i="30" s="1"/>
  <c r="S70" i="30"/>
  <c r="T70" i="30" s="1"/>
  <c r="BB10" i="30"/>
  <c r="S35" i="30" l="1"/>
  <c r="Q43" i="22"/>
  <c r="S43" i="22"/>
  <c r="Y42" i="22"/>
  <c r="R43" i="22"/>
  <c r="U43" i="22"/>
  <c r="T43" i="22"/>
  <c r="M43" i="22"/>
  <c r="N43" i="22"/>
  <c r="V43" i="22"/>
  <c r="O43" i="22"/>
  <c r="W43" i="22"/>
  <c r="P43" i="22"/>
  <c r="X43" i="22"/>
  <c r="M99" i="30"/>
  <c r="G109" i="30"/>
  <c r="S109" i="30" s="1"/>
  <c r="T109" i="30" s="1"/>
  <c r="K99" i="30"/>
  <c r="L99" i="30"/>
  <c r="N99" i="30"/>
  <c r="O99" i="30"/>
  <c r="G110" i="30"/>
  <c r="S110" i="30" s="1"/>
  <c r="T110" i="30" s="1"/>
  <c r="H99" i="30"/>
  <c r="P99" i="30"/>
  <c r="I99" i="30"/>
  <c r="Q41" i="33" l="1"/>
  <c r="R41" i="33" s="1"/>
  <c r="R37" i="33"/>
  <c r="S99" i="30"/>
  <c r="T99" i="30" s="1"/>
  <c r="Y43" i="22"/>
  <c r="S37" i="33" l="1"/>
  <c r="S41" i="33" s="1"/>
  <c r="G24" i="30"/>
  <c r="H24" i="30"/>
  <c r="I24" i="30" l="1"/>
  <c r="H33" i="34"/>
  <c r="I33" i="34"/>
  <c r="J33" i="34"/>
  <c r="G33" i="34"/>
  <c r="K33" i="34"/>
  <c r="F42" i="26" l="1"/>
  <c r="H34" i="37" s="1"/>
  <c r="G42" i="26"/>
  <c r="H42" i="26"/>
  <c r="E42" i="26"/>
  <c r="G34" i="37" s="1"/>
  <c r="I39" i="26"/>
  <c r="H41" i="26"/>
  <c r="K58" i="34"/>
  <c r="G25" i="30"/>
  <c r="K32" i="37" l="1"/>
  <c r="K32" i="34"/>
  <c r="I42" i="26"/>
  <c r="K34" i="37" s="1"/>
  <c r="B7" i="1"/>
  <c r="K196" i="37"/>
  <c r="G73" i="32"/>
  <c r="J44" i="28"/>
  <c r="M44" i="28" s="1"/>
  <c r="I223" i="37"/>
  <c r="Q44" i="28" l="1"/>
  <c r="P44" i="28"/>
  <c r="K44" i="28"/>
  <c r="N44" i="28"/>
  <c r="H73" i="32"/>
  <c r="I73" i="32" s="1"/>
  <c r="J73" i="32" s="1"/>
  <c r="F20" i="2"/>
  <c r="K58" i="26"/>
  <c r="B35" i="20"/>
  <c r="B166" i="34"/>
  <c r="B83" i="34"/>
  <c r="B252" i="34"/>
  <c r="B324" i="34"/>
  <c r="B323" i="34"/>
  <c r="B251" i="34"/>
  <c r="B165" i="34"/>
  <c r="B82" i="34"/>
  <c r="F23" i="1"/>
  <c r="L7" i="34" l="1"/>
  <c r="B9" i="34"/>
  <c r="B7" i="34"/>
  <c r="B220" i="34"/>
  <c r="B219" i="34"/>
  <c r="B218" i="34"/>
  <c r="B217" i="34"/>
  <c r="B214" i="34"/>
  <c r="B213" i="34"/>
  <c r="B212" i="34"/>
  <c r="B211" i="34"/>
  <c r="B209" i="34"/>
  <c r="B208" i="34"/>
  <c r="B207" i="34"/>
  <c r="B206" i="34"/>
  <c r="B204" i="34"/>
  <c r="B203" i="34"/>
  <c r="B202" i="34"/>
  <c r="B201" i="34"/>
  <c r="B199" i="34"/>
  <c r="B198" i="34"/>
  <c r="B197" i="34"/>
  <c r="B196" i="34"/>
  <c r="B86" i="34" l="1"/>
  <c r="B169" i="34"/>
  <c r="B257" i="34"/>
  <c r="I26" i="34"/>
  <c r="J26" i="34"/>
  <c r="H26" i="34"/>
  <c r="G26" i="34"/>
  <c r="C26" i="34"/>
  <c r="J22" i="34"/>
  <c r="I22" i="34"/>
  <c r="H22" i="34"/>
  <c r="H24" i="34"/>
  <c r="I24" i="34"/>
  <c r="J24" i="34"/>
  <c r="G22" i="34"/>
  <c r="S60" i="30"/>
  <c r="J62" i="36"/>
  <c r="H79" i="2"/>
  <c r="K134" i="1"/>
  <c r="Q50" i="28"/>
  <c r="I66" i="26"/>
  <c r="E34" i="22"/>
  <c r="K158" i="34"/>
  <c r="Q155" i="34"/>
  <c r="O155" i="34"/>
  <c r="M155" i="34"/>
  <c r="K155" i="34"/>
  <c r="K154" i="34"/>
  <c r="K151" i="34"/>
  <c r="K153" i="34"/>
  <c r="K152" i="34"/>
  <c r="C158" i="34"/>
  <c r="C157" i="34"/>
  <c r="C156" i="34"/>
  <c r="C155" i="34"/>
  <c r="C154" i="34"/>
  <c r="C153" i="34"/>
  <c r="C152" i="34"/>
  <c r="C151" i="34"/>
  <c r="C150" i="34"/>
  <c r="C149" i="34"/>
  <c r="C148" i="34"/>
  <c r="H44" i="28" l="1"/>
  <c r="BE42" i="30"/>
  <c r="S34" i="30" l="1"/>
  <c r="T34" i="30" s="1"/>
  <c r="G6" i="36"/>
  <c r="B8" i="36"/>
  <c r="H10" i="36"/>
  <c r="I10" i="36"/>
  <c r="G10" i="36"/>
  <c r="D65" i="1"/>
  <c r="U29" i="30" s="1"/>
  <c r="C181" i="34" l="1"/>
  <c r="C179" i="34"/>
  <c r="C183" i="34"/>
  <c r="C187" i="34"/>
  <c r="C186" i="34"/>
  <c r="C185" i="34"/>
  <c r="C184" i="34"/>
  <c r="C182" i="34"/>
  <c r="C180" i="34" a="1"/>
  <c r="C180" i="34" s="1"/>
  <c r="C177" i="34"/>
  <c r="C178" i="34"/>
  <c r="C176" i="34"/>
  <c r="C175" i="34"/>
  <c r="C174" i="34"/>
  <c r="K183" i="34" l="1"/>
  <c r="K181" i="34"/>
  <c r="Q178" i="34"/>
  <c r="O178" i="34"/>
  <c r="M178" i="34"/>
  <c r="K177" i="34"/>
  <c r="K178" i="34"/>
  <c r="K159" i="34"/>
  <c r="G81" i="32"/>
  <c r="K129" i="37" s="1"/>
  <c r="G59" i="32"/>
  <c r="K115" i="37" s="1"/>
  <c r="H46" i="32"/>
  <c r="M105" i="37" s="1"/>
  <c r="I46" i="32"/>
  <c r="O105" i="37" s="1"/>
  <c r="J46" i="32"/>
  <c r="Q105" i="37" s="1"/>
  <c r="G46" i="32"/>
  <c r="K105" i="37" s="1"/>
  <c r="G45" i="32"/>
  <c r="G43" i="32"/>
  <c r="K103" i="37" s="1"/>
  <c r="Q6" i="36"/>
  <c r="B63" i="36"/>
  <c r="B62" i="36"/>
  <c r="H40" i="36"/>
  <c r="M160" i="34" s="1"/>
  <c r="I40" i="36"/>
  <c r="O160" i="34" s="1"/>
  <c r="J40" i="36"/>
  <c r="Q160" i="34" s="1"/>
  <c r="G40" i="36"/>
  <c r="G29" i="36"/>
  <c r="M139" i="34"/>
  <c r="O139" i="34"/>
  <c r="Q139" i="34"/>
  <c r="K139" i="34"/>
  <c r="H56" i="36"/>
  <c r="M183" i="37" s="1"/>
  <c r="H45" i="32"/>
  <c r="H50" i="36"/>
  <c r="Q49" i="36"/>
  <c r="J45" i="36"/>
  <c r="S10" i="36"/>
  <c r="R10" i="36"/>
  <c r="G45" i="36"/>
  <c r="L8" i="36"/>
  <c r="K149" i="34" l="1"/>
  <c r="K149" i="37"/>
  <c r="K160" i="34"/>
  <c r="K160" i="37"/>
  <c r="C37" i="33"/>
  <c r="M177" i="37"/>
  <c r="M183" i="34"/>
  <c r="I50" i="36"/>
  <c r="H43" i="32"/>
  <c r="M103" i="37" s="1"/>
  <c r="M177" i="34"/>
  <c r="J50" i="36"/>
  <c r="Q177" i="37" s="1"/>
  <c r="H81" i="32"/>
  <c r="M129" i="37" s="1"/>
  <c r="I56" i="36"/>
  <c r="O183" i="37" s="1"/>
  <c r="M181" i="34"/>
  <c r="H45" i="36"/>
  <c r="Q10" i="36"/>
  <c r="I45" i="36"/>
  <c r="D37" i="33" l="1"/>
  <c r="C51" i="33"/>
  <c r="C52" i="33" s="1"/>
  <c r="O177" i="34"/>
  <c r="O177" i="37"/>
  <c r="I43" i="32"/>
  <c r="O103" i="37" s="1"/>
  <c r="J43" i="32"/>
  <c r="Q103" i="37" s="1"/>
  <c r="Q177" i="34"/>
  <c r="I81" i="32"/>
  <c r="O129" i="37" s="1"/>
  <c r="O183" i="34"/>
  <c r="J56" i="36"/>
  <c r="Q183" i="37" s="1"/>
  <c r="O181" i="34"/>
  <c r="I45" i="32"/>
  <c r="S52" i="30"/>
  <c r="E37" i="33" l="1"/>
  <c r="D51" i="33"/>
  <c r="D52" i="33" s="1"/>
  <c r="J81" i="32"/>
  <c r="Q129" i="37" s="1"/>
  <c r="Q183" i="34"/>
  <c r="J45" i="32"/>
  <c r="Q181" i="34"/>
  <c r="F29" i="1"/>
  <c r="H23" i="1"/>
  <c r="J23" i="1" s="1"/>
  <c r="F16" i="1"/>
  <c r="E51" i="33" l="1"/>
  <c r="E52" i="33" s="1"/>
  <c r="F37" i="33"/>
  <c r="G37" i="33" s="1"/>
  <c r="H29" i="1"/>
  <c r="J29" i="1" s="1"/>
  <c r="H16" i="1"/>
  <c r="J16" i="1" s="1"/>
  <c r="S27" i="30"/>
  <c r="S42" i="30"/>
  <c r="S44" i="30"/>
  <c r="S45" i="30"/>
  <c r="S25" i="30"/>
  <c r="F51" i="33" l="1"/>
  <c r="F52" i="33" s="1"/>
  <c r="G51" i="33"/>
  <c r="G52" i="33" s="1"/>
  <c r="H37" i="33"/>
  <c r="F13" i="1"/>
  <c r="Z87" i="30" l="1"/>
  <c r="H51" i="33"/>
  <c r="H52" i="33" s="1"/>
  <c r="I37" i="33"/>
  <c r="S54" i="30"/>
  <c r="T54" i="30" s="1"/>
  <c r="S53" i="30"/>
  <c r="T53" i="30" s="1"/>
  <c r="J37" i="33" l="1"/>
  <c r="I51" i="33"/>
  <c r="I52" i="33" s="1"/>
  <c r="G69" i="32"/>
  <c r="K122" i="37" s="1"/>
  <c r="G19" i="36" l="1"/>
  <c r="K142" i="34"/>
  <c r="K142" i="37"/>
  <c r="K37" i="33"/>
  <c r="J51" i="33"/>
  <c r="J52" i="33" s="1"/>
  <c r="C42" i="28"/>
  <c r="F225" i="34"/>
  <c r="H78" i="32"/>
  <c r="M127" i="37" s="1"/>
  <c r="D225" i="37" l="1"/>
  <c r="L37" i="33"/>
  <c r="K51" i="33"/>
  <c r="K52" i="33" s="1"/>
  <c r="H42" i="28"/>
  <c r="I225" i="37" s="1"/>
  <c r="D225" i="34"/>
  <c r="C32" i="28"/>
  <c r="C48" i="28" s="1"/>
  <c r="D215" i="34" l="1"/>
  <c r="D215" i="37"/>
  <c r="M37" i="33"/>
  <c r="L51" i="33"/>
  <c r="L52" i="33" s="1"/>
  <c r="I225" i="34"/>
  <c r="N37" i="33" l="1"/>
  <c r="M51" i="33"/>
  <c r="M52" i="33"/>
  <c r="O6" i="28"/>
  <c r="F10" i="28"/>
  <c r="L9" i="28"/>
  <c r="I9" i="28"/>
  <c r="N51" i="33" l="1"/>
  <c r="N52" i="33" s="1"/>
  <c r="D223" i="34"/>
  <c r="AC19" i="29" l="1"/>
  <c r="AC18" i="29"/>
  <c r="W15" i="29"/>
  <c r="R230" i="34" l="1"/>
  <c r="O230" i="34"/>
  <c r="L230" i="34"/>
  <c r="I230" i="34"/>
  <c r="I228" i="34"/>
  <c r="R228" i="34"/>
  <c r="O228" i="34"/>
  <c r="L228" i="34"/>
  <c r="I223" i="34"/>
  <c r="F228" i="34"/>
  <c r="F227" i="34"/>
  <c r="F223" i="34"/>
  <c r="P219" i="34"/>
  <c r="P218" i="34"/>
  <c r="P217" i="34"/>
  <c r="O220" i="34"/>
  <c r="N220" i="34"/>
  <c r="M220" i="34"/>
  <c r="M218" i="34"/>
  <c r="M217" i="34"/>
  <c r="L220" i="34"/>
  <c r="K220" i="34"/>
  <c r="J220" i="34"/>
  <c r="L219" i="34"/>
  <c r="K219" i="34"/>
  <c r="J219" i="34"/>
  <c r="J217" i="34"/>
  <c r="Q214" i="34"/>
  <c r="Q213" i="34"/>
  <c r="Q212" i="34"/>
  <c r="Q211" i="34"/>
  <c r="O214" i="34"/>
  <c r="N214" i="34"/>
  <c r="M214" i="34"/>
  <c r="O213" i="34"/>
  <c r="N213" i="34"/>
  <c r="M213" i="34"/>
  <c r="O212" i="34"/>
  <c r="N212" i="34"/>
  <c r="M212" i="34"/>
  <c r="O211" i="34"/>
  <c r="N211" i="34"/>
  <c r="M211" i="34"/>
  <c r="L214" i="34"/>
  <c r="K214" i="34"/>
  <c r="J214" i="34"/>
  <c r="L213" i="34"/>
  <c r="K213" i="34"/>
  <c r="J213" i="34"/>
  <c r="L212" i="34"/>
  <c r="K212" i="34"/>
  <c r="J212" i="34"/>
  <c r="L211" i="34"/>
  <c r="K211" i="34"/>
  <c r="J211" i="34"/>
  <c r="P209" i="34"/>
  <c r="P208" i="34"/>
  <c r="P207" i="34"/>
  <c r="P206" i="34"/>
  <c r="N209" i="34"/>
  <c r="N208" i="34"/>
  <c r="N207" i="34"/>
  <c r="N206" i="34"/>
  <c r="L209" i="34"/>
  <c r="K209" i="34"/>
  <c r="J209" i="34"/>
  <c r="L208" i="34"/>
  <c r="K208" i="34"/>
  <c r="J208" i="34"/>
  <c r="L207" i="34"/>
  <c r="K207" i="34"/>
  <c r="J207" i="34"/>
  <c r="L206" i="34"/>
  <c r="K206" i="34"/>
  <c r="J206" i="34"/>
  <c r="P204" i="34"/>
  <c r="P203" i="34"/>
  <c r="P202" i="34"/>
  <c r="P201" i="34"/>
  <c r="M204" i="34"/>
  <c r="M203" i="34"/>
  <c r="M202" i="34"/>
  <c r="M201" i="34"/>
  <c r="K204" i="34"/>
  <c r="K203" i="34"/>
  <c r="K202" i="34"/>
  <c r="K201" i="34"/>
  <c r="P199" i="34"/>
  <c r="P198" i="34"/>
  <c r="P197" i="34"/>
  <c r="P196" i="34"/>
  <c r="M199" i="34"/>
  <c r="M198" i="34"/>
  <c r="M197" i="34"/>
  <c r="M196" i="34"/>
  <c r="J199" i="34"/>
  <c r="J198" i="34"/>
  <c r="J197" i="34"/>
  <c r="J196" i="34"/>
  <c r="I220" i="34"/>
  <c r="H220" i="34"/>
  <c r="G220" i="34"/>
  <c r="I219" i="34"/>
  <c r="H219" i="34"/>
  <c r="G219" i="34"/>
  <c r="I218" i="34"/>
  <c r="H218" i="34"/>
  <c r="G218" i="34"/>
  <c r="I214" i="34"/>
  <c r="H214" i="34"/>
  <c r="G214" i="34"/>
  <c r="I213" i="34"/>
  <c r="H213" i="34"/>
  <c r="G213" i="34"/>
  <c r="I212" i="34"/>
  <c r="H212" i="34"/>
  <c r="G212" i="34"/>
  <c r="I211" i="34"/>
  <c r="H211" i="34"/>
  <c r="G211" i="34"/>
  <c r="I209" i="34"/>
  <c r="H209" i="34"/>
  <c r="G209" i="34"/>
  <c r="I208" i="34"/>
  <c r="H208" i="34"/>
  <c r="G208" i="34"/>
  <c r="I207" i="34"/>
  <c r="H207" i="34"/>
  <c r="G207" i="34"/>
  <c r="I206" i="34"/>
  <c r="H206" i="34"/>
  <c r="G206" i="34"/>
  <c r="I204" i="34"/>
  <c r="H204" i="34"/>
  <c r="G204" i="34"/>
  <c r="I203" i="34"/>
  <c r="H203" i="34"/>
  <c r="G203" i="34"/>
  <c r="I202" i="34"/>
  <c r="H202" i="34"/>
  <c r="G202" i="34"/>
  <c r="I201" i="34"/>
  <c r="H201" i="34"/>
  <c r="G201" i="34"/>
  <c r="H199" i="34"/>
  <c r="H198" i="34"/>
  <c r="H197" i="34"/>
  <c r="H196" i="34"/>
  <c r="F220" i="34"/>
  <c r="E220" i="34"/>
  <c r="F219" i="34"/>
  <c r="E219" i="34"/>
  <c r="F218" i="34"/>
  <c r="E218" i="34"/>
  <c r="E217" i="34"/>
  <c r="F217" i="34"/>
  <c r="F214" i="34"/>
  <c r="E214" i="34"/>
  <c r="F213" i="34"/>
  <c r="E213" i="34"/>
  <c r="F212" i="34"/>
  <c r="E212" i="34"/>
  <c r="F211" i="34"/>
  <c r="E211" i="34"/>
  <c r="F209" i="34"/>
  <c r="E209" i="34"/>
  <c r="F208" i="34"/>
  <c r="E208" i="34"/>
  <c r="F207" i="34"/>
  <c r="E207" i="34"/>
  <c r="F206" i="34"/>
  <c r="E206" i="34"/>
  <c r="F204" i="34"/>
  <c r="E204" i="34"/>
  <c r="F203" i="34"/>
  <c r="E203" i="34"/>
  <c r="F202" i="34"/>
  <c r="E202" i="34"/>
  <c r="F201" i="34"/>
  <c r="E201" i="34"/>
  <c r="F199" i="34"/>
  <c r="E199" i="34"/>
  <c r="F198" i="34"/>
  <c r="E198" i="34"/>
  <c r="F197" i="34"/>
  <c r="E197" i="34"/>
  <c r="F196" i="34"/>
  <c r="E196" i="34"/>
  <c r="D220" i="34"/>
  <c r="D219" i="34"/>
  <c r="D218" i="34"/>
  <c r="D217" i="34"/>
  <c r="D214" i="34"/>
  <c r="D213" i="34"/>
  <c r="D212" i="34"/>
  <c r="D211" i="34"/>
  <c r="D209" i="34"/>
  <c r="D208" i="34"/>
  <c r="D207" i="34"/>
  <c r="D206" i="34"/>
  <c r="D204" i="34"/>
  <c r="D203" i="34"/>
  <c r="D202" i="34"/>
  <c r="D201" i="34"/>
  <c r="D199" i="34"/>
  <c r="D198" i="34"/>
  <c r="D197" i="34"/>
  <c r="D196" i="34"/>
  <c r="L227" i="34" l="1"/>
  <c r="H34" i="36"/>
  <c r="P211" i="34"/>
  <c r="M154" i="34" l="1"/>
  <c r="M154" i="37"/>
  <c r="D46" i="1"/>
  <c r="B5" i="20" l="1"/>
  <c r="G5" i="20"/>
  <c r="F6" i="32"/>
  <c r="F5" i="2"/>
  <c r="D5" i="1"/>
  <c r="B6" i="28"/>
  <c r="B6" i="32" l="1"/>
  <c r="B6" i="36"/>
  <c r="L6" i="36" s="1"/>
  <c r="G49" i="34"/>
  <c r="H49" i="34"/>
  <c r="I49" i="34"/>
  <c r="J49" i="34"/>
  <c r="F31" i="22" l="1"/>
  <c r="G31" i="22"/>
  <c r="H31" i="22"/>
  <c r="E31" i="22"/>
  <c r="C31" i="22"/>
  <c r="H16" i="22"/>
  <c r="G16" i="22"/>
  <c r="F16" i="22"/>
  <c r="E16" i="22"/>
  <c r="C16" i="22"/>
  <c r="H19" i="36" l="1"/>
  <c r="H38" i="36"/>
  <c r="AI24" i="29"/>
  <c r="M142" i="34" l="1"/>
  <c r="M142" i="37"/>
  <c r="M158" i="34"/>
  <c r="M158" i="37"/>
  <c r="L223" i="34"/>
  <c r="L223" i="37"/>
  <c r="L19" i="34"/>
  <c r="L21" i="34"/>
  <c r="L23" i="34"/>
  <c r="L25" i="34"/>
  <c r="L27" i="34"/>
  <c r="L29" i="34"/>
  <c r="L31" i="34"/>
  <c r="L32" i="34"/>
  <c r="L34" i="34"/>
  <c r="E62" i="26" l="1"/>
  <c r="G52" i="37" s="1"/>
  <c r="I59" i="26"/>
  <c r="K49" i="34" l="1"/>
  <c r="K49" i="37"/>
  <c r="I34" i="36"/>
  <c r="F54" i="1"/>
  <c r="O154" i="34" l="1"/>
  <c r="O154" i="37"/>
  <c r="R227" i="34"/>
  <c r="J34" i="36"/>
  <c r="O227" i="34"/>
  <c r="Q154" i="34" l="1"/>
  <c r="Q154" i="37"/>
  <c r="H71" i="32"/>
  <c r="I71" i="32" l="1"/>
  <c r="H33" i="36"/>
  <c r="K59" i="26"/>
  <c r="M153" i="37" l="1"/>
  <c r="M153" i="34"/>
  <c r="J71" i="32"/>
  <c r="J33" i="36" s="1"/>
  <c r="I33" i="36"/>
  <c r="D227" i="34"/>
  <c r="D50" i="22"/>
  <c r="D49" i="22"/>
  <c r="F29" i="22"/>
  <c r="G29" i="22"/>
  <c r="H29" i="22"/>
  <c r="E29" i="22"/>
  <c r="I43" i="30"/>
  <c r="O223" i="34" l="1"/>
  <c r="O223" i="37"/>
  <c r="O153" i="37"/>
  <c r="O153" i="34"/>
  <c r="Q153" i="37"/>
  <c r="Q153" i="34"/>
  <c r="I227" i="34"/>
  <c r="P43" i="30"/>
  <c r="L43" i="30"/>
  <c r="H43" i="30"/>
  <c r="G43" i="30"/>
  <c r="O43" i="30"/>
  <c r="K43" i="30"/>
  <c r="R43" i="30"/>
  <c r="N43" i="30"/>
  <c r="J43" i="30"/>
  <c r="Q43" i="30"/>
  <c r="M43" i="30"/>
  <c r="R223" i="34" l="1"/>
  <c r="R223" i="37"/>
  <c r="S43" i="30"/>
  <c r="T43" i="30" s="1"/>
  <c r="K127" i="34"/>
  <c r="K124" i="34"/>
  <c r="Q119" i="34"/>
  <c r="O119" i="34"/>
  <c r="M119" i="34"/>
  <c r="K119" i="34"/>
  <c r="Q110" i="34"/>
  <c r="Q135" i="34" s="1"/>
  <c r="Q172" i="34" s="1"/>
  <c r="O110" i="34"/>
  <c r="N235" i="34" s="1"/>
  <c r="M110" i="34"/>
  <c r="L235" i="34" s="1"/>
  <c r="K110" i="34"/>
  <c r="J235" i="34" s="1"/>
  <c r="K107" i="34"/>
  <c r="Q105" i="34"/>
  <c r="O105" i="34"/>
  <c r="K105" i="34"/>
  <c r="R76" i="34"/>
  <c r="P76" i="34"/>
  <c r="N76" i="34"/>
  <c r="L76" i="34"/>
  <c r="K76" i="34"/>
  <c r="Q72" i="34"/>
  <c r="O72" i="34"/>
  <c r="M72" i="34"/>
  <c r="K72" i="34"/>
  <c r="Q71" i="34"/>
  <c r="O71" i="34"/>
  <c r="M71" i="34"/>
  <c r="K71" i="34"/>
  <c r="K64" i="34"/>
  <c r="Q61" i="34"/>
  <c r="O61" i="34"/>
  <c r="M61" i="34"/>
  <c r="K61" i="34"/>
  <c r="K60" i="34"/>
  <c r="J48" i="34"/>
  <c r="I48" i="34"/>
  <c r="H48" i="34"/>
  <c r="G48" i="34"/>
  <c r="J47" i="34"/>
  <c r="I47" i="34"/>
  <c r="H47" i="34"/>
  <c r="G47" i="34"/>
  <c r="C47" i="34"/>
  <c r="J46" i="34"/>
  <c r="I46" i="34"/>
  <c r="H46" i="34"/>
  <c r="G46" i="34"/>
  <c r="C46" i="34"/>
  <c r="J45" i="34"/>
  <c r="I45" i="34"/>
  <c r="H45" i="34"/>
  <c r="G45" i="34"/>
  <c r="C45" i="34"/>
  <c r="J43" i="34"/>
  <c r="I43" i="34"/>
  <c r="H43" i="34"/>
  <c r="G43" i="34"/>
  <c r="J42" i="34"/>
  <c r="I42" i="34"/>
  <c r="H42" i="34"/>
  <c r="G42" i="34"/>
  <c r="J40" i="34"/>
  <c r="I40" i="34"/>
  <c r="H40" i="34"/>
  <c r="G40" i="34"/>
  <c r="J39" i="34"/>
  <c r="I39" i="34"/>
  <c r="H39" i="34"/>
  <c r="G39" i="34"/>
  <c r="J31" i="34"/>
  <c r="I31" i="34"/>
  <c r="H31" i="34"/>
  <c r="G31" i="34"/>
  <c r="J30" i="34"/>
  <c r="I30" i="34"/>
  <c r="H30" i="34"/>
  <c r="G30" i="34"/>
  <c r="J29" i="34"/>
  <c r="I29" i="34"/>
  <c r="H29" i="34"/>
  <c r="G29" i="34"/>
  <c r="J28" i="34"/>
  <c r="I28" i="34"/>
  <c r="H28" i="34"/>
  <c r="G28" i="34"/>
  <c r="J27" i="34"/>
  <c r="I27" i="34"/>
  <c r="H27" i="34"/>
  <c r="G27" i="34"/>
  <c r="J25" i="34"/>
  <c r="I25" i="34"/>
  <c r="H25" i="34"/>
  <c r="G25" i="34"/>
  <c r="G24" i="34"/>
  <c r="J23" i="34"/>
  <c r="I23" i="34"/>
  <c r="H23" i="34"/>
  <c r="G23" i="34"/>
  <c r="J21" i="34"/>
  <c r="I21" i="34"/>
  <c r="H21" i="34"/>
  <c r="G21" i="34"/>
  <c r="J20" i="34"/>
  <c r="I20" i="34"/>
  <c r="H20" i="34"/>
  <c r="G20" i="34"/>
  <c r="J19" i="34"/>
  <c r="I19" i="34"/>
  <c r="H19" i="34"/>
  <c r="G19" i="34"/>
  <c r="J18" i="34"/>
  <c r="I18" i="34"/>
  <c r="H18" i="34"/>
  <c r="G18" i="34"/>
  <c r="J17" i="34"/>
  <c r="I17" i="34"/>
  <c r="H17" i="34"/>
  <c r="G17" i="34"/>
  <c r="G16" i="34"/>
  <c r="L13" i="34"/>
  <c r="B13" i="34"/>
  <c r="B12" i="34"/>
  <c r="L11" i="34"/>
  <c r="L9" i="34"/>
  <c r="L3" i="34"/>
  <c r="AI41" i="29"/>
  <c r="W38" i="29"/>
  <c r="E38" i="29"/>
  <c r="Y38" i="29" s="1"/>
  <c r="D38" i="29"/>
  <c r="C38" i="29"/>
  <c r="E35" i="29"/>
  <c r="D35" i="29"/>
  <c r="C35" i="29"/>
  <c r="K32" i="29"/>
  <c r="E32" i="29"/>
  <c r="M32" i="29" s="1"/>
  <c r="D32" i="29"/>
  <c r="C32" i="29"/>
  <c r="E29" i="29"/>
  <c r="D29" i="29"/>
  <c r="C29" i="29"/>
  <c r="AE23" i="29"/>
  <c r="E23" i="29"/>
  <c r="D23" i="29"/>
  <c r="C23" i="29"/>
  <c r="B23" i="29"/>
  <c r="AE22" i="29"/>
  <c r="E22" i="29"/>
  <c r="D22" i="29"/>
  <c r="AD22" i="29" s="1"/>
  <c r="AJ22" i="29" s="1"/>
  <c r="C22" i="29"/>
  <c r="B22" i="29"/>
  <c r="AE21" i="29"/>
  <c r="E21" i="29"/>
  <c r="D21" i="29"/>
  <c r="C21" i="29"/>
  <c r="B21" i="29"/>
  <c r="AE20" i="29"/>
  <c r="E20" i="29"/>
  <c r="D20" i="29"/>
  <c r="C20" i="29"/>
  <c r="B20" i="29"/>
  <c r="Y19" i="29"/>
  <c r="E19" i="29"/>
  <c r="D19" i="29"/>
  <c r="X19" i="29" s="1"/>
  <c r="AD19" i="29" s="1"/>
  <c r="AJ19" i="29" s="1"/>
  <c r="C19" i="29"/>
  <c r="B19" i="29"/>
  <c r="Y18" i="29"/>
  <c r="E18" i="29"/>
  <c r="D18" i="29"/>
  <c r="X18" i="29" s="1"/>
  <c r="AD18" i="29" s="1"/>
  <c r="AJ18" i="29" s="1"/>
  <c r="C18" i="29"/>
  <c r="B18" i="29"/>
  <c r="AC17" i="29"/>
  <c r="Y17" i="29"/>
  <c r="E17" i="29"/>
  <c r="D17" i="29"/>
  <c r="C17" i="29"/>
  <c r="B17" i="29"/>
  <c r="AC16" i="29"/>
  <c r="Y16" i="29"/>
  <c r="R16" i="29"/>
  <c r="E16" i="29"/>
  <c r="D16" i="29"/>
  <c r="C16" i="29"/>
  <c r="B16" i="29"/>
  <c r="AC15" i="29"/>
  <c r="S15" i="29"/>
  <c r="E15" i="29"/>
  <c r="D15" i="29"/>
  <c r="R15" i="29" s="1"/>
  <c r="X15" i="29" s="1"/>
  <c r="AD15" i="29" s="1"/>
  <c r="AJ15" i="29" s="1"/>
  <c r="C15" i="29"/>
  <c r="B15" i="29"/>
  <c r="AC14" i="29"/>
  <c r="W14" i="29"/>
  <c r="S14" i="29"/>
  <c r="E14" i="29"/>
  <c r="D14" i="29"/>
  <c r="C14" i="29"/>
  <c r="B14" i="29"/>
  <c r="AC13" i="29"/>
  <c r="W13" i="29"/>
  <c r="S13" i="29"/>
  <c r="E13" i="29"/>
  <c r="D13" i="29"/>
  <c r="R13" i="29" s="1"/>
  <c r="X13" i="29" s="1"/>
  <c r="AD13" i="29" s="1"/>
  <c r="AJ13" i="29" s="1"/>
  <c r="C13" i="29"/>
  <c r="B13" i="29"/>
  <c r="AC12" i="29"/>
  <c r="W12" i="29"/>
  <c r="S12" i="29"/>
  <c r="E12" i="29"/>
  <c r="D12" i="29"/>
  <c r="C12" i="29"/>
  <c r="B12" i="29"/>
  <c r="AC11" i="29"/>
  <c r="W11" i="29"/>
  <c r="Q11" i="29"/>
  <c r="M11" i="29"/>
  <c r="E11" i="29"/>
  <c r="D11" i="29"/>
  <c r="C11" i="29"/>
  <c r="B11" i="29"/>
  <c r="AC10" i="29"/>
  <c r="W10" i="29"/>
  <c r="Q10" i="29"/>
  <c r="M10" i="29"/>
  <c r="E10" i="29"/>
  <c r="D10" i="29"/>
  <c r="C10" i="29"/>
  <c r="B10" i="29"/>
  <c r="AC9" i="29"/>
  <c r="W9" i="29"/>
  <c r="Q9" i="29"/>
  <c r="M9" i="29"/>
  <c r="E9" i="29"/>
  <c r="D9" i="29"/>
  <c r="C9" i="29"/>
  <c r="B9" i="29"/>
  <c r="AC8" i="29"/>
  <c r="W8" i="29"/>
  <c r="Q8" i="29"/>
  <c r="M8" i="29"/>
  <c r="E8" i="29"/>
  <c r="D8" i="29"/>
  <c r="C8" i="29"/>
  <c r="B8" i="29"/>
  <c r="H45" i="22"/>
  <c r="G45" i="22"/>
  <c r="F45" i="22"/>
  <c r="E45" i="22"/>
  <c r="E42" i="22"/>
  <c r="C42" i="22"/>
  <c r="H41" i="22"/>
  <c r="G41" i="22"/>
  <c r="F41" i="22"/>
  <c r="E41" i="22"/>
  <c r="C41" i="22"/>
  <c r="B41" i="22"/>
  <c r="H38" i="22"/>
  <c r="G38" i="22"/>
  <c r="F38" i="22"/>
  <c r="E38" i="22"/>
  <c r="C38" i="22"/>
  <c r="E35" i="22"/>
  <c r="C35" i="22"/>
  <c r="H34" i="22"/>
  <c r="G34" i="22"/>
  <c r="F34" i="22"/>
  <c r="C34" i="22"/>
  <c r="B34" i="22"/>
  <c r="H28" i="22"/>
  <c r="H30" i="22" s="1"/>
  <c r="G28" i="22"/>
  <c r="G30" i="22" s="1"/>
  <c r="F28" i="22"/>
  <c r="F30" i="22" s="1"/>
  <c r="E28" i="22"/>
  <c r="E30" i="22" s="1"/>
  <c r="C28" i="22"/>
  <c r="B28" i="22"/>
  <c r="H25" i="22"/>
  <c r="G25" i="22"/>
  <c r="F25" i="22"/>
  <c r="E25" i="22"/>
  <c r="C25" i="22"/>
  <c r="K24" i="22"/>
  <c r="L22" i="22"/>
  <c r="K22" i="22"/>
  <c r="E22" i="22"/>
  <c r="C22" i="22"/>
  <c r="H20" i="22"/>
  <c r="G20" i="22"/>
  <c r="F20" i="22"/>
  <c r="E20" i="22"/>
  <c r="H19" i="22"/>
  <c r="G19" i="22"/>
  <c r="F19" i="22"/>
  <c r="E19" i="22"/>
  <c r="C19" i="22"/>
  <c r="B19" i="22"/>
  <c r="L18" i="22"/>
  <c r="K18" i="22"/>
  <c r="X16" i="22"/>
  <c r="W16" i="22"/>
  <c r="V16" i="22"/>
  <c r="U16" i="22"/>
  <c r="T16" i="22"/>
  <c r="S16" i="22"/>
  <c r="R16" i="22"/>
  <c r="Q16" i="22"/>
  <c r="P16" i="22"/>
  <c r="O16" i="22"/>
  <c r="N16" i="22"/>
  <c r="L16" i="22"/>
  <c r="K16" i="22"/>
  <c r="H15" i="22"/>
  <c r="H17" i="22" s="1"/>
  <c r="G15" i="22"/>
  <c r="G17" i="22" s="1"/>
  <c r="F15" i="22"/>
  <c r="F17" i="22" s="1"/>
  <c r="E15" i="22"/>
  <c r="E17" i="22" s="1"/>
  <c r="C15" i="22"/>
  <c r="B15" i="22"/>
  <c r="L14" i="22"/>
  <c r="K14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H12" i="22"/>
  <c r="G12" i="22"/>
  <c r="F12" i="22"/>
  <c r="E12" i="22"/>
  <c r="C12" i="22"/>
  <c r="L10" i="22"/>
  <c r="K10" i="22"/>
  <c r="J10" i="22"/>
  <c r="E9" i="22"/>
  <c r="C9" i="22"/>
  <c r="H8" i="22"/>
  <c r="G8" i="22"/>
  <c r="F8" i="22"/>
  <c r="E8" i="22"/>
  <c r="C8" i="22"/>
  <c r="B8" i="22"/>
  <c r="L7" i="22"/>
  <c r="K7" i="22"/>
  <c r="J7" i="22"/>
  <c r="L5" i="22"/>
  <c r="K5" i="22"/>
  <c r="J5" i="22"/>
  <c r="H5" i="22"/>
  <c r="G5" i="22"/>
  <c r="F5" i="22"/>
  <c r="E5" i="22"/>
  <c r="C5" i="22"/>
  <c r="H4" i="22"/>
  <c r="G4" i="22"/>
  <c r="F4" i="22"/>
  <c r="E4" i="22"/>
  <c r="G24" i="36" s="1"/>
  <c r="C4" i="22"/>
  <c r="B4" i="22"/>
  <c r="L3" i="22"/>
  <c r="K3" i="22"/>
  <c r="J3" i="22"/>
  <c r="E3" i="22"/>
  <c r="D3" i="22"/>
  <c r="M2" i="22"/>
  <c r="F76" i="2"/>
  <c r="M75" i="2"/>
  <c r="N75" i="2" s="1"/>
  <c r="F75" i="2"/>
  <c r="M74" i="2"/>
  <c r="N74" i="2" s="1"/>
  <c r="F74" i="2"/>
  <c r="E73" i="2"/>
  <c r="E77" i="2" s="1"/>
  <c r="F72" i="2"/>
  <c r="G72" i="2" s="1"/>
  <c r="H72" i="2" s="1"/>
  <c r="F69" i="2"/>
  <c r="M68" i="2"/>
  <c r="N68" i="2" s="1"/>
  <c r="F68" i="2"/>
  <c r="M67" i="2"/>
  <c r="N67" i="2" s="1"/>
  <c r="F67" i="2"/>
  <c r="E66" i="2"/>
  <c r="E70" i="2" s="1"/>
  <c r="F65" i="2"/>
  <c r="G65" i="2" s="1"/>
  <c r="H65" i="2" s="1"/>
  <c r="F62" i="2"/>
  <c r="M61" i="2"/>
  <c r="N61" i="2" s="1"/>
  <c r="F61" i="2"/>
  <c r="M60" i="2"/>
  <c r="N60" i="2" s="1"/>
  <c r="F60" i="2"/>
  <c r="E59" i="2"/>
  <c r="E63" i="2" s="1"/>
  <c r="F58" i="2"/>
  <c r="G58" i="2" s="1"/>
  <c r="H58" i="2" s="1"/>
  <c r="F55" i="2"/>
  <c r="M54" i="2"/>
  <c r="F54" i="2"/>
  <c r="M53" i="2"/>
  <c r="N53" i="2" s="1"/>
  <c r="F53" i="2"/>
  <c r="E52" i="2"/>
  <c r="E56" i="2" s="1"/>
  <c r="F51" i="2"/>
  <c r="G51" i="2" s="1"/>
  <c r="H51" i="2" s="1"/>
  <c r="F48" i="2"/>
  <c r="M47" i="2"/>
  <c r="N47" i="2" s="1"/>
  <c r="F47" i="2"/>
  <c r="M46" i="2"/>
  <c r="F46" i="2"/>
  <c r="E45" i="2"/>
  <c r="E49" i="2" s="1"/>
  <c r="F44" i="2"/>
  <c r="G44" i="2" s="1"/>
  <c r="H44" i="2" s="1"/>
  <c r="F41" i="2"/>
  <c r="G41" i="2" s="1"/>
  <c r="H41" i="2" s="1"/>
  <c r="M40" i="2"/>
  <c r="N40" i="2" s="1"/>
  <c r="F40" i="2"/>
  <c r="M39" i="2"/>
  <c r="N39" i="2" s="1"/>
  <c r="F39" i="2"/>
  <c r="E38" i="2"/>
  <c r="E42" i="2" s="1"/>
  <c r="F37" i="2"/>
  <c r="G37" i="2" s="1"/>
  <c r="H37" i="2" s="1"/>
  <c r="F34" i="2"/>
  <c r="M33" i="2"/>
  <c r="N33" i="2" s="1"/>
  <c r="F33" i="2"/>
  <c r="M32" i="2"/>
  <c r="N32" i="2" s="1"/>
  <c r="F32" i="2"/>
  <c r="E31" i="2"/>
  <c r="E35" i="2" s="1"/>
  <c r="F30" i="2"/>
  <c r="G30" i="2" s="1"/>
  <c r="H30" i="2" s="1"/>
  <c r="F27" i="2"/>
  <c r="G27" i="2" s="1"/>
  <c r="M26" i="2"/>
  <c r="N26" i="2" s="1"/>
  <c r="F26" i="2"/>
  <c r="F25" i="2"/>
  <c r="E24" i="2"/>
  <c r="E28" i="2" s="1"/>
  <c r="F23" i="2"/>
  <c r="G23" i="2" s="1"/>
  <c r="H23" i="2" s="1"/>
  <c r="F19" i="2"/>
  <c r="M18" i="2"/>
  <c r="N18" i="2" s="1"/>
  <c r="F18" i="2"/>
  <c r="E17" i="2"/>
  <c r="G16" i="2"/>
  <c r="H9" i="2"/>
  <c r="G9" i="2"/>
  <c r="F9" i="2"/>
  <c r="E7" i="2"/>
  <c r="J2" i="2"/>
  <c r="N131" i="1"/>
  <c r="F131" i="1"/>
  <c r="N129" i="1"/>
  <c r="O129" i="1" s="1"/>
  <c r="F129" i="1"/>
  <c r="N127" i="1"/>
  <c r="F127" i="1"/>
  <c r="N126" i="1"/>
  <c r="O126" i="1" s="1"/>
  <c r="N125" i="1"/>
  <c r="O125" i="1" s="1"/>
  <c r="F125" i="1"/>
  <c r="N124" i="1"/>
  <c r="O124" i="1" s="1"/>
  <c r="F124" i="1"/>
  <c r="N123" i="1"/>
  <c r="O123" i="1" s="1"/>
  <c r="F123" i="1"/>
  <c r="N122" i="1"/>
  <c r="O122" i="1" s="1"/>
  <c r="F122" i="1"/>
  <c r="N121" i="1"/>
  <c r="O121" i="1" s="1"/>
  <c r="F121" i="1"/>
  <c r="D120" i="1"/>
  <c r="G52" i="36" s="1"/>
  <c r="K179" i="37" s="1"/>
  <c r="N119" i="1"/>
  <c r="O119" i="1" s="1"/>
  <c r="F119" i="1"/>
  <c r="N118" i="1"/>
  <c r="O118" i="1" s="1"/>
  <c r="F118" i="1"/>
  <c r="N117" i="1"/>
  <c r="F117" i="1"/>
  <c r="N116" i="1"/>
  <c r="O116" i="1" s="1"/>
  <c r="F116" i="1"/>
  <c r="D115" i="1"/>
  <c r="N114" i="1"/>
  <c r="O114" i="1" s="1"/>
  <c r="F114" i="1"/>
  <c r="N112" i="1"/>
  <c r="O112" i="1" s="1"/>
  <c r="F112" i="1"/>
  <c r="N110" i="1"/>
  <c r="O110" i="1" s="1"/>
  <c r="F110" i="1"/>
  <c r="N109" i="1"/>
  <c r="O109" i="1" s="1"/>
  <c r="F109" i="1"/>
  <c r="N108" i="1"/>
  <c r="O108" i="1" s="1"/>
  <c r="F108" i="1"/>
  <c r="N107" i="1"/>
  <c r="O107" i="1" s="1"/>
  <c r="F107" i="1"/>
  <c r="D106" i="1"/>
  <c r="N105" i="1"/>
  <c r="F105" i="1"/>
  <c r="N104" i="1"/>
  <c r="O104" i="1" s="1"/>
  <c r="F104" i="1"/>
  <c r="N103" i="1"/>
  <c r="O103" i="1" s="1"/>
  <c r="F103" i="1"/>
  <c r="N102" i="1"/>
  <c r="O102" i="1" s="1"/>
  <c r="F102" i="1"/>
  <c r="D101" i="1"/>
  <c r="N100" i="1"/>
  <c r="O100" i="1" s="1"/>
  <c r="F100" i="1"/>
  <c r="N99" i="1"/>
  <c r="O99" i="1" s="1"/>
  <c r="F99" i="1"/>
  <c r="N98" i="1"/>
  <c r="O98" i="1" s="1"/>
  <c r="F98" i="1"/>
  <c r="N97" i="1"/>
  <c r="O97" i="1" s="1"/>
  <c r="F97" i="1"/>
  <c r="N96" i="1"/>
  <c r="F96" i="1"/>
  <c r="D95" i="1"/>
  <c r="N94" i="1"/>
  <c r="O94" i="1" s="1"/>
  <c r="F94" i="1"/>
  <c r="N93" i="1"/>
  <c r="O93" i="1" s="1"/>
  <c r="F93" i="1"/>
  <c r="N92" i="1"/>
  <c r="O92" i="1" s="1"/>
  <c r="F92" i="1"/>
  <c r="N91" i="1"/>
  <c r="O91" i="1" s="1"/>
  <c r="F91" i="1"/>
  <c r="D90" i="1"/>
  <c r="E66" i="29" s="1"/>
  <c r="N89" i="1"/>
  <c r="O89" i="1" s="1"/>
  <c r="F89" i="1"/>
  <c r="N88" i="1"/>
  <c r="O88" i="1" s="1"/>
  <c r="F88" i="1"/>
  <c r="N87" i="1"/>
  <c r="O87" i="1" s="1"/>
  <c r="F87" i="1"/>
  <c r="D86" i="1"/>
  <c r="N85" i="1"/>
  <c r="O85" i="1" s="1"/>
  <c r="F85" i="1"/>
  <c r="N84" i="1"/>
  <c r="O84" i="1" s="1"/>
  <c r="F84" i="1"/>
  <c r="N83" i="1"/>
  <c r="O83" i="1" s="1"/>
  <c r="F83" i="1"/>
  <c r="D82" i="1"/>
  <c r="N81" i="1"/>
  <c r="O81" i="1" s="1"/>
  <c r="F81" i="1"/>
  <c r="N80" i="1"/>
  <c r="O80" i="1" s="1"/>
  <c r="F80" i="1"/>
  <c r="N79" i="1"/>
  <c r="O79" i="1" s="1"/>
  <c r="F79" i="1"/>
  <c r="N78" i="1"/>
  <c r="O78" i="1" s="1"/>
  <c r="F78" i="1"/>
  <c r="N77" i="1"/>
  <c r="O77" i="1" s="1"/>
  <c r="F77" i="1"/>
  <c r="D76" i="1"/>
  <c r="N75" i="1"/>
  <c r="O75" i="1" s="1"/>
  <c r="F75" i="1"/>
  <c r="N74" i="1"/>
  <c r="O74" i="1" s="1"/>
  <c r="F74" i="1"/>
  <c r="N73" i="1"/>
  <c r="O73" i="1" s="1"/>
  <c r="F73" i="1"/>
  <c r="N72" i="1"/>
  <c r="O72" i="1" s="1"/>
  <c r="F72" i="1"/>
  <c r="D71" i="1"/>
  <c r="F70" i="1"/>
  <c r="H70" i="1" s="1"/>
  <c r="J70" i="1" s="1"/>
  <c r="F69" i="1"/>
  <c r="F67" i="1"/>
  <c r="H67" i="1" s="1"/>
  <c r="J67" i="1" s="1"/>
  <c r="N64" i="1"/>
  <c r="O64" i="1" s="1"/>
  <c r="F64" i="1"/>
  <c r="N63" i="1"/>
  <c r="O63" i="1" s="1"/>
  <c r="F63" i="1"/>
  <c r="N62" i="1"/>
  <c r="O62" i="1" s="1"/>
  <c r="F62" i="1"/>
  <c r="N61" i="1"/>
  <c r="O61" i="1" s="1"/>
  <c r="F61" i="1"/>
  <c r="N60" i="1"/>
  <c r="O60" i="1" s="1"/>
  <c r="F60" i="1"/>
  <c r="N59" i="1"/>
  <c r="O59" i="1" s="1"/>
  <c r="F59" i="1"/>
  <c r="N58" i="1"/>
  <c r="O58" i="1" s="1"/>
  <c r="F58" i="1"/>
  <c r="N57" i="1"/>
  <c r="O57" i="1" s="1"/>
  <c r="F57" i="1"/>
  <c r="N56" i="1"/>
  <c r="O56" i="1" s="1"/>
  <c r="F56" i="1"/>
  <c r="D53" i="1"/>
  <c r="U28" i="30" s="1"/>
  <c r="N53" i="1"/>
  <c r="O53" i="1" s="1"/>
  <c r="N51" i="1"/>
  <c r="O51" i="1" s="1"/>
  <c r="F51" i="1"/>
  <c r="N50" i="1"/>
  <c r="O50" i="1" s="1"/>
  <c r="F50" i="1"/>
  <c r="N49" i="1"/>
  <c r="F49" i="1"/>
  <c r="N48" i="1"/>
  <c r="O48" i="1" s="1"/>
  <c r="F48" i="1"/>
  <c r="N47" i="1"/>
  <c r="O47" i="1" s="1"/>
  <c r="F47" i="1"/>
  <c r="N43" i="1"/>
  <c r="O43" i="1" s="1"/>
  <c r="F43" i="1"/>
  <c r="N42" i="1"/>
  <c r="O42" i="1" s="1"/>
  <c r="F40" i="1"/>
  <c r="H40" i="1" s="1"/>
  <c r="J40" i="1" s="1"/>
  <c r="F38" i="1"/>
  <c r="F36" i="1"/>
  <c r="H36" i="1" s="1"/>
  <c r="J36" i="1" s="1"/>
  <c r="N35" i="1"/>
  <c r="O35" i="1" s="1"/>
  <c r="F33" i="1"/>
  <c r="H33" i="1" s="1"/>
  <c r="N28" i="1"/>
  <c r="O28" i="1" s="1"/>
  <c r="F28" i="1"/>
  <c r="AO87" i="30" s="1"/>
  <c r="H27" i="1"/>
  <c r="J27" i="1" s="1"/>
  <c r="F26" i="1"/>
  <c r="AN87" i="30" s="1"/>
  <c r="N25" i="1"/>
  <c r="N22" i="1"/>
  <c r="O22" i="1" s="1"/>
  <c r="F22" i="1"/>
  <c r="AH87" i="30" s="1"/>
  <c r="H21" i="1"/>
  <c r="J21" i="1" s="1"/>
  <c r="F20" i="1"/>
  <c r="F19" i="1"/>
  <c r="H19" i="1" s="1"/>
  <c r="J19" i="1" s="1"/>
  <c r="N18" i="1"/>
  <c r="O18" i="1" s="1"/>
  <c r="F18" i="1"/>
  <c r="H15" i="1"/>
  <c r="J15" i="1" s="1"/>
  <c r="N14" i="1"/>
  <c r="O14" i="1" s="1"/>
  <c r="F14" i="1"/>
  <c r="N13" i="1"/>
  <c r="O13" i="1" s="1"/>
  <c r="J10" i="1"/>
  <c r="H10" i="1"/>
  <c r="F10" i="1"/>
  <c r="M58" i="37" s="1"/>
  <c r="D7" i="1"/>
  <c r="C3" i="33"/>
  <c r="C2" i="33"/>
  <c r="C38" i="28"/>
  <c r="O37" i="28"/>
  <c r="L36" i="28"/>
  <c r="I35" i="28"/>
  <c r="F34" i="28"/>
  <c r="G32" i="28"/>
  <c r="H215" i="37" s="1"/>
  <c r="AC20" i="29"/>
  <c r="P26" i="28"/>
  <c r="Q209" i="37" s="1"/>
  <c r="P25" i="28"/>
  <c r="Q208" i="37" s="1"/>
  <c r="P24" i="28"/>
  <c r="Q207" i="37" s="1"/>
  <c r="P23" i="28"/>
  <c r="Q206" i="37" s="1"/>
  <c r="M21" i="28"/>
  <c r="M20" i="28"/>
  <c r="K198" i="37"/>
  <c r="K197" i="37"/>
  <c r="W3" i="29"/>
  <c r="W27" i="29" s="1"/>
  <c r="F9" i="28"/>
  <c r="K3" i="29" s="1"/>
  <c r="K27" i="29" s="1"/>
  <c r="BQ48" i="30"/>
  <c r="BL7" i="30"/>
  <c r="BG7" i="30"/>
  <c r="B50" i="30"/>
  <c r="B51" i="30" s="1"/>
  <c r="B52" i="30" s="1"/>
  <c r="M16" i="22"/>
  <c r="B25" i="30"/>
  <c r="J42" i="22" s="1"/>
  <c r="S22" i="30"/>
  <c r="G22" i="30"/>
  <c r="G48" i="30" s="1"/>
  <c r="S16" i="30"/>
  <c r="T16" i="30" s="1"/>
  <c r="S14" i="30"/>
  <c r="T14" i="30" s="1"/>
  <c r="H10" i="30"/>
  <c r="I93" i="32"/>
  <c r="J93" i="32" s="1"/>
  <c r="H85" i="32"/>
  <c r="I85" i="32" s="1"/>
  <c r="K129" i="34"/>
  <c r="M127" i="34"/>
  <c r="K122" i="34"/>
  <c r="H65" i="32"/>
  <c r="I65" i="32" s="1"/>
  <c r="J65" i="32" s="1"/>
  <c r="G61" i="32"/>
  <c r="K117" i="37" s="1"/>
  <c r="G58" i="32"/>
  <c r="K114" i="34" s="1"/>
  <c r="G57" i="32"/>
  <c r="K113" i="37" s="1"/>
  <c r="L53" i="32"/>
  <c r="J53" i="32"/>
  <c r="H48" i="32"/>
  <c r="M107" i="37" s="1"/>
  <c r="M103" i="34"/>
  <c r="K103" i="34"/>
  <c r="J35" i="32"/>
  <c r="I35" i="32"/>
  <c r="H35" i="32"/>
  <c r="G35" i="32"/>
  <c r="I10" i="32"/>
  <c r="I53" i="32" s="1"/>
  <c r="H10" i="32"/>
  <c r="H53" i="32" s="1"/>
  <c r="G10" i="32"/>
  <c r="G53" i="32" s="1"/>
  <c r="I28" i="20"/>
  <c r="K28" i="20" s="1"/>
  <c r="M28" i="20" s="1"/>
  <c r="R12" i="20"/>
  <c r="S12" i="20" s="1"/>
  <c r="G10" i="20"/>
  <c r="E9" i="2" s="1"/>
  <c r="G8" i="20"/>
  <c r="G7" i="20"/>
  <c r="I67" i="26"/>
  <c r="R63" i="36" s="1"/>
  <c r="I58" i="26"/>
  <c r="I57" i="26"/>
  <c r="I56" i="26"/>
  <c r="I55" i="26"/>
  <c r="I52" i="26"/>
  <c r="I51" i="26"/>
  <c r="I49" i="26"/>
  <c r="I48" i="26"/>
  <c r="E45" i="26"/>
  <c r="E44" i="26"/>
  <c r="J34" i="34"/>
  <c r="I34" i="34"/>
  <c r="H34" i="34"/>
  <c r="G34" i="34"/>
  <c r="I40" i="26"/>
  <c r="I38" i="26"/>
  <c r="F42" i="22"/>
  <c r="I35" i="26"/>
  <c r="F35" i="22"/>
  <c r="I32" i="26"/>
  <c r="I30" i="26"/>
  <c r="F22" i="22"/>
  <c r="I27" i="26"/>
  <c r="I24" i="26"/>
  <c r="F9" i="22"/>
  <c r="I20" i="26"/>
  <c r="I17" i="26"/>
  <c r="F16" i="26"/>
  <c r="N204" i="37" l="1"/>
  <c r="Q203" i="37"/>
  <c r="N203" i="37"/>
  <c r="AA87" i="30"/>
  <c r="AG87" i="30"/>
  <c r="AI87" i="30"/>
  <c r="H26" i="1"/>
  <c r="J26" i="1" s="1"/>
  <c r="F24" i="1"/>
  <c r="F17" i="1"/>
  <c r="G33" i="20"/>
  <c r="I33" i="20"/>
  <c r="AP87" i="30"/>
  <c r="D35" i="1"/>
  <c r="H20" i="1"/>
  <c r="K33" i="20" s="1"/>
  <c r="K47" i="34"/>
  <c r="K47" i="37"/>
  <c r="K40" i="34"/>
  <c r="K40" i="37"/>
  <c r="K45" i="34"/>
  <c r="K45" i="37"/>
  <c r="K48" i="34"/>
  <c r="K48" i="37"/>
  <c r="K46" i="34"/>
  <c r="K46" i="37"/>
  <c r="K43" i="34"/>
  <c r="K43" i="37"/>
  <c r="G57" i="29"/>
  <c r="D221" i="37"/>
  <c r="G18" i="36"/>
  <c r="G217" i="37"/>
  <c r="K29" i="34"/>
  <c r="K29" i="37"/>
  <c r="K27" i="34"/>
  <c r="K27" i="37"/>
  <c r="K25" i="34"/>
  <c r="K25" i="37"/>
  <c r="K21" i="34"/>
  <c r="K21" i="37"/>
  <c r="K17" i="34"/>
  <c r="K17" i="37"/>
  <c r="K19" i="34"/>
  <c r="K19" i="37"/>
  <c r="G58" i="29"/>
  <c r="U39" i="30"/>
  <c r="E55" i="29"/>
  <c r="E56" i="29" s="1"/>
  <c r="E61" i="29" s="1"/>
  <c r="U30" i="30" s="1"/>
  <c r="E21" i="2"/>
  <c r="E11" i="2" s="1"/>
  <c r="K31" i="34"/>
  <c r="K31" i="37"/>
  <c r="K39" i="34"/>
  <c r="K39" i="37"/>
  <c r="J28" i="30"/>
  <c r="G28" i="30"/>
  <c r="H28" i="30"/>
  <c r="I28" i="30"/>
  <c r="K28" i="30"/>
  <c r="N28" i="30"/>
  <c r="O28" i="30"/>
  <c r="P28" i="30"/>
  <c r="Q28" i="30"/>
  <c r="R28" i="30"/>
  <c r="M28" i="30"/>
  <c r="L28" i="30"/>
  <c r="F111" i="1"/>
  <c r="O58" i="34"/>
  <c r="O58" i="37"/>
  <c r="Q58" i="34"/>
  <c r="Q58" i="37"/>
  <c r="K199" i="34"/>
  <c r="K199" i="37"/>
  <c r="H18" i="36"/>
  <c r="J218" i="37"/>
  <c r="I18" i="36"/>
  <c r="M219" i="37"/>
  <c r="P220" i="34"/>
  <c r="P220" i="37"/>
  <c r="K42" i="34"/>
  <c r="K42" i="37"/>
  <c r="K62" i="30"/>
  <c r="X87" i="30" s="1"/>
  <c r="H16" i="37"/>
  <c r="B36" i="33"/>
  <c r="K23" i="34"/>
  <c r="K23" i="37"/>
  <c r="M60" i="37"/>
  <c r="D3" i="33"/>
  <c r="E3" i="33" s="1"/>
  <c r="C53" i="33"/>
  <c r="C54" i="33" s="1"/>
  <c r="H126" i="1"/>
  <c r="J126" i="1" s="1"/>
  <c r="D52" i="1"/>
  <c r="F55" i="1"/>
  <c r="H55" i="1" s="1"/>
  <c r="J55" i="1" s="1"/>
  <c r="M58" i="34"/>
  <c r="AE32" i="29"/>
  <c r="AK21" i="29"/>
  <c r="G30" i="36"/>
  <c r="U51" i="30"/>
  <c r="U94" i="30"/>
  <c r="H38" i="1"/>
  <c r="J38" i="1" s="1"/>
  <c r="C25" i="33"/>
  <c r="G32" i="2"/>
  <c r="H32" i="2" s="1"/>
  <c r="G67" i="2"/>
  <c r="H67" i="2" s="1"/>
  <c r="G60" i="2"/>
  <c r="H60" i="2" s="1"/>
  <c r="G39" i="2"/>
  <c r="H39" i="2" s="1"/>
  <c r="P29" i="29"/>
  <c r="P41" i="29" s="1"/>
  <c r="G76" i="32"/>
  <c r="Y12" i="22"/>
  <c r="Y16" i="22"/>
  <c r="E48" i="22"/>
  <c r="D11" i="1"/>
  <c r="J24" i="36"/>
  <c r="H48" i="22"/>
  <c r="I24" i="36"/>
  <c r="G48" i="22"/>
  <c r="H24" i="36"/>
  <c r="F48" i="22"/>
  <c r="H88" i="1"/>
  <c r="H97" i="1"/>
  <c r="J97" i="1" s="1"/>
  <c r="G36" i="34"/>
  <c r="K56" i="34" s="1"/>
  <c r="G194" i="34"/>
  <c r="H103" i="1"/>
  <c r="J103" i="1" s="1"/>
  <c r="H112" i="1"/>
  <c r="K179" i="34"/>
  <c r="G47" i="32"/>
  <c r="G86" i="32"/>
  <c r="M107" i="34"/>
  <c r="H29" i="36"/>
  <c r="J101" i="32"/>
  <c r="F63" i="36"/>
  <c r="H215" i="34"/>
  <c r="H89" i="1"/>
  <c r="H124" i="1"/>
  <c r="J124" i="1" s="1"/>
  <c r="H129" i="1"/>
  <c r="J129" i="1" s="1"/>
  <c r="F65" i="1"/>
  <c r="U85" i="30" s="1"/>
  <c r="O13" i="22"/>
  <c r="J38" i="30"/>
  <c r="H98" i="1"/>
  <c r="J98" i="1" s="1"/>
  <c r="M60" i="34"/>
  <c r="M76" i="34"/>
  <c r="G34" i="32"/>
  <c r="D221" i="34"/>
  <c r="G91" i="32"/>
  <c r="H85" i="1"/>
  <c r="J85" i="1" s="1"/>
  <c r="H14" i="1"/>
  <c r="J14" i="1" s="1"/>
  <c r="H77" i="1"/>
  <c r="J77" i="1" s="1"/>
  <c r="M129" i="34"/>
  <c r="F45" i="26"/>
  <c r="I10" i="28"/>
  <c r="AH35" i="29"/>
  <c r="Q36" i="28" s="1"/>
  <c r="AE16" i="29"/>
  <c r="AK16" i="29" s="1"/>
  <c r="Q206" i="34"/>
  <c r="AC22" i="29"/>
  <c r="P213" i="34"/>
  <c r="S9" i="29"/>
  <c r="K197" i="34"/>
  <c r="Y13" i="29"/>
  <c r="N202" i="34"/>
  <c r="AE17" i="29"/>
  <c r="AK17" i="29" s="1"/>
  <c r="Q207" i="34"/>
  <c r="AC23" i="29"/>
  <c r="AG23" i="29" s="1"/>
  <c r="P214" i="34"/>
  <c r="K10" i="29"/>
  <c r="O10" i="29" s="1"/>
  <c r="G198" i="34"/>
  <c r="Q14" i="29"/>
  <c r="T14" i="29" s="1"/>
  <c r="V14" i="29" s="1"/>
  <c r="K20" i="28" s="1"/>
  <c r="J203" i="34"/>
  <c r="W18" i="29"/>
  <c r="M208" i="34"/>
  <c r="K9" i="29"/>
  <c r="O9" i="29" s="1"/>
  <c r="G197" i="34"/>
  <c r="S10" i="29"/>
  <c r="K198" i="34"/>
  <c r="Y14" i="29"/>
  <c r="N203" i="34"/>
  <c r="AE18" i="29"/>
  <c r="Q208" i="34"/>
  <c r="Y12" i="29"/>
  <c r="N201" i="34"/>
  <c r="K11" i="29"/>
  <c r="G199" i="34"/>
  <c r="Q15" i="29"/>
  <c r="T15" i="29" s="1"/>
  <c r="V15" i="29" s="1"/>
  <c r="K21" i="28" s="1"/>
  <c r="J204" i="34"/>
  <c r="W19" i="29"/>
  <c r="AA19" i="29" s="1"/>
  <c r="M209" i="34"/>
  <c r="AC21" i="29"/>
  <c r="AF21" i="29" s="1"/>
  <c r="AH21" i="29" s="1"/>
  <c r="Q29" i="28" s="1"/>
  <c r="P212" i="34"/>
  <c r="Y15" i="29"/>
  <c r="N204" i="34"/>
  <c r="AE19" i="29"/>
  <c r="AK19" i="29" s="1"/>
  <c r="Q209" i="34"/>
  <c r="Q32" i="29"/>
  <c r="Q41" i="29" s="1"/>
  <c r="J218" i="34"/>
  <c r="Q13" i="29"/>
  <c r="T13" i="29" s="1"/>
  <c r="V13" i="29" s="1"/>
  <c r="K19" i="28" s="1"/>
  <c r="J202" i="34"/>
  <c r="Q12" i="29"/>
  <c r="U12" i="29" s="1"/>
  <c r="J201" i="34"/>
  <c r="W16" i="29"/>
  <c r="AA16" i="29" s="1"/>
  <c r="M206" i="34"/>
  <c r="W35" i="29"/>
  <c r="W41" i="29" s="1"/>
  <c r="M219" i="34"/>
  <c r="H78" i="1"/>
  <c r="J78" i="1" s="1"/>
  <c r="H119" i="1"/>
  <c r="J119" i="1" s="1"/>
  <c r="H28" i="1"/>
  <c r="J28" i="1" s="1"/>
  <c r="K29" i="29"/>
  <c r="G217" i="34"/>
  <c r="W17" i="29"/>
  <c r="Z17" i="29" s="1"/>
  <c r="AB17" i="29" s="1"/>
  <c r="N24" i="28" s="1"/>
  <c r="M207" i="34"/>
  <c r="S8" i="29"/>
  <c r="K196" i="34"/>
  <c r="K8" i="29"/>
  <c r="O8" i="29" s="1"/>
  <c r="G196" i="34"/>
  <c r="Q3" i="29"/>
  <c r="Q27" i="29" s="1"/>
  <c r="J192" i="34"/>
  <c r="AN38" i="29"/>
  <c r="F36" i="22"/>
  <c r="F39" i="22" s="1"/>
  <c r="F40" i="22" s="1"/>
  <c r="H31" i="32" s="1"/>
  <c r="H56" i="1"/>
  <c r="J56" i="1" s="1"/>
  <c r="F32" i="22"/>
  <c r="F33" i="22" s="1"/>
  <c r="H62" i="1"/>
  <c r="J62" i="1" s="1"/>
  <c r="H75" i="1"/>
  <c r="J75" i="1" s="1"/>
  <c r="H102" i="1"/>
  <c r="H114" i="1"/>
  <c r="G61" i="2"/>
  <c r="H61" i="2" s="1"/>
  <c r="G32" i="22"/>
  <c r="G33" i="22" s="1"/>
  <c r="F95" i="1"/>
  <c r="F90" i="1"/>
  <c r="G24" i="29"/>
  <c r="E32" i="22"/>
  <c r="H32" i="22"/>
  <c r="N17" i="22"/>
  <c r="V17" i="22"/>
  <c r="O17" i="22"/>
  <c r="M17" i="22"/>
  <c r="N13" i="22"/>
  <c r="G19" i="2"/>
  <c r="H19" i="2" s="1"/>
  <c r="G68" i="2"/>
  <c r="G20" i="2"/>
  <c r="H20" i="2" s="1"/>
  <c r="W17" i="22"/>
  <c r="G40" i="2"/>
  <c r="H40" i="2" s="1"/>
  <c r="I10" i="30"/>
  <c r="AK20" i="29"/>
  <c r="M24" i="29"/>
  <c r="D2" i="33"/>
  <c r="H51" i="1"/>
  <c r="V13" i="22"/>
  <c r="G48" i="2"/>
  <c r="H48" i="2" s="1"/>
  <c r="H27" i="2"/>
  <c r="H22" i="1"/>
  <c r="J22" i="1" s="1"/>
  <c r="F45" i="2"/>
  <c r="F49" i="2" s="1"/>
  <c r="G75" i="2"/>
  <c r="H75" i="2" s="1"/>
  <c r="M29" i="29"/>
  <c r="G34" i="28" s="1"/>
  <c r="H217" i="37" s="1"/>
  <c r="Q201" i="37"/>
  <c r="S11" i="29"/>
  <c r="O32" i="28"/>
  <c r="P215" i="37" s="1"/>
  <c r="M13" i="22"/>
  <c r="U13" i="22"/>
  <c r="G76" i="2"/>
  <c r="H76" i="2" s="1"/>
  <c r="N198" i="37"/>
  <c r="H60" i="1"/>
  <c r="J60" i="1" s="1"/>
  <c r="H64" i="1"/>
  <c r="J64" i="1" s="1"/>
  <c r="H107" i="1"/>
  <c r="J107" i="1" s="1"/>
  <c r="H123" i="1"/>
  <c r="J123" i="1" s="1"/>
  <c r="G26" i="2"/>
  <c r="H26" i="2" s="1"/>
  <c r="F52" i="2"/>
  <c r="F56" i="2" s="1"/>
  <c r="G62" i="2"/>
  <c r="E10" i="2"/>
  <c r="AB29" i="29"/>
  <c r="N34" i="28" s="1"/>
  <c r="H57" i="1"/>
  <c r="J57" i="1" s="1"/>
  <c r="H61" i="1"/>
  <c r="J61" i="1" s="1"/>
  <c r="H74" i="1"/>
  <c r="J74" i="1" s="1"/>
  <c r="H104" i="1"/>
  <c r="J104" i="1" s="1"/>
  <c r="H116" i="1"/>
  <c r="F17" i="2"/>
  <c r="F21" i="2" s="1"/>
  <c r="AH29" i="29"/>
  <c r="Q34" i="28" s="1"/>
  <c r="H49" i="1"/>
  <c r="F115" i="1"/>
  <c r="G46" i="2"/>
  <c r="G54" i="2"/>
  <c r="K12" i="20"/>
  <c r="N197" i="37"/>
  <c r="H50" i="1"/>
  <c r="J50" i="1" s="1"/>
  <c r="F82" i="1"/>
  <c r="F101" i="1"/>
  <c r="G47" i="2"/>
  <c r="H47" i="2" s="1"/>
  <c r="W13" i="22"/>
  <c r="I38" i="28"/>
  <c r="H47" i="1"/>
  <c r="H59" i="1"/>
  <c r="J59" i="1" s="1"/>
  <c r="H79" i="1"/>
  <c r="J79" i="1" s="1"/>
  <c r="H87" i="1"/>
  <c r="H118" i="1"/>
  <c r="H122" i="1"/>
  <c r="J122" i="1" s="1"/>
  <c r="H130" i="1"/>
  <c r="J130" i="1" s="1"/>
  <c r="G33" i="2"/>
  <c r="H33" i="2" s="1"/>
  <c r="F38" i="2"/>
  <c r="F42" i="2" s="1"/>
  <c r="F66" i="2"/>
  <c r="F70" i="2" s="1"/>
  <c r="I78" i="32"/>
  <c r="I48" i="32"/>
  <c r="O107" i="37" s="1"/>
  <c r="F43" i="22"/>
  <c r="F44" i="22" s="1"/>
  <c r="K117" i="34"/>
  <c r="H61" i="32"/>
  <c r="M117" i="37" s="1"/>
  <c r="H131" i="1"/>
  <c r="G22" i="22"/>
  <c r="H127" i="1"/>
  <c r="K115" i="34"/>
  <c r="AK23" i="29"/>
  <c r="R12" i="29"/>
  <c r="X12" i="29" s="1"/>
  <c r="AD12" i="29" s="1"/>
  <c r="AJ12" i="29" s="1"/>
  <c r="AD23" i="29"/>
  <c r="AJ23" i="29" s="1"/>
  <c r="AK18" i="29"/>
  <c r="C24" i="29"/>
  <c r="X16" i="29"/>
  <c r="AD16" i="29" s="1"/>
  <c r="AJ16" i="29" s="1"/>
  <c r="S29" i="29"/>
  <c r="AN35" i="29"/>
  <c r="AD21" i="29"/>
  <c r="AJ21" i="29" s="1"/>
  <c r="AK29" i="29"/>
  <c r="L11" i="29"/>
  <c r="Y35" i="29"/>
  <c r="M36" i="28" s="1"/>
  <c r="AB35" i="29"/>
  <c r="N36" i="28" s="1"/>
  <c r="AE35" i="29"/>
  <c r="P36" i="28" s="1"/>
  <c r="X17" i="29"/>
  <c r="AD17" i="29" s="1"/>
  <c r="AJ17" i="29" s="1"/>
  <c r="AK35" i="29"/>
  <c r="P17" i="22"/>
  <c r="X17" i="22"/>
  <c r="P13" i="22"/>
  <c r="X13" i="22"/>
  <c r="Q17" i="22"/>
  <c r="Q13" i="22"/>
  <c r="R17" i="22"/>
  <c r="R13" i="22"/>
  <c r="S17" i="22"/>
  <c r="S13" i="22"/>
  <c r="T17" i="22"/>
  <c r="T13" i="22"/>
  <c r="U17" i="22"/>
  <c r="G84" i="32"/>
  <c r="G64" i="32"/>
  <c r="H13" i="1"/>
  <c r="H12" i="1" s="1"/>
  <c r="H58" i="1"/>
  <c r="J58" i="1" s="1"/>
  <c r="F71" i="1"/>
  <c r="H92" i="1"/>
  <c r="J92" i="1" s="1"/>
  <c r="H99" i="1"/>
  <c r="J99" i="1" s="1"/>
  <c r="H108" i="1"/>
  <c r="J108" i="1" s="1"/>
  <c r="H125" i="1"/>
  <c r="J125" i="1" s="1"/>
  <c r="F46" i="1"/>
  <c r="H93" i="1"/>
  <c r="J93" i="1" s="1"/>
  <c r="H96" i="1"/>
  <c r="H105" i="1"/>
  <c r="H109" i="1"/>
  <c r="J109" i="1" s="1"/>
  <c r="H94" i="1"/>
  <c r="J94" i="1" s="1"/>
  <c r="F106" i="1"/>
  <c r="F76" i="1"/>
  <c r="H80" i="1"/>
  <c r="H84" i="1"/>
  <c r="J84" i="1" s="1"/>
  <c r="F86" i="1"/>
  <c r="F120" i="1"/>
  <c r="H52" i="36" s="1"/>
  <c r="M179" i="37" s="1"/>
  <c r="H43" i="1"/>
  <c r="J43" i="1" s="1"/>
  <c r="H117" i="1"/>
  <c r="H81" i="1"/>
  <c r="H62" i="26"/>
  <c r="J52" i="34" s="1"/>
  <c r="G42" i="22"/>
  <c r="G43" i="22" s="1"/>
  <c r="G46" i="22" s="1"/>
  <c r="G47" i="22" s="1"/>
  <c r="I15" i="32" s="1"/>
  <c r="K34" i="34"/>
  <c r="H6" i="22"/>
  <c r="G16" i="26"/>
  <c r="I16" i="37" s="1"/>
  <c r="H22" i="22"/>
  <c r="H69" i="32"/>
  <c r="G6" i="22"/>
  <c r="G7" i="22" s="1"/>
  <c r="I20" i="32" s="1"/>
  <c r="E43" i="22"/>
  <c r="E46" i="22" s="1"/>
  <c r="E47" i="22" s="1"/>
  <c r="G15" i="32" s="1"/>
  <c r="G17" i="32" s="1"/>
  <c r="H21" i="22"/>
  <c r="E10" i="22"/>
  <c r="G25" i="36" s="1"/>
  <c r="E21" i="22"/>
  <c r="E23" i="22" s="1"/>
  <c r="G26" i="36" s="1"/>
  <c r="F21" i="22"/>
  <c r="E36" i="22"/>
  <c r="G21" i="22"/>
  <c r="H16" i="34"/>
  <c r="F3" i="22"/>
  <c r="J85" i="32"/>
  <c r="O129" i="34"/>
  <c r="N38" i="30"/>
  <c r="M38" i="30"/>
  <c r="I38" i="30"/>
  <c r="R38" i="30"/>
  <c r="H38" i="30"/>
  <c r="Q38" i="30"/>
  <c r="G38" i="30"/>
  <c r="P38" i="30"/>
  <c r="O38" i="30"/>
  <c r="L38" i="30"/>
  <c r="K38" i="30"/>
  <c r="BA49" i="30"/>
  <c r="E54" i="29"/>
  <c r="D8" i="1"/>
  <c r="E8" i="2" s="1"/>
  <c r="I8" i="20"/>
  <c r="M124" i="34"/>
  <c r="J12" i="22"/>
  <c r="B26" i="30"/>
  <c r="J44" i="22" s="1"/>
  <c r="B135" i="1"/>
  <c r="B80" i="2" s="1"/>
  <c r="B61" i="30"/>
  <c r="B116" i="30" s="1"/>
  <c r="B5" i="2"/>
  <c r="B5" i="1"/>
  <c r="K113" i="34"/>
  <c r="H57" i="32"/>
  <c r="M113" i="37" s="1"/>
  <c r="F62" i="26"/>
  <c r="G62" i="26"/>
  <c r="I52" i="34" s="1"/>
  <c r="N2" i="22"/>
  <c r="BF42" i="30"/>
  <c r="H22" i="30"/>
  <c r="H48" i="30" s="1"/>
  <c r="AC38" i="29"/>
  <c r="O38" i="28"/>
  <c r="P221" i="37" s="1"/>
  <c r="J33" i="1"/>
  <c r="F32" i="28"/>
  <c r="D42" i="1" s="1"/>
  <c r="C19" i="33"/>
  <c r="C20" i="33" s="1"/>
  <c r="C23" i="33"/>
  <c r="Q204" i="37"/>
  <c r="P35" i="28"/>
  <c r="I32" i="28"/>
  <c r="L38" i="28"/>
  <c r="D34" i="1"/>
  <c r="D39" i="1"/>
  <c r="AG20" i="29"/>
  <c r="AF20" i="29"/>
  <c r="AH20" i="29" s="1"/>
  <c r="Q28" i="28" s="1"/>
  <c r="J32" i="28"/>
  <c r="K215" i="37" s="1"/>
  <c r="C24" i="33"/>
  <c r="I32" i="33" s="1"/>
  <c r="F38" i="28"/>
  <c r="G221" i="37" s="1"/>
  <c r="Q202" i="37"/>
  <c r="L32" i="28"/>
  <c r="H18" i="1"/>
  <c r="O25" i="1"/>
  <c r="H25" i="1"/>
  <c r="F53" i="1"/>
  <c r="G34" i="2"/>
  <c r="F18" i="22"/>
  <c r="H91" i="1"/>
  <c r="G18" i="2"/>
  <c r="N54" i="2"/>
  <c r="H48" i="1"/>
  <c r="O49" i="1"/>
  <c r="O96" i="1"/>
  <c r="O105" i="1"/>
  <c r="O117" i="1"/>
  <c r="O127" i="1"/>
  <c r="O131" i="1"/>
  <c r="F24" i="2"/>
  <c r="F28" i="2" s="1"/>
  <c r="G25" i="2"/>
  <c r="F59" i="2"/>
  <c r="F63" i="2" s="1"/>
  <c r="G69" i="2"/>
  <c r="H63" i="1"/>
  <c r="H73" i="1"/>
  <c r="H83" i="1"/>
  <c r="H100" i="1"/>
  <c r="J100" i="1" s="1"/>
  <c r="H110" i="1"/>
  <c r="F73" i="2"/>
  <c r="F77" i="2" s="1"/>
  <c r="G74" i="2"/>
  <c r="H54" i="1"/>
  <c r="H16" i="2"/>
  <c r="N46" i="2"/>
  <c r="G53" i="2"/>
  <c r="E13" i="2"/>
  <c r="H72" i="1"/>
  <c r="H121" i="1"/>
  <c r="F31" i="2"/>
  <c r="F35" i="2" s="1"/>
  <c r="H68" i="2"/>
  <c r="H66" i="2" s="1"/>
  <c r="F10" i="22"/>
  <c r="H25" i="36" s="1"/>
  <c r="G55" i="2"/>
  <c r="L9" i="29"/>
  <c r="E18" i="22"/>
  <c r="L8" i="29"/>
  <c r="E6" i="22"/>
  <c r="E7" i="22" s="1"/>
  <c r="G20" i="32" s="1"/>
  <c r="G19" i="32" s="1"/>
  <c r="K93" i="37" s="1"/>
  <c r="G18" i="22"/>
  <c r="F6" i="22"/>
  <c r="H18" i="22"/>
  <c r="AB38" i="29"/>
  <c r="AD20" i="29"/>
  <c r="AJ20" i="29" s="1"/>
  <c r="V29" i="29"/>
  <c r="S32" i="29"/>
  <c r="J35" i="28" s="1"/>
  <c r="AH32" i="29"/>
  <c r="Q35" i="28" s="1"/>
  <c r="L10" i="29"/>
  <c r="R14" i="29"/>
  <c r="X14" i="29" s="1"/>
  <c r="AD14" i="29" s="1"/>
  <c r="AJ14" i="29" s="1"/>
  <c r="Y29" i="29"/>
  <c r="AN29" i="29"/>
  <c r="AK32" i="29"/>
  <c r="AE38" i="29"/>
  <c r="P37" i="28" s="1"/>
  <c r="V32" i="29"/>
  <c r="K35" i="28" s="1"/>
  <c r="AK22" i="29"/>
  <c r="Y32" i="29"/>
  <c r="M35" i="28" s="1"/>
  <c r="AN32" i="29"/>
  <c r="AH38" i="29"/>
  <c r="Q37" i="28" s="1"/>
  <c r="AE29" i="29"/>
  <c r="AK38" i="29"/>
  <c r="AB32" i="29"/>
  <c r="N35" i="28" s="1"/>
  <c r="AA38" i="29"/>
  <c r="P235" i="34"/>
  <c r="K135" i="34"/>
  <c r="K172" i="34" s="1"/>
  <c r="M135" i="34"/>
  <c r="M172" i="34" s="1"/>
  <c r="M85" i="34"/>
  <c r="O135" i="34"/>
  <c r="O172" i="34" s="1"/>
  <c r="Q51" i="28"/>
  <c r="G35" i="20"/>
  <c r="BQ49" i="30"/>
  <c r="U88" i="30" l="1"/>
  <c r="G88" i="30" s="1"/>
  <c r="H88" i="30" s="1"/>
  <c r="I88" i="30" s="1"/>
  <c r="J88" i="30" s="1"/>
  <c r="K88" i="30" s="1"/>
  <c r="L88" i="30" s="1"/>
  <c r="D41" i="1"/>
  <c r="F35" i="1"/>
  <c r="AS87" i="30"/>
  <c r="AT87" i="30" s="1"/>
  <c r="AR87" i="30"/>
  <c r="J33" i="30"/>
  <c r="Q33" i="30"/>
  <c r="G89" i="30"/>
  <c r="R33" i="30"/>
  <c r="P33" i="30"/>
  <c r="O33" i="30"/>
  <c r="N33" i="30"/>
  <c r="M33" i="30"/>
  <c r="L33" i="30"/>
  <c r="K33" i="30"/>
  <c r="I33" i="30"/>
  <c r="H33" i="30"/>
  <c r="AB87" i="30"/>
  <c r="H24" i="1"/>
  <c r="H17" i="1"/>
  <c r="U90" i="30"/>
  <c r="G90" i="30" s="1"/>
  <c r="H90" i="30" s="1"/>
  <c r="I90" i="30" s="1"/>
  <c r="J90" i="30" s="1"/>
  <c r="K90" i="30" s="1"/>
  <c r="L90" i="30" s="1"/>
  <c r="BH66" i="30"/>
  <c r="BG42" i="30"/>
  <c r="M79" i="37"/>
  <c r="R15" i="36"/>
  <c r="M79" i="34"/>
  <c r="K79" i="37"/>
  <c r="Q15" i="36"/>
  <c r="K79" i="34"/>
  <c r="J20" i="1"/>
  <c r="M33" i="20" s="1"/>
  <c r="O127" i="37"/>
  <c r="I19" i="36"/>
  <c r="I38" i="36"/>
  <c r="M149" i="34"/>
  <c r="M149" i="37"/>
  <c r="H52" i="34"/>
  <c r="H52" i="37"/>
  <c r="F14" i="2"/>
  <c r="G66" i="29"/>
  <c r="U95" i="30" s="1"/>
  <c r="G55" i="29"/>
  <c r="G56" i="29" s="1"/>
  <c r="D232" i="37"/>
  <c r="D232" i="34"/>
  <c r="K141" i="37"/>
  <c r="K141" i="34"/>
  <c r="J80" i="1"/>
  <c r="G57" i="36"/>
  <c r="S13" i="30"/>
  <c r="K146" i="37"/>
  <c r="I57" i="29"/>
  <c r="I58" i="29" s="1"/>
  <c r="U23" i="30"/>
  <c r="G15" i="20"/>
  <c r="E14" i="2"/>
  <c r="K97" i="34"/>
  <c r="K97" i="37"/>
  <c r="J112" i="1"/>
  <c r="J89" i="1"/>
  <c r="J88" i="1"/>
  <c r="E62" i="29"/>
  <c r="E64" i="29"/>
  <c r="J114" i="1"/>
  <c r="U84" i="30"/>
  <c r="J63" i="1"/>
  <c r="L218" i="34"/>
  <c r="L218" i="37"/>
  <c r="L203" i="34"/>
  <c r="L203" i="37"/>
  <c r="M221" i="34"/>
  <c r="M221" i="37"/>
  <c r="O217" i="34"/>
  <c r="O217" i="37"/>
  <c r="H17" i="36"/>
  <c r="J215" i="37"/>
  <c r="Q220" i="34"/>
  <c r="Q220" i="37"/>
  <c r="O218" i="34"/>
  <c r="O218" i="37"/>
  <c r="I17" i="36"/>
  <c r="M215" i="37"/>
  <c r="Y11" i="29"/>
  <c r="N199" i="37"/>
  <c r="R219" i="34"/>
  <c r="R219" i="37"/>
  <c r="R212" i="34"/>
  <c r="R212" i="37"/>
  <c r="O141" i="34"/>
  <c r="O141" i="37"/>
  <c r="Q219" i="34"/>
  <c r="Q219" i="37"/>
  <c r="Q218" i="34"/>
  <c r="Q218" i="37"/>
  <c r="J221" i="34"/>
  <c r="J221" i="37"/>
  <c r="O207" i="34"/>
  <c r="O207" i="37"/>
  <c r="M141" i="34"/>
  <c r="M141" i="37"/>
  <c r="R217" i="34"/>
  <c r="R217" i="37"/>
  <c r="R218" i="34"/>
  <c r="R218" i="37"/>
  <c r="N219" i="34"/>
  <c r="N219" i="37"/>
  <c r="L202" i="34"/>
  <c r="L202" i="37"/>
  <c r="L204" i="34"/>
  <c r="L204" i="37"/>
  <c r="R220" i="34"/>
  <c r="R220" i="37"/>
  <c r="O219" i="34"/>
  <c r="O219" i="37"/>
  <c r="N218" i="34"/>
  <c r="N218" i="37"/>
  <c r="K218" i="34"/>
  <c r="K218" i="37"/>
  <c r="R211" i="34"/>
  <c r="R211" i="37"/>
  <c r="J118" i="1"/>
  <c r="K42" i="28"/>
  <c r="L225" i="37" s="1"/>
  <c r="M122" i="37"/>
  <c r="J102" i="1"/>
  <c r="J110" i="1"/>
  <c r="J106" i="1" s="1"/>
  <c r="H31" i="2"/>
  <c r="M194" i="37"/>
  <c r="I36" i="37"/>
  <c r="O56" i="37" s="1"/>
  <c r="J194" i="37"/>
  <c r="H36" i="37"/>
  <c r="M56" i="37" s="1"/>
  <c r="K106" i="34"/>
  <c r="K106" i="37"/>
  <c r="O60" i="34"/>
  <c r="O60" i="37"/>
  <c r="Q196" i="37"/>
  <c r="N196" i="37"/>
  <c r="K150" i="34"/>
  <c r="K150" i="37"/>
  <c r="U37" i="30"/>
  <c r="G215" i="37"/>
  <c r="R10" i="29"/>
  <c r="X10" i="29" s="1"/>
  <c r="AD10" i="29" s="1"/>
  <c r="AJ10" i="29" s="1"/>
  <c r="D19" i="33"/>
  <c r="D20" i="33" s="1"/>
  <c r="E53" i="33"/>
  <c r="E54" i="33" s="1"/>
  <c r="D23" i="33"/>
  <c r="D24" i="33" s="1"/>
  <c r="J32" i="33" s="1"/>
  <c r="D53" i="33"/>
  <c r="D54" i="33" s="1"/>
  <c r="G75" i="32"/>
  <c r="U107" i="30"/>
  <c r="T12" i="29"/>
  <c r="V12" i="29" s="1"/>
  <c r="K18" i="28" s="1"/>
  <c r="N10" i="29"/>
  <c r="P10" i="29" s="1"/>
  <c r="H15" i="28" s="1"/>
  <c r="J131" i="1"/>
  <c r="L94" i="30"/>
  <c r="M94" i="30"/>
  <c r="K94" i="30"/>
  <c r="J94" i="30"/>
  <c r="R94" i="30"/>
  <c r="N94" i="30"/>
  <c r="G94" i="30"/>
  <c r="H94" i="30"/>
  <c r="I94" i="30"/>
  <c r="O94" i="30"/>
  <c r="P94" i="30"/>
  <c r="Q94" i="30"/>
  <c r="L29" i="30"/>
  <c r="R22" i="22" s="1"/>
  <c r="R23" i="22" s="1"/>
  <c r="F52" i="1"/>
  <c r="F45" i="1" s="1"/>
  <c r="G128" i="1" s="1"/>
  <c r="H34" i="28"/>
  <c r="D25" i="33"/>
  <c r="G66" i="2"/>
  <c r="G59" i="2"/>
  <c r="G11" i="36"/>
  <c r="G46" i="36" s="1"/>
  <c r="H32" i="36"/>
  <c r="I69" i="32"/>
  <c r="G29" i="30"/>
  <c r="M22" i="22" s="1"/>
  <c r="J29" i="30"/>
  <c r="P22" i="22" s="1"/>
  <c r="P23" i="22" s="1"/>
  <c r="AG21" i="29"/>
  <c r="AM21" i="29" s="1"/>
  <c r="Y13" i="22"/>
  <c r="Y17" i="22"/>
  <c r="H59" i="2"/>
  <c r="H34" i="32"/>
  <c r="F37" i="22"/>
  <c r="K146" i="34"/>
  <c r="H76" i="32"/>
  <c r="H27" i="36"/>
  <c r="U13" i="29"/>
  <c r="Z13" i="29" s="1"/>
  <c r="AB13" i="29" s="1"/>
  <c r="N19" i="28" s="1"/>
  <c r="I61" i="32"/>
  <c r="H31" i="36"/>
  <c r="E39" i="22"/>
  <c r="E40" i="22" s="1"/>
  <c r="G31" i="32" s="1"/>
  <c r="G27" i="36"/>
  <c r="H36" i="34"/>
  <c r="M56" i="34" s="1"/>
  <c r="J194" i="34"/>
  <c r="M179" i="34"/>
  <c r="H47" i="32"/>
  <c r="H86" i="32"/>
  <c r="R8" i="29"/>
  <c r="X8" i="29" s="1"/>
  <c r="AD8" i="29" s="1"/>
  <c r="AJ8" i="29" s="1"/>
  <c r="P221" i="34"/>
  <c r="J18" i="36"/>
  <c r="P215" i="34"/>
  <c r="J17" i="36"/>
  <c r="G221" i="34"/>
  <c r="F48" i="28"/>
  <c r="G232" i="37" s="1"/>
  <c r="N8" i="29"/>
  <c r="P8" i="29" s="1"/>
  <c r="G17" i="36"/>
  <c r="H30" i="36"/>
  <c r="R11" i="29"/>
  <c r="I29" i="36"/>
  <c r="G49" i="36"/>
  <c r="K176" i="37" s="1"/>
  <c r="G215" i="34"/>
  <c r="J105" i="1"/>
  <c r="H101" i="1"/>
  <c r="H86" i="1"/>
  <c r="S38" i="30"/>
  <c r="T38" i="30" s="1"/>
  <c r="J51" i="1"/>
  <c r="O18" i="22"/>
  <c r="O19" i="22" s="1"/>
  <c r="J73" i="1"/>
  <c r="Q76" i="34"/>
  <c r="O76" i="34"/>
  <c r="K41" i="29"/>
  <c r="AC24" i="29"/>
  <c r="AF23" i="29"/>
  <c r="AH23" i="29" s="1"/>
  <c r="Q31" i="28" s="1"/>
  <c r="R9" i="29"/>
  <c r="X9" i="29" s="1"/>
  <c r="AD9" i="29" s="1"/>
  <c r="AJ9" i="29" s="1"/>
  <c r="H38" i="2"/>
  <c r="H42" i="2" s="1"/>
  <c r="G11" i="20"/>
  <c r="H91" i="32"/>
  <c r="I16" i="34"/>
  <c r="L10" i="28"/>
  <c r="Z19" i="29"/>
  <c r="AB19" i="29" s="1"/>
  <c r="N26" i="28" s="1"/>
  <c r="U15" i="29"/>
  <c r="AA15" i="29" s="1"/>
  <c r="U14" i="29"/>
  <c r="Z14" i="29" s="1"/>
  <c r="AB14" i="29" s="1"/>
  <c r="N20" i="28" s="1"/>
  <c r="K24" i="29"/>
  <c r="N9" i="29"/>
  <c r="P9" i="29" s="1"/>
  <c r="H14" i="28" s="1"/>
  <c r="AF22" i="29"/>
  <c r="AH22" i="29" s="1"/>
  <c r="Q30" i="28" s="1"/>
  <c r="N11" i="29"/>
  <c r="P11" i="29" s="1"/>
  <c r="H16" i="28" s="1"/>
  <c r="O11" i="29"/>
  <c r="U11" i="29" s="1"/>
  <c r="AG22" i="29"/>
  <c r="AM22" i="29" s="1"/>
  <c r="AE13" i="29"/>
  <c r="AK13" i="29" s="1"/>
  <c r="Q202" i="34"/>
  <c r="W24" i="29"/>
  <c r="AE14" i="29"/>
  <c r="AK14" i="29" s="1"/>
  <c r="Q203" i="34"/>
  <c r="Y9" i="29"/>
  <c r="N197" i="34"/>
  <c r="Y10" i="29"/>
  <c r="N198" i="34"/>
  <c r="AE12" i="29"/>
  <c r="AK12" i="29" s="1"/>
  <c r="Q201" i="34"/>
  <c r="Q24" i="29"/>
  <c r="Z16" i="29"/>
  <c r="AB16" i="29" s="1"/>
  <c r="N23" i="28" s="1"/>
  <c r="AA17" i="29"/>
  <c r="AG17" i="29" s="1"/>
  <c r="J215" i="34"/>
  <c r="AE15" i="29"/>
  <c r="AK15" i="29" s="1"/>
  <c r="Q204" i="34"/>
  <c r="Q199" i="37"/>
  <c r="N199" i="34"/>
  <c r="G38" i="28"/>
  <c r="H217" i="34"/>
  <c r="M215" i="34"/>
  <c r="K215" i="34"/>
  <c r="S24" i="29"/>
  <c r="N196" i="34"/>
  <c r="K4" i="29"/>
  <c r="D45" i="1"/>
  <c r="AA35" i="29"/>
  <c r="H7" i="22"/>
  <c r="J20" i="32" s="1"/>
  <c r="H111" i="1"/>
  <c r="M41" i="29"/>
  <c r="W18" i="22"/>
  <c r="W19" i="22" s="1"/>
  <c r="X18" i="22"/>
  <c r="X19" i="22" s="1"/>
  <c r="Q18" i="22"/>
  <c r="Q19" i="22" s="1"/>
  <c r="S18" i="22"/>
  <c r="S19" i="22" s="1"/>
  <c r="G38" i="2"/>
  <c r="G42" i="2" s="1"/>
  <c r="J13" i="1"/>
  <c r="J12" i="1" s="1"/>
  <c r="F11" i="2"/>
  <c r="I15" i="20" s="1"/>
  <c r="M12" i="20"/>
  <c r="P18" i="22"/>
  <c r="P19" i="22" s="1"/>
  <c r="T18" i="22"/>
  <c r="T19" i="22" s="1"/>
  <c r="U18" i="22"/>
  <c r="U19" i="22" s="1"/>
  <c r="V18" i="22"/>
  <c r="V19" i="22" s="1"/>
  <c r="R18" i="22"/>
  <c r="R19" i="22" s="1"/>
  <c r="J10" i="30"/>
  <c r="O2" i="22"/>
  <c r="H33" i="22"/>
  <c r="E33" i="22"/>
  <c r="E44" i="22"/>
  <c r="F46" i="22"/>
  <c r="F47" i="22" s="1"/>
  <c r="H15" i="32" s="1"/>
  <c r="H16" i="26"/>
  <c r="J16" i="37" s="1"/>
  <c r="I22" i="30"/>
  <c r="I48" i="30" s="1"/>
  <c r="E2" i="33"/>
  <c r="J24" i="29"/>
  <c r="H46" i="2"/>
  <c r="H45" i="2" s="1"/>
  <c r="H49" i="2" s="1"/>
  <c r="H54" i="2"/>
  <c r="Q198" i="37"/>
  <c r="O29" i="29"/>
  <c r="H115" i="1"/>
  <c r="J47" i="1"/>
  <c r="J87" i="1"/>
  <c r="O48" i="28"/>
  <c r="I24" i="29"/>
  <c r="S41" i="29"/>
  <c r="H23" i="22"/>
  <c r="J26" i="36" s="1"/>
  <c r="F23" i="22"/>
  <c r="G45" i="2"/>
  <c r="G49" i="2" s="1"/>
  <c r="J127" i="1"/>
  <c r="Q197" i="37"/>
  <c r="J117" i="1"/>
  <c r="H95" i="1"/>
  <c r="N38" i="28"/>
  <c r="G31" i="2"/>
  <c r="G35" i="2" s="1"/>
  <c r="M32" i="28"/>
  <c r="N215" i="37" s="1"/>
  <c r="H76" i="1"/>
  <c r="J49" i="1"/>
  <c r="J116" i="1"/>
  <c r="Y8" i="29"/>
  <c r="H42" i="22"/>
  <c r="H43" i="22" s="1"/>
  <c r="H46" i="22" s="1"/>
  <c r="H47" i="22" s="1"/>
  <c r="J15" i="32" s="1"/>
  <c r="H62" i="2"/>
  <c r="G63" i="2"/>
  <c r="O107" i="34"/>
  <c r="J48" i="32"/>
  <c r="Q107" i="37" s="1"/>
  <c r="O127" i="34"/>
  <c r="J78" i="32"/>
  <c r="G44" i="22"/>
  <c r="G23" i="22"/>
  <c r="I26" i="36" s="1"/>
  <c r="M122" i="34"/>
  <c r="Q38" i="28"/>
  <c r="R221" i="37" s="1"/>
  <c r="J34" i="28"/>
  <c r="K217" i="37" s="1"/>
  <c r="G82" i="32"/>
  <c r="E37" i="22"/>
  <c r="E13" i="22"/>
  <c r="E14" i="22" s="1"/>
  <c r="G23" i="32" s="1"/>
  <c r="G25" i="32" s="1"/>
  <c r="F13" i="2"/>
  <c r="F10" i="2"/>
  <c r="J96" i="1"/>
  <c r="J95" i="1" s="1"/>
  <c r="G62" i="32"/>
  <c r="G30" i="20"/>
  <c r="J81" i="1"/>
  <c r="F39" i="1"/>
  <c r="F11" i="1"/>
  <c r="G92" i="32"/>
  <c r="G3" i="22"/>
  <c r="E11" i="22"/>
  <c r="G45" i="26"/>
  <c r="K8" i="20"/>
  <c r="I54" i="29" s="1"/>
  <c r="E24" i="22"/>
  <c r="E26" i="22"/>
  <c r="M117" i="34"/>
  <c r="G14" i="32"/>
  <c r="K91" i="37" s="1"/>
  <c r="J121" i="1"/>
  <c r="J120" i="1" s="1"/>
  <c r="H120" i="1"/>
  <c r="I52" i="36" s="1"/>
  <c r="O179" i="37" s="1"/>
  <c r="H18" i="2"/>
  <c r="H17" i="2" s="1"/>
  <c r="H21" i="2" s="1"/>
  <c r="G17" i="2"/>
  <c r="G21" i="2" s="1"/>
  <c r="AA12" i="29"/>
  <c r="Z12" i="29"/>
  <c r="AB12" i="29" s="1"/>
  <c r="N18" i="28" s="1"/>
  <c r="U9" i="29"/>
  <c r="T9" i="29"/>
  <c r="V9" i="29" s="1"/>
  <c r="K14" i="28" s="1"/>
  <c r="AE41" i="29"/>
  <c r="P34" i="28"/>
  <c r="Q217" i="37" s="1"/>
  <c r="I82" i="32"/>
  <c r="L48" i="28"/>
  <c r="D37" i="1"/>
  <c r="D32" i="1" s="1"/>
  <c r="AA18" i="29"/>
  <c r="Z18" i="29"/>
  <c r="AB18" i="29" s="1"/>
  <c r="N25" i="28" s="1"/>
  <c r="H53" i="1"/>
  <c r="J54" i="1"/>
  <c r="J53" i="1" s="1"/>
  <c r="G70" i="2"/>
  <c r="H69" i="2"/>
  <c r="H70" i="2" s="1"/>
  <c r="H34" i="2"/>
  <c r="J25" i="1"/>
  <c r="J24" i="1" s="1"/>
  <c r="H84" i="32"/>
  <c r="M113" i="34"/>
  <c r="I57" i="32"/>
  <c r="O113" i="37" s="1"/>
  <c r="J14" i="22"/>
  <c r="B27" i="30"/>
  <c r="J46" i="22" s="1"/>
  <c r="G54" i="29"/>
  <c r="F8" i="1"/>
  <c r="Q11" i="20"/>
  <c r="G11" i="32"/>
  <c r="K89" i="37" s="1"/>
  <c r="K111" i="37" s="1"/>
  <c r="K136" i="37" s="1"/>
  <c r="O103" i="34"/>
  <c r="J48" i="1"/>
  <c r="H55" i="2"/>
  <c r="H90" i="1"/>
  <c r="J91" i="1"/>
  <c r="J90" i="1" s="1"/>
  <c r="AM20" i="29"/>
  <c r="AL20" i="29"/>
  <c r="AN20" i="29" s="1"/>
  <c r="U8" i="29"/>
  <c r="T8" i="29"/>
  <c r="P39" i="30"/>
  <c r="H39" i="30"/>
  <c r="O39" i="30"/>
  <c r="G39" i="30"/>
  <c r="I39" i="30"/>
  <c r="R39" i="30"/>
  <c r="Q39" i="30"/>
  <c r="N39" i="30"/>
  <c r="M39" i="30"/>
  <c r="L39" i="30"/>
  <c r="K39" i="30"/>
  <c r="J39" i="30"/>
  <c r="H46" i="1"/>
  <c r="I48" i="28"/>
  <c r="AG19" i="29"/>
  <c r="AF19" i="29"/>
  <c r="AH19" i="29" s="1"/>
  <c r="Q26" i="28" s="1"/>
  <c r="AC41" i="29"/>
  <c r="AG38" i="29"/>
  <c r="H106" i="1"/>
  <c r="G9" i="22"/>
  <c r="G10" i="22" s="1"/>
  <c r="I25" i="36" s="1"/>
  <c r="O146" i="37" s="1"/>
  <c r="H9" i="22"/>
  <c r="H10" i="22" s="1"/>
  <c r="J25" i="36" s="1"/>
  <c r="Q146" i="37" s="1"/>
  <c r="J72" i="1"/>
  <c r="H71" i="1"/>
  <c r="J82" i="32"/>
  <c r="V41" i="29"/>
  <c r="K34" i="28"/>
  <c r="L217" i="37" s="1"/>
  <c r="AK41" i="29"/>
  <c r="AH41" i="29"/>
  <c r="AB41" i="29"/>
  <c r="J18" i="1"/>
  <c r="F3" i="33"/>
  <c r="E24" i="33"/>
  <c r="K32" i="33" s="1"/>
  <c r="E20" i="33"/>
  <c r="E23" i="33"/>
  <c r="E19" i="33"/>
  <c r="F13" i="22"/>
  <c r="F11" i="22"/>
  <c r="AN41" i="29"/>
  <c r="H74" i="2"/>
  <c r="H73" i="2" s="1"/>
  <c r="H77" i="2" s="1"/>
  <c r="G73" i="2"/>
  <c r="H82" i="1"/>
  <c r="J83" i="1"/>
  <c r="J82" i="1" s="1"/>
  <c r="G24" i="2"/>
  <c r="G28" i="2" s="1"/>
  <c r="H25" i="2"/>
  <c r="H24" i="2" s="1"/>
  <c r="H28" i="2" s="1"/>
  <c r="F34" i="1"/>
  <c r="H64" i="32"/>
  <c r="U32" i="29"/>
  <c r="AG16" i="29"/>
  <c r="AF16" i="29"/>
  <c r="AH16" i="29" s="1"/>
  <c r="Q23" i="28" s="1"/>
  <c r="U10" i="29"/>
  <c r="T10" i="29"/>
  <c r="V10" i="29" s="1"/>
  <c r="K15" i="28" s="1"/>
  <c r="O124" i="34"/>
  <c r="G35" i="22"/>
  <c r="G36" i="22" s="1"/>
  <c r="I27" i="36" s="1"/>
  <c r="H35" i="22"/>
  <c r="H36" i="22" s="1"/>
  <c r="Y41" i="29"/>
  <c r="M34" i="28"/>
  <c r="N217" i="37" s="1"/>
  <c r="H82" i="32"/>
  <c r="F7" i="22"/>
  <c r="H20" i="32" s="1"/>
  <c r="G52" i="2"/>
  <c r="G56" i="2" s="1"/>
  <c r="H53" i="2"/>
  <c r="E12" i="2"/>
  <c r="AM23" i="29"/>
  <c r="AL23" i="29"/>
  <c r="AN23" i="29" s="1"/>
  <c r="K135" i="1"/>
  <c r="H80" i="2" s="1"/>
  <c r="S61" i="30"/>
  <c r="M90" i="30" l="1"/>
  <c r="N90" i="30"/>
  <c r="O90" i="30" s="1"/>
  <c r="P90" i="30" s="1"/>
  <c r="M88" i="30"/>
  <c r="N88" i="30"/>
  <c r="O88" i="30" s="1"/>
  <c r="J17" i="1"/>
  <c r="Q40" i="36"/>
  <c r="F41" i="1"/>
  <c r="H35" i="1"/>
  <c r="P92" i="30"/>
  <c r="O92" i="30"/>
  <c r="N92" i="30"/>
  <c r="M92" i="30"/>
  <c r="L92" i="30"/>
  <c r="K92" i="30"/>
  <c r="J92" i="30"/>
  <c r="I92" i="30"/>
  <c r="M89" i="30"/>
  <c r="O89" i="30"/>
  <c r="N89" i="30"/>
  <c r="L89" i="30"/>
  <c r="K89" i="30"/>
  <c r="J89" i="30"/>
  <c r="I89" i="30"/>
  <c r="AD87" i="30"/>
  <c r="AX87" i="30"/>
  <c r="AE87" i="30"/>
  <c r="AF87" i="30"/>
  <c r="AY87" i="30"/>
  <c r="AL87" i="30"/>
  <c r="AM87" i="30" s="1"/>
  <c r="AK87" i="30"/>
  <c r="J86" i="32"/>
  <c r="S33" i="30"/>
  <c r="K10" i="30"/>
  <c r="O79" i="37"/>
  <c r="S15" i="36"/>
  <c r="O79" i="34"/>
  <c r="Q79" i="34"/>
  <c r="Q79" i="37"/>
  <c r="T15" i="36"/>
  <c r="Q127" i="34"/>
  <c r="Q127" i="37"/>
  <c r="J19" i="36"/>
  <c r="J38" i="36"/>
  <c r="O142" i="34"/>
  <c r="O142" i="37"/>
  <c r="O158" i="34"/>
  <c r="O158" i="37"/>
  <c r="I31" i="36"/>
  <c r="O117" i="37"/>
  <c r="O149" i="34"/>
  <c r="O149" i="37"/>
  <c r="O151" i="34"/>
  <c r="O151" i="37"/>
  <c r="M151" i="34"/>
  <c r="M151" i="37"/>
  <c r="K184" i="37"/>
  <c r="G94" i="32"/>
  <c r="K132" i="37" s="1"/>
  <c r="K184" i="34"/>
  <c r="J76" i="1"/>
  <c r="G14" i="2"/>
  <c r="H35" i="2"/>
  <c r="I66" i="29"/>
  <c r="K66" i="29"/>
  <c r="I55" i="29"/>
  <c r="I217" i="37"/>
  <c r="H38" i="28"/>
  <c r="U49" i="30" s="1"/>
  <c r="I217" i="34"/>
  <c r="M147" i="34"/>
  <c r="M147" i="37"/>
  <c r="O147" i="34"/>
  <c r="O147" i="37"/>
  <c r="K147" i="34"/>
  <c r="K147" i="37"/>
  <c r="K57" i="29"/>
  <c r="K58" i="29" s="1"/>
  <c r="E63" i="29"/>
  <c r="G62" i="29"/>
  <c r="G64" i="29"/>
  <c r="G61" i="29"/>
  <c r="U86" i="30" s="1"/>
  <c r="G86" i="30" s="1"/>
  <c r="J111" i="1"/>
  <c r="J52" i="1"/>
  <c r="O208" i="34"/>
  <c r="O208" i="37"/>
  <c r="O209" i="34"/>
  <c r="O209" i="37"/>
  <c r="R206" i="34"/>
  <c r="R206" i="37"/>
  <c r="Q196" i="34"/>
  <c r="O206" i="34"/>
  <c r="O206" i="37"/>
  <c r="M140" i="34"/>
  <c r="M140" i="37"/>
  <c r="L198" i="34"/>
  <c r="L198" i="37"/>
  <c r="M232" i="34"/>
  <c r="M232" i="37"/>
  <c r="R209" i="34"/>
  <c r="R209" i="37"/>
  <c r="H221" i="37"/>
  <c r="I199" i="34"/>
  <c r="I199" i="37"/>
  <c r="I198" i="34"/>
  <c r="I198" i="37"/>
  <c r="L201" i="34"/>
  <c r="L201" i="37"/>
  <c r="R213" i="34"/>
  <c r="R213" i="37"/>
  <c r="Q140" i="34"/>
  <c r="Q140" i="37"/>
  <c r="O221" i="34"/>
  <c r="O221" i="37"/>
  <c r="I197" i="34"/>
  <c r="I197" i="37"/>
  <c r="P232" i="34"/>
  <c r="P232" i="37"/>
  <c r="U106" i="30"/>
  <c r="G106" i="30" s="1"/>
  <c r="S106" i="30" s="1"/>
  <c r="J232" i="37"/>
  <c r="O201" i="34"/>
  <c r="O201" i="37"/>
  <c r="Q141" i="34"/>
  <c r="Q141" i="37"/>
  <c r="O140" i="34"/>
  <c r="O140" i="37"/>
  <c r="O203" i="34"/>
  <c r="O203" i="37"/>
  <c r="R214" i="34"/>
  <c r="R214" i="37"/>
  <c r="L197" i="34"/>
  <c r="L197" i="37"/>
  <c r="O202" i="34"/>
  <c r="O202" i="37"/>
  <c r="N42" i="28"/>
  <c r="O225" i="37" s="1"/>
  <c r="O122" i="37"/>
  <c r="M152" i="34"/>
  <c r="M152" i="37"/>
  <c r="J101" i="1"/>
  <c r="P194" i="37"/>
  <c r="J36" i="37"/>
  <c r="Q56" i="37" s="1"/>
  <c r="K173" i="37"/>
  <c r="J236" i="37"/>
  <c r="K77" i="34"/>
  <c r="K77" i="37"/>
  <c r="K118" i="34"/>
  <c r="K118" i="37"/>
  <c r="M106" i="34"/>
  <c r="M106" i="37"/>
  <c r="M97" i="34"/>
  <c r="M97" i="37"/>
  <c r="Q60" i="34"/>
  <c r="Q60" i="37"/>
  <c r="K59" i="37"/>
  <c r="M150" i="34"/>
  <c r="M150" i="37"/>
  <c r="K126" i="34"/>
  <c r="K126" i="37"/>
  <c r="K140" i="34"/>
  <c r="K140" i="37"/>
  <c r="G63" i="33"/>
  <c r="F53" i="33"/>
  <c r="F54" i="33" s="1"/>
  <c r="H63" i="33"/>
  <c r="AL21" i="29"/>
  <c r="AN21" i="29" s="1"/>
  <c r="AA13" i="29"/>
  <c r="AG13" i="29" s="1"/>
  <c r="I107" i="30"/>
  <c r="P107" i="30"/>
  <c r="R107" i="30"/>
  <c r="L107" i="30"/>
  <c r="H107" i="30"/>
  <c r="K107" i="30"/>
  <c r="G107" i="30"/>
  <c r="O107" i="30"/>
  <c r="M107" i="30"/>
  <c r="Q107" i="30"/>
  <c r="J107" i="30"/>
  <c r="N107" i="30"/>
  <c r="Q11" i="36"/>
  <c r="C2" i="35" s="1"/>
  <c r="C49" i="35" s="1"/>
  <c r="G232" i="34"/>
  <c r="U50" i="30"/>
  <c r="M95" i="30"/>
  <c r="K95" i="30"/>
  <c r="H95" i="30"/>
  <c r="P95" i="30"/>
  <c r="G95" i="30"/>
  <c r="N95" i="30"/>
  <c r="Q95" i="30"/>
  <c r="L95" i="30"/>
  <c r="J95" i="30"/>
  <c r="R95" i="30"/>
  <c r="O95" i="30"/>
  <c r="I95" i="30"/>
  <c r="S94" i="30"/>
  <c r="T94" i="30" s="1"/>
  <c r="R29" i="30"/>
  <c r="X22" i="22" s="1"/>
  <c r="X23" i="22" s="1"/>
  <c r="H29" i="30"/>
  <c r="N22" i="22" s="1"/>
  <c r="N23" i="22" s="1"/>
  <c r="N29" i="30"/>
  <c r="T22" i="22" s="1"/>
  <c r="T23" i="22" s="1"/>
  <c r="P29" i="30"/>
  <c r="V22" i="22" s="1"/>
  <c r="V23" i="22" s="1"/>
  <c r="I29" i="30"/>
  <c r="O22" i="22" s="1"/>
  <c r="O23" i="22" s="1"/>
  <c r="K29" i="30"/>
  <c r="Q22" i="22" s="1"/>
  <c r="Q23" i="22" s="1"/>
  <c r="Q29" i="30"/>
  <c r="W22" i="22" s="1"/>
  <c r="W23" i="22" s="1"/>
  <c r="M29" i="30"/>
  <c r="S22" i="22" s="1"/>
  <c r="S23" i="22" s="1"/>
  <c r="O29" i="30"/>
  <c r="U22" i="22" s="1"/>
  <c r="U23" i="22" s="1"/>
  <c r="P85" i="30"/>
  <c r="V52" i="22" s="1"/>
  <c r="V53" i="22" s="1"/>
  <c r="M85" i="30"/>
  <c r="S52" i="22" s="1"/>
  <c r="S53" i="22" s="1"/>
  <c r="O85" i="30"/>
  <c r="U52" i="22" s="1"/>
  <c r="U53" i="22" s="1"/>
  <c r="N85" i="30"/>
  <c r="T52" i="22" s="1"/>
  <c r="T53" i="22" s="1"/>
  <c r="R85" i="30"/>
  <c r="X52" i="22" s="1"/>
  <c r="X53" i="22" s="1"/>
  <c r="G85" i="30"/>
  <c r="Q85" i="30"/>
  <c r="W52" i="22" s="1"/>
  <c r="W53" i="22" s="1"/>
  <c r="I85" i="30"/>
  <c r="O52" i="22" s="1"/>
  <c r="O53" i="22" s="1"/>
  <c r="H85" i="30"/>
  <c r="N52" i="22" s="1"/>
  <c r="N53" i="22" s="1"/>
  <c r="J85" i="30"/>
  <c r="P52" i="22" s="1"/>
  <c r="P53" i="22" s="1"/>
  <c r="K85" i="30"/>
  <c r="Q52" i="22" s="1"/>
  <c r="Q53" i="22" s="1"/>
  <c r="L85" i="30"/>
  <c r="R52" i="22" s="1"/>
  <c r="R53" i="22" s="1"/>
  <c r="E46" i="1"/>
  <c r="G18" i="20"/>
  <c r="S69" i="30"/>
  <c r="S71" i="30" s="1"/>
  <c r="G36" i="36"/>
  <c r="G48" i="28"/>
  <c r="E25" i="33"/>
  <c r="Q42" i="36"/>
  <c r="H52" i="2"/>
  <c r="H10" i="2" s="1"/>
  <c r="I32" i="36"/>
  <c r="H63" i="2"/>
  <c r="H56" i="2"/>
  <c r="AF17" i="29"/>
  <c r="AH17" i="29" s="1"/>
  <c r="Q24" i="28" s="1"/>
  <c r="G33" i="32"/>
  <c r="F12" i="2"/>
  <c r="P32" i="28"/>
  <c r="Q215" i="37" s="1"/>
  <c r="BH42" i="30"/>
  <c r="I34" i="32"/>
  <c r="H75" i="32"/>
  <c r="E49" i="22"/>
  <c r="E60" i="26" s="1"/>
  <c r="G50" i="37" s="1"/>
  <c r="M23" i="22"/>
  <c r="J61" i="32"/>
  <c r="O146" i="34"/>
  <c r="J27" i="36"/>
  <c r="Q146" i="34"/>
  <c r="G68" i="32"/>
  <c r="K121" i="37" s="1"/>
  <c r="I76" i="32"/>
  <c r="I75" i="32" s="1"/>
  <c r="G24" i="22"/>
  <c r="F26" i="22"/>
  <c r="F50" i="22" s="1"/>
  <c r="H20" i="36" s="1"/>
  <c r="H26" i="36"/>
  <c r="F2" i="33"/>
  <c r="F25" i="33" s="1"/>
  <c r="J22" i="30"/>
  <c r="J48" i="30" s="1"/>
  <c r="P2" i="22"/>
  <c r="I36" i="34"/>
  <c r="O56" i="34" s="1"/>
  <c r="M194" i="34"/>
  <c r="J71" i="1"/>
  <c r="O179" i="34"/>
  <c r="I47" i="32"/>
  <c r="J52" i="36"/>
  <c r="Q179" i="37" s="1"/>
  <c r="I86" i="32"/>
  <c r="L51" i="30"/>
  <c r="G51" i="30"/>
  <c r="H51" i="30"/>
  <c r="K176" i="34"/>
  <c r="G42" i="32"/>
  <c r="H57" i="36"/>
  <c r="M184" i="37" s="1"/>
  <c r="G95" i="32"/>
  <c r="K185" i="34"/>
  <c r="J51" i="30"/>
  <c r="K51" i="30"/>
  <c r="R51" i="30"/>
  <c r="P51" i="30"/>
  <c r="M51" i="30"/>
  <c r="I51" i="30"/>
  <c r="O51" i="30"/>
  <c r="Q51" i="30"/>
  <c r="N51" i="30"/>
  <c r="N215" i="34"/>
  <c r="I30" i="36"/>
  <c r="X11" i="29"/>
  <c r="AD11" i="29" s="1"/>
  <c r="AJ11" i="29" s="1"/>
  <c r="R24" i="29"/>
  <c r="J29" i="36"/>
  <c r="S15" i="30"/>
  <c r="H49" i="36"/>
  <c r="M176" i="37" s="1"/>
  <c r="G14" i="20"/>
  <c r="K62" i="37" s="1"/>
  <c r="G55" i="36"/>
  <c r="K182" i="37" s="1"/>
  <c r="Q13" i="36"/>
  <c r="G48" i="36" s="1"/>
  <c r="G47" i="36" s="1"/>
  <c r="K174" i="37" s="1"/>
  <c r="G53" i="36"/>
  <c r="K180" i="37" s="1"/>
  <c r="J86" i="1"/>
  <c r="N18" i="22"/>
  <c r="N19" i="22" s="1"/>
  <c r="S28" i="30"/>
  <c r="T28" i="30" s="1"/>
  <c r="S39" i="30"/>
  <c r="T39" i="30" s="1"/>
  <c r="M18" i="22"/>
  <c r="E126" i="1"/>
  <c r="J115" i="1"/>
  <c r="F37" i="1"/>
  <c r="F32" i="1" s="1"/>
  <c r="E130" i="1"/>
  <c r="AA14" i="29"/>
  <c r="AF14" i="29" s="1"/>
  <c r="AH14" i="29" s="1"/>
  <c r="Q20" i="28" s="1"/>
  <c r="J232" i="34"/>
  <c r="L225" i="34"/>
  <c r="J69" i="32"/>
  <c r="R221" i="34"/>
  <c r="N24" i="29"/>
  <c r="O24" i="29"/>
  <c r="E93" i="1"/>
  <c r="I91" i="32"/>
  <c r="E129" i="1"/>
  <c r="E127" i="1"/>
  <c r="Q129" i="34"/>
  <c r="AE8" i="29"/>
  <c r="AK8" i="29" s="1"/>
  <c r="H3" i="22"/>
  <c r="O10" i="28"/>
  <c r="G26" i="22"/>
  <c r="G27" i="22" s="1"/>
  <c r="I27" i="32" s="1"/>
  <c r="H24" i="22"/>
  <c r="H26" i="22"/>
  <c r="H27" i="22" s="1"/>
  <c r="J27" i="32" s="1"/>
  <c r="E50" i="22"/>
  <c r="Z15" i="29"/>
  <c r="AB15" i="29" s="1"/>
  <c r="N21" i="28" s="1"/>
  <c r="T11" i="29"/>
  <c r="V11" i="29" s="1"/>
  <c r="K16" i="28" s="1"/>
  <c r="AL22" i="29"/>
  <c r="AN22" i="29" s="1"/>
  <c r="J16" i="34"/>
  <c r="H45" i="26"/>
  <c r="J8" i="1"/>
  <c r="M8" i="20"/>
  <c r="K54" i="29" s="1"/>
  <c r="J11" i="32"/>
  <c r="H8" i="2"/>
  <c r="E94" i="1"/>
  <c r="E115" i="1"/>
  <c r="E52" i="1"/>
  <c r="E101" i="1"/>
  <c r="E125" i="1"/>
  <c r="E71" i="1"/>
  <c r="E111" i="1"/>
  <c r="E82" i="1"/>
  <c r="E120" i="1"/>
  <c r="E106" i="1"/>
  <c r="E76" i="1"/>
  <c r="E124" i="1"/>
  <c r="E90" i="1"/>
  <c r="E86" i="1"/>
  <c r="E65" i="1"/>
  <c r="AG35" i="29"/>
  <c r="AE9" i="29"/>
  <c r="AK9" i="29" s="1"/>
  <c r="Q197" i="34"/>
  <c r="Q199" i="34"/>
  <c r="AE11" i="29"/>
  <c r="AK11" i="29" s="1"/>
  <c r="AE10" i="29"/>
  <c r="AK10" i="29" s="1"/>
  <c r="Q198" i="34"/>
  <c r="U29" i="29"/>
  <c r="G72" i="32" s="1"/>
  <c r="G70" i="32" s="1"/>
  <c r="K123" i="37" s="1"/>
  <c r="E131" i="1"/>
  <c r="E95" i="1"/>
  <c r="P38" i="28"/>
  <c r="Q217" i="34"/>
  <c r="M38" i="28"/>
  <c r="N221" i="37" s="1"/>
  <c r="N217" i="34"/>
  <c r="J38" i="28"/>
  <c r="K221" i="37" s="1"/>
  <c r="K217" i="34"/>
  <c r="H221" i="34"/>
  <c r="K38" i="28"/>
  <c r="L217" i="34"/>
  <c r="G77" i="2"/>
  <c r="G10" i="2"/>
  <c r="Y24" i="29"/>
  <c r="Q4" i="29"/>
  <c r="E128" i="1"/>
  <c r="G89" i="32"/>
  <c r="I11" i="20"/>
  <c r="M59" i="37" s="1"/>
  <c r="H44" i="22"/>
  <c r="O41" i="29"/>
  <c r="F24" i="22"/>
  <c r="F49" i="22" s="1"/>
  <c r="F60" i="26" s="1"/>
  <c r="U24" i="29"/>
  <c r="H13" i="28"/>
  <c r="I196" i="37" s="1"/>
  <c r="P24" i="29"/>
  <c r="V8" i="29"/>
  <c r="O122" i="34"/>
  <c r="Q107" i="34"/>
  <c r="F14" i="22"/>
  <c r="H23" i="32" s="1"/>
  <c r="E27" i="22"/>
  <c r="R11" i="20"/>
  <c r="H8" i="1"/>
  <c r="O117" i="34"/>
  <c r="D31" i="1"/>
  <c r="D44" i="1" s="1"/>
  <c r="Q41" i="36" s="1"/>
  <c r="I30" i="20"/>
  <c r="H62" i="32"/>
  <c r="F20" i="33"/>
  <c r="F23" i="33"/>
  <c r="F24" i="33" s="1"/>
  <c r="L32" i="33" s="1"/>
  <c r="F19" i="33"/>
  <c r="G3" i="33"/>
  <c r="G13" i="22"/>
  <c r="G11" i="22"/>
  <c r="AA11" i="29"/>
  <c r="Z11" i="29"/>
  <c r="AB11" i="29" s="1"/>
  <c r="N16" i="28" s="1"/>
  <c r="F42" i="1"/>
  <c r="H39" i="22"/>
  <c r="H40" i="22" s="1"/>
  <c r="J31" i="32" s="1"/>
  <c r="H37" i="22"/>
  <c r="AM17" i="29"/>
  <c r="AL17" i="29"/>
  <c r="AN17" i="29" s="1"/>
  <c r="AM19" i="29"/>
  <c r="AL19" i="29"/>
  <c r="AN19" i="29" s="1"/>
  <c r="G46" i="1"/>
  <c r="I18" i="20"/>
  <c r="G86" i="1"/>
  <c r="G106" i="1"/>
  <c r="G82" i="1"/>
  <c r="G125" i="1"/>
  <c r="G127" i="1"/>
  <c r="G52" i="1"/>
  <c r="G76" i="1"/>
  <c r="G65" i="1"/>
  <c r="G93" i="1"/>
  <c r="G131" i="1"/>
  <c r="G115" i="1"/>
  <c r="G94" i="1"/>
  <c r="G124" i="1"/>
  <c r="G95" i="1"/>
  <c r="G129" i="1"/>
  <c r="G101" i="1"/>
  <c r="G71" i="1"/>
  <c r="G90" i="1"/>
  <c r="G120" i="1"/>
  <c r="G130" i="1"/>
  <c r="G126" i="1"/>
  <c r="G111" i="1"/>
  <c r="Q103" i="34"/>
  <c r="J16" i="22"/>
  <c r="B28" i="30"/>
  <c r="J48" i="22" s="1"/>
  <c r="G39" i="22"/>
  <c r="G40" i="22" s="1"/>
  <c r="I31" i="32" s="1"/>
  <c r="G37" i="22"/>
  <c r="Q124" i="34"/>
  <c r="H92" i="32"/>
  <c r="H89" i="32" s="1"/>
  <c r="AA10" i="29"/>
  <c r="Z10" i="29"/>
  <c r="AB10" i="29" s="1"/>
  <c r="N15" i="28" s="1"/>
  <c r="H39" i="1"/>
  <c r="I64" i="32"/>
  <c r="I84" i="32"/>
  <c r="H34" i="1"/>
  <c r="AG15" i="29"/>
  <c r="AF15" i="29"/>
  <c r="AH15" i="29" s="1"/>
  <c r="Q21" i="28" s="1"/>
  <c r="K89" i="34"/>
  <c r="K111" i="34" s="1"/>
  <c r="K136" i="34" s="1"/>
  <c r="L32" i="32"/>
  <c r="L28" i="32"/>
  <c r="L24" i="32"/>
  <c r="G54" i="32"/>
  <c r="L16" i="32"/>
  <c r="O113" i="34"/>
  <c r="J57" i="32"/>
  <c r="Z9" i="29"/>
  <c r="AB9" i="29" s="1"/>
  <c r="N14" i="28" s="1"/>
  <c r="AA9" i="29"/>
  <c r="AA8" i="29"/>
  <c r="Z8" i="29"/>
  <c r="G13" i="2"/>
  <c r="K59" i="34"/>
  <c r="AM16" i="29"/>
  <c r="AL16" i="29"/>
  <c r="AN16" i="29" s="1"/>
  <c r="AM38" i="29"/>
  <c r="H52" i="1"/>
  <c r="AG18" i="29"/>
  <c r="AF18" i="29"/>
  <c r="AH18" i="29" s="1"/>
  <c r="Q25" i="28" s="1"/>
  <c r="AG12" i="29"/>
  <c r="AF12" i="29"/>
  <c r="AH12" i="29" s="1"/>
  <c r="Q18" i="28" s="1"/>
  <c r="K91" i="34"/>
  <c r="H17" i="32"/>
  <c r="H14" i="32" s="1"/>
  <c r="M91" i="37" s="1"/>
  <c r="J46" i="1"/>
  <c r="H11" i="1"/>
  <c r="Q89" i="34"/>
  <c r="Q111" i="34" s="1"/>
  <c r="Q136" i="34" s="1"/>
  <c r="O24" i="32"/>
  <c r="AA32" i="29"/>
  <c r="H13" i="22"/>
  <c r="H11" i="22"/>
  <c r="M12" i="1"/>
  <c r="F8" i="2"/>
  <c r="M71" i="1"/>
  <c r="M46" i="1"/>
  <c r="K93" i="34"/>
  <c r="H19" i="32"/>
  <c r="M93" i="37" s="1"/>
  <c r="P88" i="30" l="1"/>
  <c r="P89" i="30"/>
  <c r="Q90" i="30"/>
  <c r="Q92" i="30"/>
  <c r="R40" i="36"/>
  <c r="J35" i="1"/>
  <c r="J41" i="1" s="1"/>
  <c r="H41" i="1"/>
  <c r="H92" i="30"/>
  <c r="H89" i="30"/>
  <c r="AW87" i="30"/>
  <c r="AV87" i="30"/>
  <c r="AU87" i="30"/>
  <c r="L10" i="30"/>
  <c r="Q2" i="22"/>
  <c r="G2" i="33"/>
  <c r="G25" i="33" s="1"/>
  <c r="BI42" i="30"/>
  <c r="K22" i="30"/>
  <c r="K48" i="30" s="1"/>
  <c r="G87" i="32"/>
  <c r="G83" i="32" s="1"/>
  <c r="K130" i="37" s="1"/>
  <c r="Q158" i="34"/>
  <c r="Q158" i="37"/>
  <c r="Q142" i="34"/>
  <c r="Q142" i="37"/>
  <c r="J31" i="36"/>
  <c r="Q117" i="37"/>
  <c r="Q149" i="34"/>
  <c r="Q149" i="37"/>
  <c r="Q151" i="34"/>
  <c r="Q151" i="37"/>
  <c r="K132" i="34"/>
  <c r="H14" i="2"/>
  <c r="H11" i="2"/>
  <c r="K55" i="29"/>
  <c r="I221" i="37"/>
  <c r="I221" i="34"/>
  <c r="H50" i="34"/>
  <c r="H50" i="37"/>
  <c r="M146" i="34"/>
  <c r="M146" i="37"/>
  <c r="Q147" i="34"/>
  <c r="Q147" i="37"/>
  <c r="K175" i="37"/>
  <c r="H48" i="36"/>
  <c r="G40" i="32"/>
  <c r="K175" i="34"/>
  <c r="Q113" i="34"/>
  <c r="Q113" i="37"/>
  <c r="L24" i="22"/>
  <c r="G63" i="29"/>
  <c r="L54" i="22" s="1"/>
  <c r="K156" i="34"/>
  <c r="K156" i="37"/>
  <c r="J36" i="36"/>
  <c r="Q221" i="37"/>
  <c r="O204" i="34"/>
  <c r="O204" i="37"/>
  <c r="R208" i="34"/>
  <c r="R208" i="37"/>
  <c r="R203" i="34"/>
  <c r="R203" i="37"/>
  <c r="R204" i="34"/>
  <c r="R204" i="37"/>
  <c r="AG14" i="29"/>
  <c r="AM14" i="29" s="1"/>
  <c r="O199" i="34"/>
  <c r="O199" i="37"/>
  <c r="R207" i="34"/>
  <c r="R207" i="37"/>
  <c r="O197" i="34"/>
  <c r="O197" i="37"/>
  <c r="L221" i="34"/>
  <c r="L221" i="37"/>
  <c r="R201" i="34"/>
  <c r="R201" i="37"/>
  <c r="O198" i="34"/>
  <c r="O198" i="37"/>
  <c r="L199" i="34"/>
  <c r="L199" i="37"/>
  <c r="O152" i="34"/>
  <c r="O152" i="37"/>
  <c r="Q42" i="28"/>
  <c r="R225" i="37" s="1"/>
  <c r="Q122" i="37"/>
  <c r="M66" i="34"/>
  <c r="M66" i="37"/>
  <c r="K66" i="37"/>
  <c r="H13" i="2"/>
  <c r="J49" i="36" s="1"/>
  <c r="Q176" i="37" s="1"/>
  <c r="G39" i="32"/>
  <c r="K99" i="37" s="1"/>
  <c r="J54" i="32"/>
  <c r="Q89" i="37"/>
  <c r="Q111" i="37" s="1"/>
  <c r="Q136" i="37" s="1"/>
  <c r="M77" i="34"/>
  <c r="M77" i="37"/>
  <c r="K131" i="34"/>
  <c r="K131" i="37"/>
  <c r="M118" i="34"/>
  <c r="M118" i="37"/>
  <c r="M131" i="34"/>
  <c r="M131" i="37"/>
  <c r="O106" i="34"/>
  <c r="O106" i="37"/>
  <c r="K174" i="34"/>
  <c r="O97" i="34"/>
  <c r="O97" i="37"/>
  <c r="M143" i="34"/>
  <c r="M143" i="37"/>
  <c r="C38" i="33"/>
  <c r="H44" i="33" s="1"/>
  <c r="K102" i="37"/>
  <c r="H232" i="34"/>
  <c r="H232" i="37"/>
  <c r="O126" i="34"/>
  <c r="O126" i="37"/>
  <c r="M126" i="34"/>
  <c r="M126" i="37"/>
  <c r="O150" i="34"/>
  <c r="O150" i="37"/>
  <c r="AF13" i="29"/>
  <c r="AH13" i="29" s="1"/>
  <c r="Q19" i="28" s="1"/>
  <c r="D40" i="33"/>
  <c r="C40" i="33" s="1"/>
  <c r="E41" i="33"/>
  <c r="D41" i="33" s="1"/>
  <c r="F42" i="33"/>
  <c r="D42" i="33" s="1"/>
  <c r="I63" i="33"/>
  <c r="G53" i="33"/>
  <c r="G54" i="33" s="1"/>
  <c r="P86" i="30"/>
  <c r="V54" i="22" s="1"/>
  <c r="Q86" i="30"/>
  <c r="W54" i="22" s="1"/>
  <c r="H86" i="30"/>
  <c r="N54" i="22" s="1"/>
  <c r="R86" i="30"/>
  <c r="X54" i="22" s="1"/>
  <c r="K86" i="30"/>
  <c r="Q54" i="22" s="1"/>
  <c r="J86" i="30"/>
  <c r="P54" i="22" s="1"/>
  <c r="M86" i="30"/>
  <c r="S54" i="22" s="1"/>
  <c r="N86" i="30"/>
  <c r="T54" i="22" s="1"/>
  <c r="O86" i="30"/>
  <c r="U54" i="22" s="1"/>
  <c r="I86" i="30"/>
  <c r="O54" i="22" s="1"/>
  <c r="L86" i="30"/>
  <c r="R54" i="22" s="1"/>
  <c r="U105" i="30"/>
  <c r="S107" i="30"/>
  <c r="T107" i="30" s="1"/>
  <c r="T106" i="30"/>
  <c r="S95" i="30"/>
  <c r="T95" i="30" s="1"/>
  <c r="H42" i="1"/>
  <c r="J42" i="1" s="1"/>
  <c r="U93" i="30"/>
  <c r="Y23" i="22"/>
  <c r="S29" i="30"/>
  <c r="T29" i="30" s="1"/>
  <c r="Y22" i="22"/>
  <c r="M52" i="22"/>
  <c r="S85" i="30"/>
  <c r="T85" i="30" s="1"/>
  <c r="K66" i="34"/>
  <c r="H71" i="30"/>
  <c r="D46" i="33" s="1"/>
  <c r="P71" i="30"/>
  <c r="M71" i="30"/>
  <c r="G71" i="30"/>
  <c r="I71" i="30"/>
  <c r="K71" i="30"/>
  <c r="O71" i="30"/>
  <c r="R71" i="30"/>
  <c r="N71" i="30"/>
  <c r="Q71" i="30"/>
  <c r="J71" i="30"/>
  <c r="L71" i="30"/>
  <c r="R69" i="30"/>
  <c r="K69" i="30"/>
  <c r="O69" i="30"/>
  <c r="I69" i="30"/>
  <c r="L69" i="30"/>
  <c r="G69" i="30"/>
  <c r="M33" i="22" s="1"/>
  <c r="M34" i="22" s="1"/>
  <c r="M69" i="30"/>
  <c r="J69" i="30"/>
  <c r="H69" i="30"/>
  <c r="Q69" i="30"/>
  <c r="P69" i="30"/>
  <c r="N69" i="30"/>
  <c r="H11" i="36"/>
  <c r="R42" i="36" s="1"/>
  <c r="Q122" i="34"/>
  <c r="U41" i="29"/>
  <c r="AA29" i="29"/>
  <c r="J34" i="32"/>
  <c r="G50" i="34"/>
  <c r="F27" i="22"/>
  <c r="H27" i="32" s="1"/>
  <c r="M19" i="22"/>
  <c r="Y19" i="22" s="1"/>
  <c r="Y18" i="22"/>
  <c r="G30" i="32"/>
  <c r="H50" i="22"/>
  <c r="J20" i="36" s="1"/>
  <c r="H49" i="22"/>
  <c r="H60" i="26" s="1"/>
  <c r="P15" i="30"/>
  <c r="P18" i="30" s="1"/>
  <c r="S11" i="20"/>
  <c r="J11" i="36"/>
  <c r="N17" i="2"/>
  <c r="J36" i="34"/>
  <c r="Q56" i="34" s="1"/>
  <c r="P194" i="34"/>
  <c r="Q179" i="34"/>
  <c r="J47" i="32"/>
  <c r="J32" i="36"/>
  <c r="J13" i="30"/>
  <c r="P3" i="22" s="1"/>
  <c r="P4" i="22" s="1"/>
  <c r="K221" i="34"/>
  <c r="H36" i="36"/>
  <c r="M48" i="28"/>
  <c r="I36" i="36"/>
  <c r="E61" i="26"/>
  <c r="M19" i="30" s="1"/>
  <c r="G20" i="36"/>
  <c r="K13" i="30"/>
  <c r="Q3" i="22" s="1"/>
  <c r="Q4" i="22" s="1"/>
  <c r="R13" i="30"/>
  <c r="X3" i="22" s="1"/>
  <c r="X4" i="22" s="1"/>
  <c r="P13" i="30"/>
  <c r="V3" i="22" s="1"/>
  <c r="V4" i="22" s="1"/>
  <c r="L13" i="30"/>
  <c r="R3" i="22" s="1"/>
  <c r="R4" i="22" s="1"/>
  <c r="H13" i="30"/>
  <c r="N3" i="22" s="1"/>
  <c r="N4" i="22" s="1"/>
  <c r="N13" i="30"/>
  <c r="T3" i="22" s="1"/>
  <c r="T4" i="22" s="1"/>
  <c r="M13" i="30"/>
  <c r="S3" i="22" s="1"/>
  <c r="S4" i="22" s="1"/>
  <c r="G13" i="30"/>
  <c r="M3" i="22" s="1"/>
  <c r="I13" i="30"/>
  <c r="O3" i="22" s="1"/>
  <c r="O4" i="22" s="1"/>
  <c r="O13" i="30"/>
  <c r="U3" i="22" s="1"/>
  <c r="U4" i="22" s="1"/>
  <c r="Q13" i="30"/>
  <c r="W3" i="22" s="1"/>
  <c r="W4" i="22" s="1"/>
  <c r="H68" i="32"/>
  <c r="M121" i="37" s="1"/>
  <c r="AD26" i="29"/>
  <c r="H42" i="32"/>
  <c r="M176" i="34"/>
  <c r="I49" i="36"/>
  <c r="O176" i="37" s="1"/>
  <c r="Q14" i="36"/>
  <c r="C3" i="35"/>
  <c r="K182" i="34"/>
  <c r="G80" i="32"/>
  <c r="H94" i="32"/>
  <c r="M184" i="34"/>
  <c r="H95" i="32"/>
  <c r="M185" i="34"/>
  <c r="I57" i="36"/>
  <c r="O184" i="37" s="1"/>
  <c r="Q215" i="34"/>
  <c r="J30" i="36"/>
  <c r="S51" i="30"/>
  <c r="T51" i="30" s="1"/>
  <c r="K180" i="34"/>
  <c r="G44" i="32"/>
  <c r="G59" i="36"/>
  <c r="K186" i="37" s="1"/>
  <c r="H55" i="36"/>
  <c r="M182" i="37" s="1"/>
  <c r="R13" i="36"/>
  <c r="H53" i="36"/>
  <c r="M180" i="37" s="1"/>
  <c r="H37" i="30"/>
  <c r="O71" i="1"/>
  <c r="O12" i="1"/>
  <c r="O46" i="1"/>
  <c r="J91" i="32"/>
  <c r="J92" i="32" s="1"/>
  <c r="J89" i="32" s="1"/>
  <c r="P49" i="30"/>
  <c r="P55" i="30" s="1"/>
  <c r="G49" i="30"/>
  <c r="G50" i="30"/>
  <c r="S50" i="30" s="1"/>
  <c r="T50" i="30" s="1"/>
  <c r="H30" i="30"/>
  <c r="N24" i="22" s="1"/>
  <c r="R30" i="30"/>
  <c r="X24" i="22" s="1"/>
  <c r="P30" i="30"/>
  <c r="V24" i="22" s="1"/>
  <c r="Q30" i="30"/>
  <c r="W24" i="22" s="1"/>
  <c r="J30" i="30"/>
  <c r="P24" i="22" s="1"/>
  <c r="M30" i="30"/>
  <c r="S24" i="22" s="1"/>
  <c r="L30" i="30"/>
  <c r="R24" i="22" s="1"/>
  <c r="G30" i="30"/>
  <c r="O30" i="30"/>
  <c r="U24" i="22" s="1"/>
  <c r="I30" i="30"/>
  <c r="O24" i="22" s="1"/>
  <c r="K30" i="30"/>
  <c r="Q24" i="22" s="1"/>
  <c r="N30" i="30"/>
  <c r="T24" i="22" s="1"/>
  <c r="J64" i="32"/>
  <c r="M30" i="20" s="1"/>
  <c r="J34" i="1"/>
  <c r="J39" i="1"/>
  <c r="J84" i="32"/>
  <c r="J11" i="1"/>
  <c r="R49" i="30"/>
  <c r="R55" i="30" s="1"/>
  <c r="AM35" i="29"/>
  <c r="O225" i="34"/>
  <c r="Q49" i="30"/>
  <c r="Q55" i="30" s="1"/>
  <c r="I49" i="30"/>
  <c r="I55" i="30" s="1"/>
  <c r="T24" i="29"/>
  <c r="K102" i="34"/>
  <c r="G22" i="32"/>
  <c r="K94" i="37" s="1"/>
  <c r="P48" i="28"/>
  <c r="H37" i="1"/>
  <c r="H32" i="1" s="1"/>
  <c r="G27" i="32"/>
  <c r="G29" i="32" s="1"/>
  <c r="L49" i="30"/>
  <c r="L55" i="30" s="1"/>
  <c r="M49" i="30"/>
  <c r="M55" i="30" s="1"/>
  <c r="H49" i="30"/>
  <c r="H55" i="30" s="1"/>
  <c r="O49" i="30"/>
  <c r="O55" i="30" s="1"/>
  <c r="K49" i="30"/>
  <c r="K55" i="30" s="1"/>
  <c r="N49" i="30"/>
  <c r="N55" i="30" s="1"/>
  <c r="J49" i="30"/>
  <c r="J55" i="30" s="1"/>
  <c r="J48" i="28"/>
  <c r="AK24" i="29"/>
  <c r="J76" i="32" s="1"/>
  <c r="AE24" i="29"/>
  <c r="O28" i="32"/>
  <c r="O32" i="32"/>
  <c r="O16" i="32"/>
  <c r="G11" i="2"/>
  <c r="K15" i="20" s="1"/>
  <c r="N221" i="34"/>
  <c r="Q221" i="34"/>
  <c r="H32" i="28"/>
  <c r="I215" i="37" s="1"/>
  <c r="I196" i="34"/>
  <c r="D132" i="1"/>
  <c r="G17" i="20"/>
  <c r="K123" i="34"/>
  <c r="G67" i="32"/>
  <c r="W4" i="29"/>
  <c r="P236" i="34"/>
  <c r="Q173" i="34"/>
  <c r="J236" i="34"/>
  <c r="K173" i="34"/>
  <c r="I14" i="20"/>
  <c r="G50" i="22"/>
  <c r="I20" i="36" s="1"/>
  <c r="M59" i="34"/>
  <c r="M11" i="20"/>
  <c r="Q59" i="37" s="1"/>
  <c r="AA24" i="29"/>
  <c r="AB8" i="29"/>
  <c r="AB24" i="29" s="1"/>
  <c r="Z24" i="29"/>
  <c r="K13" i="28"/>
  <c r="L196" i="37" s="1"/>
  <c r="V24" i="29"/>
  <c r="G14" i="22"/>
  <c r="I23" i="32" s="1"/>
  <c r="Q117" i="34"/>
  <c r="F31" i="1"/>
  <c r="F44" i="1" s="1"/>
  <c r="F61" i="26"/>
  <c r="G8" i="2"/>
  <c r="N12" i="1"/>
  <c r="N46" i="1"/>
  <c r="N71" i="1"/>
  <c r="H14" i="22"/>
  <c r="J23" i="32" s="1"/>
  <c r="AG32" i="29"/>
  <c r="K62" i="34"/>
  <c r="H24" i="20"/>
  <c r="H16" i="20"/>
  <c r="H30" i="20"/>
  <c r="L77" i="34"/>
  <c r="H23" i="20"/>
  <c r="H18" i="20"/>
  <c r="K11" i="20"/>
  <c r="K121" i="34"/>
  <c r="AG9" i="29"/>
  <c r="AF9" i="29"/>
  <c r="AH9" i="29" s="1"/>
  <c r="G23" i="33"/>
  <c r="G19" i="33"/>
  <c r="G24" i="33"/>
  <c r="M32" i="33" s="1"/>
  <c r="G20" i="33"/>
  <c r="H3" i="33"/>
  <c r="I92" i="32"/>
  <c r="I89" i="32" s="1"/>
  <c r="AI4" i="29"/>
  <c r="AC4" i="29"/>
  <c r="AM18" i="29"/>
  <c r="AL18" i="29"/>
  <c r="AN18" i="29" s="1"/>
  <c r="AF8" i="29"/>
  <c r="AG8" i="29"/>
  <c r="AL15" i="29"/>
  <c r="AN15" i="29" s="1"/>
  <c r="AM15" i="29"/>
  <c r="L17" i="2"/>
  <c r="H11" i="32"/>
  <c r="M89" i="37" s="1"/>
  <c r="M111" i="37" s="1"/>
  <c r="M136" i="37" s="1"/>
  <c r="C26" i="35"/>
  <c r="AM13" i="29"/>
  <c r="AL13" i="29"/>
  <c r="AN13" i="29" s="1"/>
  <c r="AF11" i="29"/>
  <c r="AH11" i="29" s="1"/>
  <c r="Q16" i="28" s="1"/>
  <c r="AG11" i="29"/>
  <c r="M93" i="34"/>
  <c r="I19" i="32"/>
  <c r="O93" i="37" s="1"/>
  <c r="AL12" i="29"/>
  <c r="AN12" i="29" s="1"/>
  <c r="AM12" i="29"/>
  <c r="K30" i="20"/>
  <c r="I62" i="32"/>
  <c r="AG10" i="29"/>
  <c r="AF10" i="29"/>
  <c r="AH10" i="29" s="1"/>
  <c r="Q15" i="28" s="1"/>
  <c r="G49" i="22"/>
  <c r="G60" i="26" s="1"/>
  <c r="J18" i="22"/>
  <c r="B29" i="30"/>
  <c r="J52" i="22" s="1"/>
  <c r="E31" i="1"/>
  <c r="E11" i="1"/>
  <c r="M91" i="34"/>
  <c r="I17" i="32"/>
  <c r="R225" i="34" l="1"/>
  <c r="AL14" i="29"/>
  <c r="AN14" i="29" s="1"/>
  <c r="Q89" i="30"/>
  <c r="Q88" i="30"/>
  <c r="R92" i="30"/>
  <c r="S92" i="30" s="1"/>
  <c r="R90" i="30"/>
  <c r="S90" i="30" s="1"/>
  <c r="T90" i="30" s="1"/>
  <c r="S36" i="30"/>
  <c r="R2" i="22"/>
  <c r="BJ42" i="30"/>
  <c r="L22" i="30"/>
  <c r="L48" i="30" s="1"/>
  <c r="M10" i="30"/>
  <c r="H2" i="33"/>
  <c r="H25" i="33" s="1"/>
  <c r="S32" i="30"/>
  <c r="T32" i="30" s="1"/>
  <c r="K130" i="34"/>
  <c r="G37" i="36"/>
  <c r="K157" i="34" s="1"/>
  <c r="I17" i="20"/>
  <c r="R41" i="36"/>
  <c r="M15" i="20"/>
  <c r="H12" i="2"/>
  <c r="G55" i="30"/>
  <c r="O55" i="22"/>
  <c r="D57" i="33"/>
  <c r="D58" i="33" s="1"/>
  <c r="J66" i="33" s="1"/>
  <c r="C46" i="33"/>
  <c r="C57" i="33" s="1"/>
  <c r="C58" i="33" s="1"/>
  <c r="I66" i="33" s="1"/>
  <c r="M35" i="22"/>
  <c r="M36" i="22" s="1"/>
  <c r="I50" i="34"/>
  <c r="I50" i="37"/>
  <c r="O143" i="34"/>
  <c r="O143" i="37"/>
  <c r="J50" i="34"/>
  <c r="J50" i="37"/>
  <c r="H51" i="34"/>
  <c r="M75" i="30"/>
  <c r="S75" i="30" s="1"/>
  <c r="H51" i="37"/>
  <c r="Q143" i="34"/>
  <c r="Q143" i="37"/>
  <c r="D49" i="33"/>
  <c r="D50" i="33" s="1"/>
  <c r="F62" i="33" s="1"/>
  <c r="D55" i="33"/>
  <c r="C49" i="33"/>
  <c r="C50" i="33" s="1"/>
  <c r="C55" i="33"/>
  <c r="C56" i="33" s="1"/>
  <c r="C39" i="33"/>
  <c r="G43" i="33"/>
  <c r="F43" i="33" s="1"/>
  <c r="H33" i="32"/>
  <c r="H30" i="32" s="1"/>
  <c r="K96" i="37"/>
  <c r="X25" i="22"/>
  <c r="O25" i="22"/>
  <c r="S25" i="22"/>
  <c r="K100" i="37"/>
  <c r="K100" i="34"/>
  <c r="H40" i="32"/>
  <c r="I48" i="36"/>
  <c r="I47" i="36" s="1"/>
  <c r="O174" i="37" s="1"/>
  <c r="M175" i="34"/>
  <c r="M175" i="37"/>
  <c r="P55" i="22"/>
  <c r="W55" i="22"/>
  <c r="Q25" i="22"/>
  <c r="R25" i="22"/>
  <c r="V25" i="22"/>
  <c r="U25" i="22"/>
  <c r="P25" i="22"/>
  <c r="N25" i="22"/>
  <c r="T25" i="22"/>
  <c r="W25" i="22"/>
  <c r="R55" i="22"/>
  <c r="S55" i="22"/>
  <c r="N55" i="22"/>
  <c r="U55" i="22"/>
  <c r="Q55" i="22"/>
  <c r="V55" i="22"/>
  <c r="T55" i="22"/>
  <c r="X55" i="22"/>
  <c r="R198" i="34"/>
  <c r="R198" i="37"/>
  <c r="R202" i="34"/>
  <c r="R202" i="37"/>
  <c r="R199" i="34"/>
  <c r="R199" i="37"/>
  <c r="O156" i="34"/>
  <c r="O156" i="37"/>
  <c r="M156" i="34"/>
  <c r="M156" i="37"/>
  <c r="Q156" i="34"/>
  <c r="Q156" i="37"/>
  <c r="R197" i="34"/>
  <c r="R197" i="37"/>
  <c r="Q152" i="34"/>
  <c r="Q152" i="37"/>
  <c r="K67" i="37"/>
  <c r="K63" i="37"/>
  <c r="P236" i="37"/>
  <c r="Q173" i="37"/>
  <c r="L236" i="37"/>
  <c r="M173" i="37"/>
  <c r="O118" i="34"/>
  <c r="O118" i="37"/>
  <c r="O77" i="34"/>
  <c r="O77" i="37"/>
  <c r="O131" i="34"/>
  <c r="O131" i="37"/>
  <c r="Q77" i="34"/>
  <c r="Q77" i="37"/>
  <c r="Q131" i="34"/>
  <c r="Q131" i="37"/>
  <c r="Q106" i="34"/>
  <c r="Q106" i="37"/>
  <c r="V7" i="22"/>
  <c r="V8" i="22" s="1"/>
  <c r="Q97" i="34"/>
  <c r="Q97" i="37"/>
  <c r="G51" i="37"/>
  <c r="K143" i="34"/>
  <c r="K143" i="37"/>
  <c r="K104" i="34"/>
  <c r="K104" i="37"/>
  <c r="M102" i="34"/>
  <c r="M102" i="37"/>
  <c r="H47" i="36"/>
  <c r="M174" i="37" s="1"/>
  <c r="M62" i="37"/>
  <c r="L66" i="34"/>
  <c r="L66" i="37"/>
  <c r="L71" i="34"/>
  <c r="L71" i="37"/>
  <c r="K80" i="34"/>
  <c r="K80" i="37"/>
  <c r="O59" i="37"/>
  <c r="H87" i="32"/>
  <c r="M132" i="37"/>
  <c r="J16" i="20"/>
  <c r="N64" i="37" s="1"/>
  <c r="L64" i="37"/>
  <c r="L72" i="34"/>
  <c r="L72" i="37"/>
  <c r="Q232" i="34"/>
  <c r="Q232" i="37"/>
  <c r="Q150" i="34"/>
  <c r="Q150" i="37"/>
  <c r="N232" i="34"/>
  <c r="N232" i="37"/>
  <c r="K232" i="34"/>
  <c r="K232" i="37"/>
  <c r="Q108" i="36"/>
  <c r="Q109" i="36" s="1"/>
  <c r="K120" i="37"/>
  <c r="K65" i="34"/>
  <c r="K65" i="37"/>
  <c r="E42" i="33"/>
  <c r="P35" i="22"/>
  <c r="P36" i="22" s="1"/>
  <c r="J74" i="30"/>
  <c r="P37" i="22" s="1"/>
  <c r="P38" i="22" s="1"/>
  <c r="F46" i="33"/>
  <c r="F57" i="33" s="1"/>
  <c r="F58" i="33" s="1"/>
  <c r="L66" i="33" s="1"/>
  <c r="U35" i="22"/>
  <c r="U36" i="22" s="1"/>
  <c r="O74" i="30"/>
  <c r="U37" i="22" s="1"/>
  <c r="U38" i="22" s="1"/>
  <c r="K46" i="33"/>
  <c r="S35" i="22"/>
  <c r="S36" i="22" s="1"/>
  <c r="M74" i="30"/>
  <c r="S37" i="22" s="1"/>
  <c r="S38" i="22" s="1"/>
  <c r="I46" i="33"/>
  <c r="I57" i="33" s="1"/>
  <c r="I58" i="33" s="1"/>
  <c r="W35" i="22"/>
  <c r="W36" i="22" s="1"/>
  <c r="Q74" i="30"/>
  <c r="W37" i="22" s="1"/>
  <c r="W38" i="22" s="1"/>
  <c r="M46" i="33"/>
  <c r="M57" i="33" s="1"/>
  <c r="M58" i="33" s="1"/>
  <c r="Q35" i="22"/>
  <c r="Q36" i="22" s="1"/>
  <c r="K74" i="30"/>
  <c r="Q37" i="22" s="1"/>
  <c r="Q38" i="22" s="1"/>
  <c r="G46" i="33"/>
  <c r="V35" i="22"/>
  <c r="V36" i="22" s="1"/>
  <c r="P74" i="30"/>
  <c r="V37" i="22" s="1"/>
  <c r="V38" i="22" s="1"/>
  <c r="L46" i="33"/>
  <c r="L57" i="33" s="1"/>
  <c r="L58" i="33" s="1"/>
  <c r="C42" i="33"/>
  <c r="T35" i="22"/>
  <c r="T36" i="22" s="1"/>
  <c r="N74" i="30"/>
  <c r="T37" i="22" s="1"/>
  <c r="T38" i="22" s="1"/>
  <c r="J46" i="33"/>
  <c r="O35" i="22"/>
  <c r="O36" i="22" s="1"/>
  <c r="I74" i="30"/>
  <c r="O37" i="22" s="1"/>
  <c r="O38" i="22" s="1"/>
  <c r="E46" i="33"/>
  <c r="N35" i="22"/>
  <c r="N36" i="22" s="1"/>
  <c r="H74" i="30"/>
  <c r="N37" i="22" s="1"/>
  <c r="N38" i="22" s="1"/>
  <c r="D47" i="33"/>
  <c r="R35" i="22"/>
  <c r="R36" i="22" s="1"/>
  <c r="L74" i="30"/>
  <c r="R37" i="22" s="1"/>
  <c r="R38" i="22" s="1"/>
  <c r="H46" i="33"/>
  <c r="X35" i="22"/>
  <c r="X36" i="22" s="1"/>
  <c r="R74" i="30"/>
  <c r="X37" i="22" s="1"/>
  <c r="X38" i="22" s="1"/>
  <c r="N46" i="33"/>
  <c r="G74" i="30"/>
  <c r="G79" i="32"/>
  <c r="C41" i="33"/>
  <c r="J63" i="33"/>
  <c r="H53" i="33"/>
  <c r="H54" i="33" s="1"/>
  <c r="R11" i="36"/>
  <c r="D2" i="35" s="1"/>
  <c r="D49" i="35" s="1"/>
  <c r="M54" i="22"/>
  <c r="M55" i="22" s="1"/>
  <c r="S86" i="30"/>
  <c r="T86" i="30" s="1"/>
  <c r="J105" i="30"/>
  <c r="J111" i="30" s="1"/>
  <c r="R105" i="30"/>
  <c r="R111" i="30" s="1"/>
  <c r="N105" i="30"/>
  <c r="N111" i="30" s="1"/>
  <c r="I105" i="30"/>
  <c r="H105" i="30"/>
  <c r="O105" i="30"/>
  <c r="O111" i="30" s="1"/>
  <c r="P105" i="30"/>
  <c r="P111" i="30" s="1"/>
  <c r="K105" i="30"/>
  <c r="K111" i="30" s="1"/>
  <c r="L105" i="30"/>
  <c r="L111" i="30" s="1"/>
  <c r="Q105" i="30"/>
  <c r="Q111" i="30" s="1"/>
  <c r="M105" i="30"/>
  <c r="M111" i="30" s="1"/>
  <c r="G105" i="30"/>
  <c r="H31" i="1"/>
  <c r="H44" i="1" s="1"/>
  <c r="H48" i="28"/>
  <c r="U40" i="30" s="1"/>
  <c r="K93" i="30"/>
  <c r="I93" i="30"/>
  <c r="O93" i="30"/>
  <c r="H93" i="30"/>
  <c r="R93" i="30"/>
  <c r="N93" i="30"/>
  <c r="L93" i="30"/>
  <c r="Q93" i="30"/>
  <c r="P93" i="30"/>
  <c r="G93" i="30"/>
  <c r="J93" i="30"/>
  <c r="M93" i="30"/>
  <c r="M53" i="22"/>
  <c r="Y53" i="22" s="1"/>
  <c r="Y52" i="22"/>
  <c r="W33" i="22"/>
  <c r="W34" i="22" s="1"/>
  <c r="Q33" i="22"/>
  <c r="Q34" i="22" s="1"/>
  <c r="V33" i="22"/>
  <c r="V34" i="22" s="1"/>
  <c r="U33" i="22"/>
  <c r="U34" i="22" s="1"/>
  <c r="N33" i="22"/>
  <c r="N34" i="22" s="1"/>
  <c r="X33" i="22"/>
  <c r="X34" i="22" s="1"/>
  <c r="S33" i="22"/>
  <c r="S34" i="22" s="1"/>
  <c r="P33" i="22"/>
  <c r="P34" i="22" s="1"/>
  <c r="R33" i="22"/>
  <c r="R34" i="22" s="1"/>
  <c r="T33" i="22"/>
  <c r="T34" i="22" s="1"/>
  <c r="O33" i="22"/>
  <c r="O34" i="22" s="1"/>
  <c r="AG29" i="29"/>
  <c r="AA41" i="29"/>
  <c r="H72" i="32"/>
  <c r="H70" i="32" s="1"/>
  <c r="H46" i="36"/>
  <c r="I11" i="36"/>
  <c r="I46" i="36" s="1"/>
  <c r="G51" i="34"/>
  <c r="E50" i="26"/>
  <c r="G41" i="37" s="1"/>
  <c r="M15" i="30"/>
  <c r="M18" i="30" s="1"/>
  <c r="I15" i="30"/>
  <c r="R15" i="30"/>
  <c r="R18" i="30" s="1"/>
  <c r="G15" i="30"/>
  <c r="G18" i="30" s="1"/>
  <c r="M4" i="22"/>
  <c r="Y4" i="22" s="1"/>
  <c r="Y3" i="22"/>
  <c r="K96" i="34"/>
  <c r="K15" i="30"/>
  <c r="K18" i="30" s="1"/>
  <c r="L15" i="30"/>
  <c r="L18" i="30" s="1"/>
  <c r="N15" i="30"/>
  <c r="N18" i="30" s="1"/>
  <c r="O15" i="30"/>
  <c r="O18" i="30" s="1"/>
  <c r="Q15" i="30"/>
  <c r="Q18" i="30" s="1"/>
  <c r="H15" i="30"/>
  <c r="J15" i="30"/>
  <c r="J18" i="30" s="1"/>
  <c r="H61" i="26"/>
  <c r="S19" i="30"/>
  <c r="J46" i="36"/>
  <c r="T11" i="36"/>
  <c r="F2" i="35" s="1"/>
  <c r="T42" i="36"/>
  <c r="I37" i="30"/>
  <c r="Q37" i="30"/>
  <c r="L37" i="30"/>
  <c r="M37" i="30"/>
  <c r="N37" i="30"/>
  <c r="K37" i="30"/>
  <c r="O37" i="30"/>
  <c r="J37" i="30"/>
  <c r="R37" i="30"/>
  <c r="P37" i="30"/>
  <c r="G37" i="30"/>
  <c r="I68" i="32"/>
  <c r="O121" i="37" s="1"/>
  <c r="J62" i="32"/>
  <c r="J57" i="36"/>
  <c r="Q184" i="37" s="1"/>
  <c r="R14" i="36"/>
  <c r="D3" i="35"/>
  <c r="H80" i="32"/>
  <c r="M182" i="34"/>
  <c r="O176" i="34"/>
  <c r="I42" i="32"/>
  <c r="J42" i="32"/>
  <c r="Q176" i="34"/>
  <c r="O185" i="34"/>
  <c r="I95" i="32"/>
  <c r="I94" i="32"/>
  <c r="O132" i="37" s="1"/>
  <c r="O184" i="34"/>
  <c r="M180" i="34"/>
  <c r="H44" i="32"/>
  <c r="G28" i="36"/>
  <c r="K186" i="34"/>
  <c r="Q114" i="36"/>
  <c r="Q59" i="34"/>
  <c r="J53" i="36"/>
  <c r="Q180" i="37" s="1"/>
  <c r="T13" i="36"/>
  <c r="S13" i="36"/>
  <c r="I53" i="36"/>
  <c r="O180" i="37" s="1"/>
  <c r="S49" i="30"/>
  <c r="T49" i="30" s="1"/>
  <c r="J37" i="1"/>
  <c r="J32" i="1" s="1"/>
  <c r="S30" i="30"/>
  <c r="T30" i="30" s="1"/>
  <c r="M132" i="34"/>
  <c r="G31" i="30"/>
  <c r="M24" i="22"/>
  <c r="G41" i="32"/>
  <c r="K101" i="37" s="1"/>
  <c r="K99" i="34"/>
  <c r="M14" i="20"/>
  <c r="Q62" i="37" s="1"/>
  <c r="J18" i="20"/>
  <c r="J75" i="32"/>
  <c r="N77" i="34"/>
  <c r="G12" i="2"/>
  <c r="K32" i="28"/>
  <c r="L196" i="34"/>
  <c r="I215" i="34"/>
  <c r="J24" i="20"/>
  <c r="J30" i="20"/>
  <c r="M62" i="34"/>
  <c r="J23" i="20"/>
  <c r="G26" i="32"/>
  <c r="K95" i="37" s="1"/>
  <c r="N13" i="28"/>
  <c r="O196" i="37" s="1"/>
  <c r="AG24" i="29"/>
  <c r="AH8" i="29"/>
  <c r="AF24" i="29"/>
  <c r="G11" i="1"/>
  <c r="G31" i="1"/>
  <c r="F132" i="1"/>
  <c r="F50" i="26"/>
  <c r="H17" i="20"/>
  <c r="H25" i="32"/>
  <c r="H22" i="32" s="1"/>
  <c r="K94" i="34"/>
  <c r="M17" i="2"/>
  <c r="I11" i="32"/>
  <c r="O89" i="37" s="1"/>
  <c r="O111" i="37" s="1"/>
  <c r="O136" i="37" s="1"/>
  <c r="H23" i="33"/>
  <c r="H19" i="33"/>
  <c r="I3" i="33"/>
  <c r="H20" i="33"/>
  <c r="H24" i="33"/>
  <c r="N32" i="33" s="1"/>
  <c r="O59" i="34"/>
  <c r="K14" i="20"/>
  <c r="AM32" i="29"/>
  <c r="L64" i="34"/>
  <c r="M121" i="34"/>
  <c r="G61" i="26"/>
  <c r="I51" i="37" s="1"/>
  <c r="I14" i="32"/>
  <c r="O91" i="37" s="1"/>
  <c r="AM8" i="29"/>
  <c r="AL8" i="29"/>
  <c r="AM9" i="29"/>
  <c r="AL9" i="29"/>
  <c r="AN9" i="29" s="1"/>
  <c r="J22" i="22"/>
  <c r="B30" i="30"/>
  <c r="J54" i="22" s="1"/>
  <c r="AM10" i="29"/>
  <c r="AL10" i="29"/>
  <c r="AN10" i="29" s="1"/>
  <c r="V5" i="22"/>
  <c r="V6" i="22" s="1"/>
  <c r="L12" i="33"/>
  <c r="M89" i="34"/>
  <c r="M111" i="34" s="1"/>
  <c r="M136" i="34" s="1"/>
  <c r="M16" i="32"/>
  <c r="H54" i="32"/>
  <c r="M28" i="32"/>
  <c r="M24" i="32"/>
  <c r="M32" i="32"/>
  <c r="K120" i="34"/>
  <c r="I60" i="26"/>
  <c r="O93" i="34"/>
  <c r="J19" i="32"/>
  <c r="Q93" i="37" s="1"/>
  <c r="AM11" i="29"/>
  <c r="AL11" i="29"/>
  <c r="AN11" i="29" s="1"/>
  <c r="R89" i="30" l="1"/>
  <c r="S89" i="30" s="1"/>
  <c r="R88" i="30"/>
  <c r="S88" i="30" s="1"/>
  <c r="T88" i="30" s="1"/>
  <c r="S2" i="22"/>
  <c r="I2" i="33"/>
  <c r="I25" i="33" s="1"/>
  <c r="BK42" i="30"/>
  <c r="M22" i="30"/>
  <c r="M48" i="30" s="1"/>
  <c r="N10" i="30"/>
  <c r="AH24" i="29"/>
  <c r="Q13" i="28"/>
  <c r="K157" i="37"/>
  <c r="C47" i="33"/>
  <c r="M65" i="37"/>
  <c r="M65" i="34"/>
  <c r="S40" i="36"/>
  <c r="T40" i="36"/>
  <c r="K17" i="20"/>
  <c r="O65" i="37" s="1"/>
  <c r="S41" i="36"/>
  <c r="AM29" i="29"/>
  <c r="AM41" i="29" s="1"/>
  <c r="J72" i="32" s="1"/>
  <c r="J70" i="32" s="1"/>
  <c r="AG41" i="29"/>
  <c r="H55" i="33"/>
  <c r="H57" i="33"/>
  <c r="H58" i="33" s="1"/>
  <c r="N66" i="33" s="1"/>
  <c r="G55" i="33"/>
  <c r="G57" i="33"/>
  <c r="G58" i="33" s="1"/>
  <c r="M66" i="33" s="1"/>
  <c r="N55" i="33"/>
  <c r="N56" i="33" s="1"/>
  <c r="N57" i="33"/>
  <c r="N58" i="33"/>
  <c r="J55" i="33"/>
  <c r="J56" i="33" s="1"/>
  <c r="J57" i="33"/>
  <c r="J58" i="33" s="1"/>
  <c r="K55" i="33"/>
  <c r="K56" i="33" s="1"/>
  <c r="K57" i="33"/>
  <c r="K58" i="33" s="1"/>
  <c r="E55" i="33"/>
  <c r="I64" i="33" s="1"/>
  <c r="E57" i="33"/>
  <c r="E58" i="33" s="1"/>
  <c r="K66" i="33" s="1"/>
  <c r="E43" i="33"/>
  <c r="D43" i="33"/>
  <c r="C43" i="33" s="1"/>
  <c r="J51" i="34"/>
  <c r="J51" i="37"/>
  <c r="L55" i="33"/>
  <c r="L56" i="33"/>
  <c r="E56" i="33"/>
  <c r="I55" i="33"/>
  <c r="I56" i="33" s="1"/>
  <c r="N65" i="33" s="1"/>
  <c r="M55" i="33"/>
  <c r="M56" i="33" s="1"/>
  <c r="D56" i="33"/>
  <c r="I65" i="33" s="1"/>
  <c r="H64" i="33"/>
  <c r="F55" i="33"/>
  <c r="J64" i="33" s="1"/>
  <c r="F47" i="33"/>
  <c r="F49" i="33"/>
  <c r="F50" i="33"/>
  <c r="H62" i="33" s="1"/>
  <c r="E47" i="33"/>
  <c r="E49" i="33"/>
  <c r="E50" i="33" s="1"/>
  <c r="G62" i="33" s="1"/>
  <c r="I47" i="33"/>
  <c r="I49" i="33"/>
  <c r="I50" i="33" s="1"/>
  <c r="M47" i="33"/>
  <c r="M49" i="33"/>
  <c r="M50" i="33" s="1"/>
  <c r="H47" i="33"/>
  <c r="H49" i="33"/>
  <c r="H50" i="33" s="1"/>
  <c r="J62" i="33" s="1"/>
  <c r="G47" i="33"/>
  <c r="G49" i="33"/>
  <c r="G50" i="33" s="1"/>
  <c r="I62" i="33" s="1"/>
  <c r="N47" i="33"/>
  <c r="N49" i="33"/>
  <c r="N50" i="33" s="1"/>
  <c r="J47" i="33"/>
  <c r="J49" i="33"/>
  <c r="J50" i="33" s="1"/>
  <c r="L47" i="33"/>
  <c r="L49" i="33"/>
  <c r="L50" i="33" s="1"/>
  <c r="K47" i="33"/>
  <c r="K49" i="33"/>
  <c r="K50" i="33" s="1"/>
  <c r="M96" i="34"/>
  <c r="M96" i="37"/>
  <c r="M94" i="34"/>
  <c r="M94" i="37"/>
  <c r="H19" i="20"/>
  <c r="O175" i="37"/>
  <c r="O175" i="34"/>
  <c r="I40" i="32"/>
  <c r="J48" i="36"/>
  <c r="J47" i="36" s="1"/>
  <c r="Q174" i="37" s="1"/>
  <c r="M100" i="37"/>
  <c r="M100" i="34"/>
  <c r="H41" i="34"/>
  <c r="H41" i="37"/>
  <c r="K67" i="34"/>
  <c r="H15" i="20"/>
  <c r="L63" i="37" s="1"/>
  <c r="I72" i="32"/>
  <c r="I70" i="32" s="1"/>
  <c r="M123" i="34"/>
  <c r="M123" i="37"/>
  <c r="G20" i="20"/>
  <c r="K68" i="37" s="1"/>
  <c r="K63" i="34"/>
  <c r="O173" i="37"/>
  <c r="N236" i="37"/>
  <c r="Q118" i="34"/>
  <c r="Q118" i="37"/>
  <c r="Q7" i="22"/>
  <c r="Q8" i="22" s="1"/>
  <c r="H18" i="30"/>
  <c r="N7" i="22" s="1"/>
  <c r="N8" i="22" s="1"/>
  <c r="W7" i="22"/>
  <c r="W8" i="22" s="1"/>
  <c r="U7" i="22"/>
  <c r="U8" i="22" s="1"/>
  <c r="V9" i="22"/>
  <c r="I18" i="30"/>
  <c r="O7" i="22" s="1"/>
  <c r="O8" i="22" s="1"/>
  <c r="R7" i="22"/>
  <c r="R8" i="22" s="1"/>
  <c r="S7" i="22"/>
  <c r="S8" i="22" s="1"/>
  <c r="P23" i="30"/>
  <c r="G23" i="30"/>
  <c r="K50" i="34"/>
  <c r="K50" i="37"/>
  <c r="H59" i="36"/>
  <c r="M186" i="34" s="1"/>
  <c r="O174" i="34"/>
  <c r="K148" i="34"/>
  <c r="K148" i="37"/>
  <c r="M104" i="34"/>
  <c r="M104" i="37"/>
  <c r="M80" i="34"/>
  <c r="M80" i="37"/>
  <c r="N71" i="34"/>
  <c r="N71" i="37"/>
  <c r="O102" i="34"/>
  <c r="O102" i="37"/>
  <c r="Q102" i="34"/>
  <c r="Q102" i="37"/>
  <c r="K128" i="34"/>
  <c r="K128" i="37"/>
  <c r="I39" i="32"/>
  <c r="O99" i="37" s="1"/>
  <c r="O62" i="37"/>
  <c r="N72" i="34"/>
  <c r="N72" i="37"/>
  <c r="N66" i="34"/>
  <c r="N66" i="37"/>
  <c r="M174" i="34"/>
  <c r="H39" i="32"/>
  <c r="K48" i="28"/>
  <c r="L215" i="37"/>
  <c r="L65" i="34"/>
  <c r="L65" i="37"/>
  <c r="Q126" i="34"/>
  <c r="Q126" i="37"/>
  <c r="I232" i="37"/>
  <c r="R39" i="22"/>
  <c r="P39" i="22"/>
  <c r="V39" i="22"/>
  <c r="X39" i="22"/>
  <c r="Q39" i="22"/>
  <c r="Y36" i="22"/>
  <c r="M37" i="22"/>
  <c r="M38" i="22" s="1"/>
  <c r="S74" i="30"/>
  <c r="M5" i="22"/>
  <c r="M6" i="22" s="1"/>
  <c r="N12" i="33"/>
  <c r="X7" i="22"/>
  <c r="X8" i="22" s="1"/>
  <c r="O39" i="22"/>
  <c r="N39" i="22"/>
  <c r="W39" i="22"/>
  <c r="J23" i="30"/>
  <c r="P7" i="22"/>
  <c r="P8" i="22" s="1"/>
  <c r="T5" i="22"/>
  <c r="T6" i="22" s="1"/>
  <c r="T7" i="22"/>
  <c r="T8" i="22" s="1"/>
  <c r="T39" i="22"/>
  <c r="Y35" i="22"/>
  <c r="U39" i="22"/>
  <c r="G74" i="32"/>
  <c r="H79" i="32"/>
  <c r="Q38" i="33"/>
  <c r="S42" i="33"/>
  <c r="I80" i="30" s="1"/>
  <c r="K63" i="33"/>
  <c r="E44" i="33"/>
  <c r="D44" i="33" s="1"/>
  <c r="H45" i="33"/>
  <c r="G44" i="33"/>
  <c r="G45" i="33" s="1"/>
  <c r="F44" i="33"/>
  <c r="F45" i="33" s="1"/>
  <c r="I53" i="33"/>
  <c r="I54" i="33" s="1"/>
  <c r="Y54" i="22"/>
  <c r="S105" i="30"/>
  <c r="I31" i="1"/>
  <c r="I11" i="1"/>
  <c r="S93" i="30"/>
  <c r="T93" i="30" s="1"/>
  <c r="S39" i="22"/>
  <c r="Y33" i="22"/>
  <c r="H67" i="32"/>
  <c r="O23" i="30"/>
  <c r="I23" i="30"/>
  <c r="M23" i="30"/>
  <c r="L23" i="30"/>
  <c r="H23" i="30"/>
  <c r="Q23" i="30"/>
  <c r="K23" i="30"/>
  <c r="S42" i="36"/>
  <c r="S11" i="36"/>
  <c r="E2" i="35" s="1"/>
  <c r="E49" i="35" s="1"/>
  <c r="J31" i="1"/>
  <c r="J44" i="1" s="1"/>
  <c r="D12" i="33"/>
  <c r="D17" i="33" s="1"/>
  <c r="D18" i="33" s="1"/>
  <c r="G29" i="33" s="1"/>
  <c r="R23" i="30"/>
  <c r="N23" i="30"/>
  <c r="N5" i="22"/>
  <c r="N6" i="22" s="1"/>
  <c r="O5" i="22"/>
  <c r="O6" i="22" s="1"/>
  <c r="R5" i="22"/>
  <c r="R6" i="22" s="1"/>
  <c r="Q185" i="34"/>
  <c r="J12" i="33"/>
  <c r="X5" i="22"/>
  <c r="X6" i="22" s="1"/>
  <c r="H12" i="33"/>
  <c r="H17" i="33" s="1"/>
  <c r="H18" i="33" s="1"/>
  <c r="K29" i="33" s="1"/>
  <c r="J95" i="32"/>
  <c r="C12" i="33"/>
  <c r="C17" i="33" s="1"/>
  <c r="C18" i="33" s="1"/>
  <c r="E12" i="33"/>
  <c r="E17" i="33" s="1"/>
  <c r="E18" i="33" s="1"/>
  <c r="H29" i="33" s="1"/>
  <c r="M12" i="33"/>
  <c r="Q5" i="22"/>
  <c r="Q6" i="22" s="1"/>
  <c r="I12" i="33"/>
  <c r="G12" i="33"/>
  <c r="S5" i="22"/>
  <c r="S6" i="22" s="1"/>
  <c r="K12" i="33"/>
  <c r="U5" i="22"/>
  <c r="U6" i="22" s="1"/>
  <c r="M25" i="22"/>
  <c r="Y24" i="22"/>
  <c r="I33" i="32"/>
  <c r="P5" i="22"/>
  <c r="P6" i="22" s="1"/>
  <c r="F12" i="33"/>
  <c r="F17" i="33" s="1"/>
  <c r="F18" i="33" s="1"/>
  <c r="I29" i="33" s="1"/>
  <c r="W5" i="22"/>
  <c r="W6" i="22" s="1"/>
  <c r="H50" i="26"/>
  <c r="F49" i="35"/>
  <c r="F26" i="35"/>
  <c r="S37" i="30"/>
  <c r="T37" i="30" s="1"/>
  <c r="S14" i="36"/>
  <c r="E3" i="35"/>
  <c r="T14" i="36"/>
  <c r="F3" i="35"/>
  <c r="J94" i="32"/>
  <c r="Q132" i="37" s="1"/>
  <c r="Q184" i="34"/>
  <c r="O180" i="34"/>
  <c r="I44" i="32"/>
  <c r="G41" i="36"/>
  <c r="J44" i="32"/>
  <c r="Q180" i="34"/>
  <c r="R107" i="36"/>
  <c r="K101" i="34"/>
  <c r="H31" i="30"/>
  <c r="S55" i="30"/>
  <c r="H83" i="32"/>
  <c r="M130" i="37" s="1"/>
  <c r="G18" i="32"/>
  <c r="H29" i="32"/>
  <c r="H26" i="32" s="1"/>
  <c r="M95" i="37" s="1"/>
  <c r="N23" i="20"/>
  <c r="R77" i="34"/>
  <c r="G25" i="20"/>
  <c r="K73" i="37" s="1"/>
  <c r="I232" i="34"/>
  <c r="L215" i="34"/>
  <c r="N32" i="28"/>
  <c r="O196" i="34"/>
  <c r="O132" i="34"/>
  <c r="I67" i="32"/>
  <c r="L236" i="34"/>
  <c r="M173" i="34"/>
  <c r="G50" i="26"/>
  <c r="I41" i="37" s="1"/>
  <c r="I51" i="34"/>
  <c r="N24" i="20"/>
  <c r="Q62" i="34"/>
  <c r="N30" i="20"/>
  <c r="J17" i="20"/>
  <c r="K95" i="34"/>
  <c r="G21" i="20"/>
  <c r="K69" i="37" s="1"/>
  <c r="AM24" i="29"/>
  <c r="J68" i="32" s="1"/>
  <c r="Q121" i="37" s="1"/>
  <c r="AN8" i="29"/>
  <c r="AN24" i="29" s="1"/>
  <c r="AL24" i="29"/>
  <c r="N24" i="32"/>
  <c r="N28" i="32"/>
  <c r="I54" i="32"/>
  <c r="N32" i="32"/>
  <c r="O89" i="34"/>
  <c r="O111" i="34" s="1"/>
  <c r="O136" i="34" s="1"/>
  <c r="N16" i="32"/>
  <c r="I25" i="32"/>
  <c r="O62" i="34"/>
  <c r="L24" i="20"/>
  <c r="P77" i="34"/>
  <c r="L23" i="20"/>
  <c r="L30" i="20"/>
  <c r="D26" i="35"/>
  <c r="J24" i="22"/>
  <c r="B31" i="30"/>
  <c r="O121" i="34"/>
  <c r="I23" i="33"/>
  <c r="I24" i="33" s="1"/>
  <c r="I19" i="33"/>
  <c r="I20" i="33" s="1"/>
  <c r="J3" i="33"/>
  <c r="N64" i="34"/>
  <c r="L16" i="20"/>
  <c r="P64" i="37" s="1"/>
  <c r="I16" i="20"/>
  <c r="M64" i="37" s="1"/>
  <c r="Q93" i="34"/>
  <c r="I61" i="26"/>
  <c r="O91" i="34"/>
  <c r="J17" i="32"/>
  <c r="J14" i="32" s="1"/>
  <c r="Q91" i="37" s="1"/>
  <c r="I13" i="33" l="1"/>
  <c r="I26" i="33" s="1"/>
  <c r="I17" i="33"/>
  <c r="I18" i="33" s="1"/>
  <c r="L29" i="33" s="1"/>
  <c r="G17" i="33"/>
  <c r="G18" i="33" s="1"/>
  <c r="J29" i="33" s="1"/>
  <c r="Q39" i="33"/>
  <c r="Q40" i="33"/>
  <c r="V10" i="22"/>
  <c r="V11" i="22" s="1"/>
  <c r="P10" i="22"/>
  <c r="P11" i="22" s="1"/>
  <c r="U10" i="22"/>
  <c r="U11" i="22" s="1"/>
  <c r="O10" i="22"/>
  <c r="O11" i="22" s="1"/>
  <c r="S10" i="22"/>
  <c r="S11" i="22" s="1"/>
  <c r="R10" i="22"/>
  <c r="R11" i="22" s="1"/>
  <c r="N10" i="22"/>
  <c r="N11" i="22" s="1"/>
  <c r="W10" i="22"/>
  <c r="W11" i="22" s="1"/>
  <c r="Q10" i="22"/>
  <c r="Q11" i="22" s="1"/>
  <c r="X10" i="22"/>
  <c r="X11" i="22" s="1"/>
  <c r="T10" i="22"/>
  <c r="T11" i="22" s="1"/>
  <c r="T2" i="22"/>
  <c r="J2" i="33"/>
  <c r="J25" i="33" s="1"/>
  <c r="BL42" i="30"/>
  <c r="N22" i="30"/>
  <c r="N48" i="30" s="1"/>
  <c r="O10" i="30"/>
  <c r="M10" i="22"/>
  <c r="M11" i="22" s="1"/>
  <c r="K50" i="26"/>
  <c r="D66" i="26"/>
  <c r="O65" i="34"/>
  <c r="L17" i="20"/>
  <c r="K31" i="1"/>
  <c r="T41" i="36"/>
  <c r="H56" i="33"/>
  <c r="M65" i="33" s="1"/>
  <c r="L64" i="33"/>
  <c r="L67" i="34"/>
  <c r="L67" i="37"/>
  <c r="O123" i="37"/>
  <c r="O123" i="34"/>
  <c r="Y55" i="22"/>
  <c r="I21" i="33"/>
  <c r="G56" i="33"/>
  <c r="L65" i="33" s="1"/>
  <c r="K64" i="33"/>
  <c r="J65" i="33"/>
  <c r="F56" i="33"/>
  <c r="K65" i="33" s="1"/>
  <c r="J41" i="34"/>
  <c r="J41" i="37"/>
  <c r="G21" i="33"/>
  <c r="K30" i="33" s="1"/>
  <c r="S18" i="30"/>
  <c r="D21" i="33"/>
  <c r="H30" i="33" s="1"/>
  <c r="F21" i="33"/>
  <c r="J30" i="33" s="1"/>
  <c r="E21" i="33"/>
  <c r="I30" i="33" s="1"/>
  <c r="C48" i="33"/>
  <c r="C21" i="33"/>
  <c r="C22" i="33" s="1"/>
  <c r="H31" i="33" s="1"/>
  <c r="H21" i="33"/>
  <c r="L30" i="33" s="1"/>
  <c r="Q175" i="37"/>
  <c r="Q175" i="34"/>
  <c r="J40" i="32"/>
  <c r="O100" i="37"/>
  <c r="O100" i="34"/>
  <c r="L63" i="34"/>
  <c r="H20" i="20"/>
  <c r="L68" i="37" s="1"/>
  <c r="Y25" i="22"/>
  <c r="Q123" i="34"/>
  <c r="Q123" i="37"/>
  <c r="K68" i="34"/>
  <c r="Q18" i="36"/>
  <c r="O63" i="34"/>
  <c r="H60" i="36"/>
  <c r="H28" i="36" s="1"/>
  <c r="S9" i="22"/>
  <c r="W9" i="22"/>
  <c r="Q9" i="22"/>
  <c r="R9" i="22"/>
  <c r="O9" i="22"/>
  <c r="U9" i="22"/>
  <c r="N9" i="22"/>
  <c r="K51" i="34"/>
  <c r="K51" i="37"/>
  <c r="G13" i="32"/>
  <c r="K90" i="37" s="1"/>
  <c r="K92" i="37"/>
  <c r="M186" i="37"/>
  <c r="J39" i="32"/>
  <c r="Q99" i="37" s="1"/>
  <c r="Q174" i="34"/>
  <c r="M99" i="37"/>
  <c r="P71" i="34"/>
  <c r="P71" i="37"/>
  <c r="Q104" i="34"/>
  <c r="Q104" i="37"/>
  <c r="R71" i="34"/>
  <c r="R71" i="37"/>
  <c r="R72" i="34"/>
  <c r="R72" i="37"/>
  <c r="Q80" i="34"/>
  <c r="Q80" i="37"/>
  <c r="M128" i="34"/>
  <c r="M128" i="37"/>
  <c r="I41" i="32"/>
  <c r="O104" i="37"/>
  <c r="P72" i="34"/>
  <c r="P72" i="37"/>
  <c r="O80" i="34"/>
  <c r="O80" i="37"/>
  <c r="K161" i="34"/>
  <c r="K161" i="37"/>
  <c r="K125" i="34"/>
  <c r="K125" i="37"/>
  <c r="N65" i="34"/>
  <c r="N65" i="37"/>
  <c r="S108" i="36"/>
  <c r="T107" i="36" s="1"/>
  <c r="O120" i="37"/>
  <c r="R196" i="34"/>
  <c r="R196" i="37"/>
  <c r="N48" i="28"/>
  <c r="O232" i="37" s="1"/>
  <c r="O215" i="37"/>
  <c r="R108" i="36"/>
  <c r="S107" i="36" s="1"/>
  <c r="M120" i="37"/>
  <c r="U96" i="30"/>
  <c r="L232" i="37"/>
  <c r="Y38" i="22"/>
  <c r="Y37" i="22"/>
  <c r="P9" i="22"/>
  <c r="X9" i="22"/>
  <c r="T9" i="22"/>
  <c r="M7" i="22"/>
  <c r="Q44" i="36"/>
  <c r="C51" i="35" s="1"/>
  <c r="R40" i="33"/>
  <c r="R42" i="33" s="1"/>
  <c r="H80" i="30" s="1"/>
  <c r="I15" i="33"/>
  <c r="I16" i="33" s="1"/>
  <c r="M64" i="33"/>
  <c r="K62" i="33"/>
  <c r="G64" i="33"/>
  <c r="K68" i="30"/>
  <c r="F63" i="33"/>
  <c r="J68" i="30"/>
  <c r="H65" i="33"/>
  <c r="L68" i="30"/>
  <c r="I60" i="33"/>
  <c r="I48" i="33"/>
  <c r="J61" i="33" s="1"/>
  <c r="F60" i="33"/>
  <c r="F48" i="33"/>
  <c r="G61" i="33" s="1"/>
  <c r="H60" i="33"/>
  <c r="H48" i="33"/>
  <c r="I61" i="33" s="1"/>
  <c r="G60" i="33"/>
  <c r="G48" i="33"/>
  <c r="H61" i="33" s="1"/>
  <c r="E60" i="33"/>
  <c r="E48" i="33"/>
  <c r="F61" i="33" s="1"/>
  <c r="D60" i="33"/>
  <c r="D48" i="33"/>
  <c r="E61" i="33" s="1"/>
  <c r="C44" i="33"/>
  <c r="C45" i="33" s="1"/>
  <c r="D45" i="33"/>
  <c r="J53" i="33"/>
  <c r="J54" i="33" s="1"/>
  <c r="L63" i="33"/>
  <c r="E45" i="33"/>
  <c r="T105" i="30"/>
  <c r="M120" i="34"/>
  <c r="K11" i="1"/>
  <c r="K26" i="30"/>
  <c r="U82" i="30"/>
  <c r="Y34" i="22"/>
  <c r="R114" i="36"/>
  <c r="M17" i="20"/>
  <c r="E13" i="33"/>
  <c r="E26" i="33" s="1"/>
  <c r="E15" i="33"/>
  <c r="E16" i="33" s="1"/>
  <c r="G28" i="33" s="1"/>
  <c r="C13" i="33"/>
  <c r="C14" i="33" s="1"/>
  <c r="C15" i="33"/>
  <c r="C16" i="33" s="1"/>
  <c r="F13" i="33"/>
  <c r="F26" i="33" s="1"/>
  <c r="F15" i="33"/>
  <c r="F16" i="33" s="1"/>
  <c r="H28" i="33" s="1"/>
  <c r="H13" i="33"/>
  <c r="H26" i="33" s="1"/>
  <c r="H15" i="33"/>
  <c r="H16" i="33" s="1"/>
  <c r="J28" i="33" s="1"/>
  <c r="G13" i="33"/>
  <c r="G26" i="33" s="1"/>
  <c r="G15" i="33"/>
  <c r="G16" i="33" s="1"/>
  <c r="D13" i="33"/>
  <c r="D26" i="33" s="1"/>
  <c r="D15" i="33"/>
  <c r="D16" i="33" s="1"/>
  <c r="F28" i="33" s="1"/>
  <c r="S23" i="30"/>
  <c r="T23" i="30" s="1"/>
  <c r="I30" i="32"/>
  <c r="Y5" i="22"/>
  <c r="Y6" i="22"/>
  <c r="S114" i="36"/>
  <c r="M130" i="34"/>
  <c r="H37" i="36"/>
  <c r="J41" i="32"/>
  <c r="H74" i="32"/>
  <c r="M125" i="37" s="1"/>
  <c r="M26" i="30"/>
  <c r="S14" i="22" s="1"/>
  <c r="S15" i="22" s="1"/>
  <c r="L26" i="30"/>
  <c r="R14" i="22" s="1"/>
  <c r="R15" i="22" s="1"/>
  <c r="J26" i="30"/>
  <c r="P14" i="22" s="1"/>
  <c r="P15" i="22" s="1"/>
  <c r="G26" i="30"/>
  <c r="J40" i="30"/>
  <c r="O40" i="30"/>
  <c r="G40" i="30"/>
  <c r="P40" i="30"/>
  <c r="R40" i="30"/>
  <c r="H40" i="30"/>
  <c r="K40" i="30"/>
  <c r="Q40" i="30"/>
  <c r="I40" i="30"/>
  <c r="L40" i="30"/>
  <c r="M40" i="30"/>
  <c r="N40" i="30"/>
  <c r="K92" i="34"/>
  <c r="O99" i="34"/>
  <c r="M95" i="34"/>
  <c r="I21" i="20"/>
  <c r="I19" i="20"/>
  <c r="M99" i="34"/>
  <c r="H25" i="20"/>
  <c r="Q32" i="28"/>
  <c r="R215" i="37" s="1"/>
  <c r="K73" i="34"/>
  <c r="O215" i="34"/>
  <c r="I25" i="20"/>
  <c r="M73" i="37" s="1"/>
  <c r="L232" i="34"/>
  <c r="Q132" i="34"/>
  <c r="O104" i="34"/>
  <c r="N236" i="34"/>
  <c r="O173" i="34"/>
  <c r="H18" i="32"/>
  <c r="I29" i="32"/>
  <c r="K69" i="34"/>
  <c r="H21" i="20"/>
  <c r="G22" i="20"/>
  <c r="I22" i="32"/>
  <c r="E26" i="35"/>
  <c r="J12" i="30"/>
  <c r="F29" i="33"/>
  <c r="Q91" i="34"/>
  <c r="P64" i="34"/>
  <c r="N16" i="20"/>
  <c r="R64" i="37" s="1"/>
  <c r="K16" i="20"/>
  <c r="O64" i="37" s="1"/>
  <c r="O120" i="34"/>
  <c r="J23" i="33"/>
  <c r="J21" i="33"/>
  <c r="J22" i="33" s="1"/>
  <c r="J19" i="33"/>
  <c r="J20" i="33" s="1"/>
  <c r="J17" i="33"/>
  <c r="J18" i="33" s="1"/>
  <c r="J15" i="33"/>
  <c r="J16" i="33" s="1"/>
  <c r="J13" i="33"/>
  <c r="J26" i="33" s="1"/>
  <c r="K3" i="33"/>
  <c r="J24" i="33"/>
  <c r="L12" i="30"/>
  <c r="I41" i="34"/>
  <c r="K12" i="30"/>
  <c r="M64" i="34"/>
  <c r="I14" i="33" l="1"/>
  <c r="Q42" i="33"/>
  <c r="G80" i="30" s="1"/>
  <c r="K28" i="33"/>
  <c r="I28" i="33"/>
  <c r="Y11" i="22"/>
  <c r="Q14" i="22"/>
  <c r="Q15" i="22" s="1"/>
  <c r="Q26" i="22" s="1"/>
  <c r="Q27" i="22" s="1"/>
  <c r="M31" i="30" s="1"/>
  <c r="BM42" i="30"/>
  <c r="K2" i="33"/>
  <c r="K25" i="33" s="1"/>
  <c r="P10" i="30"/>
  <c r="O22" i="30"/>
  <c r="O48" i="30" s="1"/>
  <c r="U2" i="22"/>
  <c r="Y10" i="22"/>
  <c r="P65" i="34"/>
  <c r="P65" i="37"/>
  <c r="I22" i="33"/>
  <c r="N31" i="33" s="1"/>
  <c r="M30" i="33"/>
  <c r="G30" i="33"/>
  <c r="F22" i="33"/>
  <c r="K31" i="33" s="1"/>
  <c r="G22" i="33"/>
  <c r="L31" i="33" s="1"/>
  <c r="K90" i="34"/>
  <c r="H22" i="33"/>
  <c r="M31" i="33" s="1"/>
  <c r="E22" i="33"/>
  <c r="J31" i="33" s="1"/>
  <c r="D22" i="33"/>
  <c r="I31" i="33" s="1"/>
  <c r="O96" i="34"/>
  <c r="O96" i="37"/>
  <c r="J25" i="32"/>
  <c r="J22" i="32" s="1"/>
  <c r="Q94" i="37" s="1"/>
  <c r="O94" i="37"/>
  <c r="Q100" i="37"/>
  <c r="Q100" i="34"/>
  <c r="Q19" i="36"/>
  <c r="C27" i="35" s="1"/>
  <c r="L68" i="34"/>
  <c r="L15" i="20"/>
  <c r="P63" i="37" s="1"/>
  <c r="M187" i="34"/>
  <c r="M187" i="37"/>
  <c r="O63" i="37"/>
  <c r="N15" i="20"/>
  <c r="R63" i="34" s="1"/>
  <c r="J15" i="20"/>
  <c r="N63" i="34" s="1"/>
  <c r="U79" i="30"/>
  <c r="Q99" i="34"/>
  <c r="M69" i="34"/>
  <c r="M69" i="37"/>
  <c r="H13" i="32"/>
  <c r="M92" i="37"/>
  <c r="L69" i="34"/>
  <c r="L69" i="37"/>
  <c r="Q101" i="34"/>
  <c r="Q101" i="37"/>
  <c r="O101" i="34"/>
  <c r="O101" i="37"/>
  <c r="I20" i="20"/>
  <c r="M68" i="37" s="1"/>
  <c r="M67" i="37"/>
  <c r="M148" i="34"/>
  <c r="M148" i="37"/>
  <c r="M63" i="37"/>
  <c r="M63" i="34"/>
  <c r="M157" i="34"/>
  <c r="M157" i="37"/>
  <c r="R109" i="36"/>
  <c r="Q20" i="36"/>
  <c r="K70" i="37"/>
  <c r="Q65" i="34"/>
  <c r="Q65" i="37"/>
  <c r="K96" i="30"/>
  <c r="G96" i="30"/>
  <c r="L96" i="30"/>
  <c r="Q96" i="30"/>
  <c r="R96" i="30"/>
  <c r="O96" i="30"/>
  <c r="J96" i="30"/>
  <c r="N96" i="30"/>
  <c r="H96" i="30"/>
  <c r="I96" i="30"/>
  <c r="M96" i="30"/>
  <c r="P96" i="30"/>
  <c r="L73" i="34"/>
  <c r="L73" i="37"/>
  <c r="M39" i="22"/>
  <c r="J27" i="33"/>
  <c r="Y7" i="22"/>
  <c r="M8" i="22"/>
  <c r="S80" i="30"/>
  <c r="C60" i="33"/>
  <c r="C67" i="33" s="1"/>
  <c r="G73" i="30" s="1"/>
  <c r="G68" i="30"/>
  <c r="E62" i="33"/>
  <c r="E67" i="33" s="1"/>
  <c r="I73" i="30" s="1"/>
  <c r="I76" i="30" s="1"/>
  <c r="I68" i="30"/>
  <c r="D61" i="33"/>
  <c r="D67" i="33" s="1"/>
  <c r="H73" i="30" s="1"/>
  <c r="H76" i="30" s="1"/>
  <c r="H68" i="30"/>
  <c r="L62" i="33"/>
  <c r="N64" i="33"/>
  <c r="F67" i="33"/>
  <c r="J73" i="30" s="1"/>
  <c r="J76" i="30" s="1"/>
  <c r="K53" i="33"/>
  <c r="K54" i="33" s="1"/>
  <c r="G67" i="33"/>
  <c r="K73" i="30" s="1"/>
  <c r="K76" i="30" s="1"/>
  <c r="J60" i="33"/>
  <c r="J67" i="33" s="1"/>
  <c r="N73" i="30" s="1"/>
  <c r="N76" i="30" s="1"/>
  <c r="J48" i="33"/>
  <c r="K61" i="33" s="1"/>
  <c r="M63" i="33"/>
  <c r="H67" i="33"/>
  <c r="L73" i="30" s="1"/>
  <c r="L76" i="30" s="1"/>
  <c r="I67" i="33"/>
  <c r="M73" i="30" s="1"/>
  <c r="M76" i="30" s="1"/>
  <c r="H14" i="33"/>
  <c r="I27" i="33" s="1"/>
  <c r="N17" i="20"/>
  <c r="H26" i="30"/>
  <c r="N26" i="30"/>
  <c r="P26" i="30"/>
  <c r="O26" i="30"/>
  <c r="Q26" i="30"/>
  <c r="I26" i="30"/>
  <c r="R26" i="30"/>
  <c r="O82" i="30"/>
  <c r="U44" i="22" s="1"/>
  <c r="I82" i="30"/>
  <c r="O44" i="22" s="1"/>
  <c r="J82" i="30"/>
  <c r="P44" i="22" s="1"/>
  <c r="P82" i="30"/>
  <c r="V44" i="22" s="1"/>
  <c r="G82" i="30"/>
  <c r="M44" i="22" s="1"/>
  <c r="R82" i="30"/>
  <c r="X44" i="22" s="1"/>
  <c r="L82" i="30"/>
  <c r="R44" i="22" s="1"/>
  <c r="M82" i="30"/>
  <c r="S44" i="22" s="1"/>
  <c r="N82" i="30"/>
  <c r="T44" i="22" s="1"/>
  <c r="H82" i="30"/>
  <c r="N44" i="22" s="1"/>
  <c r="K82" i="30"/>
  <c r="Q44" i="22" s="1"/>
  <c r="Q82" i="30"/>
  <c r="W44" i="22" s="1"/>
  <c r="G14" i="33"/>
  <c r="H27" i="33" s="1"/>
  <c r="H33" i="33" s="1"/>
  <c r="E14" i="33"/>
  <c r="F27" i="33" s="1"/>
  <c r="F33" i="33" s="1"/>
  <c r="D14" i="33"/>
  <c r="E27" i="33" s="1"/>
  <c r="F14" i="33"/>
  <c r="G27" i="33" s="1"/>
  <c r="M29" i="33"/>
  <c r="J33" i="32"/>
  <c r="J21" i="20"/>
  <c r="S109" i="36"/>
  <c r="M125" i="34"/>
  <c r="R44" i="36"/>
  <c r="D51" i="35" s="1"/>
  <c r="S40" i="30"/>
  <c r="T40" i="30" s="1"/>
  <c r="P26" i="22"/>
  <c r="P27" i="22" s="1"/>
  <c r="L31" i="30" s="1"/>
  <c r="R26" i="22"/>
  <c r="R27" i="22" s="1"/>
  <c r="N31" i="30" s="1"/>
  <c r="M14" i="22"/>
  <c r="K19" i="20"/>
  <c r="S26" i="22"/>
  <c r="S27" i="22" s="1"/>
  <c r="O31" i="30" s="1"/>
  <c r="R215" i="34"/>
  <c r="Q48" i="28"/>
  <c r="M19" i="20"/>
  <c r="J19" i="20"/>
  <c r="M67" i="34"/>
  <c r="H22" i="20"/>
  <c r="L70" i="37" s="1"/>
  <c r="I26" i="32"/>
  <c r="M73" i="34"/>
  <c r="J25" i="20"/>
  <c r="K25" i="20"/>
  <c r="O73" i="37" s="1"/>
  <c r="O232" i="34"/>
  <c r="N30" i="33"/>
  <c r="K21" i="20"/>
  <c r="M92" i="34"/>
  <c r="G26" i="20"/>
  <c r="K74" i="37" s="1"/>
  <c r="K70" i="34"/>
  <c r="O94" i="34"/>
  <c r="L28" i="33"/>
  <c r="J14" i="33"/>
  <c r="K27" i="33" s="1"/>
  <c r="R64" i="34"/>
  <c r="M16" i="20"/>
  <c r="Q64" i="37" s="1"/>
  <c r="L3" i="33"/>
  <c r="K23" i="33"/>
  <c r="K24" i="33" s="1"/>
  <c r="K21" i="33"/>
  <c r="K22" i="33" s="1"/>
  <c r="K19" i="33"/>
  <c r="K20" i="33" s="1"/>
  <c r="K17" i="33"/>
  <c r="K18" i="33" s="1"/>
  <c r="K15" i="33"/>
  <c r="K16" i="33" s="1"/>
  <c r="K13" i="33"/>
  <c r="K26" i="33" s="1"/>
  <c r="I12" i="30"/>
  <c r="E28" i="33"/>
  <c r="O64" i="34"/>
  <c r="G12" i="30"/>
  <c r="H12" i="30"/>
  <c r="Q121" i="34"/>
  <c r="J67" i="32"/>
  <c r="V2" i="22" l="1"/>
  <c r="BN42" i="30"/>
  <c r="P22" i="30"/>
  <c r="P48" i="30" s="1"/>
  <c r="L2" i="33"/>
  <c r="L25" i="33" s="1"/>
  <c r="Q10" i="30"/>
  <c r="N14" i="22"/>
  <c r="N15" i="22" s="1"/>
  <c r="N26" i="22" s="1"/>
  <c r="N27" i="22" s="1"/>
  <c r="J31" i="30" s="1"/>
  <c r="T14" i="22"/>
  <c r="T15" i="22" s="1"/>
  <c r="T26" i="22" s="1"/>
  <c r="T27" i="22" s="1"/>
  <c r="P31" i="30" s="1"/>
  <c r="V14" i="22"/>
  <c r="V15" i="22" s="1"/>
  <c r="V26" i="22" s="1"/>
  <c r="V27" i="22" s="1"/>
  <c r="R31" i="30" s="1"/>
  <c r="U14" i="22"/>
  <c r="U15" i="22" s="1"/>
  <c r="U26" i="22" s="1"/>
  <c r="U27" i="22" s="1"/>
  <c r="Q31" i="30" s="1"/>
  <c r="W14" i="22"/>
  <c r="W15" i="22" s="1"/>
  <c r="W26" i="22" s="1"/>
  <c r="W27" i="22" s="1"/>
  <c r="G87" i="30" s="1"/>
  <c r="O14" i="22"/>
  <c r="X14" i="22"/>
  <c r="X15" i="22" s="1"/>
  <c r="X26" i="22" s="1"/>
  <c r="X27" i="22" s="1"/>
  <c r="H87" i="30" s="1"/>
  <c r="G33" i="33"/>
  <c r="K17" i="30" s="1"/>
  <c r="K20" i="30" s="1"/>
  <c r="J33" i="33"/>
  <c r="N17" i="30" s="1"/>
  <c r="N20" i="30" s="1"/>
  <c r="I33" i="33"/>
  <c r="M17" i="30" s="1"/>
  <c r="M20" i="30" s="1"/>
  <c r="Y39" i="22"/>
  <c r="J17" i="30"/>
  <c r="J20" i="30" s="1"/>
  <c r="L17" i="30"/>
  <c r="L20" i="30" s="1"/>
  <c r="P63" i="34"/>
  <c r="R63" i="37"/>
  <c r="Q63" i="37"/>
  <c r="Q63" i="34"/>
  <c r="N63" i="37"/>
  <c r="O69" i="34"/>
  <c r="O69" i="37"/>
  <c r="M90" i="34"/>
  <c r="M90" i="37"/>
  <c r="O95" i="34"/>
  <c r="O95" i="37"/>
  <c r="J20" i="20"/>
  <c r="R19" i="36" s="1"/>
  <c r="D27" i="35" s="1"/>
  <c r="I22" i="20"/>
  <c r="M70" i="37" s="1"/>
  <c r="M68" i="34"/>
  <c r="N67" i="34"/>
  <c r="N67" i="37"/>
  <c r="N69" i="34"/>
  <c r="N69" i="37"/>
  <c r="H79" i="30"/>
  <c r="N40" i="22" s="1"/>
  <c r="N41" i="22" s="1"/>
  <c r="R79" i="30"/>
  <c r="X40" i="22" s="1"/>
  <c r="X41" i="22" s="1"/>
  <c r="P79" i="30"/>
  <c r="V40" i="22" s="1"/>
  <c r="V41" i="22" s="1"/>
  <c r="K79" i="30"/>
  <c r="Q40" i="22" s="1"/>
  <c r="Q41" i="22" s="1"/>
  <c r="M79" i="30"/>
  <c r="S40" i="22" s="1"/>
  <c r="S41" i="22" s="1"/>
  <c r="Q79" i="30"/>
  <c r="W40" i="22" s="1"/>
  <c r="W41" i="22" s="1"/>
  <c r="J79" i="30"/>
  <c r="P40" i="22" s="1"/>
  <c r="P41" i="22" s="1"/>
  <c r="G79" i="30"/>
  <c r="N79" i="30"/>
  <c r="T40" i="22" s="1"/>
  <c r="T41" i="22" s="1"/>
  <c r="O79" i="30"/>
  <c r="U40" i="22" s="1"/>
  <c r="U41" i="22" s="1"/>
  <c r="I79" i="30"/>
  <c r="O40" i="22" s="1"/>
  <c r="O41" i="22" s="1"/>
  <c r="L79" i="30"/>
  <c r="R40" i="22" s="1"/>
  <c r="R41" i="22" s="1"/>
  <c r="R18" i="36"/>
  <c r="O67" i="34"/>
  <c r="O67" i="37"/>
  <c r="N19" i="20"/>
  <c r="Q67" i="37"/>
  <c r="N73" i="34"/>
  <c r="N73" i="37"/>
  <c r="S96" i="30"/>
  <c r="T96" i="30" s="1"/>
  <c r="R65" i="34"/>
  <c r="R65" i="37"/>
  <c r="M25" i="20"/>
  <c r="Q73" i="37" s="1"/>
  <c r="R232" i="37"/>
  <c r="T108" i="36"/>
  <c r="T109" i="36" s="1"/>
  <c r="Q120" i="37"/>
  <c r="Y8" i="22"/>
  <c r="M9" i="22"/>
  <c r="Y9" i="22" s="1"/>
  <c r="G76" i="30"/>
  <c r="N63" i="33"/>
  <c r="S68" i="30"/>
  <c r="L53" i="33"/>
  <c r="L54" i="33" s="1"/>
  <c r="K60" i="33"/>
  <c r="K67" i="33" s="1"/>
  <c r="O73" i="30" s="1"/>
  <c r="O76" i="30" s="1"/>
  <c r="K48" i="33"/>
  <c r="L61" i="33" s="1"/>
  <c r="M62" i="33"/>
  <c r="E33" i="33"/>
  <c r="I17" i="30" s="1"/>
  <c r="I20" i="30" s="1"/>
  <c r="S26" i="30"/>
  <c r="T26" i="30" s="1"/>
  <c r="S82" i="30"/>
  <c r="T82" i="30" s="1"/>
  <c r="C26" i="33"/>
  <c r="C33" i="33" s="1"/>
  <c r="G17" i="30" s="1"/>
  <c r="J30" i="32"/>
  <c r="Q96" i="37" s="1"/>
  <c r="M15" i="22"/>
  <c r="M26" i="22" s="1"/>
  <c r="Q21" i="36"/>
  <c r="C30" i="35" s="1"/>
  <c r="T114" i="36"/>
  <c r="L19" i="20"/>
  <c r="H26" i="20"/>
  <c r="Q67" i="34"/>
  <c r="I18" i="32"/>
  <c r="O92" i="37" s="1"/>
  <c r="L70" i="34"/>
  <c r="R232" i="34"/>
  <c r="J29" i="32"/>
  <c r="O73" i="34"/>
  <c r="L25" i="20"/>
  <c r="L21" i="20"/>
  <c r="P69" i="37" s="1"/>
  <c r="G27" i="20"/>
  <c r="K74" i="34"/>
  <c r="M28" i="33"/>
  <c r="D27" i="33"/>
  <c r="D33" i="33" s="1"/>
  <c r="H17" i="30" s="1"/>
  <c r="H20" i="30" s="1"/>
  <c r="K33" i="33"/>
  <c r="N29" i="33"/>
  <c r="M3" i="33"/>
  <c r="L21" i="33"/>
  <c r="L22" i="33" s="1"/>
  <c r="L15" i="33"/>
  <c r="L16" i="33" s="1"/>
  <c r="L19" i="33"/>
  <c r="L20" i="33" s="1"/>
  <c r="L13" i="33"/>
  <c r="L26" i="33" s="1"/>
  <c r="L23" i="33"/>
  <c r="L24" i="33" s="1"/>
  <c r="L17" i="33"/>
  <c r="L18" i="33" s="1"/>
  <c r="Q94" i="34"/>
  <c r="Q120" i="34"/>
  <c r="K14" i="33"/>
  <c r="L27" i="33" s="1"/>
  <c r="Q64" i="34"/>
  <c r="S12" i="30"/>
  <c r="O15" i="22" l="1"/>
  <c r="Y14" i="22"/>
  <c r="W2" i="22"/>
  <c r="BO42" i="30"/>
  <c r="M2" i="33"/>
  <c r="M25" i="33" s="1"/>
  <c r="Q22" i="30"/>
  <c r="Q48" i="30" s="1"/>
  <c r="R10" i="30"/>
  <c r="O17" i="30"/>
  <c r="G20" i="30"/>
  <c r="N68" i="37"/>
  <c r="J22" i="20"/>
  <c r="N70" i="37" s="1"/>
  <c r="I26" i="20"/>
  <c r="M74" i="37" s="1"/>
  <c r="M70" i="34"/>
  <c r="R20" i="36"/>
  <c r="N68" i="34"/>
  <c r="N25" i="20"/>
  <c r="R73" i="34" s="1"/>
  <c r="R67" i="34"/>
  <c r="R67" i="37"/>
  <c r="M40" i="22"/>
  <c r="S79" i="30"/>
  <c r="T79" i="30" s="1"/>
  <c r="P67" i="34"/>
  <c r="P67" i="37"/>
  <c r="U41" i="30"/>
  <c r="K75" i="37"/>
  <c r="Q73" i="34"/>
  <c r="L74" i="34"/>
  <c r="L74" i="37"/>
  <c r="P73" i="34"/>
  <c r="P73" i="37"/>
  <c r="L60" i="33"/>
  <c r="L67" i="33" s="1"/>
  <c r="P73" i="30" s="1"/>
  <c r="P76" i="30" s="1"/>
  <c r="L48" i="33"/>
  <c r="M61" i="33" s="1"/>
  <c r="M53" i="33"/>
  <c r="M54" i="33" s="1"/>
  <c r="N62" i="33"/>
  <c r="Q96" i="34"/>
  <c r="K75" i="34"/>
  <c r="Q102" i="36"/>
  <c r="Q22" i="36"/>
  <c r="G15" i="36"/>
  <c r="P69" i="34"/>
  <c r="O92" i="34"/>
  <c r="I13" i="32"/>
  <c r="M21" i="20"/>
  <c r="J26" i="32"/>
  <c r="H27" i="20"/>
  <c r="G31" i="20"/>
  <c r="K78" i="37" s="1"/>
  <c r="L14" i="33"/>
  <c r="M27" i="33" s="1"/>
  <c r="N3" i="33"/>
  <c r="M23" i="33"/>
  <c r="M24" i="33" s="1"/>
  <c r="M21" i="33"/>
  <c r="M22" i="33" s="1"/>
  <c r="M19" i="33"/>
  <c r="M20" i="33" s="1"/>
  <c r="M17" i="33"/>
  <c r="M18" i="33" s="1"/>
  <c r="M15" i="33"/>
  <c r="M16" i="33" s="1"/>
  <c r="M13" i="33"/>
  <c r="M26" i="33" s="1"/>
  <c r="N28" i="33"/>
  <c r="L33" i="33"/>
  <c r="O26" i="22" l="1"/>
  <c r="Y15" i="22"/>
  <c r="G66" i="30"/>
  <c r="X2" i="22"/>
  <c r="N2" i="33"/>
  <c r="N25" i="33" s="1"/>
  <c r="BP42" i="30"/>
  <c r="R22" i="30"/>
  <c r="R48" i="30" s="1"/>
  <c r="P17" i="30"/>
  <c r="P20" i="30" s="1"/>
  <c r="O20" i="30"/>
  <c r="J26" i="20"/>
  <c r="N74" i="34" s="1"/>
  <c r="N70" i="34"/>
  <c r="R21" i="36"/>
  <c r="R22" i="36" s="1"/>
  <c r="M74" i="34"/>
  <c r="I27" i="20"/>
  <c r="M75" i="37" s="1"/>
  <c r="J18" i="32"/>
  <c r="J13" i="32" s="1"/>
  <c r="Q95" i="37"/>
  <c r="O90" i="34"/>
  <c r="O90" i="37"/>
  <c r="Q69" i="34"/>
  <c r="Q69" i="37"/>
  <c r="R73" i="37"/>
  <c r="M41" i="22"/>
  <c r="Y41" i="22" s="1"/>
  <c r="Y40" i="22"/>
  <c r="Q32" i="36"/>
  <c r="J243" i="37" s="1"/>
  <c r="J244" i="37" s="1"/>
  <c r="K138" i="37"/>
  <c r="L75" i="34"/>
  <c r="L75" i="37"/>
  <c r="M27" i="22"/>
  <c r="I31" i="30" s="1"/>
  <c r="N53" i="33"/>
  <c r="N54" i="33" s="1"/>
  <c r="M60" i="33"/>
  <c r="M67" i="33" s="1"/>
  <c r="Q73" i="30" s="1"/>
  <c r="Q76" i="30" s="1"/>
  <c r="M48" i="33"/>
  <c r="N61" i="33" s="1"/>
  <c r="N21" i="20"/>
  <c r="K138" i="34"/>
  <c r="Q31" i="36"/>
  <c r="G21" i="36"/>
  <c r="K144" i="37" s="1"/>
  <c r="K78" i="34"/>
  <c r="Q23" i="36"/>
  <c r="N41" i="30"/>
  <c r="N46" i="30" s="1"/>
  <c r="H31" i="20"/>
  <c r="Q95" i="34"/>
  <c r="G60" i="32"/>
  <c r="P41" i="30"/>
  <c r="P46" i="30" s="1"/>
  <c r="L41" i="30"/>
  <c r="L46" i="30" s="1"/>
  <c r="H41" i="30"/>
  <c r="H46" i="30" s="1"/>
  <c r="R41" i="30"/>
  <c r="R46" i="30" s="1"/>
  <c r="G41" i="30"/>
  <c r="G46" i="30" s="1"/>
  <c r="J41" i="30"/>
  <c r="J46" i="30" s="1"/>
  <c r="M41" i="30"/>
  <c r="M46" i="30" s="1"/>
  <c r="K41" i="30"/>
  <c r="O41" i="30"/>
  <c r="O46" i="30" s="1"/>
  <c r="I41" i="30"/>
  <c r="Q41" i="30"/>
  <c r="Q46" i="30" s="1"/>
  <c r="M33" i="33"/>
  <c r="M14" i="33"/>
  <c r="N27" i="33" s="1"/>
  <c r="N24" i="33"/>
  <c r="N20" i="33"/>
  <c r="N23" i="33"/>
  <c r="N21" i="33"/>
  <c r="N22" i="33" s="1"/>
  <c r="N19" i="33"/>
  <c r="N17" i="33"/>
  <c r="N18" i="33" s="1"/>
  <c r="N15" i="33"/>
  <c r="N16" i="33" s="1"/>
  <c r="N13" i="33"/>
  <c r="N26" i="33" s="1"/>
  <c r="O27" i="22" l="1"/>
  <c r="Y26" i="22"/>
  <c r="C36" i="33"/>
  <c r="Q36" i="33" s="1"/>
  <c r="BE104" i="30"/>
  <c r="H66" i="30"/>
  <c r="M32" i="22"/>
  <c r="G78" i="30"/>
  <c r="G104" i="30" s="1"/>
  <c r="C59" i="33"/>
  <c r="I46" i="30"/>
  <c r="J57" i="30"/>
  <c r="BH43" i="30" s="1"/>
  <c r="H57" i="30"/>
  <c r="BF43" i="30" s="1"/>
  <c r="M57" i="30"/>
  <c r="BK43" i="30" s="1"/>
  <c r="L57" i="30"/>
  <c r="BJ43" i="30" s="1"/>
  <c r="N57" i="30"/>
  <c r="Q17" i="30"/>
  <c r="J27" i="20"/>
  <c r="N75" i="34" s="1"/>
  <c r="N74" i="37"/>
  <c r="D30" i="35"/>
  <c r="M75" i="34"/>
  <c r="U97" i="30"/>
  <c r="N97" i="30" s="1"/>
  <c r="I31" i="20"/>
  <c r="M78" i="37" s="1"/>
  <c r="R102" i="36"/>
  <c r="H15" i="36"/>
  <c r="Q90" i="34"/>
  <c r="Q90" i="37"/>
  <c r="Q92" i="34"/>
  <c r="Q92" i="37"/>
  <c r="R69" i="34"/>
  <c r="R69" i="37"/>
  <c r="Q33" i="36"/>
  <c r="H58" i="32"/>
  <c r="K116" i="37"/>
  <c r="J242" i="34"/>
  <c r="J242" i="37"/>
  <c r="Q24" i="36"/>
  <c r="C28" i="35" s="1"/>
  <c r="L78" i="37"/>
  <c r="J243" i="34"/>
  <c r="N60" i="33"/>
  <c r="N67" i="33" s="1"/>
  <c r="R73" i="30" s="1"/>
  <c r="R76" i="30" s="1"/>
  <c r="S76" i="30" s="1"/>
  <c r="N48" i="33"/>
  <c r="S45" i="22"/>
  <c r="R45" i="22"/>
  <c r="Q45" i="22"/>
  <c r="P45" i="22"/>
  <c r="N45" i="22"/>
  <c r="O45" i="22"/>
  <c r="G42" i="36"/>
  <c r="K144" i="34"/>
  <c r="S41" i="30"/>
  <c r="T41" i="30" s="1"/>
  <c r="L78" i="34"/>
  <c r="G56" i="32"/>
  <c r="K112" i="37" s="1"/>
  <c r="K116" i="34"/>
  <c r="N14" i="33"/>
  <c r="N33" i="33"/>
  <c r="R17" i="30" s="1"/>
  <c r="K31" i="30" l="1"/>
  <c r="S31" i="30" s="1"/>
  <c r="Y27" i="22"/>
  <c r="BF104" i="30"/>
  <c r="I66" i="30"/>
  <c r="H78" i="30"/>
  <c r="H104" i="30" s="1"/>
  <c r="N32" i="22"/>
  <c r="D36" i="33"/>
  <c r="I57" i="30"/>
  <c r="BG43" i="30" s="1"/>
  <c r="O57" i="30"/>
  <c r="BM43" i="30" s="1"/>
  <c r="M138" i="37"/>
  <c r="R32" i="36"/>
  <c r="R33" i="36" s="1"/>
  <c r="S17" i="30"/>
  <c r="Q20" i="30"/>
  <c r="N75" i="37"/>
  <c r="J31" i="20"/>
  <c r="R24" i="36" s="1"/>
  <c r="D28" i="35" s="1"/>
  <c r="Q97" i="30"/>
  <c r="R97" i="30"/>
  <c r="M78" i="34"/>
  <c r="H60" i="32"/>
  <c r="M116" i="34" s="1"/>
  <c r="P97" i="30"/>
  <c r="H97" i="30"/>
  <c r="K97" i="30"/>
  <c r="L97" i="30"/>
  <c r="M97" i="30"/>
  <c r="J97" i="30"/>
  <c r="O97" i="30"/>
  <c r="G97" i="30"/>
  <c r="I97" i="30"/>
  <c r="R23" i="36"/>
  <c r="R31" i="36"/>
  <c r="L242" i="37" s="1"/>
  <c r="H21" i="36"/>
  <c r="M144" i="37" s="1"/>
  <c r="M138" i="34"/>
  <c r="J244" i="34"/>
  <c r="G43" i="36"/>
  <c r="K162" i="37"/>
  <c r="M114" i="34"/>
  <c r="M114" i="37"/>
  <c r="S73" i="30"/>
  <c r="BL43" i="30"/>
  <c r="T45" i="22"/>
  <c r="U45" i="22"/>
  <c r="K162" i="34"/>
  <c r="Q104" i="36"/>
  <c r="Q105" i="36" s="1"/>
  <c r="G57" i="30"/>
  <c r="G98" i="32"/>
  <c r="G49" i="32" s="1"/>
  <c r="R20" i="30"/>
  <c r="K112" i="34"/>
  <c r="K46" i="30" l="1"/>
  <c r="E36" i="33"/>
  <c r="I78" i="30"/>
  <c r="I104" i="30" s="1"/>
  <c r="BG104" i="30"/>
  <c r="J66" i="30"/>
  <c r="O32" i="22"/>
  <c r="R36" i="33"/>
  <c r="D59" i="33"/>
  <c r="P57" i="30"/>
  <c r="BN43" i="30" s="1"/>
  <c r="L243" i="37"/>
  <c r="L244" i="37" s="1"/>
  <c r="L243" i="34"/>
  <c r="N78" i="34"/>
  <c r="N78" i="37"/>
  <c r="M116" i="37"/>
  <c r="S97" i="30"/>
  <c r="T97" i="30" s="1"/>
  <c r="L242" i="34"/>
  <c r="M144" i="34"/>
  <c r="K163" i="34"/>
  <c r="K163" i="37"/>
  <c r="L244" i="34"/>
  <c r="K108" i="37"/>
  <c r="K133" i="37"/>
  <c r="V45" i="22"/>
  <c r="BE43" i="30"/>
  <c r="Q110" i="36"/>
  <c r="Q16" i="36" s="1"/>
  <c r="Q25" i="36" s="1"/>
  <c r="Q43" i="36"/>
  <c r="Q35" i="36"/>
  <c r="J246" i="37" s="1"/>
  <c r="J247" i="37" s="1"/>
  <c r="R103" i="36"/>
  <c r="S20" i="30"/>
  <c r="C4" i="35"/>
  <c r="K133" i="34"/>
  <c r="S46" i="30" l="1"/>
  <c r="K57" i="30"/>
  <c r="BI43" i="30" s="1"/>
  <c r="S36" i="33"/>
  <c r="E59" i="33"/>
  <c r="BH104" i="30"/>
  <c r="J78" i="30"/>
  <c r="J104" i="30" s="1"/>
  <c r="K66" i="30"/>
  <c r="P32" i="22"/>
  <c r="F36" i="33"/>
  <c r="F59" i="33" s="1"/>
  <c r="Q57" i="30"/>
  <c r="BO43" i="30" s="1"/>
  <c r="W45" i="22"/>
  <c r="M45" i="22"/>
  <c r="Q29" i="36"/>
  <c r="J240" i="37" s="1"/>
  <c r="J241" i="37" s="1"/>
  <c r="Q27" i="36"/>
  <c r="J238" i="37" s="1"/>
  <c r="J239" i="37" s="1"/>
  <c r="G38" i="32"/>
  <c r="K98" i="37" s="1"/>
  <c r="Q36" i="36"/>
  <c r="J246" i="34"/>
  <c r="Q47" i="36"/>
  <c r="C50" i="35"/>
  <c r="Q115" i="36"/>
  <c r="Q37" i="36" s="1"/>
  <c r="J248" i="37" s="1"/>
  <c r="K108" i="34"/>
  <c r="BI104" i="30" l="1"/>
  <c r="Q32" i="22"/>
  <c r="G36" i="33"/>
  <c r="G59" i="33" s="1"/>
  <c r="K78" i="30"/>
  <c r="K104" i="30" s="1"/>
  <c r="L66" i="30"/>
  <c r="J247" i="34"/>
  <c r="R48" i="36"/>
  <c r="U108" i="30" s="1"/>
  <c r="C52" i="35"/>
  <c r="Q38" i="36"/>
  <c r="J249" i="37" s="1"/>
  <c r="J248" i="34"/>
  <c r="G51" i="32"/>
  <c r="G100" i="32" s="1"/>
  <c r="K98" i="34"/>
  <c r="R32" i="22" l="1"/>
  <c r="BJ104" i="30"/>
  <c r="M66" i="30"/>
  <c r="L78" i="30"/>
  <c r="L104" i="30" s="1"/>
  <c r="H36" i="33"/>
  <c r="H59" i="33" s="1"/>
  <c r="I108" i="30"/>
  <c r="G108" i="30"/>
  <c r="H108" i="30"/>
  <c r="K109" i="34"/>
  <c r="K109" i="37"/>
  <c r="J249" i="34"/>
  <c r="H39" i="36"/>
  <c r="M159" i="37" s="1"/>
  <c r="R57" i="30"/>
  <c r="R49" i="36"/>
  <c r="Q28" i="36"/>
  <c r="J238" i="34"/>
  <c r="Q30" i="36"/>
  <c r="J240" i="34"/>
  <c r="N66" i="30" l="1"/>
  <c r="BK104" i="30"/>
  <c r="M78" i="30"/>
  <c r="M104" i="30" s="1"/>
  <c r="S32" i="22"/>
  <c r="I36" i="33"/>
  <c r="I59" i="33" s="1"/>
  <c r="J239" i="34"/>
  <c r="J241" i="34"/>
  <c r="G111" i="30"/>
  <c r="X45" i="22"/>
  <c r="Y45" i="22" s="1"/>
  <c r="Y44" i="22"/>
  <c r="BP43" i="30"/>
  <c r="BQ43" i="30" s="1"/>
  <c r="S57" i="30"/>
  <c r="M159" i="34"/>
  <c r="H41" i="36"/>
  <c r="M161" i="37" s="1"/>
  <c r="H59" i="32"/>
  <c r="M115" i="37" s="1"/>
  <c r="O66" i="30" l="1"/>
  <c r="BL104" i="30"/>
  <c r="T32" i="22"/>
  <c r="N78" i="30"/>
  <c r="N104" i="30" s="1"/>
  <c r="J36" i="33"/>
  <c r="J59" i="33" s="1"/>
  <c r="H111" i="30"/>
  <c r="H56" i="32"/>
  <c r="M112" i="37" s="1"/>
  <c r="M115" i="34"/>
  <c r="I58" i="32"/>
  <c r="H42" i="36"/>
  <c r="M162" i="37" s="1"/>
  <c r="M161" i="34"/>
  <c r="P66" i="30" l="1"/>
  <c r="BM104" i="30"/>
  <c r="O78" i="30"/>
  <c r="O104" i="30" s="1"/>
  <c r="U32" i="22"/>
  <c r="K36" i="33"/>
  <c r="K59" i="33" s="1"/>
  <c r="O114" i="34"/>
  <c r="O114" i="37"/>
  <c r="I111" i="30"/>
  <c r="S108" i="30"/>
  <c r="S111" i="30" s="1"/>
  <c r="M112" i="34"/>
  <c r="H98" i="32"/>
  <c r="R104" i="36"/>
  <c r="H43" i="36"/>
  <c r="M162" i="34"/>
  <c r="L36" i="33" l="1"/>
  <c r="L59" i="33" s="1"/>
  <c r="BN104" i="30"/>
  <c r="Q66" i="30"/>
  <c r="P78" i="30"/>
  <c r="P104" i="30" s="1"/>
  <c r="V32" i="22"/>
  <c r="M133" i="37"/>
  <c r="M163" i="34"/>
  <c r="M163" i="37"/>
  <c r="R105" i="36"/>
  <c r="R110" i="36" s="1"/>
  <c r="R16" i="36" s="1"/>
  <c r="D5" i="35" s="1"/>
  <c r="S103" i="36"/>
  <c r="M133" i="34"/>
  <c r="D4" i="35"/>
  <c r="R35" i="36"/>
  <c r="L246" i="37" s="1"/>
  <c r="L247" i="37" s="1"/>
  <c r="R43" i="36"/>
  <c r="R66" i="30" l="1"/>
  <c r="Q78" i="30"/>
  <c r="Q104" i="30" s="1"/>
  <c r="BO104" i="30"/>
  <c r="W32" i="22"/>
  <c r="M36" i="33"/>
  <c r="M59" i="33" s="1"/>
  <c r="R25" i="36"/>
  <c r="D29" i="35" s="1"/>
  <c r="R36" i="36"/>
  <c r="L246" i="34"/>
  <c r="R47" i="36"/>
  <c r="D50" i="35"/>
  <c r="R78" i="30" l="1"/>
  <c r="R104" i="30" s="1"/>
  <c r="X32" i="22"/>
  <c r="BP104" i="30"/>
  <c r="N36" i="33"/>
  <c r="N59" i="33" s="1"/>
  <c r="L247" i="34"/>
  <c r="S48" i="36"/>
  <c r="I39" i="36" s="1"/>
  <c r="O159" i="37" s="1"/>
  <c r="D52" i="35"/>
  <c r="S49" i="36" l="1"/>
  <c r="I59" i="32" l="1"/>
  <c r="O115" i="37" s="1"/>
  <c r="O159" i="34"/>
  <c r="O115" i="34" l="1"/>
  <c r="M105" i="34" l="1"/>
  <c r="H41" i="32" l="1"/>
  <c r="H49" i="32" s="1"/>
  <c r="M108" i="37" l="1"/>
  <c r="M101" i="37"/>
  <c r="M101" i="34"/>
  <c r="R27" i="36" l="1"/>
  <c r="L238" i="37" s="1"/>
  <c r="L239" i="37" s="1"/>
  <c r="R29" i="36"/>
  <c r="L240" i="37" s="1"/>
  <c r="L241" i="37" s="1"/>
  <c r="G58" i="30"/>
  <c r="R115" i="36"/>
  <c r="R37" i="36" s="1"/>
  <c r="L248" i="37" s="1"/>
  <c r="M108" i="34"/>
  <c r="H38" i="32"/>
  <c r="M98" i="37" s="1"/>
  <c r="BE44" i="30" l="1"/>
  <c r="R38" i="36"/>
  <c r="L248" i="34"/>
  <c r="H11" i="30"/>
  <c r="H58" i="30" s="1"/>
  <c r="M98" i="34"/>
  <c r="H51" i="32"/>
  <c r="M109" i="37" l="1"/>
  <c r="H100" i="32"/>
  <c r="L249" i="34"/>
  <c r="L249" i="37"/>
  <c r="BF44" i="30"/>
  <c r="N47" i="22"/>
  <c r="M47" i="22"/>
  <c r="R28" i="36"/>
  <c r="L238" i="34"/>
  <c r="R30" i="36"/>
  <c r="L240" i="34"/>
  <c r="I11" i="30"/>
  <c r="I58" i="30" s="1"/>
  <c r="M109" i="34"/>
  <c r="L239" i="34" l="1"/>
  <c r="L241" i="34"/>
  <c r="J11" i="30"/>
  <c r="J58" i="30" s="1"/>
  <c r="BG44" i="30"/>
  <c r="P47" i="22" l="1"/>
  <c r="K11" i="30"/>
  <c r="K58" i="30" s="1"/>
  <c r="BH44" i="30"/>
  <c r="O47" i="22"/>
  <c r="Q47" i="22" l="1"/>
  <c r="BI44" i="30"/>
  <c r="L11" i="30"/>
  <c r="L58" i="30" s="1"/>
  <c r="R47" i="22" l="1"/>
  <c r="BJ44" i="30"/>
  <c r="M11" i="30"/>
  <c r="M58" i="30" s="1"/>
  <c r="S47" i="22" l="1"/>
  <c r="BK44" i="30"/>
  <c r="N11" i="30"/>
  <c r="N58" i="30" s="1"/>
  <c r="T47" i="22" l="1"/>
  <c r="O11" i="30"/>
  <c r="O58" i="30" s="1"/>
  <c r="BL44" i="30"/>
  <c r="U47" i="22" l="1"/>
  <c r="P11" i="30"/>
  <c r="P58" i="30" s="1"/>
  <c r="BM44" i="30"/>
  <c r="V47" i="22" l="1"/>
  <c r="BN44" i="30"/>
  <c r="Q11" i="30"/>
  <c r="Q58" i="30" s="1"/>
  <c r="W47" i="22" l="1"/>
  <c r="BO44" i="30"/>
  <c r="R11" i="30"/>
  <c r="R58" i="30" s="1"/>
  <c r="C5" i="35"/>
  <c r="C29" i="35"/>
  <c r="BP44" i="30" l="1"/>
  <c r="G67" i="30"/>
  <c r="X47" i="22"/>
  <c r="I62" i="26"/>
  <c r="G41" i="34"/>
  <c r="I50" i="26" l="1"/>
  <c r="K52" i="37"/>
  <c r="Y46" i="22"/>
  <c r="Y47" i="22"/>
  <c r="G52" i="34"/>
  <c r="K52" i="34"/>
  <c r="K84" i="30"/>
  <c r="Q48" i="22" s="1"/>
  <c r="Q49" i="22" s="1"/>
  <c r="Q56" i="22" s="1"/>
  <c r="Q57" i="22" s="1"/>
  <c r="M87" i="30" s="1"/>
  <c r="P84" i="30"/>
  <c r="V48" i="22" s="1"/>
  <c r="V49" i="22" s="1"/>
  <c r="V56" i="22" s="1"/>
  <c r="V57" i="22" s="1"/>
  <c r="R87" i="30" s="1"/>
  <c r="O84" i="30"/>
  <c r="U48" i="22" s="1"/>
  <c r="U49" i="22" s="1"/>
  <c r="U56" i="22" s="1"/>
  <c r="U57" i="22" s="1"/>
  <c r="Q87" i="30" s="1"/>
  <c r="Q84" i="30"/>
  <c r="W48" i="22" s="1"/>
  <c r="W49" i="22" s="1"/>
  <c r="W56" i="22" s="1"/>
  <c r="W57" i="22" s="1"/>
  <c r="I84" i="30"/>
  <c r="O48" i="22" s="1"/>
  <c r="O49" i="22" s="1"/>
  <c r="O56" i="22" s="1"/>
  <c r="O57" i="22" s="1"/>
  <c r="K87" i="30" s="1"/>
  <c r="K102" i="30" s="1"/>
  <c r="N84" i="30"/>
  <c r="T48" i="22" s="1"/>
  <c r="T49" i="22" s="1"/>
  <c r="T56" i="22" s="1"/>
  <c r="T57" i="22" s="1"/>
  <c r="P87" i="30" s="1"/>
  <c r="L84" i="30"/>
  <c r="R48" i="22" s="1"/>
  <c r="R49" i="22" s="1"/>
  <c r="R56" i="22" s="1"/>
  <c r="R57" i="22" s="1"/>
  <c r="N87" i="30" s="1"/>
  <c r="R84" i="30"/>
  <c r="X48" i="22" s="1"/>
  <c r="X49" i="22" s="1"/>
  <c r="X56" i="22" s="1"/>
  <c r="X57" i="22" s="1"/>
  <c r="J84" i="30"/>
  <c r="P48" i="22" s="1"/>
  <c r="P49" i="22" s="1"/>
  <c r="P56" i="22" s="1"/>
  <c r="P57" i="22" s="1"/>
  <c r="L87" i="30" s="1"/>
  <c r="L102" i="30" s="1"/>
  <c r="M84" i="30"/>
  <c r="S48" i="22" s="1"/>
  <c r="S49" i="22" s="1"/>
  <c r="S56" i="22" s="1"/>
  <c r="S57" i="22" s="1"/>
  <c r="O87" i="30" s="1"/>
  <c r="H84" i="30"/>
  <c r="H102" i="30" s="1"/>
  <c r="G84" i="30"/>
  <c r="G102" i="30" s="1"/>
  <c r="P102" i="30" l="1"/>
  <c r="O102" i="30"/>
  <c r="N102" i="30"/>
  <c r="M102" i="30"/>
  <c r="R102" i="30"/>
  <c r="Q102" i="30"/>
  <c r="K41" i="34"/>
  <c r="K41" i="37"/>
  <c r="N48" i="22"/>
  <c r="N49" i="22" s="1"/>
  <c r="N56" i="22" s="1"/>
  <c r="N57" i="22" s="1"/>
  <c r="J87" i="30" s="1"/>
  <c r="J102" i="30" s="1"/>
  <c r="S84" i="30"/>
  <c r="T84" i="30" s="1"/>
  <c r="M48" i="22"/>
  <c r="Y48" i="22" l="1"/>
  <c r="M49" i="22"/>
  <c r="M56" i="22" s="1"/>
  <c r="Y49" i="22" l="1"/>
  <c r="M57" i="22"/>
  <c r="I87" i="30" s="1"/>
  <c r="I102" i="30" s="1"/>
  <c r="Y56" i="22" l="1"/>
  <c r="Y57" i="22" l="1"/>
  <c r="S87" i="30" l="1"/>
  <c r="H69" i="1" l="1"/>
  <c r="H65" i="1" l="1"/>
  <c r="J69" i="1"/>
  <c r="J65" i="1" s="1"/>
  <c r="K62" i="29" l="1"/>
  <c r="K56" i="29"/>
  <c r="I56" i="29"/>
  <c r="I62" i="29"/>
  <c r="J45" i="1"/>
  <c r="H45" i="1"/>
  <c r="I64" i="29" l="1"/>
  <c r="I61" i="29"/>
  <c r="K61" i="29"/>
  <c r="K64" i="29"/>
  <c r="H132" i="1"/>
  <c r="I120" i="1"/>
  <c r="I126" i="1"/>
  <c r="I115" i="1"/>
  <c r="I129" i="1"/>
  <c r="I131" i="1"/>
  <c r="I127" i="1"/>
  <c r="I130" i="1"/>
  <c r="I106" i="1"/>
  <c r="I93" i="1"/>
  <c r="I86" i="1"/>
  <c r="I46" i="1"/>
  <c r="I128" i="1"/>
  <c r="I125" i="1"/>
  <c r="I76" i="1"/>
  <c r="I65" i="1"/>
  <c r="I94" i="1"/>
  <c r="I95" i="1"/>
  <c r="K18" i="20"/>
  <c r="O66" i="37" s="1"/>
  <c r="I71" i="1"/>
  <c r="I52" i="1"/>
  <c r="I101" i="1"/>
  <c r="I82" i="1"/>
  <c r="I124" i="1"/>
  <c r="I90" i="1"/>
  <c r="I111" i="1"/>
  <c r="I55" i="36"/>
  <c r="O182" i="37" s="1"/>
  <c r="J55" i="36"/>
  <c r="Q182" i="37" s="1"/>
  <c r="K86" i="1"/>
  <c r="K125" i="1"/>
  <c r="K111" i="1"/>
  <c r="K129" i="1"/>
  <c r="K128" i="1"/>
  <c r="K46" i="1"/>
  <c r="K90" i="1"/>
  <c r="K93" i="1"/>
  <c r="K94" i="1"/>
  <c r="K120" i="1"/>
  <c r="K127" i="1"/>
  <c r="K95" i="1"/>
  <c r="M18" i="20"/>
  <c r="Q66" i="37" s="1"/>
  <c r="J132" i="1"/>
  <c r="K124" i="1"/>
  <c r="K130" i="1"/>
  <c r="K76" i="1"/>
  <c r="K126" i="1"/>
  <c r="K106" i="1"/>
  <c r="K115" i="1"/>
  <c r="K82" i="1"/>
  <c r="K71" i="1"/>
  <c r="K131" i="1"/>
  <c r="K65" i="1"/>
  <c r="K52" i="1"/>
  <c r="K101" i="1"/>
  <c r="K63" i="29" l="1"/>
  <c r="J87" i="32"/>
  <c r="J83" i="32" s="1"/>
  <c r="I63" i="29"/>
  <c r="I87" i="32"/>
  <c r="I83" i="32" s="1"/>
  <c r="I80" i="32"/>
  <c r="I79" i="32" s="1"/>
  <c r="O128" i="37" s="1"/>
  <c r="O182" i="34"/>
  <c r="I59" i="36"/>
  <c r="O186" i="37" s="1"/>
  <c r="L18" i="20"/>
  <c r="O66" i="34"/>
  <c r="K20" i="20"/>
  <c r="O68" i="37" s="1"/>
  <c r="J80" i="32"/>
  <c r="J79" i="32" s="1"/>
  <c r="Q128" i="37" s="1"/>
  <c r="J59" i="36"/>
  <c r="Q186" i="37" s="1"/>
  <c r="Q182" i="34"/>
  <c r="N18" i="20"/>
  <c r="Q66" i="34"/>
  <c r="M20" i="20"/>
  <c r="Q68" i="37" s="1"/>
  <c r="Q130" i="37" l="1"/>
  <c r="Q130" i="34"/>
  <c r="O130" i="37"/>
  <c r="J37" i="36"/>
  <c r="I37" i="36"/>
  <c r="O130" i="34"/>
  <c r="P66" i="34"/>
  <c r="P66" i="37"/>
  <c r="R66" i="34"/>
  <c r="R66" i="37"/>
  <c r="J60" i="36"/>
  <c r="Q187" i="37" s="1"/>
  <c r="Q186" i="34"/>
  <c r="Q128" i="34"/>
  <c r="J74" i="32"/>
  <c r="Q125" i="37" s="1"/>
  <c r="O186" i="34"/>
  <c r="I60" i="36"/>
  <c r="O187" i="37" s="1"/>
  <c r="M22" i="20"/>
  <c r="Q70" i="37" s="1"/>
  <c r="N20" i="20"/>
  <c r="R68" i="37" s="1"/>
  <c r="T18" i="36"/>
  <c r="Q68" i="34"/>
  <c r="K22" i="20"/>
  <c r="O70" i="37" s="1"/>
  <c r="L20" i="20"/>
  <c r="P68" i="37" s="1"/>
  <c r="O68" i="34"/>
  <c r="S18" i="36"/>
  <c r="I74" i="32"/>
  <c r="O125" i="37" s="1"/>
  <c r="O128" i="34"/>
  <c r="Q157" i="37" l="1"/>
  <c r="Q157" i="34"/>
  <c r="O157" i="34"/>
  <c r="O157" i="37"/>
  <c r="T44" i="36"/>
  <c r="F51" i="35" s="1"/>
  <c r="Q125" i="34"/>
  <c r="M26" i="20"/>
  <c r="Q70" i="34"/>
  <c r="T20" i="36"/>
  <c r="N22" i="20"/>
  <c r="R70" i="37" s="1"/>
  <c r="T19" i="36"/>
  <c r="F27" i="35" s="1"/>
  <c r="R68" i="34"/>
  <c r="S44" i="36"/>
  <c r="E51" i="35" s="1"/>
  <c r="O125" i="34"/>
  <c r="O70" i="34"/>
  <c r="K26" i="20"/>
  <c r="O74" i="37" s="1"/>
  <c r="S20" i="36"/>
  <c r="L22" i="20"/>
  <c r="P70" i="37" s="1"/>
  <c r="O187" i="34"/>
  <c r="I28" i="36"/>
  <c r="O148" i="37" s="1"/>
  <c r="P68" i="34"/>
  <c r="S19" i="36"/>
  <c r="E27" i="35" s="1"/>
  <c r="J28" i="36"/>
  <c r="Q148" i="37" s="1"/>
  <c r="Q187" i="34"/>
  <c r="Q74" i="37" l="1"/>
  <c r="N26" i="20"/>
  <c r="Q74" i="34"/>
  <c r="M27" i="20"/>
  <c r="M31" i="20" s="1"/>
  <c r="L26" i="20"/>
  <c r="K27" i="20"/>
  <c r="O74" i="34"/>
  <c r="Q148" i="34"/>
  <c r="S21" i="36"/>
  <c r="P70" i="34"/>
  <c r="R70" i="34"/>
  <c r="T21" i="36"/>
  <c r="I41" i="36"/>
  <c r="O148" i="34"/>
  <c r="K31" i="20" l="1"/>
  <c r="O78" i="37" s="1"/>
  <c r="O75" i="37"/>
  <c r="P74" i="34"/>
  <c r="P74" i="37"/>
  <c r="T102" i="36"/>
  <c r="Q75" i="37"/>
  <c r="O161" i="34"/>
  <c r="O161" i="37"/>
  <c r="R74" i="34"/>
  <c r="R74" i="37"/>
  <c r="S102" i="36"/>
  <c r="I15" i="36"/>
  <c r="O138" i="37" s="1"/>
  <c r="T22" i="36"/>
  <c r="F30" i="35"/>
  <c r="Q75" i="34"/>
  <c r="N27" i="20"/>
  <c r="J15" i="36"/>
  <c r="E30" i="35"/>
  <c r="S22" i="36"/>
  <c r="L27" i="20"/>
  <c r="O75" i="34"/>
  <c r="Q78" i="37"/>
  <c r="S23" i="36" l="1"/>
  <c r="O78" i="34"/>
  <c r="L31" i="20"/>
  <c r="P78" i="37" s="1"/>
  <c r="I60" i="32"/>
  <c r="O116" i="37" s="1"/>
  <c r="P75" i="34"/>
  <c r="P75" i="37"/>
  <c r="R75" i="34"/>
  <c r="R75" i="37"/>
  <c r="T32" i="36"/>
  <c r="P243" i="37" s="1"/>
  <c r="P244" i="37" s="1"/>
  <c r="Q138" i="37"/>
  <c r="S31" i="36"/>
  <c r="S32" i="36"/>
  <c r="N243" i="37" s="1"/>
  <c r="N244" i="37" s="1"/>
  <c r="I21" i="36"/>
  <c r="O138" i="34"/>
  <c r="T31" i="36"/>
  <c r="Q138" i="34"/>
  <c r="J21" i="36"/>
  <c r="Q144" i="37" s="1"/>
  <c r="Q78" i="34"/>
  <c r="J60" i="32"/>
  <c r="T23" i="36"/>
  <c r="N31" i="20"/>
  <c r="R78" i="37" s="1"/>
  <c r="O116" i="34" l="1"/>
  <c r="J58" i="32"/>
  <c r="Q114" i="37" s="1"/>
  <c r="I56" i="32"/>
  <c r="O112" i="37" s="1"/>
  <c r="P78" i="34"/>
  <c r="S24" i="36"/>
  <c r="E28" i="35" s="1"/>
  <c r="T33" i="36"/>
  <c r="P244" i="34" s="1"/>
  <c r="P243" i="34"/>
  <c r="I42" i="36"/>
  <c r="O162" i="37" s="1"/>
  <c r="O144" i="37"/>
  <c r="Q116" i="34"/>
  <c r="Q116" i="37"/>
  <c r="P242" i="34"/>
  <c r="P242" i="37"/>
  <c r="N242" i="34"/>
  <c r="N242" i="37"/>
  <c r="N243" i="34"/>
  <c r="S33" i="36"/>
  <c r="O144" i="34"/>
  <c r="Q144" i="34"/>
  <c r="R78" i="34"/>
  <c r="T24" i="36"/>
  <c r="F28" i="35" s="1"/>
  <c r="Q114" i="34" l="1"/>
  <c r="S104" i="36"/>
  <c r="S105" i="36" s="1"/>
  <c r="S110" i="36" s="1"/>
  <c r="S16" i="36" s="1"/>
  <c r="O112" i="34"/>
  <c r="I98" i="32"/>
  <c r="O162" i="34"/>
  <c r="I43" i="36"/>
  <c r="O163" i="34" s="1"/>
  <c r="N244" i="34"/>
  <c r="O133" i="37" l="1"/>
  <c r="I49" i="32"/>
  <c r="O108" i="37" s="1"/>
  <c r="T103" i="36"/>
  <c r="S35" i="36"/>
  <c r="N246" i="37" s="1"/>
  <c r="N247" i="37" s="1"/>
  <c r="O133" i="34"/>
  <c r="E4" i="35"/>
  <c r="S43" i="36"/>
  <c r="E50" i="35" s="1"/>
  <c r="O163" i="37"/>
  <c r="S25" i="36"/>
  <c r="E29" i="35" s="1"/>
  <c r="E5" i="35"/>
  <c r="S36" i="36" l="1"/>
  <c r="N246" i="34"/>
  <c r="S27" i="36"/>
  <c r="N238" i="37" s="1"/>
  <c r="N239" i="37" s="1"/>
  <c r="S29" i="36"/>
  <c r="N240" i="37" s="1"/>
  <c r="N241" i="37" s="1"/>
  <c r="S47" i="36"/>
  <c r="T48" i="36" s="1"/>
  <c r="S115" i="36"/>
  <c r="S37" i="36" s="1"/>
  <c r="N248" i="37" s="1"/>
  <c r="I38" i="32"/>
  <c r="O98" i="37" s="1"/>
  <c r="O108" i="34"/>
  <c r="N247" i="34" l="1"/>
  <c r="S30" i="36"/>
  <c r="N241" i="34" s="1"/>
  <c r="N240" i="34"/>
  <c r="E52" i="35"/>
  <c r="S28" i="36"/>
  <c r="N238" i="34"/>
  <c r="I51" i="32"/>
  <c r="O98" i="34"/>
  <c r="N248" i="34"/>
  <c r="S38" i="36"/>
  <c r="N249" i="37" s="1"/>
  <c r="T49" i="36"/>
  <c r="J39" i="36"/>
  <c r="Q159" i="37" s="1"/>
  <c r="O109" i="37" l="1"/>
  <c r="I100" i="32"/>
  <c r="N239" i="34"/>
  <c r="O109" i="34"/>
  <c r="N249" i="34"/>
  <c r="J59" i="32"/>
  <c r="Q115" i="37" s="1"/>
  <c r="Q159" i="34"/>
  <c r="J41" i="36"/>
  <c r="Q161" i="37" s="1"/>
  <c r="Q161" i="34" l="1"/>
  <c r="J42" i="36"/>
  <c r="Q162" i="37" s="1"/>
  <c r="Q115" i="34"/>
  <c r="J56" i="32"/>
  <c r="Q112" i="37" s="1"/>
  <c r="T104" i="36" l="1"/>
  <c r="Q112" i="34"/>
  <c r="J98" i="32"/>
  <c r="Q162" i="34"/>
  <c r="J43" i="36"/>
  <c r="T35" i="36" l="1"/>
  <c r="P246" i="37" s="1"/>
  <c r="P247" i="37" s="1"/>
  <c r="J49" i="32"/>
  <c r="Q108" i="37" s="1"/>
  <c r="Q133" i="37"/>
  <c r="Q163" i="34"/>
  <c r="Q163" i="37"/>
  <c r="F4" i="35"/>
  <c r="T43" i="36"/>
  <c r="Q133" i="34"/>
  <c r="T105" i="36"/>
  <c r="T110" i="36" s="1"/>
  <c r="T16" i="36" s="1"/>
  <c r="T47" i="36" l="1"/>
  <c r="F52" i="35" s="1"/>
  <c r="F50" i="35"/>
  <c r="T115" i="36"/>
  <c r="T37" i="36" s="1"/>
  <c r="P248" i="37" s="1"/>
  <c r="J38" i="32"/>
  <c r="Q98" i="37" s="1"/>
  <c r="Q108" i="34"/>
  <c r="T27" i="36"/>
  <c r="P238" i="37" s="1"/>
  <c r="P239" i="37" s="1"/>
  <c r="T29" i="36"/>
  <c r="P240" i="37" s="1"/>
  <c r="P241" i="37" s="1"/>
  <c r="P246" i="34"/>
  <c r="T36" i="36"/>
  <c r="T25" i="36"/>
  <c r="F29" i="35" s="1"/>
  <c r="F5" i="35"/>
  <c r="P247" i="34" l="1"/>
  <c r="J51" i="32"/>
  <c r="C100" i="32" s="1"/>
  <c r="Q98" i="34"/>
  <c r="P240" i="34"/>
  <c r="T30" i="36"/>
  <c r="P248" i="34"/>
  <c r="T38" i="36"/>
  <c r="P238" i="34"/>
  <c r="T28" i="36"/>
  <c r="Q109" i="37" l="1"/>
  <c r="J100" i="32"/>
  <c r="P241" i="34"/>
  <c r="P239" i="34"/>
  <c r="P249" i="34"/>
  <c r="P249" i="37"/>
  <c r="Q109" i="34"/>
  <c r="I113" i="30" l="1"/>
  <c r="BG105" i="30" s="1"/>
  <c r="H113" i="30" l="1"/>
  <c r="BF105" i="30" s="1"/>
  <c r="L113" i="30"/>
  <c r="BJ105" i="30" s="1"/>
  <c r="J113" i="30"/>
  <c r="BH105" i="30" s="1"/>
  <c r="M113" i="30"/>
  <c r="BK105" i="30" s="1"/>
  <c r="N113" i="30"/>
  <c r="BL105" i="30" s="1"/>
  <c r="O113" i="30"/>
  <c r="BM105" i="30" s="1"/>
  <c r="P113" i="30"/>
  <c r="BN105" i="30" s="1"/>
  <c r="Q113" i="30"/>
  <c r="BO105" i="30" s="1"/>
  <c r="R113" i="30"/>
  <c r="BP105" i="30" s="1"/>
  <c r="K113" i="30" l="1"/>
  <c r="G113" i="30" l="1"/>
  <c r="S102" i="30"/>
  <c r="BI105" i="30"/>
  <c r="S113" i="30" l="1"/>
  <c r="G114" i="30"/>
  <c r="BE105" i="30"/>
  <c r="BQ105" i="30" s="1"/>
  <c r="BE106" i="30" l="1"/>
  <c r="H67" i="30"/>
  <c r="H114" i="30" s="1"/>
  <c r="BF106" i="30" l="1"/>
  <c r="I67" i="30"/>
  <c r="I114" i="30" s="1"/>
  <c r="BG106" i="30" l="1"/>
  <c r="J67" i="30"/>
  <c r="J114" i="30" s="1"/>
  <c r="BH106" i="30" l="1"/>
  <c r="K67" i="30"/>
  <c r="K114" i="30" s="1"/>
  <c r="BI106" i="30" l="1"/>
  <c r="L67" i="30"/>
  <c r="L114" i="30" s="1"/>
  <c r="BJ106" i="30" l="1"/>
  <c r="M67" i="30"/>
  <c r="M114" i="30" s="1"/>
  <c r="N67" i="30" l="1"/>
  <c r="N114" i="30" s="1"/>
  <c r="BK106" i="30"/>
  <c r="O67" i="30" l="1"/>
  <c r="O114" i="30" s="1"/>
  <c r="BL106" i="30"/>
  <c r="P67" i="30" l="1"/>
  <c r="P114" i="30" s="1"/>
  <c r="BM106" i="30"/>
  <c r="BN106" i="30" l="1"/>
  <c r="Q67" i="30"/>
  <c r="Q114" i="30" s="1"/>
  <c r="BO106" i="30" l="1"/>
  <c r="R67" i="30"/>
  <c r="R114" i="30" s="1"/>
  <c r="BP106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  <author>Jadelcons</author>
  </authors>
  <commentList>
    <comment ref="A4" authorId="0" shapeId="0" xr:uid="{FDE6B964-0AB1-4683-9A29-1667C1E61762}">
      <text>
        <r>
          <rPr>
            <b/>
            <sz val="10"/>
            <color indexed="81"/>
            <rFont val="Tahoma"/>
            <family val="2"/>
          </rPr>
          <t>TÄYTÄ TAULUKOT NUMEROJÄRJESTYKSESSÄ</t>
        </r>
        <r>
          <rPr>
            <sz val="10"/>
            <color indexed="81"/>
            <rFont val="Tahoma"/>
            <family val="2"/>
          </rPr>
          <t xml:space="preserve">, JÄRJESTYSNUMERONAPPULAT VASEMMALLA!
</t>
        </r>
        <r>
          <rPr>
            <b/>
            <sz val="10"/>
            <color indexed="81"/>
            <rFont val="Tahoma"/>
            <family val="2"/>
          </rPr>
          <t xml:space="preserve">KIRJOITA LUVUT ILMAN SENTTEJÄ KOKONAISLUKUINA! 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i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Laskentaohjelmassa täytetään vain keltaisia ruutuja (soluja). Muut solut ovat tarkoituksella lukittu. Laskennan edetessä ohjelma laskee lukittuihin soluihin arvoja. Täytä sivu kerrallaan seuraamalla vasemman reunan numerointia. 
</t>
        </r>
        <r>
          <rPr>
            <b/>
            <sz val="10"/>
            <color indexed="81"/>
            <rFont val="Tahoma"/>
            <family val="2"/>
          </rPr>
          <t xml:space="preserve">Pääomantarve kohdat 1 - 10: </t>
        </r>
        <r>
          <rPr>
            <sz val="10"/>
            <color indexed="81"/>
            <rFont val="Tahoma"/>
            <family val="2"/>
          </rPr>
          <t xml:space="preserve">Sijoita investoinnit ja käyttöpääoma.
</t>
        </r>
        <r>
          <rPr>
            <b/>
            <sz val="10"/>
            <color indexed="81"/>
            <rFont val="Tahoma"/>
            <family val="2"/>
          </rPr>
          <t>Leasing -rahoituksella vuokrattavat koneet yms. käsitellään taulukossa 3. E1 Kustannukset.</t>
        </r>
        <r>
          <rPr>
            <sz val="10"/>
            <color indexed="81"/>
            <rFont val="Tahoma"/>
            <family val="2"/>
          </rPr>
          <t xml:space="preserve"> Jos vuokrattava kohde lunastetaan sopimuskauden päätyttyä, se sijoitetaan investointina tähän taulukkoon.
</t>
        </r>
        <r>
          <rPr>
            <b/>
            <sz val="10"/>
            <color indexed="81"/>
            <rFont val="Tahoma"/>
            <family val="2"/>
          </rPr>
          <t xml:space="preserve">
Rahoitus kohdat 12 - 20:</t>
        </r>
        <r>
          <rPr>
            <sz val="10"/>
            <color indexed="81"/>
            <rFont val="Tahoma"/>
            <family val="2"/>
          </rPr>
          <t xml:space="preserve"> Sijoita rahoituksen määrä.</t>
        </r>
      </text>
    </comment>
    <comment ref="E16" authorId="0" shapeId="0" xr:uid="{391E1164-BAED-41EE-B620-7405F9E462C7}">
      <text>
        <r>
          <rPr>
            <sz val="10"/>
            <color indexed="81"/>
            <rFont val="Tahoma"/>
            <family val="2"/>
          </rPr>
          <t xml:space="preserve">Normaali tilikauden pituus on 12 kk. Ensimmäisen tilikauden pituus voi olla kuitenkin 6 - 18 kk. Jos tilikauden pituus on muu kuin 12 kk, laske ensimmäisen vuoden kustannukset ja myynti vastaamaan tilikauden pituutta. Huomioi myös tulevat tilikaudet! </t>
        </r>
      </text>
    </comment>
    <comment ref="C20" authorId="0" shapeId="0" xr:uid="{1BB3CAA4-98C5-40CE-9A8F-9BDC9586D927}">
      <text>
        <r>
          <rPr>
            <sz val="10"/>
            <color indexed="81"/>
            <rFont val="Tahoma"/>
            <family val="2"/>
          </rPr>
          <t>Investoinnit, joista voidaan vähentää arvonlisävero ja tehdä poistoja (ei leasingrahoitus).</t>
        </r>
      </text>
    </comment>
    <comment ref="C24" authorId="0" shapeId="0" xr:uid="{BB62C32C-D408-4080-87EF-4950EE57AA10}">
      <text>
        <r>
          <rPr>
            <sz val="10"/>
            <color indexed="81"/>
            <rFont val="Tahoma"/>
            <family val="2"/>
          </rPr>
          <t>Kiinteistöt ja rakennukset, joista ei voida vähentää arvonlisäveroa mutta voidaan tehdä poistoja (ei leasingrahoitus).</t>
        </r>
      </text>
    </comment>
    <comment ref="C27" authorId="0" shapeId="0" xr:uid="{A23B17C1-1A2B-4978-9F02-A051DDB4C3F4}">
      <text>
        <r>
          <rPr>
            <b/>
            <sz val="10"/>
            <color indexed="81"/>
            <rFont val="Tahoma"/>
            <family val="2"/>
          </rPr>
          <t xml:space="preserve">Investoinnit, joista voidaan vähentää arvonlisävero (ei leasingrahoitus). </t>
        </r>
      </text>
    </comment>
    <comment ref="C30" authorId="0" shapeId="0" xr:uid="{92F1C757-F23F-49C8-B00F-1242D951CA9B}">
      <text>
        <r>
          <rPr>
            <b/>
            <sz val="10"/>
            <color indexed="81"/>
            <rFont val="Tahoma"/>
            <family val="2"/>
          </rPr>
          <t xml:space="preserve">Investoinnit, joista ei voida vähentää arvonlisäveroa (ei leasingrahoitus). 
</t>
        </r>
        <r>
          <rPr>
            <sz val="10"/>
            <color indexed="81"/>
            <rFont val="Tahoma"/>
            <family val="2"/>
          </rPr>
          <t>Esim. yrityskaupassa siirtyvä kalusto, osto ulkomailta tai yksityishenkilöltä, sosiaali- ja terveysala, yksityiskäytön investoinnit esim. työsuhdeautot</t>
        </r>
      </text>
    </comment>
    <comment ref="C32" authorId="1" shapeId="0" xr:uid="{E89FEB4A-3B6B-4AA5-B727-A59D432A7375}">
      <text>
        <r>
          <rPr>
            <b/>
            <sz val="10"/>
            <color indexed="81"/>
            <rFont val="Tahoma"/>
            <family val="2"/>
          </rPr>
          <t>Muut aineelliset hyödykkeet ovat kirjanpidossa omaisuuseriä, jotka eivät ole rakennuksia, maa-alueita tai irtaimistoa, kuten:</t>
        </r>
        <r>
          <rPr>
            <sz val="10"/>
            <color indexed="81"/>
            <rFont val="Tahoma"/>
            <family val="2"/>
          </rPr>
          <t xml:space="preserve">
- luonnonvarat esim. soranottopaikat, louhokset, turvesuot, sillat, altaat, 
  mineraaliesiintymät, marja- ja hedelmätarhat
- taide-esineet
- yrityksen käytössä olevat eläimet
- yrityksen omistamalle tontille tehtävät investoinnit esim. maanrakennus, 
  asfaltointi, salaojitus</t>
        </r>
      </text>
    </comment>
    <comment ref="C35" authorId="0" shapeId="0" xr:uid="{CC1F2D9F-2EB2-45D6-9FF1-35E1D7AD6EFC}">
      <text>
        <r>
          <rPr>
            <b/>
            <sz val="10"/>
            <color indexed="81"/>
            <rFont val="Tahoma"/>
            <family val="2"/>
          </rPr>
          <t>Aineettomat hyödykkeet alv 0%</t>
        </r>
        <r>
          <rPr>
            <sz val="10"/>
            <color indexed="81"/>
            <rFont val="Tahoma"/>
            <family val="2"/>
          </rPr>
          <t xml:space="preserve">
- Patentti, tavaramerkki tms.  
- Yrityksen liikearvo (goodwill) yrityskaupassa 
- Tuotekehityskustannuksiin sisältyvät palkat sivukuluineen. Vastaavat palkkasummat 
  vähennetään 3. E1 KUSTANNUKSET-taulukossa palkoista.
</t>
        </r>
        <r>
          <rPr>
            <b/>
            <sz val="10"/>
            <color indexed="81"/>
            <rFont val="Tahoma"/>
            <family val="2"/>
          </rPr>
          <t xml:space="preserve">Aineettomat hyödykkeet sis. alv </t>
        </r>
        <r>
          <rPr>
            <sz val="10"/>
            <color indexed="81"/>
            <rFont val="Tahoma"/>
            <family val="2"/>
          </rPr>
          <t>(sijoita alv-% taulukkoon)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- Alv-verollisen liiketoiminnan käytössä olevan vuokra-asunnon ja osakehuoneiston 
  perusparannukseen sis. työt ja tarvikkeet.
- Tuotekehityskustannuksiin sisältyvät ainekulut. Jos ainekulut otetaan varastosta niin
   vastaava summa tulee vähentää 4. E2 LIIKEVAIHTO-taulukon ainekäytöstä.</t>
        </r>
      </text>
    </comment>
    <comment ref="E38" authorId="0" shapeId="0" xr:uid="{B2DB0D3C-7A73-44F7-9643-6518E33B6969}">
      <text>
        <r>
          <rPr>
            <sz val="10"/>
            <color indexed="81"/>
            <rFont val="Tahoma"/>
            <family val="2"/>
          </rPr>
          <t>Yrityksen ja liikehuoneiston osakkeiden ja muun sijoitusomaisuuden hankintahinta, joista ei voida vähentää arvonlisäveroa.</t>
        </r>
      </text>
    </comment>
    <comment ref="E39" authorId="0" shapeId="0" xr:uid="{AB671CBF-03EB-4CD4-8C66-775436D5FF50}">
      <text>
        <r>
          <rPr>
            <sz val="10"/>
            <color indexed="81"/>
            <rFont val="Tahoma"/>
            <family val="2"/>
          </rPr>
          <t xml:space="preserve">Käyttöpääoma = kassavarat. Käyttöpääoman tarpeeseen vaikuttavat yrityksen toimintakustannukset sekä myynnin ja ostojen vaihtelu. 
</t>
        </r>
        <r>
          <rPr>
            <b/>
            <sz val="10"/>
            <color indexed="81"/>
            <rFont val="Tahoma"/>
            <family val="2"/>
          </rPr>
          <t>Suositus käyttöpääoman minimimääräksi aloittavassa yrityksessä:</t>
        </r>
        <r>
          <rPr>
            <sz val="10"/>
            <color indexed="81"/>
            <rFont val="Tahoma"/>
            <family val="2"/>
          </rPr>
          <t xml:space="preserve">
- tukku- ja vähittäiskaupassa noin 20 % liikevaihdosta
- suorite/palvelumyynti  15 000 - 30 000 €/hlö
- ostettavassa yrityksessä käyttöpääoma on noin puolet pienempi
- aloittava yritys tarvitsee 2 - 3 kertaisen käyttöpääoman toimivaan  verrattuna.  
yritysTULKIN tilastoista löydät toimivien yritysten käyttöpääoman määriä. Tilastot löydät yritysTULKISTA rahoitus valikosta.</t>
        </r>
      </text>
    </comment>
    <comment ref="E40" authorId="0" shapeId="0" xr:uid="{50CE8346-5FE9-49D4-BB33-82560A7E9C58}">
      <text>
        <r>
          <rPr>
            <b/>
            <sz val="10"/>
            <color indexed="81"/>
            <rFont val="Tahoma"/>
            <family val="2"/>
          </rPr>
          <t xml:space="preserve">Vaihto-omaisuuteen lasketaan raaka-aineet, tuotteet, tarvikkeet, puolivalmisteet ja valmiit tuotteet. </t>
        </r>
        <r>
          <rPr>
            <sz val="10"/>
            <color indexed="81"/>
            <rFont val="Tahoma"/>
            <family val="2"/>
          </rPr>
          <t xml:space="preserve">
Määrän tulee riittää normaaliin toimintaan ostojen toimitusajat huomioiden ja vaihtelee toimialasta riippuen. Liiketoimintakaupassa on huomioitava varaston koko sekä laatu ja sen riittävyys käytännössä. 
</t>
        </r>
        <r>
          <rPr>
            <b/>
            <sz val="10"/>
            <color indexed="81"/>
            <rFont val="Tahoma"/>
            <family val="2"/>
          </rPr>
          <t>Tietoja eri toimialojen tunnusluvuista löydät www.yritystulkki.fi-sivustolta hakusanalla "tilasto".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Yritys- ja kuluttajapalveluita tuottava yritys
</t>
        </r>
        <r>
          <rPr>
            <sz val="10"/>
            <color indexed="81"/>
            <rFont val="Tahoma"/>
            <family val="2"/>
          </rPr>
          <t xml:space="preserve">- vaihto-omaisuutta yleensä vähän suhteessa liikevaihtoon
</t>
        </r>
        <r>
          <rPr>
            <b/>
            <sz val="10"/>
            <color indexed="81"/>
            <rFont val="Tahoma"/>
            <family val="2"/>
          </rPr>
          <t>Vähittäis- ja tukkukauppa, teollinen toiminta</t>
        </r>
        <r>
          <rPr>
            <sz val="10"/>
            <color indexed="81"/>
            <rFont val="Tahoma"/>
            <family val="2"/>
          </rPr>
          <t xml:space="preserve">
 - usein erittäin merkityksellinen 
 - tukkuliikkeessä luku voi olla jopa 100 % liikevaihdosta. 
</t>
        </r>
        <r>
          <rPr>
            <b/>
            <sz val="10"/>
            <color indexed="81"/>
            <rFont val="Tahoma"/>
            <family val="2"/>
          </rPr>
          <t xml:space="preserve">Arvonlisävero
</t>
        </r>
        <r>
          <rPr>
            <sz val="10"/>
            <color indexed="81"/>
            <rFont val="Tahoma"/>
            <family val="2"/>
          </rPr>
          <t>- ilmoita seuraavassa solussa keskimääräinen arvonlisäveroprosentti  
- liiketoimintakaupassa vaihto-omaisuus alv 0 % 
- tavanomaisena hankintana sis. alv hinnalla
- ulkomailta ostettaessa alv 0 % hinnalla</t>
        </r>
      </text>
    </comment>
    <comment ref="E41" authorId="2" shapeId="0" xr:uid="{6CF25DA4-C8E3-4387-8E1C-6C8FB01EA728}">
      <text>
        <r>
          <rPr>
            <sz val="10"/>
            <color indexed="81"/>
            <rFont val="Tahoma"/>
            <family val="2"/>
          </rPr>
          <t xml:space="preserve">- liiketoimintakaupan varaston arvo alv 0 %
- varastoon ostettavat tuotteet sisältävät arvonlisäveron, jos ostetaan kotimaasta
 </t>
        </r>
        <r>
          <rPr>
            <b/>
            <sz val="10"/>
            <color indexed="81"/>
            <rFont val="Tahoma"/>
            <family val="2"/>
          </rPr>
          <t>Jos useita eri alv-kantoja, aseta painotettu keskiarvo.</t>
        </r>
      </text>
    </comment>
    <comment ref="F48" authorId="1" shapeId="0" xr:uid="{5E1AFF00-6755-4B42-A91D-05AAE281EAB4}">
      <text>
        <r>
          <rPr>
            <sz val="10"/>
            <color indexed="81"/>
            <rFont val="Tahoma"/>
            <family val="2"/>
          </rPr>
          <t>Ainoastaan osakepääoman lisäys!</t>
        </r>
      </text>
    </comment>
    <comment ref="C49" authorId="0" shapeId="0" xr:uid="{29BCC587-C980-4358-A58D-E39BA687FD0B}">
      <text>
        <r>
          <rPr>
            <sz val="10"/>
            <color indexed="81"/>
            <rFont val="Tahoma"/>
            <family val="2"/>
          </rPr>
          <t>Osakepääoman lisäksi voidaan sijoittaa Sidotun vapaan pääoman rahastoon (SVOP) oman pääoman ehtoisesti. Usein parempi vaihtoehto kuin osakepääomasijoitus.</t>
        </r>
      </text>
    </comment>
    <comment ref="F49" authorId="1" shapeId="0" xr:uid="{EE48945D-7D19-4085-A6D5-2E6A68665985}">
      <text>
        <r>
          <rPr>
            <sz val="10"/>
            <color indexed="81"/>
            <rFont val="Tahoma"/>
            <family val="2"/>
          </rPr>
          <t>Ainoastaan lisäsijoitus SVOP-rahastoon!</t>
        </r>
      </text>
    </comment>
    <comment ref="C51" authorId="1" shapeId="0" xr:uid="{3649756D-C58D-4EC5-958F-651B02A58212}">
      <text>
        <r>
          <rPr>
            <sz val="10"/>
            <color indexed="81"/>
            <rFont val="Tahoma"/>
            <family val="2"/>
          </rPr>
          <t xml:space="preserve">Pääomalaina merkitään vain tähän, ei taulukkoon 2. T7 LAINAT. </t>
        </r>
      </text>
    </comment>
    <comment ref="F51" authorId="1" shapeId="0" xr:uid="{60DA3565-75DE-45A2-8ED4-710E1F46C05A}">
      <text>
        <r>
          <rPr>
            <sz val="10"/>
            <color indexed="81"/>
            <rFont val="Tahoma"/>
            <family val="2"/>
          </rPr>
          <t>Ainoastaan pääomalainen lisäys!</t>
        </r>
      </text>
    </comment>
    <comment ref="C52" authorId="1" shapeId="0" xr:uid="{34D4FB16-1827-4A7D-A952-0781864451E1}">
      <text>
        <r>
          <rPr>
            <b/>
            <sz val="10"/>
            <color indexed="81"/>
            <rFont val="Tahoma"/>
            <family val="2"/>
          </rPr>
          <t xml:space="preserve">YRITYKSEN oma rahoitus, ei omistajien.
Tarkoittaa yrityksen omaisuuden myymistä. </t>
        </r>
        <r>
          <rPr>
            <sz val="10"/>
            <color indexed="81"/>
            <rFont val="Tahoma"/>
            <family val="2"/>
          </rPr>
          <t xml:space="preserve">Ensimmäisen tilikauden jälkeen voidaan myydä yrityksen omaisuutta, jolloin </t>
        </r>
        <r>
          <rPr>
            <b/>
            <sz val="10"/>
            <color indexed="81"/>
            <rFont val="Tahoma"/>
            <family val="2"/>
          </rPr>
          <t>myyntihinta merkitään myös taulukkoon 6. T3 TASE: Pysyvät vastaavat, myytävän omaisuuden kohtaan arvon vähenemisenä.</t>
        </r>
        <r>
          <rPr>
            <sz val="10"/>
            <color indexed="81"/>
            <rFont val="Tahoma"/>
            <family val="2"/>
          </rPr>
          <t xml:space="preserve">
Esim. myydään yrityksen kone, merkitään myyntihinta verottomana taseeseen sivu 6. T3 TASE -&gt; PYSYVÄT VASTAAVAT -&gt; 3. Koneet ja kalusto -&gt; riville 28 "Vähennykset tilikaudella".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B7" authorId="0" shapeId="0" xr:uid="{0582BCB8-2A45-464A-9CB5-9CA921B5C420}">
      <text>
        <r>
          <rPr>
            <sz val="10"/>
            <color indexed="81"/>
            <rFont val="Tahoma"/>
            <family val="2"/>
          </rPr>
          <t>Yrityksen tiedot kirjoitetaan taulukkoon
 T1 Investointisuunnitelma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5" authorId="0" shapeId="0" xr:uid="{FA3235C6-2958-436A-BF70-913F6079D8CB}">
      <text>
        <r>
          <rPr>
            <b/>
            <sz val="11"/>
            <color indexed="81"/>
            <rFont val="Tahoma"/>
            <family val="2"/>
          </rPr>
          <t xml:space="preserve">KIRJOITA LUVUT ILMAN SENTTEJÄ KOKONAISLUKUINA! </t>
        </r>
        <r>
          <rPr>
            <b/>
            <sz val="10"/>
            <color indexed="81"/>
            <rFont val="Tahoma"/>
            <family val="2"/>
          </rPr>
          <t xml:space="preserve">
Sijoita yritykseen otettavat lainat, nostot, korot ja lyhennykset. </t>
        </r>
        <r>
          <rPr>
            <sz val="10"/>
            <color indexed="81"/>
            <rFont val="Tahoma"/>
            <family val="2"/>
          </rPr>
          <t xml:space="preserve">Jos teet ylimääräisiä lyhennyksiä tai lyhennyserien muutoksia niin ne merkitään taulukkoon 
5. T4 RAHOITUSSUUNNITELMA -taulukon kohtaan 19.  
Pääomalainat merkitään taulukkoon 1. T1 INVESTOINTISUUNNITELMA, kohtaan 14 
TARKISTA KORKOPROSENTIT RIVEILTÄ 40, 42 JA 44! </t>
        </r>
      </text>
    </comment>
    <comment ref="B8" authorId="0" shapeId="0" xr:uid="{9827A44C-7145-4A5C-93D7-2972773AEB3B}">
      <text>
        <r>
          <rPr>
            <b/>
            <sz val="10"/>
            <color indexed="81"/>
            <rFont val="Tahoma"/>
            <family val="2"/>
          </rPr>
          <t>Pitkäaikaisen lainan pituus on vähintään 2 vuotta.</t>
        </r>
        <r>
          <rPr>
            <sz val="10"/>
            <color indexed="81"/>
            <rFont val="Tahoma"/>
            <family val="2"/>
          </rPr>
          <t xml:space="preserve"> 
Pitkäaikaisiin lainoihin kirjataan velkakirjalainat, jotka on saatu  
- rahalaitoksilta
- vakuutusyhtiöiltä
- omistajilta ja muilta yksityisiltä rahoittajilta
Pääomalainat sijoitetaan 1. T1 Investointisuunnitelmaan</t>
        </r>
      </text>
    </comment>
    <comment ref="B13" authorId="0" shapeId="0" xr:uid="{136FC5E6-0C09-4A61-A0C9-CCF874FCF61F}">
      <text>
        <r>
          <rPr>
            <sz val="10"/>
            <color indexed="81"/>
            <rFont val="Tahoma"/>
            <family val="2"/>
          </rPr>
          <t>Ensimmäisenä vuonna nostettavat lainat. Nimeä laina/rahoittaja.
Ei pääomalainoja, pääomalaina sijoitetaan taulukkoon 1.
T1 INVESTOINTISUUNNITELMA kohtaan 14.</t>
        </r>
      </text>
    </comment>
    <comment ref="C13" authorId="0" shapeId="0" xr:uid="{452447A6-0879-46E0-A712-BEC5DD40DB81}">
      <text>
        <r>
          <rPr>
            <sz val="10"/>
            <color indexed="81"/>
            <rFont val="Tahoma"/>
            <family val="2"/>
          </rPr>
          <t>Uuden nostettavan lainan määräksi merkitään nostettava lainasumma. Jos laina nostetaan useassa erässä, merkitään jokainen nosto eri lainaksi.</t>
        </r>
      </text>
    </comment>
    <comment ref="D13" authorId="0" shapeId="0" xr:uid="{95DC84F4-3399-425D-A5F5-87141367DBC7}">
      <text>
        <r>
          <rPr>
            <b/>
            <sz val="10"/>
            <color indexed="81"/>
            <rFont val="Tahoma"/>
            <family val="2"/>
          </rPr>
          <t xml:space="preserve">Lainanpituus oltava vähintään 2 vuotta.
</t>
        </r>
        <r>
          <rPr>
            <sz val="10"/>
            <color indexed="81"/>
            <rFont val="Tahoma"/>
            <family val="2"/>
          </rPr>
          <t xml:space="preserve">Kirjoita vuosiluku kokonaislukuna ilman desimaaleja. 
Jos lainan takaisinmaksuaika on 1 vuosi, on laina lyhytaikainen, sijoita kohtaan: Lyhytaikaiset lainat (limiittilaina). </t>
        </r>
      </text>
    </comment>
    <comment ref="G13" authorId="0" shapeId="0" xr:uid="{4429E213-DF44-4FC3-8249-E53D65D92F22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B18" authorId="0" shapeId="0" xr:uid="{48791181-9356-4F24-9FD7-A893E57A5E98}">
      <text>
        <r>
          <rPr>
            <sz val="10"/>
            <color indexed="81"/>
            <rFont val="Tahoma"/>
            <family val="2"/>
          </rPr>
          <t>Toisena vuonna nostettavat lainat. 
Ei pääomalainoja, pääomalaina sijoitetaan taulukkoon 1.
T1 INVESTOINTISUUNNITELMA kohtaan 14.</t>
        </r>
      </text>
    </comment>
    <comment ref="C18" authorId="0" shapeId="0" xr:uid="{AA991503-4A99-4CB1-A23A-DE2992A93C82}">
      <text>
        <r>
          <rPr>
            <sz val="10"/>
            <color indexed="81"/>
            <rFont val="Tahoma"/>
            <family val="2"/>
          </rPr>
          <t>Uuden nostettavan lainan määräksi merkitään nostettava lainasumma. Jos laina nostetaan useassa erässä, merkitään jokainen nosto eri lainaksi.</t>
        </r>
      </text>
    </comment>
    <comment ref="D18" authorId="0" shapeId="0" xr:uid="{C6B708FD-9742-4F73-84DE-C630CC3676B2}">
      <text>
        <r>
          <rPr>
            <b/>
            <sz val="10"/>
            <color indexed="81"/>
            <rFont val="Tahoma"/>
            <family val="2"/>
          </rPr>
          <t>Kirjoita vuosiluku kokonaislukuna ilman desimaaleja</t>
        </r>
        <r>
          <rPr>
            <sz val="10"/>
            <color indexed="81"/>
            <rFont val="Tahoma"/>
            <family val="2"/>
          </rPr>
          <t>. Jos lainan takaisinmaksuaika on 1 vuosi, on laina lyhytaikainen. Summa merkitään 6. T3 TASE soluun G77.</t>
        </r>
      </text>
    </comment>
    <comment ref="J18" authorId="0" shapeId="0" xr:uid="{140C3380-8DAB-4ACA-B92C-B77B79E63C4E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B23" authorId="0" shapeId="0" xr:uid="{24629EA9-01A1-43D6-A7FD-F5E76850A5E4}">
      <text>
        <r>
          <rPr>
            <sz val="10"/>
            <color indexed="81"/>
            <rFont val="Tahoma"/>
            <family val="2"/>
          </rPr>
          <t>Kolmantena vuonna nostettavat lainat. 
Ei pääomalainoja, pääomalaina sijoitetaan taulukkoon 1.
T1 INVESTOINTISUUNNITELMA kohtaan 14.</t>
        </r>
      </text>
    </comment>
    <comment ref="B28" authorId="0" shapeId="0" xr:uid="{EF4FB88F-52E3-426E-B88A-94F3DCABFD0D}">
      <text>
        <r>
          <rPr>
            <sz val="10"/>
            <color indexed="81"/>
            <rFont val="Tahoma"/>
            <family val="2"/>
          </rPr>
          <t>Neljäntenä vuonna nostettavat lainat. 
Ei pääomalainoja, pääomalaina sijoitetaan taulukkoon 1.
T1 INVESTOINTISUUNNITELMA kohtaan 14.</t>
        </r>
      </text>
    </comment>
    <comment ref="B34" authorId="0" shapeId="0" xr:uid="{E99D2A2F-4DA8-456A-BED6-862A716DE220}">
      <text>
        <r>
          <rPr>
            <sz val="10"/>
            <color indexed="81"/>
            <rFont val="Tahoma"/>
            <family val="2"/>
          </rPr>
          <t>Ensimmäisenä vuonna nostettu osamaksuvelka.
Voit nimetä lainan/rahoittajan.</t>
        </r>
      </text>
    </comment>
    <comment ref="D34" authorId="0" shapeId="0" xr:uid="{03D3D5D6-9E42-4D37-BC66-20218428BEA3}">
      <text>
        <r>
          <rPr>
            <sz val="10"/>
            <color indexed="81"/>
            <rFont val="Tahoma"/>
            <family val="2"/>
          </rPr>
          <t>Luvun on oltava kokonaisluku. Osamaksuvelan lyhin laina-aika on 2 vuotta.</t>
        </r>
      </text>
    </comment>
    <comment ref="B35" authorId="0" shapeId="0" xr:uid="{D09F8348-0CCB-402A-89D6-7674F03E10CD}">
      <text>
        <r>
          <rPr>
            <sz val="10"/>
            <color indexed="81"/>
            <rFont val="Tahoma"/>
            <family val="2"/>
          </rPr>
          <t>Toisena vuonna nostettu osamaksuvelka.
Voit nimetä lainan/rahoittajan.</t>
        </r>
      </text>
    </comment>
    <comment ref="B36" authorId="0" shapeId="0" xr:uid="{3A7E93DE-0907-4316-970C-3DC9AD354F00}">
      <text>
        <r>
          <rPr>
            <sz val="10"/>
            <color indexed="81"/>
            <rFont val="Tahoma"/>
            <family val="2"/>
          </rPr>
          <t>Kolmantena vuonna nostettu osamaksuvelka.
Voit nimetä lainan/rahoittajan.</t>
        </r>
      </text>
    </comment>
    <comment ref="B37" authorId="0" shapeId="0" xr:uid="{00C8BF81-09A2-4E87-9C94-7905FE33F565}">
      <text>
        <r>
          <rPr>
            <sz val="10"/>
            <color indexed="81"/>
            <rFont val="Tahoma"/>
            <family val="2"/>
          </rPr>
          <t>Neljäntenä vuonna nostettu osamaksuvelka.
Voit nimetä lainan/rahoittajan.</t>
        </r>
      </text>
    </comment>
    <comment ref="B40" authorId="0" shapeId="0" xr:uid="{0B7A0AD9-EAC7-4205-923A-6B700FC8FA61}">
      <text>
        <r>
          <rPr>
            <sz val="10"/>
            <color indexed="81"/>
            <rFont val="Tahoma"/>
            <family val="2"/>
          </rPr>
          <t xml:space="preserve">Lisää lyhytaikaiset rahalaitoslainat (laina-aika alle 1 vuosi). Yleensä limiittilaina (tai luotollinen tili) tarkoittaa joustavaa luottoa, jossa pankki tai rahoituslaitos myöntää tilillesi ennalta sovitun luottorajan (limiitin). </t>
        </r>
        <r>
          <rPr>
            <b/>
            <sz val="10"/>
            <color indexed="81"/>
            <rFont val="Tahoma"/>
            <family val="2"/>
          </rPr>
          <t xml:space="preserve">Sijoita summa, joka limiittitililtä on keskimäärin käytössä vuodessa. </t>
        </r>
      </text>
    </comment>
    <comment ref="C42" authorId="0" shapeId="0" xr:uid="{9572E91A-9AE9-4D77-BC6D-6516850ABC36}">
      <text>
        <r>
          <rPr>
            <sz val="10"/>
            <color indexed="81"/>
            <rFont val="Tahoma"/>
            <family val="2"/>
          </rPr>
          <t>Pääomalainat sijoitetaan taulukkoon 1. T1 INVESTOINTISUUNNITELMA, solu E49.</t>
        </r>
      </text>
    </comment>
    <comment ref="C44" authorId="0" shapeId="0" xr:uid="{5681A661-D556-42C1-9910-98F1905F6420}">
      <text>
        <r>
          <rPr>
            <b/>
            <sz val="10"/>
            <color indexed="81"/>
            <rFont val="Tahoma"/>
            <family val="2"/>
          </rPr>
          <t xml:space="preserve">Ilman velkakirjaa </t>
        </r>
        <r>
          <rPr>
            <sz val="10"/>
            <color indexed="81"/>
            <rFont val="Tahoma"/>
            <family val="2"/>
          </rPr>
          <t>esim.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Tahoma"/>
            <family val="2"/>
          </rPr>
          <t>omistajilta, työntekijöiltä ja yksityishenkilöiltä saatujen velkojen yhteissumma.
Siirtyy taulukkoon 6. T3 TASE soluun G73: 4. Muut pitkäaikaiset velat.</t>
        </r>
      </text>
    </comment>
    <comment ref="G44" authorId="0" shapeId="0" xr:uid="{4A49E173-8A4C-4EF5-BA2E-96B6D03FB6AE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P44" authorId="0" shapeId="0" xr:uid="{7DFEC36B-C62E-41F2-A4DA-11C433F86EB6}">
      <text>
        <r>
          <rPr>
            <sz val="10"/>
            <color indexed="81"/>
            <rFont val="Tahoma"/>
            <family val="2"/>
          </rPr>
          <t>Laske lyhennyserän suuruus, myös viimeinen erä oikein! Nollaa viimeinen erä tarvittaessa.</t>
        </r>
      </text>
    </comment>
    <comment ref="H46" authorId="0" shapeId="0" xr:uid="{BB651729-8798-4338-8625-5297DE50D4C3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K46" authorId="0" shapeId="0" xr:uid="{160C00C8-8800-4951-81BA-C5C93E19FE3D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N46" authorId="0" shapeId="0" xr:uid="{B68C8622-BA9D-4589-A597-26C806CDB004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Q46" authorId="0" shapeId="0" xr:uid="{98D3D3A2-ED99-481A-87B6-EDB7422F47C5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A4" authorId="0" shapeId="0" xr:uid="{99B1CD7E-E80D-433F-8108-46A08D88C0AD}">
      <text>
        <r>
          <rPr>
            <b/>
            <sz val="10"/>
            <color indexed="81"/>
            <rFont val="Tahoma"/>
            <family val="2"/>
          </rPr>
          <t xml:space="preserve">TÄYTETÄÄN 1. ENNUSTEVUODEN KELTAISET SOLUT. 
KIRJOITA LUVUT +PLUS-MERKKISINÄ.  
</t>
        </r>
        <r>
          <rPr>
            <sz val="10"/>
            <color indexed="81"/>
            <rFont val="Tahoma"/>
            <family val="2"/>
          </rPr>
          <t xml:space="preserve">
Arvonlisäverolliset yritykset laskevat t</t>
        </r>
        <r>
          <rPr>
            <b/>
            <sz val="10"/>
            <color indexed="81"/>
            <rFont val="Tahoma"/>
            <family val="2"/>
          </rPr>
          <t>oimintakustannukset ilman arvonlisäveroa (alv 0 %) ja arvonlisäverottomat toimialat verollisin hinnoin sis.alv.</t>
        </r>
      </text>
    </comment>
    <comment ref="D13" authorId="0" shapeId="0" xr:uid="{DDB893C6-9483-4A72-9204-8A8A2F69CC0B}">
      <text>
        <r>
          <rPr>
            <b/>
            <sz val="10"/>
            <color indexed="81"/>
            <rFont val="Tahoma"/>
            <family val="2"/>
          </rPr>
          <t xml:space="preserve">YKSITYISOTTO (Tmi, Ky, Ay) merkitään taulukkoon 
5. T4 RAHOITUSSUUNNITELMAn soluun H39 - K39. Muista lisätä/tarkistaa YEL-työtulon määrä solussa F35!
</t>
        </r>
        <r>
          <rPr>
            <sz val="10"/>
            <color indexed="81"/>
            <rFont val="Tahoma"/>
            <family val="2"/>
          </rPr>
          <t xml:space="preserve">Toiminimiyrittäjä, liikkeenharjoittaja ei voi maksaa palkkaa itselleen, puolisolleen tai alle 14-vuotiaalle lapselleen. Yrittäjä nostaa itselleen rahaa yrityksen tililtä yksityisottona. </t>
        </r>
        <r>
          <rPr>
            <b/>
            <sz val="10"/>
            <color indexed="81"/>
            <rFont val="Tahoma"/>
            <family val="2"/>
          </rPr>
          <t xml:space="preserve">
Avoimen ja kommandiittiyhtiön
</t>
        </r>
        <r>
          <rPr>
            <sz val="10"/>
            <color indexed="81"/>
            <rFont val="Tahoma"/>
            <family val="2"/>
          </rPr>
          <t>Yhtiömies voi maksaa itselleen palkkaa ja/tai tehdä yksityisottoja.</t>
        </r>
        <r>
          <rPr>
            <b/>
            <sz val="10"/>
            <color indexed="81"/>
            <rFont val="Tahoma"/>
            <family val="2"/>
          </rPr>
          <t xml:space="preserve">
Osakeyhtiö
</t>
        </r>
        <r>
          <rPr>
            <sz val="10"/>
            <color indexed="81"/>
            <rFont val="Tahoma"/>
            <family val="2"/>
          </rPr>
          <t>Yrittäjä maksaa itselleen normaalisti palkkaa, mutta palkanmaksu ei ole pakollista. Yksityisottoja ei voi nostaa osakeyhtiössä.</t>
        </r>
      </text>
    </comment>
    <comment ref="M13" authorId="0" shapeId="0" xr:uid="{F173E6CC-3872-4D1D-9581-1D66BE5EDE99}">
      <text>
        <r>
          <rPr>
            <sz val="10"/>
            <color indexed="81"/>
            <rFont val="Tahoma"/>
            <family val="2"/>
          </rPr>
          <t>Kustannusten muutosprosentti. Muuta prosenttilukua tarvittaessa tai kirjoita luku suoraan taulukkoon.</t>
        </r>
      </text>
    </comment>
    <comment ref="D14" authorId="0" shapeId="0" xr:uid="{095A9633-B80C-4D8D-A0F3-DE7481C8AF3E}">
      <text>
        <r>
          <rPr>
            <sz val="10"/>
            <color indexed="81"/>
            <rFont val="Tahoma"/>
            <family val="2"/>
          </rPr>
          <t>Luontoisetuja ei voi antaa toiminimiyrittäjälle. Avoimessa ja kommandiittiyhtiössä mahdollista, jos yhtiömiehille maksetaan palkkaa.</t>
        </r>
      </text>
    </comment>
    <comment ref="D15" authorId="0" shapeId="0" xr:uid="{0239FC53-AABA-43B9-816F-9BE39B105282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15" authorId="0" shapeId="0" xr:uid="{2C4D9639-4F18-4CC3-8E31-5D08D0CB8F97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16" authorId="0" shapeId="0" xr:uid="{E59DB2D9-D656-41DA-B2AA-E57F82D581E4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19" authorId="1" shapeId="0" xr:uid="{00000000-0006-0000-0800-00000A000000}">
      <text>
        <r>
          <rPr>
            <sz val="10"/>
            <color indexed="81"/>
            <rFont val="Tahoma"/>
            <family val="2"/>
          </rPr>
          <t>Työtunnit kuukaudessa
- 8 h työpäivä = 172 h/kk
- 7,6 h työpäivä = 162 h/kk</t>
        </r>
      </text>
    </comment>
    <comment ref="D21" authorId="0" shapeId="0" xr:uid="{1D1DF096-2F83-4951-8519-B1744A4C4496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21" authorId="0" shapeId="0" xr:uid="{BBF74039-9374-4952-B7ED-7AAEDF7647B3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23" authorId="0" shapeId="0" xr:uid="{E1E33D39-07FE-4BBB-9940-FE3D92E38C0F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27" authorId="0" shapeId="0" xr:uid="{A7E3B8C9-A54D-4AE3-98EA-C73F3D42BF84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27" authorId="0" shapeId="0" xr:uid="{C46693CD-BBB9-4454-8BEB-52A2B6DE89A3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29" authorId="0" shapeId="0" xr:uid="{9FABA0A9-FBCE-432B-A53C-31B809279BBF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33" authorId="0" shapeId="0" xr:uid="{735698B0-F548-4058-AAEB-0EF6D20E02AC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Yritys maksaa vakuutusyhtiölle TyEL-maksua keskimäärin 17,1 % palkoista.</t>
        </r>
      </text>
    </comment>
    <comment ref="D35" authorId="0" shapeId="0" xr:uid="{2355FAE0-458D-4D9C-B2AD-118C7065A69E}">
      <text>
        <r>
          <rPr>
            <sz val="10"/>
            <color indexed="81"/>
            <rFont val="Tahoma"/>
            <family val="2"/>
          </rPr>
          <t>YEL-yrittäjien työtulo yhteensä, jonka perusteella lasketaan eläkevakuutusmaksu. Lukua voidaan muuttaa.
Työtulo voi olla nolla vain, jos yrittäjän eläketurva on jo järjestetty toisessa yrityksessä.</t>
        </r>
      </text>
    </comment>
    <comment ref="D36" authorId="0" shapeId="0" xr:uid="{239BC754-7700-460A-957C-2BD8BE1710D2}">
      <text>
        <r>
          <rPr>
            <sz val="10"/>
            <color indexed="81"/>
            <rFont val="Tahoma"/>
            <family val="2"/>
          </rPr>
          <t>Aloittava yrittäjä saa 22 % alennuksen eläkemaksuista ensimmäiset neljä vuotta.
• normaali 24,4 % 
• alennettu 19,03 %</t>
        </r>
      </text>
    </comment>
    <comment ref="D40" authorId="0" shapeId="0" xr:uid="{F6FFEAED-FDEC-467B-B10D-5D39A5AA3E8B}">
      <text>
        <r>
          <rPr>
            <b/>
            <sz val="10"/>
            <color indexed="81"/>
            <rFont val="Tahoma"/>
            <family val="2"/>
          </rPr>
          <t xml:space="preserve">Yritys maksaa 2026 
</t>
        </r>
        <r>
          <rPr>
            <sz val="10"/>
            <color indexed="81"/>
            <rFont val="Tahoma"/>
            <family val="2"/>
          </rPr>
          <t>- sairausvakuutusmaksua 1,91 %
- tapaturmavakuutusta keskimäärin 0,51 % (tapaturma-alttiilla aloilla jopa 7 %)
- henkivakuutusta 0,06 % 
- Työttömyysvakuutusta 0,31 %
Yhteensä keskimäärin 2,79 %, korota tapaturma-alttiilla aloilla.</t>
        </r>
      </text>
    </comment>
    <comment ref="D41" authorId="0" shapeId="0" xr:uid="{E2FD722D-A0F9-4B1A-8152-DA724C357A9F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- vapaaehtoinen tapaturma- ja ammattitautivakuutus 
  1,7 % YEL-työtulosta
- sairausvakuutusmaksu 1,91 % palkkatulosta</t>
        </r>
      </text>
    </comment>
    <comment ref="D42" authorId="0" shapeId="0" xr:uid="{BA3381CA-BC7A-4B11-AD14-D8CFACF6C6F9}">
      <text>
        <r>
          <rPr>
            <sz val="10"/>
            <color indexed="81"/>
            <rFont val="Tahoma"/>
            <family val="2"/>
          </rPr>
          <t>Ohjelma laskee yrityksen lainamäärän suuruisen henkivakuutuksen (= 0,008 * lainan määrä alussa). Summaa voidaan muuttaa.</t>
        </r>
      </text>
    </comment>
    <comment ref="D43" authorId="0" shapeId="0" xr:uid="{B2C2A969-825F-4B0C-BF9B-EEB9C3DEDBF8}">
      <text>
        <r>
          <rPr>
            <sz val="10"/>
            <color indexed="81"/>
            <rFont val="Tahoma"/>
            <family val="2"/>
          </rPr>
          <t>Vapaaehtoiset esim. henkivakuutusmaksut, sairaskuluvakuutus, matkavakuutus yms.</t>
        </r>
      </text>
    </comment>
    <comment ref="D51" authorId="0" shapeId="0" xr:uid="{01511AAD-9125-464C-909B-168128928C46}">
      <text>
        <r>
          <rPr>
            <sz val="10"/>
            <color indexed="81"/>
            <rFont val="Tahoma"/>
            <family val="2"/>
          </rPr>
          <t>Henkilökunnan ruokailu, henkilöstön hankinta, sisäiset palaverit, lahjat henkilökunnalle mm.</t>
        </r>
      </text>
    </comment>
    <comment ref="D54" authorId="0" shapeId="0" xr:uid="{2D23B3AF-AD5B-4A0A-919E-4C2779CF39D0}">
      <text>
        <r>
          <rPr>
            <sz val="10"/>
            <color indexed="81"/>
            <rFont val="Tahoma"/>
            <family val="2"/>
          </rPr>
          <t>Summa kirjoitetaan ilman alv:tä, jos alv voidaan vähentää. Jos alv:tä ei voida vähentää, kirjoitetaan summa verollisena. Asuntojen vuokraus on aina verotonta ja kirjoitetaan kohtaan 
3.23 Vuokrat, vastikkeet, hoitokulut alv 0 %.</t>
        </r>
      </text>
    </comment>
    <comment ref="C65" authorId="0" shapeId="0" xr:uid="{D6BD8A32-BD7A-46C2-83C1-9BA0C94784E9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Autot, koneet, laitteet yms. liikekäyttö.</t>
        </r>
        <r>
          <rPr>
            <sz val="10"/>
            <color indexed="81"/>
            <rFont val="Tahoma"/>
            <family val="2"/>
          </rPr>
          <t xml:space="preserve">
Jäännösarvo-% on rahoitusyhtiön arvio siitä, mikä auton tai koneen arvo on sopimuskauden päättyessä. 
Alv 0 %-koneiden kulut kohtaan 
3.21 Leasingkulut investoinnit alv 0 % </t>
        </r>
      </text>
    </comment>
    <comment ref="D74" authorId="0" shapeId="0" xr:uid="{4F21E1FE-7B25-4FDC-8AEF-6C10C55D03BA}">
      <text>
        <r>
          <rPr>
            <sz val="10"/>
            <color indexed="81"/>
            <rFont val="Tahoma"/>
            <family val="2"/>
          </rPr>
          <t>Kaikki tavanomaiset Atk-laitteet kuuluvat tähän ryhmään.</t>
        </r>
      </text>
    </comment>
    <comment ref="C76" authorId="1" shapeId="0" xr:uid="{4B7D0A18-3197-4E9D-BA8E-28F71504D02E}">
      <text>
        <r>
          <rPr>
            <sz val="10"/>
            <color indexed="81"/>
            <rFont val="Tahoma"/>
            <family val="2"/>
          </rPr>
          <t>Ei liikekäyttö -koneiden kulut kohtaan 
3.20 Ajoneuvo- ja konekulut, yksityiskäyttö.</t>
        </r>
      </text>
    </comment>
    <comment ref="C82" authorId="0" shapeId="0" xr:uid="{2F87E0B9-887D-431A-9420-C601B763A420}">
      <text>
        <r>
          <rPr>
            <sz val="10"/>
            <color indexed="81"/>
            <rFont val="Tahoma"/>
            <family val="2"/>
          </rPr>
          <t>Ei liikekäyttö -koneiden kulut kohtaan 
3.20 Ajoneuvo- ja konekulut, yksityiskäyttö</t>
        </r>
      </text>
    </comment>
    <comment ref="D84" authorId="0" shapeId="0" xr:uid="{D381FB98-9937-456D-8EFE-4A227C04DE4E}">
      <text>
        <r>
          <rPr>
            <sz val="10"/>
            <color indexed="81"/>
            <rFont val="Tahoma"/>
            <family val="2"/>
          </rPr>
          <t>Pienhankinnat ja hankinnat, joiden käyttöikä on alle 3 vuotta. Nämä voidaan vähentää verotuksessa kuluna kerralla:
- Pienhankinnat esim. käsityökalut, pienlaitteet, puhelimet, joiden 
  hinta on enintään 1200 € alv 0 % ja ostosten arvo yhteensä 3600 
  €/vuosi alv 0 %.
- Koneet ja laitteet (kuluva käyttöomaisuus), joiden todennäköinen 
  taloudellinen käyttöaika on alle 3 vuotta. Ei ylärajaa hinnalle.</t>
        </r>
      </text>
    </comment>
    <comment ref="D125" authorId="0" shapeId="0" xr:uid="{7540CA01-9574-4729-AF3D-F5F2A4EC6A54}">
      <text>
        <r>
          <rPr>
            <sz val="10"/>
            <color indexed="81"/>
            <rFont val="Tahoma"/>
            <family val="2"/>
          </rPr>
          <t xml:space="preserve">Eivät ole edustuskuluja. Voidaan vähentää verotuksessa. </t>
        </r>
      </text>
    </comment>
    <comment ref="D127" authorId="0" shapeId="0" xr:uid="{42163DF3-37E5-4955-B536-FED4EC36C56D}">
      <text>
        <r>
          <rPr>
            <sz val="10"/>
            <color indexed="81"/>
            <rFont val="Tahoma"/>
            <family val="2"/>
          </rPr>
          <t xml:space="preserve">Tarkoittaa ei liiketoiminnan käytön (esim. työsuhdeauto) koneiden ja laitteiden kustannuksia mm. polttoaine, sähkö, huollot. Näistä kuluista ei voida vähentää arvonlisäveroa. </t>
        </r>
        <r>
          <rPr>
            <b/>
            <sz val="10"/>
            <color indexed="81"/>
            <rFont val="Tahoma"/>
            <family val="2"/>
          </rPr>
          <t>Sijoita vakuutukset ja käyttömaksut kohtaan 3.16 Vakuutukset.</t>
        </r>
      </text>
    </comment>
    <comment ref="D128" authorId="0" shapeId="0" xr:uid="{E13148F7-AFBC-41A9-BC2C-BD17D18A1AE1}">
      <text>
        <r>
          <rPr>
            <sz val="10"/>
            <color indexed="81"/>
            <rFont val="Tahoma"/>
            <family val="2"/>
          </rPr>
          <t>Tarkoittaa alv 0 % investointien leasingrahoituksen vuosikustannuksia. Kuluista ei voida vähentää arvonlisäveroa.</t>
        </r>
      </text>
    </comment>
    <comment ref="F128" authorId="0" shapeId="0" xr:uid="{BA95E30F-2493-4F4E-8CD5-2B022468B258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H128" authorId="0" shapeId="0" xr:uid="{6184EB2B-DA96-4C96-BEF0-0C7F3B997720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J128" authorId="0" shapeId="0" xr:uid="{84A0407C-D0E8-4F2B-88E4-08710B0AC25B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D129" authorId="0" shapeId="0" xr:uid="{411370BC-E268-48D8-B415-71FB3BBB672D}">
      <text>
        <r>
          <rPr>
            <sz val="10"/>
            <color indexed="81"/>
            <rFont val="Tahoma"/>
            <family val="2"/>
          </rPr>
          <t xml:space="preserve">Ulkopuoliset palvelut, jotka </t>
        </r>
        <r>
          <rPr>
            <b/>
            <sz val="10"/>
            <color indexed="81"/>
            <rFont val="Tahoma"/>
            <family val="2"/>
          </rPr>
          <t>eivät liity varsinaiseen liiketoimintaan.</t>
        </r>
        <r>
          <rPr>
            <sz val="10"/>
            <color indexed="81"/>
            <rFont val="Tahoma"/>
            <family val="2"/>
          </rPr>
          <t xml:space="preserve">
Alihankinta- ja työvoimanvuokraus sijoitetaan taulukkoon:
7. T2 Tulossuunnitelma -&gt; Ulkopuoliset palvelut.</t>
        </r>
      </text>
    </comment>
    <comment ref="D130" authorId="0" shapeId="0" xr:uid="{52A5F121-3025-4DE3-879C-D0B9CF1911EE}">
      <text>
        <r>
          <rPr>
            <sz val="10"/>
            <color indexed="81"/>
            <rFont val="Tahoma"/>
            <family val="2"/>
          </rPr>
          <t xml:space="preserve">Asuntojen vuokraus on aina verotonta. Asuntojen vuokraukseen liittyvät kaikki kulut (esim. sähkö, korjaus) ovat alv-vähennyskelvottomia ja kirjoitetaan sis. alv.  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3" authorId="0" shapeId="0" xr:uid="{FD7BE3D7-8F94-4790-9277-D7667976662D}">
      <text>
        <r>
          <rPr>
            <b/>
            <sz val="11"/>
            <color indexed="81"/>
            <rFont val="Tahoma"/>
            <family val="2"/>
          </rPr>
          <t>AINEKÄYTTÖ/HANKINNAT + MERKKISINÄ!</t>
        </r>
        <r>
          <rPr>
            <sz val="10"/>
            <color indexed="81"/>
            <rFont val="Tahoma"/>
            <family val="2"/>
          </rPr>
          <t xml:space="preserve">
Valitse alv-% tuotekohtaisesti!
Huomaa vuosimuutosprosentit oikealla!
Jos tilikauden pituus on muu kuin 12 kk, laske myynti vastaamaan tilikauden pituutta. Korjaa tulevat tilikaudet vastaamaan 12 kk myyntiä.</t>
        </r>
      </text>
    </comment>
    <comment ref="L19" authorId="0" shapeId="0" xr:uid="{831AB43E-AEC4-43BC-86AA-9B92A36CD65C}">
      <text>
        <r>
          <rPr>
            <sz val="10"/>
            <color indexed="81"/>
            <rFont val="Tahoma"/>
            <family val="2"/>
          </rPr>
          <t>Myyntihintaa tulee nostaa vuosittain, sillä kustannukset nousevat. Ilmoita muutosprosentti.</t>
        </r>
      </text>
    </comment>
    <comment ref="E20" authorId="0" shapeId="0" xr:uid="{9458918A-03C8-466B-A789-CCD2A2FA98E3}">
      <text>
        <r>
          <rPr>
            <sz val="10"/>
            <color indexed="81"/>
            <rFont val="Tahoma"/>
            <family val="2"/>
          </rPr>
          <t xml:space="preserve">Ainekäyttö-% tarkoittaa materiaalin, osien ja ostettujen palveluiden osuutta myyntihinnasta. 
</t>
        </r>
        <r>
          <rPr>
            <b/>
            <sz val="10"/>
            <color indexed="81"/>
            <rFont val="Tahoma"/>
            <family val="2"/>
          </rPr>
          <t>Esim.</t>
        </r>
        <r>
          <rPr>
            <sz val="10"/>
            <color indexed="81"/>
            <rFont val="Tahoma"/>
            <family val="2"/>
          </rPr>
          <t xml:space="preserve"> Tuotteen myyntihinta on 100 € ja tuotteen valmistamiseen tarvittavien hankintojen kustannukset ovat 30 €. 
Ainekäyttöprosentti on 100 * 30 €/100 € = 30 %.
Hävikki lisättävä ainekäyttöprosenttiin!
</t>
        </r>
        <r>
          <rPr>
            <b/>
            <sz val="10"/>
            <color indexed="81"/>
            <rFont val="Tahoma"/>
            <family val="2"/>
          </rPr>
          <t>Yrityskaupan yhteydessä ainekäyttöprosenttia määriteltäessä otettava huomioon yrityskauppaan kuuluva vaihto-omaisuus.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G16" authorId="0" shapeId="0" xr:uid="{30B7BF61-9A98-4777-BE08-F28A4D21098E}">
      <text>
        <r>
          <rPr>
            <sz val="10"/>
            <color indexed="81"/>
            <rFont val="Tahoma"/>
            <family val="2"/>
          </rPr>
          <t>1. T1 INVESTOINTISUUNNITELMAn kohdat 12</t>
        </r>
      </text>
    </comment>
    <comment ref="L16" authorId="0" shapeId="0" xr:uid="{5CB36F09-9AF3-48BA-B3F8-A68281D769C3}">
      <text>
        <r>
          <rPr>
            <b/>
            <sz val="10"/>
            <color indexed="81"/>
            <rFont val="Tahoma"/>
            <family val="2"/>
          </rPr>
          <t xml:space="preserve">Sijoitettu pääoma = </t>
        </r>
        <r>
          <rPr>
            <sz val="10"/>
            <color indexed="81"/>
            <rFont val="Tahoma"/>
            <family val="2"/>
          </rPr>
          <t xml:space="preserve">
Oikaistu oma pääoma + sijoitettu korollinen vieras pääoma.
Sijoitettu pääoma lasketaan tilikauden alun ja lopun keskiarvona. Jos tilikauden oikaistu oma pääoma on negatiivinen, on sijoitettu pääoma kuitenkin sijoitetun vieraan pääoman suuruinen.</t>
        </r>
      </text>
    </comment>
    <comment ref="L19" authorId="0" shapeId="0" xr:uid="{30C0A17F-AE00-4B61-ACFA-C9402BF6F6D7}">
      <text>
        <r>
          <rPr>
            <sz val="10"/>
            <color indexed="81"/>
            <rFont val="Tahoma"/>
            <family val="2"/>
          </rPr>
          <t xml:space="preserve">Käyttökateprosentti kertoo liiketoiminnan tuloksen ennen poistoja ja rahoituseriä. Kateprosenttia verrataan toisiin saman toimialan yrityksiin.
</t>
        </r>
        <r>
          <rPr>
            <b/>
            <sz val="10"/>
            <color indexed="81"/>
            <rFont val="Tahoma"/>
            <family val="2"/>
          </rPr>
          <t xml:space="preserve">
Käyttökate-% = </t>
        </r>
        <r>
          <rPr>
            <sz val="10"/>
            <color indexed="81"/>
            <rFont val="Tahoma"/>
            <family val="2"/>
          </rPr>
          <t xml:space="preserve">
100 x Käyttökate / Liiketoiminnan tuotot yhteensä.</t>
        </r>
      </text>
    </comment>
    <comment ref="L21" authorId="0" shapeId="0" xr:uid="{139F009E-3CB3-45AF-A1FD-07E6C5AC61F4}">
      <text>
        <r>
          <rPr>
            <sz val="10"/>
            <color indexed="81"/>
            <rFont val="Tahoma"/>
            <family val="2"/>
          </rPr>
          <t>Liiketulos kertoo, kuinka paljon varsinaisen liiketoiminnan tuotoista on jäljellä ennen rahoituseriä ja veroja. Liiketulosprosenttia verrataan toisiin saman toimialan yrityksiin.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10 %
- tyydyttävä 5 -10 %
- heikko alle 5 %.
</t>
        </r>
        <r>
          <rPr>
            <b/>
            <sz val="10"/>
            <color indexed="81"/>
            <rFont val="Tahoma"/>
            <family val="2"/>
          </rPr>
          <t xml:space="preserve">Liiketulos-% </t>
        </r>
        <r>
          <rPr>
            <sz val="10"/>
            <color indexed="81"/>
            <rFont val="Tahoma"/>
            <family val="2"/>
          </rPr>
          <t>= 100 x Liiketulos / liiketoiminnan tuotot yhteensä.</t>
        </r>
      </text>
    </comment>
    <comment ref="L25" authorId="0" shapeId="0" xr:uid="{68300266-4FF9-4CA7-8650-8F72C625C941}">
      <text>
        <r>
          <rPr>
            <sz val="10"/>
            <color indexed="81"/>
            <rFont val="Tahoma"/>
            <family val="2"/>
          </rPr>
          <t xml:space="preserve">Tuottoprosentti mittaa suhteellista kannattavuutta eli sitä tuottoa, joka on saatu yritykseen sijoitetulle, korkoa tai muuta tuottoa vaativalle pääomalle.
</t>
        </r>
        <r>
          <rPr>
            <b/>
            <sz val="10"/>
            <color indexed="81"/>
            <rFont val="Tahoma"/>
            <family val="2"/>
          </rPr>
          <t xml:space="preserve">
Sijoitetun pääoman tuotto-% =</t>
        </r>
        <r>
          <rPr>
            <sz val="10"/>
            <color indexed="81"/>
            <rFont val="Tahoma"/>
            <family val="2"/>
          </rPr>
          <t xml:space="preserve">
100 x (nettotulos + rahoituskulut + verot) / sijoitettu pääoma keskimäärin.</t>
        </r>
      </text>
    </comment>
    <comment ref="L27" authorId="0" shapeId="0" xr:uid="{19626146-59E0-44C9-BB88-28D66EBD0088}">
      <text>
        <r>
          <rPr>
            <sz val="10"/>
            <color indexed="81"/>
            <rFont val="Tahoma"/>
            <family val="2"/>
          </rPr>
          <t>Luku mittaa yrityksen mahdollisuutta selviytyä lyhytaikaisista veloistaan pelkällä rahoitusomaisuudellaan.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1
- tyydyttävä 0,5 - 1
- heikko alle 0,5
</t>
        </r>
        <r>
          <rPr>
            <b/>
            <sz val="10"/>
            <color indexed="81"/>
            <rFont val="Tahoma"/>
            <family val="2"/>
          </rPr>
          <t xml:space="preserve">
Lyhytaikainen maksuvalmius =</t>
        </r>
        <r>
          <rPr>
            <sz val="10"/>
            <color indexed="81"/>
            <rFont val="Tahoma"/>
            <family val="2"/>
          </rPr>
          <t xml:space="preserve">
Rahoitusomaisuus (= rahat + rahoitusarvopaperit) / lyhytaikainen vieras pääoma</t>
        </r>
      </text>
    </comment>
    <comment ref="G29" authorId="0" shapeId="0" xr:uid="{FAD9B483-E42A-47FB-B6A4-9DD93BC70C3C}">
      <text>
        <r>
          <rPr>
            <sz val="10"/>
            <color indexed="81"/>
            <rFont val="Tahoma"/>
            <family val="2"/>
          </rPr>
          <t>6. T3 TASEesta siirtynyt
- Rahoitusarvopapereiden lisäys tai vähennys</t>
        </r>
      </text>
    </comment>
    <comment ref="L29" authorId="0" shapeId="0" xr:uid="{F36E6A65-2375-4506-A959-9C2FB012EC99}">
      <text>
        <r>
          <rPr>
            <sz val="10"/>
            <color indexed="81"/>
            <rFont val="Tahoma"/>
            <family val="2"/>
          </rPr>
          <t xml:space="preserve">Current ratiossa ajatellaan, että myös vaihto-omaisuus voidaan realisoida lyhytaikaisten velkojen maksamiseen.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Ohjearvoja: 
- hyvä yli 2
- tyydyttävä 1-2
- heikko alle 1
Pitkäaikainen maksuvalmius =
Vaihto-omaisuus + rahoitusomaisuus  / lyhytaikainen vieras pääoma</t>
        </r>
      </text>
    </comment>
    <comment ref="L31" authorId="0" shapeId="0" xr:uid="{E6068233-FB64-43F3-9A08-30A72C5D7239}">
      <text>
        <r>
          <rPr>
            <b/>
            <sz val="10"/>
            <color indexed="81"/>
            <rFont val="Tahoma"/>
            <family val="2"/>
          </rPr>
          <t xml:space="preserve">Vieraan pääoman takaisinmaksuaika = </t>
        </r>
        <r>
          <rPr>
            <sz val="10"/>
            <color indexed="81"/>
            <rFont val="Tahoma"/>
            <family val="2"/>
          </rPr>
          <t xml:space="preserve">
Sijoitettu vieras pääoma tilikauden lopussa / rahoitustulos
Ohjearvoja: Luku pienempi kuin pitkäaikaisten lainojen keskimääräinen takaisinmaksuaika.</t>
        </r>
      </text>
    </comment>
    <comment ref="L32" authorId="0" shapeId="0" xr:uid="{62249ED3-F8B6-4C58-A8B2-8C6F7AA946ED}">
      <text>
        <r>
          <rPr>
            <sz val="10"/>
            <color indexed="81"/>
            <rFont val="Tahoma"/>
            <family val="2"/>
          </rPr>
          <t xml:space="preserve">Hoitokate vertaa tuloksen rahoituksellista riittävyyttä vieraan pääoman velvoitteiden hoitamiseen.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2
- tyydyttävä 1 - 2
- heikko alle 1 
</t>
        </r>
        <r>
          <rPr>
            <b/>
            <sz val="10"/>
            <color indexed="81"/>
            <rFont val="Tahoma"/>
            <family val="2"/>
          </rPr>
          <t xml:space="preserve">Lainojen hoitokate = </t>
        </r>
        <r>
          <rPr>
            <sz val="10"/>
            <color indexed="81"/>
            <rFont val="Tahoma"/>
            <family val="2"/>
          </rPr>
          <t xml:space="preserve">
(rahoituskulut + rahoitustulos) / (rahoituskulut + pitkäaikaisten lainojen lyhennykset) </t>
        </r>
      </text>
    </comment>
    <comment ref="G35" authorId="0" shapeId="0" xr:uid="{30060CB6-81B9-41E2-80C1-C782346C5709}">
      <text>
        <r>
          <rPr>
            <sz val="10"/>
            <color indexed="81"/>
            <rFont val="Tahoma"/>
            <family val="2"/>
          </rPr>
          <t>Lisälyhennys + merkkinen.
Lyhennyserän pienentäminen - merkkinen.</t>
        </r>
      </text>
    </comment>
    <comment ref="L35" authorId="0" shapeId="0" xr:uid="{586C8692-99A9-4FBA-B62F-ABAF7C0DF74F}">
      <text>
        <r>
          <rPr>
            <sz val="10"/>
            <color indexed="81"/>
            <rFont val="Tahoma"/>
            <family val="2"/>
          </rPr>
          <t xml:space="preserve">Omavaraisuusaste mittaa yrityksen vakavaraisuutta, yrityksen tappionsietokykyä ja kykyä selviytyä sitoumuksistaan pitkällä aikavälillä.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
- hyvä yli 40 %
- tyydyttävä 20 -40 %
- heikko alle 20 %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Omavaraisuusaste =
100 x oikaistu oma pääoma / (oikaistun taseen loppusumma - saadut ennakot)</t>
        </r>
      </text>
    </comment>
    <comment ref="L37" authorId="0" shapeId="0" xr:uid="{4C34F382-0848-4E01-8BCA-A2B331C756E8}">
      <text>
        <r>
          <rPr>
            <sz val="10"/>
            <color indexed="81"/>
            <rFont val="Tahoma"/>
            <family val="2"/>
          </rPr>
          <t xml:space="preserve">Tunnusluku ilmoittaa, kuinka hyvin oma pääoma kattaa korollisen vieraan pääoman määrän.  
Ohjearvoja: 
- hyvä alle 1
- jos luku on nolla (tyhjä solu) tai alle 0, niin yritys on nettovelaton. Jos negatiivinen arvo johtuu negatiivisesta omasta pääomasta, on tunnusluku heikko.
</t>
        </r>
        <r>
          <rPr>
            <b/>
            <sz val="10"/>
            <color indexed="81"/>
            <rFont val="Tahoma"/>
            <family val="2"/>
          </rPr>
          <t>Net Gearing (nettovelkaantumisaste) =</t>
        </r>
        <r>
          <rPr>
            <sz val="10"/>
            <color indexed="81"/>
            <rFont val="Tahoma"/>
            <family val="2"/>
          </rPr>
          <t xml:space="preserve">
(Korollinen vieras pääoma - rahat ja rahoitusarvopaperit) /Oikaistu oma pääoma 
Korollinen vieras pääoma = Pitkäaikainen vieras pääoma pl. saadut ennakot + Korolliset lyhytaikaiset velat + Muut korolliset sisäiset velat</t>
        </r>
      </text>
    </comment>
    <comment ref="G39" authorId="0" shapeId="0" xr:uid="{E5339768-F3AE-4DA9-A18C-8C46C50E5324}">
      <text>
        <r>
          <rPr>
            <sz val="10"/>
            <color indexed="81"/>
            <rFont val="Tahoma"/>
            <family val="2"/>
          </rPr>
          <t xml:space="preserve">Aloittava osakeyhtiö ei normaalisti maksa osinkoa 1. tilikaudella. </t>
        </r>
      </text>
    </comment>
    <comment ref="C40" authorId="0" shapeId="0" xr:uid="{89A523CA-7EEE-439A-8DAE-46E2A6FF2FEB}">
      <text>
        <r>
          <rPr>
            <sz val="10"/>
            <color indexed="81"/>
            <rFont val="Tahoma"/>
            <family val="2"/>
          </rPr>
          <t>Esim. sijoitukset, talletukset yms.</t>
        </r>
      </text>
    </comment>
    <comment ref="L40" authorId="0" shapeId="0" xr:uid="{970C0EC0-7B29-420D-AD00-70AA4141B7D2}">
      <text>
        <r>
          <rPr>
            <sz val="10"/>
            <color indexed="81"/>
            <rFont val="Tahoma"/>
            <family val="2"/>
          </rPr>
          <t>Sisältää työsuhteeseen ja palkanmaksuun liittyvät pakolliset työvoimakulut.</t>
        </r>
      </text>
    </comment>
    <comment ref="L41" authorId="0" shapeId="0" xr:uid="{5739BA9D-30A1-4FC0-912E-9328DAC38DEE}">
      <text>
        <r>
          <rPr>
            <sz val="10"/>
            <color indexed="81"/>
            <rFont val="Tahoma"/>
            <family val="2"/>
          </rPr>
          <t>Pakolliset työvoimakulujen lisäksi vapaaehtoiset henkilökulut, myös vapaaehtoiset eläkevakuutusmaksut.</t>
        </r>
      </text>
    </comment>
    <comment ref="G43" authorId="0" shapeId="0" xr:uid="{755E9A12-B359-4C8B-BFC3-FA89A2E96D19}">
      <text>
        <r>
          <rPr>
            <sz val="10"/>
            <color indexed="81"/>
            <rFont val="Tahoma"/>
            <family val="2"/>
          </rPr>
          <t xml:space="preserve">Tarkista lopuksi, että luvut ovat yhtä suuret kuin luvut 6. T3 TASEen kohdassa B.IV Rahat ja pankkisaamiset.  </t>
        </r>
      </text>
    </comment>
    <comment ref="L45" authorId="0" shapeId="0" xr:uid="{29A1E918-7993-498E-8731-69DB71953172}">
      <text>
        <r>
          <rPr>
            <b/>
            <sz val="10"/>
            <color indexed="81"/>
            <rFont val="Tahoma"/>
            <family val="2"/>
          </rPr>
          <t>Toiminimi</t>
        </r>
        <r>
          <rPr>
            <sz val="10"/>
            <color indexed="81"/>
            <rFont val="Tahoma"/>
            <family val="2"/>
          </rPr>
          <t xml:space="preserve">
Tilillä olevat rahat vähennetään varoista.</t>
        </r>
      </text>
    </comment>
    <comment ref="L46" authorId="0" shapeId="0" xr:uid="{7A43B429-5A56-4B62-95C0-96D584045E8D}">
      <text>
        <r>
          <rPr>
            <b/>
            <sz val="10"/>
            <color indexed="81"/>
            <rFont val="Tahoma"/>
            <family val="2"/>
          </rPr>
          <t>Ay, Ky, Oy</t>
        </r>
        <r>
          <rPr>
            <sz val="10"/>
            <color indexed="81"/>
            <rFont val="Tahoma"/>
            <family val="2"/>
          </rPr>
          <t xml:space="preserve">
Osakkaan/yhtiömiehen käytössä oleva yrityksen asunto vähennetään varoista.</t>
        </r>
      </text>
    </comment>
    <comment ref="C48" authorId="0" shapeId="0" xr:uid="{6E97F443-84DF-49A4-8BE7-60A5EC3E6A97}">
      <text>
        <r>
          <rPr>
            <sz val="10"/>
            <color indexed="81"/>
            <rFont val="Tahoma"/>
            <family val="2"/>
          </rPr>
          <t xml:space="preserve">Luku ilmoittaa, kuinka suuri osuus (%) liikevaihdosta on sidottuna varastoon.
Laskukaava: 
100 * (vaihto-omaisuus/ liikevaihto (12 kk) </t>
        </r>
      </text>
    </comment>
    <comment ref="G48" authorId="0" shapeId="0" xr:uid="{85D83E6B-89BC-46E2-8559-48E40D678900}">
      <text>
        <r>
          <rPr>
            <b/>
            <sz val="10"/>
            <color indexed="81"/>
            <rFont val="Tahoma"/>
            <family val="2"/>
          </rPr>
          <t>Solun prosenttiluku on siirtynyt taulukosta 1. T1 INVESTOINTISUUN. SOLUSTA E40. Prosenttiluku muuttuu korjaamalla solun E40.
Eri toimialojen vaihto-omaisuus-% löydät Yritystulkin tilastoista, kohdasta "Rahoitus" -&gt; Tilastot. 
Tärkeää!</t>
        </r>
        <r>
          <rPr>
            <sz val="10"/>
            <color indexed="81"/>
            <rFont val="Tahoma"/>
            <family val="2"/>
          </rPr>
          <t xml:space="preserve">
Luvulla määritellään varastossa olevan vaihto-omaisuuden määrä. Luku vaihtelee toimialan mukaan. Vähittäis- ja tukkukaupassa erittäin merkityksellinen. Tukkuliikkeessä luku voi olla jopa 100 %.
</t>
        </r>
        <r>
          <rPr>
            <b/>
            <sz val="10"/>
            <color indexed="81"/>
            <rFont val="Tahoma"/>
            <family val="2"/>
          </rPr>
          <t>Vaihto-omaisuudeen hankinnan ja käytön huomiointi %-luvussa</t>
        </r>
        <r>
          <rPr>
            <sz val="10"/>
            <color indexed="81"/>
            <rFont val="Tahoma"/>
            <family val="2"/>
          </rPr>
          <t xml:space="preserve">
Riittääkö hankittu vaihto-omaisuus, esim. yrityskaupassa ostettu varasto normaaliin liiketoimintaan? </t>
        </r>
        <r>
          <rPr>
            <b/>
            <sz val="10"/>
            <color indexed="81"/>
            <rFont val="Tahoma"/>
            <family val="2"/>
          </rPr>
          <t>Jos ei riitä</t>
        </r>
        <r>
          <rPr>
            <sz val="10"/>
            <color indexed="81"/>
            <rFont val="Tahoma"/>
            <family val="2"/>
          </rPr>
          <t xml:space="preserve">, on prosenttia suurennettava vastaamaan tarvittavaa vaihto-omaisuuden arvoa. 
</t>
        </r>
        <r>
          <rPr>
            <b/>
            <sz val="10"/>
            <color indexed="81"/>
            <rFont val="Tahoma"/>
            <family val="2"/>
          </rPr>
          <t>Mitä luku tarkoittaa?</t>
        </r>
        <r>
          <rPr>
            <sz val="10"/>
            <color indexed="81"/>
            <rFont val="Tahoma"/>
            <family val="2"/>
          </rPr>
          <t xml:space="preserve">
9 % = vaihto-omaisuuden arvo kuukauden liikevaihdon verran
25 % =  vaihto-omaisuuden arvo 3 kk liikevaihdon verran</t>
        </r>
      </text>
    </comment>
    <comment ref="L48" authorId="0" shapeId="0" xr:uid="{92997CA5-C505-4834-882C-F499626BF558}">
      <text>
        <r>
          <rPr>
            <b/>
            <sz val="10"/>
            <color indexed="81"/>
            <rFont val="Tahoma"/>
            <family val="2"/>
          </rPr>
          <t xml:space="preserve">Tämän rivin luvut siirtyvät viereiseen taulukkoon riville 23. Osingonjako/yksityisotot (solut  H39 - K39).
Osakeyhtiö
</t>
        </r>
        <r>
          <rPr>
            <sz val="10"/>
            <color indexed="81"/>
            <rFont val="Tahoma"/>
            <family val="2"/>
          </rPr>
          <t xml:space="preserve">Osinko laskettu matalasti verotetun 8%:n mukaan. Tästä osingon määrästä osakkaalle 75% on verovapaata ja lopusta 25%:sta maksetaan pääomatulovero. (listaamaton Oy, osinko alle 150 000€). 
</t>
        </r>
        <r>
          <rPr>
            <i/>
            <sz val="10"/>
            <color indexed="81"/>
            <rFont val="Tahoma"/>
            <family val="2"/>
          </rPr>
          <t xml:space="preserve">Aloittava osakeyhtiö ei yleensä maksa osinkoa 1. tilikaudella. </t>
        </r>
        <r>
          <rPr>
            <b/>
            <sz val="10"/>
            <color indexed="81"/>
            <rFont val="Tahoma"/>
            <family val="2"/>
          </rPr>
          <t xml:space="preserve">
T:mi, Ky ja Ay:
</t>
        </r>
        <r>
          <rPr>
            <sz val="10"/>
            <color indexed="81"/>
            <rFont val="Tahoma"/>
            <family val="2"/>
          </rPr>
          <t>Yksityisotot merkitään tähän.</t>
        </r>
      </text>
    </comment>
    <comment ref="C50" authorId="0" shapeId="0" xr:uid="{D251F7BA-F8FD-4BD2-A554-5C47462DD0DB}">
      <text>
        <r>
          <rPr>
            <sz val="10"/>
            <color indexed="81"/>
            <rFont val="Tahoma"/>
            <family val="2"/>
          </rPr>
          <t>Luku kertoo kuinka nopeasti asiakas maksaa laskunsa.
Laskukaava:
myyntisaatavat/liikevaihto x 365</t>
        </r>
      </text>
    </comment>
    <comment ref="G50" authorId="1" shapeId="0" xr:uid="{33896576-794F-48AD-8CA4-8E20FF8CD24D}">
      <text>
        <r>
          <rPr>
            <sz val="10"/>
            <color indexed="81"/>
            <rFont val="Tahoma"/>
            <family val="2"/>
          </rPr>
          <t>Korttimaksamisessa kiertonopeus on noin 3 päivää.
Käteismyynnissä on 0 päivää.</t>
        </r>
      </text>
    </comment>
    <comment ref="G51" authorId="0" shapeId="0" xr:uid="{1CE7973B-AF25-44DD-8185-F7EE9272C12C}">
      <text>
        <r>
          <rPr>
            <sz val="10"/>
            <color indexed="81"/>
            <rFont val="Tahoma"/>
            <family val="2"/>
          </rPr>
          <t xml:space="preserve">- veronpalautukset
- alv-saamiset edelliseltä tilikaudelta
- annetut vakuustalletukset
- annetut vuokravakuudet
- edell. tilikaudelta siirtynyt tai muu ELY-
  keskuksen avustus kuin investointiavustus </t>
        </r>
      </text>
    </comment>
    <comment ref="G52" authorId="0" shapeId="0" xr:uid="{0698DCAE-0FB9-4776-BE9F-149FD407256A}">
      <text>
        <r>
          <rPr>
            <sz val="10"/>
            <color indexed="81"/>
            <rFont val="Tahoma"/>
            <family val="2"/>
          </rPr>
          <t>Arvio 30 %, ennakkoon maksettavat:
- vakuutus- ja käyttömaksut 
- ohjelmat, päivitykset ja ylläpito
- kirjat ja lehdet, jäsenmaksut
Lisää lukuun muut menoennakot ja vuokrasaatavat tms. tulojäämät.</t>
        </r>
      </text>
    </comment>
    <comment ref="G53" authorId="0" shapeId="0" xr:uid="{EB09C5FE-1D62-4461-A807-714C412E9013}">
      <text>
        <r>
          <rPr>
            <sz val="10"/>
            <color indexed="81"/>
            <rFont val="Tahoma"/>
            <family val="2"/>
          </rPr>
          <t>Erityisjärjestely pitkäaikaisessa, suuressa investointihankkeessa ja mm. rakennusalalla. Tarkoittaa hankkeen osatuloutusta tilikauden päättyessä valmistusasteen mukaan. Käyttömahdollisuus selvitettävä kirjanpitäjältä ja tilintarkastajalta.</t>
        </r>
      </text>
    </comment>
    <comment ref="C54" authorId="0" shapeId="0" xr:uid="{213230AC-B672-427F-890A-8DB36391D24A}">
      <text>
        <r>
          <rPr>
            <sz val="10"/>
            <color indexed="81"/>
            <rFont val="Tahoma"/>
            <family val="2"/>
          </rPr>
          <t>Luku kertoo kuinka suuri osuus liikevaihdosta on osatuloutettu tilikauden päättyessä.
Laskukaava:
osatuloutukset * 100/ liikevaihto</t>
        </r>
      </text>
    </comment>
    <comment ref="C56" authorId="0" shapeId="0" xr:uid="{0B1EF8E6-8AF2-4B8B-8E9C-972C4C6A0308}">
      <text>
        <r>
          <rPr>
            <sz val="10"/>
            <color indexed="81"/>
            <rFont val="Tahoma"/>
            <family val="2"/>
          </rPr>
          <t>Luku kertoo kuinka nopeasti yrityksenne maksaa laskunsa.
Laskukaava:
ostovelat/tilikauden ostot x 365</t>
        </r>
      </text>
    </comment>
    <comment ref="G56" authorId="1" shapeId="0" xr:uid="{D4F326C9-9094-4038-81F5-B1B04A7A1581}">
      <text>
        <r>
          <rPr>
            <sz val="10"/>
            <color indexed="81"/>
            <rFont val="Tahoma"/>
            <family val="2"/>
          </rPr>
          <t xml:space="preserve">Kiertonopeus on nolla päivää, jos maksetaan ostettaessa. Onko ostovelkojen kiertonopeus todenmukainen? </t>
        </r>
      </text>
    </comment>
    <comment ref="C58" authorId="1" shapeId="0" xr:uid="{08F890DC-94E9-43DB-A7F8-6C1484052A8B}">
      <text>
        <r>
          <rPr>
            <sz val="10"/>
            <color indexed="81"/>
            <rFont val="Tahoma"/>
            <family val="2"/>
          </rPr>
          <t xml:space="preserve">Luku kertoo kuinka paljon saatuja ennakkomaksuja on tilikauden lopussa. 
</t>
        </r>
        <r>
          <rPr>
            <u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saadut ennakkomaksut x 100/liikevaihto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A4" authorId="0" shapeId="0" xr:uid="{49AD9276-2BAC-48FD-94F8-1730C38B3336}">
      <text>
        <r>
          <rPr>
            <b/>
            <sz val="10"/>
            <color indexed="81"/>
            <rFont val="Tahoma"/>
            <family val="2"/>
          </rPr>
          <t xml:space="preserve">1. LISÄÄ PUUTTUVAT LUVUT KELTAISIIN SOLUIHIN 
2. Tarkista poistoprosentit ja "Muistiinpanoja"-alueella investointien käyttökuukaudet. 
3. Tarkista solujen G85 ja G93 prosenttiluvut!
4. Lisää lyhytaikaiset rahalaitoslainat soluihin G77 -  J77.
5. Tarkista Vastaavaa ja Vastattavaa yhteensä summat. Summat pitää olla yhtä suuret, mutta muutaman euron heitot eivät haittaa.
</t>
        </r>
      </text>
    </comment>
    <comment ref="G15" authorId="0" shapeId="0" xr:uid="{BF18783B-FAC6-4C73-A3F0-5159C2F67995}">
      <text>
        <r>
          <rPr>
            <sz val="10"/>
            <color indexed="81"/>
            <rFont val="Tahoma"/>
            <family val="2"/>
          </rPr>
          <t>1. T1 INVESTOINTISUUNNITELMA-taulukon kohdasta 7. Aineettomat hyödykkeet. Summasta vähennetty avustus.</t>
        </r>
      </text>
    </comment>
    <comment ref="L15" authorId="0" shapeId="0" xr:uid="{3F46438E-5903-440F-A322-EC3C2944B7CF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16" authorId="0" shapeId="0" xr:uid="{D5D47912-DFC3-468C-BA1B-17725FBEDA19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
4. Ei vaihtokaupan hyvitys! </t>
        </r>
      </text>
    </comment>
    <comment ref="E17" authorId="1" shapeId="0" xr:uid="{F28F32BA-992E-4005-BEEA-356E7094CB21}">
      <text>
        <r>
          <rPr>
            <b/>
            <sz val="10"/>
            <color indexed="81"/>
            <rFont val="Tahoma"/>
            <family val="2"/>
          </rPr>
          <t>Enimmäispoistot verotuksessa:
-</t>
        </r>
        <r>
          <rPr>
            <sz val="10"/>
            <color indexed="81"/>
            <rFont val="Tahoma"/>
            <family val="2"/>
          </rPr>
          <t xml:space="preserve"> patentit, liikearvo, tavaramerkki yms. 10 - 25 %
- vuokra- ja osakehuoneiston perusparannus 10 - 25 %
</t>
        </r>
        <r>
          <rPr>
            <b/>
            <sz val="10"/>
            <color indexed="81"/>
            <rFont val="Tahoma"/>
            <family val="2"/>
          </rPr>
          <t xml:space="preserve">Tasapoisto
</t>
        </r>
        <r>
          <rPr>
            <sz val="10"/>
            <color indexed="81"/>
            <rFont val="Tahoma"/>
            <family val="2"/>
          </rPr>
          <t>Kirjoita vuosipoistoprosentti nollaksi ja kirjoita tasapoiston määrä suoraan soluihin.</t>
        </r>
      </text>
    </comment>
    <comment ref="G17" authorId="1" shapeId="0" xr:uid="{353C6B47-60CF-45A4-9F18-0F742329B304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17" authorId="0" shapeId="0" xr:uid="{023FD8EF-E94C-4648-B26E-2F10DDC2E055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20" authorId="0" shapeId="0" xr:uid="{FC62F672-1D5E-48D1-B6CB-C59B1A0CEE3B}">
      <text>
        <r>
          <rPr>
            <sz val="10"/>
            <color indexed="81"/>
            <rFont val="Tahoma"/>
            <family val="2"/>
          </rPr>
          <t>1. T1 INVESTOINTISUUNNITELMA-taulukon kohdasta
1. Maa-alueet. Summasta vähennetty avustus.</t>
        </r>
      </text>
    </comment>
    <comment ref="H21" authorId="0" shapeId="0" xr:uid="{28E62412-EBBB-4D4E-AF3E-3396650AF949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G23" authorId="0" shapeId="0" xr:uid="{C138A09F-7F41-4F89-9E1F-CFE1F616C17C}">
      <text>
        <r>
          <rPr>
            <sz val="10"/>
            <color indexed="81"/>
            <rFont val="Tahoma"/>
            <family val="2"/>
          </rPr>
          <t xml:space="preserve">1. T1 INVESTOINTISUUNNITELMA-taulukon kohdasta 2. ja 3. Rakennukset ja rakennelmat. Summasta vähennetty avustukset ja ALV-palautus. </t>
        </r>
      </text>
    </comment>
    <comment ref="L23" authorId="0" shapeId="0" xr:uid="{814F31BC-6F53-48B2-A20D-B12257ECA961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24" authorId="0" shapeId="0" xr:uid="{B0D15F9E-44E1-4B72-A3B9-2F859BFA7297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
4. Ei vaihtokaupan hyvitys! </t>
        </r>
      </text>
    </comment>
    <comment ref="E25" authorId="1" shapeId="0" xr:uid="{674A367D-1873-4C96-A648-49D0F24AA7DE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 tuotantotilat, myymälät 7 %
- asuin-, toimisto- tms. tilat 4 %
- säiliöt, kevyet rakennelmat 20 %
</t>
        </r>
        <r>
          <rPr>
            <b/>
            <sz val="10"/>
            <color indexed="81"/>
            <rFont val="Tahoma"/>
            <family val="2"/>
          </rPr>
          <t>Tasapoisto</t>
        </r>
        <r>
          <rPr>
            <sz val="10"/>
            <color indexed="81"/>
            <rFont val="Tahoma"/>
            <family val="2"/>
          </rPr>
          <t xml:space="preserve">
Kirjoita vuosipoistoprosentti nollaksi ja kirjoita tasapoiston määrä suoraan soluihin.</t>
        </r>
      </text>
    </comment>
    <comment ref="G25" authorId="1" shapeId="0" xr:uid="{0C88AD8F-6833-4FF0-A77B-99C85CDD1163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25" authorId="0" shapeId="0" xr:uid="{86687D60-D9E3-4546-8C5F-8F69920104CD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27" authorId="0" shapeId="0" xr:uid="{E07D3E29-5755-4C77-B312-9D82BA5458D9}">
      <text>
        <r>
          <rPr>
            <sz val="10"/>
            <color indexed="81"/>
            <rFont val="Tahoma"/>
            <family val="2"/>
          </rPr>
          <t>1. T1 INVESTOINTISUUNNITELMA-taulukon kohdasta 
4. ja 5. Koneet ja kalusto. Summasta vähennetty leasingrahoitus, avustukset ja alv-palautus.</t>
        </r>
      </text>
    </comment>
    <comment ref="L27" authorId="0" shapeId="0" xr:uid="{B0805866-CCED-4661-B8D2-11EDE08D7931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28" authorId="0" shapeId="0" xr:uid="{4BE7BD1A-0E9F-4713-AB86-E546A353AC98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E29" authorId="1" shapeId="0" xr:uid="{A2B73C9F-8141-4B8B-8FA0-F7492B88038A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 koneet ja kalusto 25 %
- poikkeus ammattiliikenteen ajoneuvot 
</t>
        </r>
        <r>
          <rPr>
            <b/>
            <sz val="10"/>
            <color indexed="81"/>
            <rFont val="Tahoma"/>
            <family val="2"/>
          </rPr>
          <t xml:space="preserve">Tasapoisto
</t>
        </r>
        <r>
          <rPr>
            <sz val="10"/>
            <color indexed="81"/>
            <rFont val="Tahoma"/>
            <family val="2"/>
          </rPr>
          <t>Kirjoita vuosipoistoprosentti nollaksi ja kirjoita tasapoiston määrä suoraan soluihin.</t>
        </r>
      </text>
    </comment>
    <comment ref="G29" authorId="1" shapeId="0" xr:uid="{B1678856-0754-4761-8AED-1CD35634F66C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29" authorId="0" shapeId="0" xr:uid="{634EC1AA-704B-4904-9EF7-BB9ADA6FF608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31" authorId="0" shapeId="0" xr:uid="{711046D5-6939-47D8-8947-C37150E57374}">
      <text>
        <r>
          <rPr>
            <sz val="10"/>
            <color indexed="81"/>
            <rFont val="Tahoma"/>
            <family val="2"/>
          </rPr>
          <t>1. T1 INVESTOINTISUUNNITELMA-taulukon kohdasta 6. Muut aineelliset hyödykkeet. Summasta vähennetty avustukset ja alv-palautus.</t>
        </r>
      </text>
    </comment>
    <comment ref="H32" authorId="0" shapeId="0" xr:uid="{7549868C-2A8E-43F7-9BE8-5A20B3DAF25E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E33" authorId="1" shapeId="0" xr:uid="{B73D40A2-261B-4BD8-9EE8-F05AB70C7CBE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</t>
        </r>
        <r>
          <rPr>
            <b/>
            <i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Tahoma"/>
            <family val="2"/>
          </rPr>
          <t>itse omistetun</t>
        </r>
        <r>
          <rPr>
            <sz val="10"/>
            <color indexed="81"/>
            <rFont val="Tahoma"/>
            <family val="2"/>
          </rPr>
          <t xml:space="preserve"> tontin asfaltointimeno 10 - 25 %
- soranottopaikat tms. kulutuksen mukaan
</t>
        </r>
        <r>
          <rPr>
            <b/>
            <sz val="10"/>
            <color indexed="81"/>
            <rFont val="Tahoma"/>
            <family val="2"/>
          </rPr>
          <t>Tasapoisto</t>
        </r>
        <r>
          <rPr>
            <sz val="10"/>
            <color indexed="81"/>
            <rFont val="Tahoma"/>
            <family val="2"/>
          </rPr>
          <t xml:space="preserve">
Kirjoita vuosipoistoprosentti nollaksi ja kirjoita tasapoiston määrä suoraan soluihin.</t>
        </r>
      </text>
    </comment>
    <comment ref="G33" authorId="1" shapeId="0" xr:uid="{0F54E2B4-256C-41E3-B4DE-D9E0D761FA6E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G35" authorId="0" shapeId="0" xr:uid="{1CB90BEB-702A-4D71-A455-24421FAF2475}">
      <text>
        <r>
          <rPr>
            <sz val="10"/>
            <color indexed="81"/>
            <rFont val="Tahoma"/>
            <family val="2"/>
          </rPr>
          <t>Luku siirtynyt 1. T1 INVESTOINTISUUNNITELMAn kohdasta 8. Sijoitukset</t>
        </r>
      </text>
    </comment>
    <comment ref="H36" authorId="0" shapeId="0" xr:uid="{368BBFBB-1214-4DAE-93D2-1B36C6DE5B8F}">
      <text>
        <r>
          <rPr>
            <sz val="10"/>
            <color indexed="81"/>
            <rFont val="Tahoma"/>
            <family val="2"/>
          </rPr>
          <t>Jos sijoituksia nostetaan/tuloutetaan, merkitään vähennys tähän soluun.</t>
        </r>
      </text>
    </comment>
    <comment ref="C40" authorId="0" shapeId="0" xr:uid="{BC786AEC-ECDE-46FC-9A04-D68D8D854036}">
      <text>
        <r>
          <rPr>
            <sz val="10"/>
            <color indexed="81"/>
            <rFont val="Tahoma"/>
            <family val="2"/>
          </rPr>
          <t xml:space="preserve">Luku ilmoittaa, kuinka suuri osuus (%) liikevaihdosta on sidottuna varastoon. 
</t>
        </r>
        <r>
          <rPr>
            <b/>
            <sz val="10"/>
            <color indexed="81"/>
            <rFont val="Tahoma"/>
            <family val="2"/>
          </rPr>
          <t xml:space="preserve">Laskukaava: </t>
        </r>
        <r>
          <rPr>
            <sz val="10"/>
            <color indexed="81"/>
            <rFont val="Tahoma"/>
            <family val="2"/>
          </rPr>
          <t xml:space="preserve">
100 * (vaihto-omaisuus/ liikevaihto (12 kk) </t>
        </r>
      </text>
    </comment>
    <comment ref="G40" authorId="0" shapeId="0" xr:uid="{A010BE43-ADB8-47F2-A0D2-280786902A73}">
      <text>
        <r>
          <rPr>
            <sz val="10"/>
            <color indexed="81"/>
            <rFont val="Tahoma"/>
            <family val="2"/>
          </rPr>
          <t>Luku siirtyy 5. T4 RAHOITUSSUUNNITELMA-taulukosta kohdasta 28, jossa sitä voidaan muuttaa.</t>
        </r>
      </text>
    </comment>
    <comment ref="C43" authorId="0" shapeId="0" xr:uid="{D19712BF-3C75-43A7-99DD-B6946C6DC79F}">
      <text>
        <r>
          <rPr>
            <sz val="10"/>
            <color indexed="81"/>
            <rFont val="Tahoma"/>
            <family val="2"/>
          </rPr>
          <t xml:space="preserve">Luku kertoo kuinka nopeasti asiakas maksaa laskunsa.
</t>
        </r>
        <r>
          <rPr>
            <b/>
            <sz val="10"/>
            <color indexed="81"/>
            <rFont val="Tahoma"/>
            <family val="2"/>
          </rPr>
          <t xml:space="preserve">
Laskukaava</t>
        </r>
        <r>
          <rPr>
            <sz val="10"/>
            <color indexed="81"/>
            <rFont val="Tahoma"/>
            <family val="2"/>
          </rPr>
          <t>:
myyntisaatavat/liikevaihto x 365</t>
        </r>
      </text>
    </comment>
    <comment ref="G43" authorId="0" shapeId="0" xr:uid="{06847B9F-E227-468C-9896-FFC46D587344}">
      <text>
        <r>
          <rPr>
            <sz val="10"/>
            <color indexed="81"/>
            <rFont val="Tahoma"/>
            <family val="2"/>
          </rPr>
          <t>Luku siirtyy 5. T4 RAHOITUSSUUNNITELMA-taulukosta kohdasta 29, jossa sitä voidaan muuttaa.</t>
        </r>
      </text>
    </comment>
    <comment ref="C44" authorId="0" shapeId="0" xr:uid="{943BB392-A442-4D4B-9102-2D4C6A00D402}">
      <text>
        <r>
          <rPr>
            <sz val="10"/>
            <color indexed="81"/>
            <rFont val="Tahoma"/>
            <family val="2"/>
          </rPr>
          <t>Erityisjärjestely pitkäaikaisessa, suuressa investointihankkeessa ja mm. rakennusalalla. Tarkoittaa hankkeen osatuloutusta tilikauden päättyessä valmistusasteen mukaan. Käyttömahdollisuus selvitettävä kirjanpitäjältä ja tilintarkastajalta.</t>
        </r>
      </text>
    </comment>
    <comment ref="G45" authorId="0" shapeId="0" xr:uid="{22AB3558-0185-425E-A470-1119A6A0ED61}">
      <text>
        <r>
          <rPr>
            <sz val="10"/>
            <color indexed="81"/>
            <rFont val="Tahoma"/>
            <family val="2"/>
          </rPr>
          <t>Luku siirtyy 5. T4 RAHOITUSSUUNNITELMA-taulukosta kohdassa 30, jossa sitä voidaan muuttaa.</t>
        </r>
      </text>
    </comment>
    <comment ref="C46" authorId="0" shapeId="0" xr:uid="{6252A9A5-3F77-4E89-AE09-FFA61DC10FD8}">
      <text>
        <r>
          <rPr>
            <sz val="10"/>
            <color indexed="81"/>
            <rFont val="Tahoma"/>
            <family val="2"/>
          </rPr>
          <t xml:space="preserve">- veronpalautukset
- alv-saamiset edelliseltä tilikaudelta
- annetut vakuustalletukset
- annetut vuokravakuudet
- edell. tilikaudelta siirtynyt tai muu ELY-
  keskuksen avustus kuin investointiavustus </t>
        </r>
      </text>
    </comment>
    <comment ref="C47" authorId="0" shapeId="0" xr:uid="{246E32BC-7CD0-4001-A81A-8DF0D628AB56}">
      <text>
        <r>
          <rPr>
            <sz val="10"/>
            <color indexed="81"/>
            <rFont val="Tahoma"/>
            <family val="2"/>
          </rPr>
          <t>Arvio 30 % ennakkoon maksettu
- vakuutus- ja käyttömaksut 
- ohjelmat, päivitykset ja ylläpito
- kirjat ja lehdet, jäsenmaksut
Lisää lukuun muut menoennakot ja vuokrasaatavat tms. tulojäämät.</t>
        </r>
      </text>
    </comment>
    <comment ref="G49" authorId="0" shapeId="0" xr:uid="{507B1DE6-04DD-4BA5-83D3-36E4AB7AE4C6}">
      <text>
        <r>
          <rPr>
            <sz val="10"/>
            <color indexed="81"/>
            <rFont val="Tahoma"/>
            <family val="2"/>
          </rPr>
          <t xml:space="preserve">Tarkista lopuksi, että luvut ovat yhtä suuret kuin 
5. T4 RAHOITUSSUUNNITELMAn kohta 27 Kumulatiivinen yli-/alijäämä. </t>
        </r>
      </text>
    </comment>
    <comment ref="G59" authorId="1" shapeId="0" xr:uid="{E1B680A1-8585-407E-8A2C-D5597B17784F}">
      <text>
        <r>
          <rPr>
            <sz val="10"/>
            <color indexed="81"/>
            <rFont val="Tahoma"/>
            <family val="2"/>
          </rPr>
          <t xml:space="preserve">Luku siirtyy 5. T4 RAHOITUSSUUNNITELMA-taulukosta kohdasta 23. Osingonjako/yksityisotot.  </t>
        </r>
        <r>
          <rPr>
            <b/>
            <sz val="10"/>
            <color indexed="81"/>
            <rFont val="Tahoma"/>
            <family val="2"/>
          </rPr>
          <t>Osingon nosto mahdollinen</t>
        </r>
        <r>
          <rPr>
            <sz val="10"/>
            <color indexed="81"/>
            <rFont val="Tahoma"/>
            <family val="2"/>
          </rPr>
          <t xml:space="preserve"> voittovarojen puitteissa (C.2 Edellisten tilikausien voitot+C.4 Tilikauden voitto/tappio)</t>
        </r>
      </text>
    </comment>
    <comment ref="G61" authorId="0" shapeId="0" xr:uid="{ACB92AA7-D641-42E7-A069-CE89EA6B1BE5}">
      <text>
        <r>
          <rPr>
            <sz val="10"/>
            <color indexed="81"/>
            <rFont val="Tahoma"/>
            <family val="2"/>
          </rPr>
          <t>Laskee SVOP-rahaston lisäyksen
1. T1 INVESTOINTISUUNNITELMAsta, kohta 12.</t>
        </r>
      </text>
    </comment>
    <comment ref="H61" authorId="1" shapeId="0" xr:uid="{83AAB10D-BEBA-4A33-BE97-3B721C4D3B27}">
      <text>
        <r>
          <rPr>
            <sz val="10"/>
            <color indexed="81"/>
            <rFont val="Tahoma"/>
            <family val="2"/>
          </rPr>
          <t xml:space="preserve">Sijoitetun vapaan pääoman rahaston (SVOP) lisäys siirtyy tähän 1. T1 INVESTOINTISUUNN.-taulukon kohdasta 11. SVOP-sijoituksen palautus merkitään soluun lukua pienentämällä. 
</t>
        </r>
        <r>
          <rPr>
            <b/>
            <sz val="10"/>
            <color indexed="81"/>
            <rFont val="Tahoma"/>
            <family val="2"/>
          </rPr>
          <t>SVOP-palautus mahdollinen</t>
        </r>
        <r>
          <rPr>
            <sz val="10"/>
            <color indexed="81"/>
            <rFont val="Tahoma"/>
            <family val="2"/>
          </rPr>
          <t xml:space="preserve"> voittovarojen puitteissa (C.2 Edellisten tilikausien voitot+
C.4 Tilikauden voitto/tappio)</t>
        </r>
      </text>
    </comment>
    <comment ref="G65" authorId="0" shapeId="0" xr:uid="{4516C4D5-B45B-4C43-BBB1-807174B4AEA9}">
      <text>
        <r>
          <rPr>
            <sz val="10"/>
            <color indexed="81"/>
            <rFont val="Tahoma"/>
            <family val="2"/>
          </rPr>
          <t>T:mi, Ay ja Ky voivat tehdä enintään 30 %:n varauksen maksetuista palkoista.</t>
        </r>
      </text>
    </comment>
    <comment ref="G66" authorId="0" shapeId="0" xr:uid="{D3DC4C15-51BE-40A8-8C95-F2BE245DC2C7}">
      <text>
        <r>
          <rPr>
            <sz val="10"/>
            <color indexed="81"/>
            <rFont val="Tahoma"/>
            <family val="2"/>
          </rPr>
          <t>Tuleva todennäköinen menetys, esim. luottotappio, joka ei vielä varmistunut.</t>
        </r>
      </text>
    </comment>
    <comment ref="G68" authorId="0" shapeId="0" xr:uid="{69C9EE93-42A5-4464-A225-BD798E6CCCAA}">
      <text>
        <r>
          <rPr>
            <sz val="10"/>
            <color indexed="81"/>
            <rFont val="Tahoma"/>
            <family val="2"/>
          </rPr>
          <t xml:space="preserve">Velka tai sen osa, joka erääntyy maksettavaksi yhtä vuotta pidempänä aikana. Tilikauden lopun velkasaldoon ei sisälly seuraavan vuoden lyhennystä = lyhytaikainen laina. Seuraavan vuoden lyhennyserä solussa G76. 
Pitkäaikaisiin lainoihin kirjataan velkakirjalainat, jotka on saatu  
- rahalaitoksilta
- vakuutusyhtiöiltä
- omistajilta ja muilta yksityisiltä rahoittajilta </t>
        </r>
      </text>
    </comment>
    <comment ref="G69" authorId="0" shapeId="0" xr:uid="{08909269-3391-4572-925A-8BC5280CD4C6}">
      <text>
        <r>
          <rPr>
            <sz val="10"/>
            <color indexed="81"/>
            <rFont val="Tahoma"/>
            <family val="2"/>
          </rPr>
          <t>Laskee pääomalainan lisäyksen taulukosta
1. T1 INVESTOINTISUUNNITELMA kohdasta 14. PÄÄOMALAINA
Lisää korkoprosentti taulukkoon 2. T7 LAINAT, rivi 42 "Pääomalainan korot".</t>
        </r>
      </text>
    </comment>
    <comment ref="H69" authorId="0" shapeId="0" xr:uid="{70A3DB1E-FECD-4F5B-8114-061FF53BD441}">
      <text>
        <r>
          <rPr>
            <sz val="10"/>
            <color indexed="81"/>
            <rFont val="Tahoma"/>
            <family val="2"/>
          </rPr>
          <t xml:space="preserve">Laskee pääomalainan lisäyksen
1. T1 INVESTOINTISUUNNITELMAsta. Pääomalainan väheneminen merkitään suoraan soluun. Luku on saldo tilikauden lopussa. </t>
        </r>
      </text>
    </comment>
    <comment ref="G71" authorId="0" shapeId="0" xr:uid="{E361D273-F126-4042-BB8E-CD4D54EFA185}">
      <text>
        <r>
          <rPr>
            <sz val="10"/>
            <color indexed="81"/>
            <rFont val="Tahoma"/>
            <family val="2"/>
          </rPr>
          <t>Pitkäaikainen yli vuoden päästä maksettavan ostovelan saldo.</t>
        </r>
      </text>
    </comment>
    <comment ref="G72" authorId="0" shapeId="0" xr:uid="{082B3526-3853-4718-B07E-5E77A197A229}">
      <text>
        <r>
          <rPr>
            <sz val="10"/>
            <color indexed="81"/>
            <rFont val="Tahoma"/>
            <family val="2"/>
          </rPr>
          <t>Pitkäaikainen osamaksuvelka ilman seuraavan vuoden lyhennystä.</t>
        </r>
      </text>
    </comment>
    <comment ref="G73" authorId="0" shapeId="0" xr:uid="{E08D9C13-8FCE-411B-BB29-AC92D0D6CDFA}">
      <text>
        <r>
          <rPr>
            <sz val="10"/>
            <color indexed="81"/>
            <rFont val="Tahoma"/>
            <family val="2"/>
          </rPr>
          <t xml:space="preserve">2. T7 LAINAT-taulukosta siirtyneet ilman velkakirjaa omistajilta, työntekijöiltä ja muilta yksityisiltä saatujen velkojen yhteissaldo tilikauden lopussa. 
Velkakirjalainat merkitään taulukkoon 2. T7 LAINAT kohtaan "Pitkäaikaiset lainat". </t>
        </r>
      </text>
    </comment>
    <comment ref="H73" authorId="0" shapeId="0" xr:uid="{86819868-2256-4558-93E1-E10101F87A31}">
      <text>
        <r>
          <rPr>
            <sz val="10"/>
            <color indexed="81"/>
            <rFont val="Tahoma"/>
            <family val="2"/>
          </rPr>
          <t xml:space="preserve">2. T7 LAINAT-taulukosta siirtyneet ilman velkakirjaa omistajilta, työntekijöiltä ja muilta yksityisiltä saatujen velkojen yhteissaldo. Lyhennustä muutetaan  taulukkoon 2. T7 LAINAT riville 44. </t>
        </r>
      </text>
    </comment>
    <comment ref="C74" authorId="0" shapeId="0" xr:uid="{1B783886-FD8F-47F4-B390-18A8096A8BA6}">
      <text>
        <r>
          <rPr>
            <sz val="10"/>
            <color indexed="81"/>
            <rFont val="Tahoma"/>
            <family val="2"/>
          </rPr>
          <t>Velka tai sen osa, joka erääntyy maksettavaksi yhden vuoden aikana.</t>
        </r>
      </text>
    </comment>
    <comment ref="E76" authorId="0" shapeId="0" xr:uid="{3A1B53AB-DDD4-49A2-9384-CF5AD6549B2C}">
      <text>
        <r>
          <rPr>
            <sz val="10"/>
            <color indexed="81"/>
            <rFont val="Tahoma"/>
            <family val="2"/>
          </rPr>
          <t>Vuoden aikana maksettavat pitkäaikaisten lainojen lyhennykset.</t>
        </r>
      </text>
    </comment>
    <comment ref="G77" authorId="0" shapeId="0" xr:uid="{2EE84E1B-7F28-44D9-8143-C13825163593}">
      <text>
        <r>
          <rPr>
            <sz val="10"/>
            <color indexed="81"/>
            <rFont val="Tahoma"/>
            <family val="2"/>
          </rPr>
          <t>Luku siirtyy taulukosta 2. T7 LAINAT riviltä 40. Lyhytaikaisen rahalaitoslainan saldo tilikauden lopussa merkitään suoraan soluun (ei pitkäaikaisten lainojen lyhennyserät). Pääoman muutokset siirtyvät 5. T4 RAHOITUSSUUNNITELMAan.</t>
        </r>
      </text>
    </comment>
    <comment ref="G78" authorId="0" shapeId="0" xr:uid="{D6C65DA7-4309-48C9-BE9E-AAFEF67E84D6}">
      <text>
        <r>
          <rPr>
            <sz val="10"/>
            <color indexed="81"/>
            <rFont val="Tahoma"/>
            <family val="2"/>
          </rPr>
          <t>Lyhytaikaisen pääomalainan saldo tilikauden lopussa merkitään suoraan soluun. Lisää maksettava korko kohtaan 2. T7 LAINAT "Pääomalainat". Pääoman muutokset siirtyvät
5. T4 RAHOITUSSUUNNITELMAan.</t>
        </r>
      </text>
    </comment>
    <comment ref="C81" authorId="0" shapeId="0" xr:uid="{623208A9-B2A0-4E0F-BF3A-B53352457BCD}">
      <text>
        <r>
          <rPr>
            <sz val="10"/>
            <color indexed="81"/>
            <rFont val="Tahoma"/>
            <family val="2"/>
          </rPr>
          <t xml:space="preserve">Luku kertoo kuinka nopeasti yritys maksaa laskunsa.
</t>
        </r>
        <r>
          <rPr>
            <b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ostovelat/tilikauden ostot x 365</t>
        </r>
      </text>
    </comment>
    <comment ref="G81" authorId="0" shapeId="0" xr:uid="{DA0D7F0A-8CBE-48EC-8BBA-5D642D64BC09}">
      <text>
        <r>
          <rPr>
            <sz val="10"/>
            <color indexed="81"/>
            <rFont val="Tahoma"/>
            <family val="2"/>
          </rPr>
          <t>Luku siirtyy 5. T4 RAHOITUSSUUNNITELMA-taulukosta kohdasta 33, jossa sitä voidaan muuttaa.</t>
        </r>
      </text>
    </comment>
    <comment ref="G84" authorId="0" shapeId="0" xr:uid="{0A4C83B0-748F-4487-9103-24562BBD58C6}">
      <text>
        <r>
          <rPr>
            <sz val="10"/>
            <color indexed="81"/>
            <rFont val="Tahoma"/>
            <family val="2"/>
          </rPr>
          <t>Tilinpäätöshetkellä yrityksellä on kuukauden ennakonpidätysvelka.</t>
        </r>
      </text>
    </comment>
    <comment ref="G85" authorId="0" shapeId="0" xr:uid="{28A57005-6131-42FE-B784-96C10835CB30}">
      <text>
        <r>
          <rPr>
            <sz val="10"/>
            <color indexed="81"/>
            <rFont val="Tahoma"/>
            <family val="2"/>
          </rPr>
          <t>Kaikkien palkkaa saavien keskim. veronpidätysprosentti.</t>
        </r>
      </text>
    </comment>
    <comment ref="G87" authorId="0" shapeId="0" xr:uid="{63A53B49-EC1C-44AB-9646-2A0198B7942B}">
      <text>
        <r>
          <rPr>
            <sz val="10"/>
            <color indexed="81"/>
            <rFont val="Tahoma"/>
            <family val="2"/>
          </rPr>
          <t>Tilinpäätöshetkellä yrityksellä on 2 kk arvonlisäverot maksamatta. Luku on nolla
- hoiva-alalla ja terveydenhuollossa 
- rahoitus- ja vakuutusalalla
- yrityksellä, jos vuosiliikevaihto on alle 15 000 euroa.</t>
        </r>
      </text>
    </comment>
    <comment ref="G88" authorId="0" shapeId="0" xr:uid="{ABEB7CE3-3E60-42C4-817F-E8A30088F707}">
      <text>
        <r>
          <rPr>
            <sz val="10"/>
            <color indexed="81"/>
            <rFont val="Tahoma"/>
            <family val="2"/>
          </rPr>
          <t>Edell. kaudelta maksamatta jääneet muut lyhytaikaiset velat tilikauden lopussa:
- henkilöstökulut
- velat omistajille
- ennakkoon saatu vuokra
- viivästysseuraamukset
- sakot</t>
        </r>
      </text>
    </comment>
    <comment ref="G90" authorId="0" shapeId="0" xr:uid="{D938E5BD-3359-4A15-B029-D8E3B4B77A00}">
      <text>
        <r>
          <rPr>
            <sz val="10"/>
            <color indexed="81"/>
            <rFont val="Tahoma"/>
            <family val="2"/>
          </rPr>
          <t>Esim. tuloverovelka, lainan laskennallinen korkovelka.</t>
        </r>
      </text>
    </comment>
    <comment ref="G93" authorId="1" shapeId="0" xr:uid="{216D6A56-4174-4C2A-B5B5-BF6B1EF97E74}">
      <text>
        <r>
          <rPr>
            <sz val="10"/>
            <color indexed="81"/>
            <rFont val="Tahoma"/>
            <family val="2"/>
          </rPr>
          <t xml:space="preserve">YEL-palkoista syntyvistä lomapalkoista ei makseta eläkemaksua, mutta muita sosiaalimaksuja noin 3 %.
Jos molempia palkkoja, arvioi painotettu keskiarvo.
2026
Yritys maksaa keskimäärin: 
- TyEL-maksua 17,1 % palkoista 
- Tapaturma- ja ammattitautivakuutus keskimäärin 0,51 % </t>
        </r>
        <r>
          <rPr>
            <b/>
            <sz val="10"/>
            <color indexed="81"/>
            <rFont val="Tahoma"/>
            <family val="2"/>
          </rPr>
          <t>(vaihtelee 0,1 - 7 % tapaturma-alttiilla aloilla suurempi)</t>
        </r>
        <r>
          <rPr>
            <sz val="10"/>
            <color indexed="81"/>
            <rFont val="Tahoma"/>
            <family val="2"/>
          </rPr>
          <t xml:space="preserve">
- Sairausvakuutusmaksu 1,91 % 
- Työttömyysvakuutusta työnantajan osuus 0,31 %
- Ryhmähenkivakuutusta 0,06 %
YHTEENSÄ: 19,79 %</t>
        </r>
      </text>
    </comment>
    <comment ref="C95" authorId="0" shapeId="0" xr:uid="{50821C25-4581-4637-BB0F-3837B8B9C4BB}">
      <text>
        <r>
          <rPr>
            <sz val="10"/>
            <color indexed="81"/>
            <rFont val="Tahoma"/>
            <family val="2"/>
          </rPr>
          <t xml:space="preserve">Luku kertoo kuinka paljon asiakas maksaa ennakkomaksua tilattaessa. Esim. rakentaminen 10 % tilauksen arvosta. 
</t>
        </r>
        <r>
          <rPr>
            <b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ennakkomaksu-% x liikevaihto</t>
        </r>
      </text>
    </comment>
    <comment ref="G95" authorId="0" shapeId="0" xr:uid="{B11004E3-A6F0-409B-9F1A-BAB75B09A396}">
      <text>
        <r>
          <rPr>
            <sz val="10"/>
            <color indexed="81"/>
            <rFont val="Tahoma"/>
            <family val="2"/>
          </rPr>
          <t>Luku siirtyy 5. T4 RAHOITUSSUUNNITELMA-taulukosta riviltä 58, jossa sitä voidaan muuttaa.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7" authorId="0" shapeId="0" xr:uid="{EF6BF87E-4DF0-487F-A768-BA84EEDD4325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Huomaa etumerkki!</t>
        </r>
        <r>
          <rPr>
            <b/>
            <sz val="10"/>
            <color indexed="81"/>
            <rFont val="Tahoma"/>
            <family val="2"/>
          </rPr>
          <t xml:space="preserve">KIRJOITA RAHASUMMAT ILMAN SENTTEJÄ KOKONAISLUKUINA </t>
        </r>
        <r>
          <rPr>
            <sz val="10"/>
            <color indexed="81"/>
            <rFont val="Tahoma"/>
            <family val="2"/>
          </rPr>
          <t xml:space="preserve">keltaisiin soluihin! Lue solujen muistiinpanot.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" authorId="0" shapeId="0" xr:uid="{F5D5A381-3CA7-4873-A86D-390CDCD1A087}">
      <text>
        <r>
          <rPr>
            <sz val="10"/>
            <color indexed="81"/>
            <rFont val="Tahoma"/>
            <family val="2"/>
          </rPr>
          <t xml:space="preserve">Tuotot eivät kuulu varsinaiseen liiketoimintaan, esim. vuokratuotot asunnoista, työllistämis- ja oppisopimustuet, vahinkovakuutuskorvaukset, royaltyt jne. </t>
        </r>
      </text>
    </comment>
    <comment ref="G12" authorId="0" shapeId="0" xr:uid="{11ABA06B-357F-4659-A1D2-E4B261BF59EF}">
      <text>
        <r>
          <rPr>
            <sz val="10"/>
            <color indexed="81"/>
            <rFont val="Tahoma"/>
            <family val="2"/>
          </rPr>
          <t>Muut tuotot voidaan kirjoittaa suoraan soluun tai lisätä viereisen Muistiinpanoja-alueen taulukkoon Liiketoiminnan muut tuotot, kasvu-%.</t>
        </r>
      </text>
    </comment>
    <comment ref="C16" authorId="0" shapeId="0" xr:uid="{8BA2A7CE-0BC3-42CE-A4C5-06FCBABD7656}">
      <text>
        <r>
          <rPr>
            <sz val="10"/>
            <color indexed="81"/>
            <rFont val="Tahoma"/>
            <family val="2"/>
          </rPr>
          <t>Liikevaihtoon liittyvät esim. alihankintapalvelut, tuotannon vuokratyövoima.</t>
        </r>
      </text>
    </comment>
    <comment ref="G16" authorId="0" shapeId="0" xr:uid="{0A031AEA-FDFD-44C3-A51B-AC0A2939167A}">
      <text>
        <r>
          <rPr>
            <sz val="10"/>
            <color indexed="81"/>
            <rFont val="Tahoma"/>
            <family val="2"/>
          </rPr>
          <t>Kirjoita etumerkki miinukseksi!</t>
        </r>
      </text>
    </comment>
    <comment ref="J16" authorId="0" shapeId="0" xr:uid="{2A947714-7582-4721-9A75-9FF6474C9E19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L16" authorId="0" shapeId="0" xr:uid="{D1ADB805-617D-498F-A764-90CA1C642FBD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N16" authorId="0" shapeId="0" xr:uid="{83A0460A-8F47-4BB6-BCE9-98E96F5D5EA3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G17" authorId="0" shapeId="0" xr:uid="{89516AA6-A657-4536-96A7-9FD6B8545537}">
      <text>
        <r>
          <rPr>
            <sz val="10"/>
            <color indexed="81"/>
            <rFont val="Tahoma"/>
            <family val="2"/>
          </rPr>
          <t>Sisältää myös lomapalkan sivukulut!
Kirjanpidossa henkilöstökuluihin on lisättävä työntekijän ansaitsemat laskennalliset lomarahat, jonka vuoksi solun luku on suurempi kuin henkilöstökulut 3. E1 KUSTANNUKSET-taulukossa.</t>
        </r>
      </text>
    </comment>
    <comment ref="G27" authorId="0" shapeId="0" xr:uid="{A6E04900-E8B2-4820-B8C6-C425EBF37086}">
      <text>
        <r>
          <rPr>
            <sz val="10"/>
            <color indexed="81"/>
            <rFont val="Tahoma"/>
            <family val="2"/>
          </rPr>
          <t xml:space="preserve">Kaava laskee verot </t>
        </r>
        <r>
          <rPr>
            <b/>
            <sz val="10"/>
            <color indexed="81"/>
            <rFont val="Tahoma"/>
            <family val="2"/>
          </rPr>
          <t xml:space="preserve">alla olevan veroprosentin </t>
        </r>
        <r>
          <rPr>
            <sz val="10"/>
            <color indexed="81"/>
            <rFont val="Tahoma"/>
            <family val="2"/>
          </rPr>
          <t xml:space="preserve">mukaan huomioiden edustusmenojen 50 %:n verovähennyksen. Henkilöyhtiöissä voidaan nollata. Edellisen vuoden tappiot voit vähentää itse.
</t>
        </r>
        <r>
          <rPr>
            <b/>
            <sz val="10"/>
            <color indexed="81"/>
            <rFont val="Tahoma"/>
            <family val="2"/>
          </rPr>
          <t>Osakkeita tai kiinteistöä myytäessä</t>
        </r>
        <r>
          <rPr>
            <sz val="10"/>
            <color indexed="81"/>
            <rFont val="Tahoma"/>
            <family val="2"/>
          </rPr>
          <t xml:space="preserve"> ota huomioon luovutusvoiton vero ja hankintameno-olettama.</t>
        </r>
      </text>
    </comment>
    <comment ref="G28" authorId="0" shapeId="0" xr:uid="{B94FEEE3-00E5-47B6-9792-E298A478DC19}">
      <text>
        <r>
          <rPr>
            <sz val="10"/>
            <color indexed="81"/>
            <rFont val="Tahoma"/>
            <family val="2"/>
          </rPr>
          <t>Osakeyhtiön ja osuuskunnan tulovero on 20 %. Jos nollataan, on kohta 20. TILIKAUDEN VOITTO/TAPPIO verotettavan tulon määrä.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  <author>Yritystulkki</author>
  </authors>
  <commentList>
    <comment ref="B4" authorId="0" shapeId="0" xr:uid="{D14D6135-CD7B-424C-A261-3DE0BB8ECFF6}">
      <text>
        <r>
          <rPr>
            <b/>
            <sz val="12"/>
            <color indexed="81"/>
            <rFont val="Tahoma"/>
            <family val="2"/>
          </rPr>
          <t xml:space="preserve">Ohjelma laskee kassabudjetin ensimmäiselle ja toiselle ennustevuodelle, mutta tarvitsee seuraavia yrityskohtaisia tarkentavia "säätöjä". 
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Tärkeää! Arvioi käteis- ja laskutusmyynnin kuukausijakautuma prosentteina eli montako prosenttia on myynti eri kuukausina vuoden myynnistä (vuosi on 100 %).
4. Muut tuotot sis. alv 
</t>
        </r>
        <r>
          <rPr>
            <sz val="10"/>
            <color indexed="81"/>
            <rFont val="Tahoma"/>
            <family val="2"/>
          </rPr>
          <t>- Jos myydään kalustoa, lisää myyntitulot KOHTAAN 4. Myyntitulot löytyvät taulukosta 1. T1 INVESTOINTISUUNNITELMA, kohta "15. Muu oma rahoitus".</t>
        </r>
        <r>
          <rPr>
            <b/>
            <sz val="10"/>
            <color indexed="81"/>
            <rFont val="Tahoma"/>
            <family val="2"/>
          </rPr>
          <t xml:space="preserve">
6. Aineet ja tarvikkeet
</t>
        </r>
        <r>
          <rPr>
            <sz val="10"/>
            <color indexed="81"/>
            <rFont val="Tahoma"/>
            <family val="2"/>
          </rPr>
          <t xml:space="preserve">- Sijoita ostot oikeille kuukausille.  
</t>
        </r>
        <r>
          <rPr>
            <b/>
            <sz val="10"/>
            <color indexed="81"/>
            <rFont val="Tahoma"/>
            <family val="2"/>
          </rPr>
          <t>25. Liikehuoneisto-osakkeen hankinta</t>
        </r>
        <r>
          <rPr>
            <sz val="10"/>
            <color indexed="81"/>
            <rFont val="Tahoma"/>
            <family val="2"/>
          </rPr>
          <t xml:space="preserve">
- Osakkeiden hinta löytyy taulukosta 1. T1 INVESTOINTISUUNNITELMAn kohdasta "8. Sijoitukset".
</t>
        </r>
        <r>
          <rPr>
            <b/>
            <sz val="10"/>
            <color indexed="81"/>
            <rFont val="Tahoma"/>
            <family val="2"/>
          </rPr>
          <t xml:space="preserve">30. Osingot, yksityisotot
</t>
        </r>
        <r>
          <rPr>
            <sz val="10"/>
            <color indexed="81"/>
            <rFont val="Tahoma"/>
            <family val="2"/>
          </rPr>
          <t xml:space="preserve">- Henkilöyhtiön yhtiömiehen yksityisotot ja osakkaalle maksetut osingot pitää muistaa merkitä
</t>
        </r>
        <r>
          <rPr>
            <b/>
            <i/>
            <sz val="10"/>
            <color indexed="81"/>
            <rFont val="Tahoma"/>
            <family val="2"/>
          </rPr>
          <t xml:space="preserve">Kassabudjetit ainoastaan 12 kk tilikausille. </t>
        </r>
        <r>
          <rPr>
            <i/>
            <sz val="10"/>
            <color indexed="81"/>
            <rFont val="Tahoma"/>
            <family val="2"/>
          </rPr>
          <t>Kassabudjetti on ennuste ja kassabudjetin kuukausittaiseen saldoon vaikuttavat mm.: myynti, verovelat ja verosaatavat, palkkavelat työntekijöille ja omistajille, vakuutuksien palautukset. Näistä johtuen TASEen rahat ja pankkisaamiset summa ei ole välttämättä sama kuin kassabudjetin kassavarat vuoden lopussa.</t>
        </r>
      </text>
    </comment>
    <comment ref="G10" authorId="1" shapeId="0" xr:uid="{3DCB9227-E264-4FB3-8A17-B82337291C12}">
      <text>
        <r>
          <rPr>
            <sz val="10"/>
            <color indexed="81"/>
            <rFont val="Tahoma"/>
            <family val="2"/>
          </rPr>
          <t>Kirjoita tilikauden aloituskuukausi muotoon kk/vvvv.</t>
        </r>
      </text>
    </comment>
    <comment ref="G11" authorId="1" shapeId="0" xr:uid="{20B8CBC0-CA77-4FFF-8D93-61F7D52A503C}">
      <text>
        <r>
          <rPr>
            <sz val="10"/>
            <color indexed="81"/>
            <rFont val="Tahoma"/>
            <family val="2"/>
          </rPr>
          <t xml:space="preserve">Lukuun sisältyvät 1. T1 INVESTOINTISUUNNITELMAN summat:
Osakepääoma + sijoitus SVOP -rahastoon + pääomalaina + muu oma rahoitus </t>
        </r>
      </text>
    </comment>
    <comment ref="E13" authorId="1" shapeId="0" xr:uid="{53EDCE93-0B87-40DE-9594-7B386B54F07B}">
      <text>
        <r>
          <rPr>
            <sz val="10"/>
            <color indexed="81"/>
            <rFont val="Tahoma"/>
            <family val="2"/>
          </rPr>
          <t>Merkitse tähän käteismyynnin prosenttiosuus kokonaismyynnistä. 
Ennakkomaksut merkitään käteismyynniksi (katso 5. T4 RAHOITUSSUUN. G58). Luvuksi merkitään painotettu keskiarvo.</t>
        </r>
      </text>
    </comment>
    <comment ref="F13" authorId="1" shapeId="0" xr:uid="{1B0E23EF-F44B-4884-88D3-1D76920D5E93}">
      <text>
        <r>
          <rPr>
            <sz val="10"/>
            <color indexed="81"/>
            <rFont val="Tahoma"/>
            <family val="2"/>
          </rPr>
          <t>Jos useita arvonlisäverokantoja, aseta painotettu keskiarvo</t>
        </r>
      </text>
    </comment>
    <comment ref="G13" authorId="1" shapeId="0" xr:uid="{D95DE368-BAD0-4A99-AA63-C51297D6930A}">
      <text>
        <r>
          <rPr>
            <sz val="10"/>
            <color indexed="81"/>
            <rFont val="Tahoma"/>
            <family val="2"/>
          </rPr>
          <t xml:space="preserve">Ohjelma laskee käteismyynnin osuuden annetun prosenttijakautuman mukaan kuukausieriksi. </t>
        </r>
      </text>
    </comment>
    <comment ref="S13" authorId="1" shapeId="0" xr:uid="{3720377E-84ED-4E6D-A184-B4E2C2696C89}">
      <text>
        <r>
          <rPr>
            <sz val="10"/>
            <color indexed="81"/>
            <rFont val="Tahoma"/>
            <family val="2"/>
          </rPr>
          <t>4. E2 LIIKEVAIHTO -vuosiennusteen mukaan laskettu käteismyynti.</t>
        </r>
      </text>
    </comment>
    <comment ref="G14" authorId="1" shapeId="0" xr:uid="{39484F3A-F517-4AC7-9C4A-269D34702C94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Käteismyynnin kuukausijakautuma</t>
        </r>
        <r>
          <rPr>
            <sz val="10"/>
            <color indexed="81"/>
            <rFont val="Tahoma"/>
            <family val="2"/>
          </rPr>
          <t xml:space="preserve">
Arvioi myynnin kehittyminen kuukausittain prosenteilla. Vuosi on 100 %, huomioi sesongit ja lomat sekä mahdolliset seisokit. </t>
        </r>
      </text>
    </comment>
    <comment ref="F15" authorId="1" shapeId="0" xr:uid="{E00CE876-6094-4747-979C-C61BA2E72A8D}">
      <text>
        <r>
          <rPr>
            <sz val="10"/>
            <color indexed="81"/>
            <rFont val="Tahoma"/>
            <family val="2"/>
          </rPr>
          <t>Jos useita arvonlisäverokantoja, aseta painotettu keskiarvo</t>
        </r>
      </text>
    </comment>
    <comment ref="G15" authorId="1" shapeId="0" xr:uid="{6EC6154F-15FA-4D5C-A296-C8A31760CDCF}">
      <text>
        <r>
          <rPr>
            <sz val="10"/>
            <color indexed="81"/>
            <rFont val="Tahoma"/>
            <family val="2"/>
          </rPr>
          <t xml:space="preserve">Ohjelma laskee laskutusmyynnin osuuden annetun prosenttijakautuman mukaan kuukausieriksi. </t>
        </r>
      </text>
    </comment>
    <comment ref="S15" authorId="1" shapeId="0" xr:uid="{DCF02632-A1AC-4285-8A11-2E46CE1FA70A}">
      <text>
        <r>
          <rPr>
            <sz val="10"/>
            <color indexed="81"/>
            <rFont val="Tahoma"/>
            <family val="2"/>
          </rPr>
          <t>4. E2 LIIKEVAIHTO -vuosiennusteen mukaan laskettu laskutusmyynti.</t>
        </r>
      </text>
    </comment>
    <comment ref="G16" authorId="1" shapeId="0" xr:uid="{902BA66C-240C-41ED-A577-641726801D9E}">
      <text>
        <r>
          <rPr>
            <b/>
            <sz val="10"/>
            <color indexed="81"/>
            <rFont val="Tahoma"/>
            <family val="2"/>
          </rPr>
          <t>Laskutusmyynnin kuukausiennuste</t>
        </r>
        <r>
          <rPr>
            <sz val="10"/>
            <color indexed="81"/>
            <rFont val="Tahoma"/>
            <family val="2"/>
          </rPr>
          <t xml:space="preserve">
Arvioi myynnin kehittyminen kuukausittain prosenteilla.
Vuosi on 100 %, huomioi sesongit ja lomat sekä mahdolliset seisokit. </t>
        </r>
      </text>
    </comment>
    <comment ref="E17" authorId="1" shapeId="0" xr:uid="{C1986338-71DB-4AE2-A55C-A2CC1B8B0CA4}">
      <text>
        <r>
          <rPr>
            <sz val="10"/>
            <color indexed="81"/>
            <rFont val="Tahoma"/>
            <family val="2"/>
          </rPr>
          <t>Myyntilaskujen keskimääräinen maksuaika.</t>
        </r>
        <r>
          <rPr>
            <b/>
            <sz val="10"/>
            <color indexed="81"/>
            <rFont val="Tahoma"/>
            <family val="2"/>
          </rPr>
          <t xml:space="preserve"> Pisin maksuaika 180 pv.</t>
        </r>
      </text>
    </comment>
    <comment ref="G17" authorId="1" shapeId="0" xr:uid="{11688E6A-128C-41E7-863A-916ADA961A77}">
      <text>
        <r>
          <rPr>
            <sz val="10"/>
            <color indexed="81"/>
            <rFont val="Tahoma"/>
            <family val="2"/>
          </rPr>
          <t xml:space="preserve">Ohjelma laskee laskutusmyynnistä saatavat kuukausitulot maksuehdon perusteella (esim. 14 päivää). </t>
        </r>
      </text>
    </comment>
    <comment ref="G18" authorId="0" shapeId="0" xr:uid="{F498A55D-A745-4EB2-A7F5-157F3E90325E}">
      <text>
        <r>
          <rPr>
            <b/>
            <sz val="10"/>
            <color indexed="81"/>
            <rFont val="Tahoma"/>
            <family val="2"/>
          </rPr>
          <t>Muita alv-tuottoja ovat (laskettu tasaerinä kuukausille, korjaa tarvittaessa)</t>
        </r>
        <r>
          <rPr>
            <sz val="10"/>
            <color indexed="81"/>
            <rFont val="Tahoma"/>
            <family val="2"/>
          </rPr>
          <t xml:space="preserve">
- Taulukosta 2. T2 TULOSSUUN. solusta G12 Liiketoiminnan muut tuotot
  (myös alv 0 %, huomioi alv-%)
</t>
        </r>
        <r>
          <rPr>
            <b/>
            <sz val="10"/>
            <color indexed="81"/>
            <rFont val="Tahoma"/>
            <family val="2"/>
          </rPr>
          <t>Lisää oikealle kuukaudelle</t>
        </r>
        <r>
          <rPr>
            <sz val="10"/>
            <color indexed="81"/>
            <rFont val="Tahoma"/>
            <family val="2"/>
          </rPr>
          <t xml:space="preserve">
- Esim. saneerauksen yhteydessä myydyt koneet, valmistusoikeudet yms.</t>
        </r>
      </text>
    </comment>
    <comment ref="G19" authorId="0" shapeId="0" xr:uid="{86D0C372-4044-4260-8F72-4B0CD875A5D9}">
      <text>
        <r>
          <rPr>
            <b/>
            <sz val="10"/>
            <color indexed="81"/>
            <rFont val="Tahoma"/>
            <family val="2"/>
          </rPr>
          <t>Muut alv 0 %-tuottoja ovat:</t>
        </r>
        <r>
          <rPr>
            <sz val="10"/>
            <color indexed="81"/>
            <rFont val="Tahoma"/>
            <family val="2"/>
          </rPr>
          <t xml:space="preserve">
- Taulukosta 5. E1 KUSTANNUKSET solun F30 Vakuutuskorvaukset  
  kuukausierinä
- Yritystukien tuloutus 1. T1 INVESTOINTISUUN. solusta E61, lisätty 
  7. kuukaudelle. Muuta tarvittaessa. </t>
        </r>
      </text>
    </comment>
    <comment ref="M19" authorId="1" shapeId="0" xr:uid="{5D3E899B-6304-491B-B8DC-514EAD621E5E}">
      <text>
        <r>
          <rPr>
            <sz val="10"/>
            <color indexed="81"/>
            <rFont val="Tahoma"/>
            <family val="2"/>
          </rPr>
          <t xml:space="preserve">Avustus arvioidaan saatavan 7. kuukautena. Vaihda summa tarvittaessa eri kuukaudelle.  </t>
        </r>
      </text>
    </comment>
    <comment ref="F23" authorId="1" shapeId="0" xr:uid="{AB8904A8-B818-4D96-B10C-A3B5669D6E65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23" authorId="0" shapeId="0" xr:uid="{ADC7445B-5F88-47E4-88C5-1C591B9B616A}">
      <text>
        <r>
          <rPr>
            <sz val="10"/>
            <color indexed="81"/>
            <rFont val="Tahoma"/>
            <family val="2"/>
          </rPr>
          <t>Ohjelma laskee myynnin mukaan tarvittavat aine- ja tarvikehankinnat. Kuinka suurina erinä ostetaan ja mille kuukausille laskut saapuvat? Muuta taulukkoon tarvittaessa.</t>
        </r>
      </text>
    </comment>
    <comment ref="T23" authorId="1" shapeId="0" xr:uid="{D98CD19A-564B-4706-B799-5CBE2DA738FC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F25" authorId="1" shapeId="0" xr:uid="{3C475C0F-87D1-4C5D-8609-BD17E6299AD9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25" authorId="0" shapeId="0" xr:uid="{B03FB0B9-B632-4335-AB32-85356FE2F694}">
      <text>
        <r>
          <rPr>
            <sz val="10"/>
            <color indexed="81"/>
            <rFont val="Tahoma"/>
            <family val="2"/>
          </rPr>
          <t>Vaihto-omaisuus siirtyy tähän taulukosta 1.T1 INVESTOINTISUUN., kohdasta 10.
Huom. Liiketoimintakaupassa varaston osto alv 0 %. Jos useita alv-prosentteja, niin luku on painotettu keskiarvo.</t>
        </r>
      </text>
    </comment>
    <comment ref="AD25" authorId="1" shapeId="0" xr:uid="{C8939241-9C3F-4E20-B6D0-5AF1D4AC6A3F}">
      <text>
        <r>
          <rPr>
            <b/>
            <sz val="9"/>
            <color indexed="81"/>
            <rFont val="Tahoma"/>
            <family val="2"/>
          </rPr>
          <t xml:space="preserve">2026
Sairausvakuutusmaksu 1,91 %
Yrittäjän ainoa sivukulu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5" authorId="1" shapeId="0" xr:uid="{C3FB4D73-DABB-48F5-B050-A76204203AFE}">
      <text>
        <r>
          <rPr>
            <b/>
            <sz val="9"/>
            <color indexed="81"/>
            <rFont val="Tahoma"/>
            <family val="2"/>
          </rPr>
          <t>2021: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25" authorId="1" shapeId="0" xr:uid="{D45667F9-EDEB-4E45-89B7-FF2790221726}">
      <text>
        <r>
          <rPr>
            <b/>
            <sz val="9"/>
            <color indexed="81"/>
            <rFont val="Tahoma"/>
            <family val="2"/>
          </rPr>
          <t>Uudessa versiossa tätä lukua ei oteta mukaan vaan jo sisällytetty F37 
2026
Työntekijä maksaa
TT-vakuutusmaksu 0,89 % + TyEL-maksu 7,3 %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6" authorId="1" shapeId="0" xr:uid="{A7B78AB5-776E-433E-B781-3B501C6F5885}">
      <text>
        <r>
          <rPr>
            <b/>
            <sz val="9"/>
            <color indexed="81"/>
            <rFont val="Tahoma"/>
            <family val="2"/>
          </rPr>
          <t xml:space="preserve">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7" authorId="1" shapeId="0" xr:uid="{439C3408-11DA-45A0-BFA1-F391AC08C0D4}">
      <text>
        <r>
          <rPr>
            <b/>
            <sz val="10"/>
            <color indexed="81"/>
            <rFont val="Tahoma"/>
            <family val="2"/>
          </rPr>
          <t xml:space="preserve">Sijoita investoinnit oikeille kuukausille. </t>
        </r>
      </text>
    </comment>
    <comment ref="F28" authorId="1" shapeId="0" xr:uid="{A24FEC1F-0C8B-4C57-8571-EAACF885B765}">
      <text>
        <r>
          <rPr>
            <sz val="10"/>
            <color indexed="81"/>
            <rFont val="Tahoma"/>
            <family val="2"/>
          </rPr>
          <t>Varmista, onko vuokranantajasi alv-velvollinen. Jos ei, on prosenttiluku nolla.</t>
        </r>
      </text>
    </comment>
    <comment ref="G31" authorId="1" shapeId="0" xr:uid="{B8C8A64E-BB50-4F73-B9FC-3F260D84EEB2}">
      <text>
        <r>
          <rPr>
            <sz val="10"/>
            <color indexed="81"/>
            <rFont val="Tahoma"/>
            <family val="2"/>
          </rPr>
          <t>Arvonlisävero lasketaan viimeistä edellisen kuukauden alv-ostoista ja -myynneistä eli maaliskuun alv:t lasketaan tammikuun tapahtumista.</t>
        </r>
      </text>
    </comment>
    <comment ref="U32" authorId="1" shapeId="0" xr:uid="{F8357A91-2CCB-40A6-8F7B-C28F3B2BC22C}">
      <text>
        <r>
          <rPr>
            <b/>
            <sz val="10"/>
            <color indexed="81"/>
            <rFont val="Tahoma"/>
            <family val="2"/>
          </rPr>
          <t xml:space="preserve">Palkkasummat tulevat taulukosta E1 Kustannukset, jos maksat palkkoja enemmän käy korottamassa palkkoja E1 Kustannukset taulukossa. </t>
        </r>
      </text>
    </comment>
    <comment ref="F33" authorId="1" shapeId="0" xr:uid="{19ADA22E-458A-4349-B36A-F481EB15C50A}">
      <text>
        <r>
          <rPr>
            <b/>
            <sz val="10"/>
            <color indexed="81"/>
            <rFont val="Tahoma"/>
            <family val="2"/>
          </rPr>
          <t xml:space="preserve">2026
YEL-vakuutusmaksu
</t>
        </r>
        <r>
          <rPr>
            <sz val="10"/>
            <color indexed="81"/>
            <rFont val="Tahoma"/>
            <family val="2"/>
          </rPr>
          <t xml:space="preserve">- 24,4 %
- kiinteä maksu kuukausittain (vuosilaskelma, palkan nostomäärä ei vaikuta)
</t>
        </r>
        <r>
          <rPr>
            <b/>
            <sz val="10"/>
            <color indexed="81"/>
            <rFont val="Tahoma"/>
            <family val="2"/>
          </rPr>
          <t xml:space="preserve">Uusi Yrittäjä
</t>
        </r>
        <r>
          <rPr>
            <sz val="10"/>
            <color indexed="81"/>
            <rFont val="Tahoma"/>
            <family val="2"/>
          </rPr>
          <t xml:space="preserve">Uudelle yrittäjälle 4 ensimmäistä vuotta alennettuja
- YEL -vakuutusmaksu 19,03 %
</t>
        </r>
        <r>
          <rPr>
            <b/>
            <sz val="10"/>
            <color indexed="81"/>
            <rFont val="Tahoma"/>
            <family val="2"/>
          </rPr>
          <t>Yrittäjän vapaaehtoinen tapaturmavakuutusmaksu noin 1,7 %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Yhteensä YEL ja tapaturmavakuutusmaksu</t>
        </r>
        <r>
          <rPr>
            <sz val="10"/>
            <color indexed="81"/>
            <rFont val="Tahoma"/>
            <family val="2"/>
          </rPr>
          <t xml:space="preserve">
- 26,1 %
- uusi yrittäjä 20,73 %</t>
        </r>
      </text>
    </comment>
    <comment ref="U34" authorId="1" shapeId="0" xr:uid="{3D8B99C5-1FAF-4688-8E44-34A65DDAF8EF}">
      <text>
        <r>
          <rPr>
            <b/>
            <sz val="10"/>
            <color indexed="81"/>
            <rFont val="Tahoma"/>
            <family val="2"/>
          </rPr>
          <t xml:space="preserve">Palkkasummat tulevat taulukosta E1 Kustannukset, jos maksat palkkoja enemmän käy korottamassa palkkoja E1 Kustannukset taulukossa. </t>
        </r>
      </text>
    </comment>
    <comment ref="F36" authorId="1" shapeId="0" xr:uid="{F1906F0D-CA76-4659-A1C1-F510711755A3}">
      <text>
        <r>
          <rPr>
            <b/>
            <sz val="10"/>
            <color indexed="81"/>
            <rFont val="Tahoma"/>
            <family val="2"/>
          </rPr>
          <t>2026
Yritys maksaa keskimäärin:</t>
        </r>
        <r>
          <rPr>
            <sz val="10"/>
            <color indexed="81"/>
            <rFont val="Tahoma"/>
            <family val="2"/>
          </rPr>
          <t xml:space="preserve"> 
- TyEL-maksua keskimäärin 17,1 % 
- Tapaturmavakuutusta 0,5 - 5 % (tapaturma-alttiilla aloilla suurempi esim. rakentaminen 1 - 3 %)
- Ryhmähenkivakuutusta 0,06 % 
- Työttömyysvakuutusta 1,2 % (palkkasumma alle 2 455 500 €) 
</t>
        </r>
        <r>
          <rPr>
            <b/>
            <sz val="10"/>
            <color indexed="81"/>
            <rFont val="Tahoma"/>
            <family val="2"/>
          </rPr>
          <t xml:space="preserve">Yhteensä noin 18,9  - 23,4 % </t>
        </r>
      </text>
    </comment>
    <comment ref="T37" authorId="1" shapeId="0" xr:uid="{A86978C3-9F77-45FD-8F26-D90D73AC76E1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C40" authorId="1" shapeId="0" xr:uid="{045CF9AD-2705-44AE-8F28-7D702B85C47A}">
      <text>
        <r>
          <rPr>
            <sz val="10"/>
            <color indexed="81"/>
            <rFont val="Tahoma"/>
            <family val="2"/>
          </rPr>
          <t>Ei sisällä osamaksuvelkojen korkoja. Ovat kohdassa 27.</t>
        </r>
      </text>
    </comment>
    <comment ref="G49" authorId="1" shapeId="0" xr:uid="{365D2D75-AE6D-45A4-A2DF-AB8E8F4AF283}">
      <text>
        <r>
          <rPr>
            <sz val="10"/>
            <color indexed="81"/>
            <rFont val="Tahoma"/>
            <family val="2"/>
          </rPr>
          <t>Ohjelma laskee tasan kuukausieriksi. Voit muuttaa toteutuvan mukaiseksi.</t>
        </r>
      </text>
    </comment>
    <comment ref="T49" authorId="1" shapeId="0" xr:uid="{4716A8B8-8F84-41BF-858E-F523160FBC08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G50" authorId="1" shapeId="0" xr:uid="{1EE79EDC-368E-4C51-A501-44C341E82B5B}">
      <text>
        <r>
          <rPr>
            <sz val="10"/>
            <color indexed="81"/>
            <rFont val="Tahoma"/>
            <family val="2"/>
          </rPr>
          <t xml:space="preserve">Luku sisältää koko vuoden pitkäaikaiset laina- ja osamaksulisäykset taulukosta 2. T7 LAINAT. Lisää lyhytaikaiset ja muut ilman velkakirjaa nostetut lainat. Sijoita oikealle kuukaudelle! </t>
        </r>
      </text>
    </comment>
    <comment ref="G51" authorId="1" shapeId="0" xr:uid="{C797F35F-5A6A-4E08-89D3-D20B4694CBF8}">
      <text>
        <r>
          <rPr>
            <sz val="10"/>
            <color indexed="81"/>
            <rFont val="Tahoma"/>
            <family val="2"/>
          </rPr>
          <t>Ohjelma laskee lainanlyhennykset tasaerinä kuukausittain. Voit muuttaa toteutuvan mukaiseksi. Lisää lyhytaikaisten velkojen ja muiden ilman velkakirjaa olevien lainojen lyhennykset.</t>
        </r>
      </text>
    </comment>
    <comment ref="G52" authorId="1" shapeId="0" xr:uid="{63FE10C5-3AE1-4223-BC02-8E6EE581EF89}">
      <text>
        <r>
          <rPr>
            <sz val="10"/>
            <color indexed="81"/>
            <rFont val="Tahoma"/>
            <family val="2"/>
          </rPr>
          <t>Lisää osingonmaksut / yksityisotot.</t>
        </r>
      </text>
    </comment>
    <comment ref="C53" authorId="1" shapeId="0" xr:uid="{0B5A6054-40E2-48CB-84F1-0E47311E35DA}">
      <text>
        <r>
          <rPr>
            <sz val="10"/>
            <color indexed="81"/>
            <rFont val="Tahoma"/>
            <family val="2"/>
          </rPr>
          <t>Omistajien lisäsijoitukset taulukkoon
T1 INVESTOINTISUUN. Sijoita ensimmäiselle ennustevuodelle.</t>
        </r>
      </text>
    </comment>
    <comment ref="R58" authorId="1" shapeId="0" xr:uid="{C7F07BCB-4B9D-42D7-B431-B45750E89AC0}">
      <text>
        <r>
          <rPr>
            <sz val="10"/>
            <color indexed="81"/>
            <rFont val="Tahoma"/>
            <family val="2"/>
          </rPr>
          <t xml:space="preserve">Kassavarat 12 kuukauden kuluttua </t>
        </r>
      </text>
    </comment>
    <comment ref="E69" authorId="1" shapeId="0" xr:uid="{CBAFF1A6-2D07-4CA9-A37C-15A2744477CB}">
      <text>
        <r>
          <rPr>
            <sz val="10"/>
            <color indexed="81"/>
            <rFont val="Tahoma"/>
            <family val="2"/>
          </rPr>
          <t>Merkitse tähän käteismyynnin prosenttiosuus kokonaismyynnistä. 
Ennakkomaksut merkitään käteismyynniksi (katso 5. T4 RAHOITUSSUUN. H58). Luvuksi merkitään painotettu keskiarvo.</t>
        </r>
      </text>
    </comment>
    <comment ref="F69" authorId="1" shapeId="0" xr:uid="{5563E7EA-4645-4F7A-A15E-49FCFA60DAB9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69" authorId="1" shapeId="0" xr:uid="{5246E16F-F855-460D-B6AC-0A940DAC838A}">
      <text>
        <r>
          <rPr>
            <sz val="10"/>
            <color indexed="81"/>
            <rFont val="Tahoma"/>
            <family val="2"/>
          </rPr>
          <t xml:space="preserve">Ohjelma laskee käteismyynnin osuuden annetun prosentti-jakautuman mukaan kuukausieriksi. </t>
        </r>
      </text>
    </comment>
    <comment ref="S69" authorId="1" shapeId="0" xr:uid="{072511FA-531A-4E67-9270-332578DE1DFB}">
      <text>
        <r>
          <rPr>
            <sz val="10"/>
            <color indexed="81"/>
            <rFont val="Tahoma"/>
            <family val="2"/>
          </rPr>
          <t>4. E2 LIIKEVAIHTO -vuosiennusteen mukaan laskettu käteismyynti.</t>
        </r>
      </text>
    </comment>
    <comment ref="G70" authorId="1" shapeId="0" xr:uid="{9A55C846-E0EA-4330-A923-87F7D2F1D3B4}">
      <text>
        <r>
          <rPr>
            <b/>
            <sz val="10"/>
            <color indexed="81"/>
            <rFont val="Tahoma"/>
            <family val="2"/>
          </rPr>
          <t xml:space="preserve">Käteismyynnin kuukausijakautuma
</t>
        </r>
        <r>
          <rPr>
            <sz val="10"/>
            <color indexed="81"/>
            <rFont val="Tahoma"/>
            <family val="2"/>
          </rPr>
          <t xml:space="preserve">Arvioi yrityksellesi myynnin kehittyminen kuukausittain prosenteilla. Vuosi on 100 %, huomioi sesongit ja lomat sekä mahdolliset seisokit. </t>
        </r>
      </text>
    </comment>
    <comment ref="F71" authorId="1" shapeId="0" xr:uid="{7E2AFC17-B560-4105-A759-27980D19F07B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71" authorId="1" shapeId="0" xr:uid="{8D2A5697-41AB-41BE-B9D6-94CC0F2EDED6}">
      <text>
        <r>
          <rPr>
            <sz val="10"/>
            <color indexed="81"/>
            <rFont val="Tahoma"/>
            <family val="2"/>
          </rPr>
          <t xml:space="preserve">Ohjelma laskee laskutusmyynnin osuuden annetun prosenttijakautuman mukaan kuukausieriksi. </t>
        </r>
      </text>
    </comment>
    <comment ref="S71" authorId="1" shapeId="0" xr:uid="{51A59005-C1E3-4350-83F6-608E8CE14911}">
      <text>
        <r>
          <rPr>
            <sz val="10"/>
            <color indexed="81"/>
            <rFont val="Tahoma"/>
            <family val="2"/>
          </rPr>
          <t>4. E2 LIIKEVAIHTO -vuosiennusteen mukaan laskettu laskutusmyynti.</t>
        </r>
      </text>
    </comment>
    <comment ref="G72" authorId="1" shapeId="0" xr:uid="{1E8C6D94-F88F-492C-8B67-F3E85FBD1283}">
      <text>
        <r>
          <rPr>
            <b/>
            <sz val="10"/>
            <color indexed="81"/>
            <rFont val="Tahoma"/>
            <family val="2"/>
          </rPr>
          <t xml:space="preserve">Laskutusmyynnin kuukausijakautuma
</t>
        </r>
        <r>
          <rPr>
            <sz val="10"/>
            <color indexed="81"/>
            <rFont val="Tahoma"/>
            <family val="2"/>
          </rPr>
          <t xml:space="preserve">
Arvioi yrityksesi myynnin kehittyminen kuukausittain prosenteilla.
Vuosi on 100 %, huomioi sesongit ja lomat sekä mahdolliset seisokit. </t>
        </r>
      </text>
    </comment>
    <comment ref="E73" authorId="1" shapeId="0" xr:uid="{A0473F5B-C18D-4B85-B0FB-86351302CDD8}">
      <text>
        <r>
          <rPr>
            <sz val="10"/>
            <color indexed="81"/>
            <rFont val="Tahoma"/>
            <family val="2"/>
          </rPr>
          <t>Myyntilaskujen keskimääräinen maksuaika.</t>
        </r>
        <r>
          <rPr>
            <b/>
            <sz val="10"/>
            <color indexed="81"/>
            <rFont val="Tahoma"/>
            <family val="2"/>
          </rPr>
          <t xml:space="preserve"> Pisin maksuaika 180 pv.</t>
        </r>
      </text>
    </comment>
    <comment ref="G73" authorId="1" shapeId="0" xr:uid="{ED22200E-40C5-4593-BAF6-33E19151C29F}">
      <text>
        <r>
          <rPr>
            <sz val="10"/>
            <color indexed="81"/>
            <rFont val="Tahoma"/>
            <family val="2"/>
          </rPr>
          <t xml:space="preserve">Ohjelma laskee laskutusmyynnistä saatavat kuukausitulot maksuehdon perusteella (esim. 14 päivää). </t>
        </r>
      </text>
    </comment>
    <comment ref="G74" authorId="0" shapeId="0" xr:uid="{520C8C5B-A147-452F-AB12-4D867FCB1887}">
      <text>
        <r>
          <rPr>
            <b/>
            <sz val="10"/>
            <color indexed="81"/>
            <rFont val="Tahoma"/>
            <family val="2"/>
          </rPr>
          <t>Muita alv-tuottoja ovat (laskettu tasaerinä kuukausille, korjaa tarvittaessa)</t>
        </r>
        <r>
          <rPr>
            <sz val="10"/>
            <color indexed="81"/>
            <rFont val="Tahoma"/>
            <family val="2"/>
          </rPr>
          <t xml:space="preserve">
- Taulukosta 2. T2 TULOSSUUN. solusta I12 Liiketoiminnan muut tuotot
  (myös alv 0 %, huomioi alv-%)
</t>
        </r>
        <r>
          <rPr>
            <b/>
            <sz val="10"/>
            <color indexed="81"/>
            <rFont val="Tahoma"/>
            <family val="2"/>
          </rPr>
          <t>Lisää oikealle kuukaudelle</t>
        </r>
        <r>
          <rPr>
            <sz val="10"/>
            <color indexed="81"/>
            <rFont val="Tahoma"/>
            <family val="2"/>
          </rPr>
          <t xml:space="preserve">
- Esim. saneerauksen yhteydessä myydyt koneet, valmistusoikeudet yms.
- Sijoitusten tuloutus taulukosta 6. T3 TASE solusta H36</t>
        </r>
      </text>
    </comment>
    <comment ref="G75" authorId="0" shapeId="0" xr:uid="{284C97F5-C1EF-4FC7-991A-F7CA43006823}">
      <text>
        <r>
          <rPr>
            <b/>
            <sz val="10"/>
            <color indexed="81"/>
            <rFont val="Tahoma"/>
            <family val="2"/>
          </rPr>
          <t>Muut alv 0 %-tuottoja ovat:</t>
        </r>
        <r>
          <rPr>
            <sz val="10"/>
            <color indexed="81"/>
            <rFont val="Tahoma"/>
            <family val="2"/>
          </rPr>
          <t xml:space="preserve">
- Taulukosta 5. E1 KUSTANNUKSET solun F30 Vakuutuskorvaukset  
  kuukausierinä
- Yritystukien tuloutus 1. T1 INVESTOINTISUUN. solusta F61, lisätty 
  7. kuukaudelle. Muuta tarvittaessa. </t>
        </r>
      </text>
    </comment>
    <comment ref="M75" authorId="1" shapeId="0" xr:uid="{D3474B64-9C43-4B81-8223-2DF554FB69CF}">
      <text>
        <r>
          <rPr>
            <sz val="10"/>
            <color indexed="81"/>
            <rFont val="Tahoma"/>
            <family val="2"/>
          </rPr>
          <t xml:space="preserve">Avustus arvioidaan saatavan 7. kuukautena. Vaihda summa tarvittaessa eri kuukaudelle.  </t>
        </r>
      </text>
    </comment>
    <comment ref="F79" authorId="1" shapeId="0" xr:uid="{A7D4D606-087E-423D-BB04-7E19663DFCF3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79" authorId="0" shapeId="0" xr:uid="{0D583BEB-5464-461B-8F7C-34580CE92CFD}">
      <text>
        <r>
          <rPr>
            <sz val="10"/>
            <color indexed="81"/>
            <rFont val="Tahoma"/>
            <family val="2"/>
          </rPr>
          <t>Ohjelma laskee myynnin mukaan tarvittavat aine- ja tarvikehankinnat. Kuinka suurina erinä ostetaan ja mille kuukausille laskut saapuvat? Muuta taulukkoon tarvittaessa.</t>
        </r>
      </text>
    </comment>
    <comment ref="T79" authorId="1" shapeId="0" xr:uid="{D54BEF9B-B3A0-40E8-982B-66AC9025743A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E80" authorId="0" shapeId="0" xr:uid="{F453097D-5972-4A70-AEE5-557C59B1C462}">
      <text>
        <r>
          <rPr>
            <sz val="10"/>
            <color indexed="81"/>
            <rFont val="Tahoma"/>
            <family val="2"/>
          </rPr>
          <t>Ostovelkojen kiertoaika on sama kuin 
5. T4 RAHOITUSSUUN.-taulukukon solussa H56. Pisin maksuaika 90 pv.</t>
        </r>
      </text>
    </comment>
    <comment ref="G83" authorId="1" shapeId="0" xr:uid="{21931242-9F8A-4714-93E0-B326D417F0AC}">
      <text>
        <r>
          <rPr>
            <b/>
            <sz val="10"/>
            <color indexed="81"/>
            <rFont val="Tahoma"/>
            <family val="2"/>
          </rPr>
          <t xml:space="preserve">Sijoita investoinnit oikeille kuukausille. </t>
        </r>
      </text>
    </comment>
    <comment ref="AD86" authorId="1" shapeId="0" xr:uid="{C75EDB90-80FC-445B-B071-CC4A04045F09}">
      <text>
        <r>
          <rPr>
            <b/>
            <sz val="9"/>
            <color indexed="81"/>
            <rFont val="Tahoma"/>
            <family val="2"/>
          </rPr>
          <t xml:space="preserve">2026
Sairausvakuutusmaksu 1,91 %
Yrittäjän ainoa sivukulu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86" authorId="1" shapeId="0" xr:uid="{7166EE70-8750-4626-BBBB-264CD028A9A6}">
      <text>
        <r>
          <rPr>
            <b/>
            <sz val="9"/>
            <color indexed="81"/>
            <rFont val="Tahoma"/>
            <family val="2"/>
          </rPr>
          <t>2021: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86" authorId="1" shapeId="0" xr:uid="{AB369402-32F1-405B-BF23-F08E16B8E178}">
      <text>
        <r>
          <rPr>
            <b/>
            <sz val="9"/>
            <color indexed="81"/>
            <rFont val="Tahoma"/>
            <family val="2"/>
          </rPr>
          <t>Uudessa versiossa tätä lukua ei oteta mukaan vaan jo sisällytetty F37 
2026
Työntekijä maksaa
TT-vakuutusmaksu 0,89 % + TyEL-maksu 7,3 %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88" authorId="1" shapeId="0" xr:uid="{7EB525DA-2DA4-489E-B086-CA1FA51C8DA7}">
      <text>
        <r>
          <rPr>
            <sz val="10"/>
            <color indexed="81"/>
            <rFont val="Tahoma"/>
            <family val="2"/>
          </rPr>
          <t>Lomapalkkojen maksukuukauden palkka on 1,5 x kuukausipalkka</t>
        </r>
      </text>
    </comment>
    <comment ref="F89" authorId="1" shapeId="0" xr:uid="{C9EA4B61-0379-4E7E-ABD3-9D7EB0D8BEFA}">
      <text>
        <r>
          <rPr>
            <b/>
            <sz val="10"/>
            <color indexed="81"/>
            <rFont val="Tahoma"/>
            <family val="2"/>
          </rPr>
          <t xml:space="preserve">2026
YEL-vakuutusmaksu
</t>
        </r>
        <r>
          <rPr>
            <sz val="10"/>
            <color indexed="81"/>
            <rFont val="Tahoma"/>
            <family val="2"/>
          </rPr>
          <t xml:space="preserve">- 24,4 %
- kiinteä maksu kuukausittain (vuosilaskelma, palkan nostomäärä ei vaikuta)
</t>
        </r>
        <r>
          <rPr>
            <b/>
            <sz val="10"/>
            <color indexed="81"/>
            <rFont val="Tahoma"/>
            <family val="2"/>
          </rPr>
          <t xml:space="preserve">Uusi Yrittäjä
</t>
        </r>
        <r>
          <rPr>
            <sz val="10"/>
            <color indexed="81"/>
            <rFont val="Tahoma"/>
            <family val="2"/>
          </rPr>
          <t xml:space="preserve">Uudelle yrittäjälle 4 ensimmäistä vuotta alennettuja
- YEL -vakuutusmaksu 19,03 %
</t>
        </r>
        <r>
          <rPr>
            <b/>
            <sz val="10"/>
            <color indexed="81"/>
            <rFont val="Tahoma"/>
            <family val="2"/>
          </rPr>
          <t>Yrittäjän vapaaehtoinen tapaturmavakuutusmaksu noin 1,7 %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Yhteensä YEL ja tapaturmavakuutusmaksu</t>
        </r>
        <r>
          <rPr>
            <sz val="10"/>
            <color indexed="81"/>
            <rFont val="Tahoma"/>
            <family val="2"/>
          </rPr>
          <t xml:space="preserve">
- 26,1 %
- uusi yrittäjä 20,73 %</t>
        </r>
      </text>
    </comment>
    <comment ref="M90" authorId="1" shapeId="0" xr:uid="{3F9951FB-37DB-4FDF-8AEB-A21E1B6EC98B}">
      <text>
        <r>
          <rPr>
            <sz val="10"/>
            <color indexed="81"/>
            <rFont val="Tahoma"/>
            <family val="2"/>
          </rPr>
          <t>Lomapalkkojen maksukuukauden palkka on 1,5 x kuukausipalkka</t>
        </r>
      </text>
    </comment>
    <comment ref="T90" authorId="1" shapeId="0" xr:uid="{357E8F21-EE40-463B-9DF5-65CE24659999}">
      <text>
        <r>
          <rPr>
            <sz val="10"/>
            <color indexed="81"/>
            <rFont val="Tahoma"/>
            <family val="2"/>
          </rPr>
          <t>Jos luku on negatiivinen, lisää palkkakuluja 5. E1 KUSTANNUKSET -taulukon kohtaan 1.2 ja/tai 1.3. 
Jos luku on positiivinen, vähennä palkkakuluja 5. E1 KUSTANNUKSET - taulukossa.</t>
        </r>
      </text>
    </comment>
    <comment ref="F92" authorId="1" shapeId="0" xr:uid="{F5FF8421-CB54-43F7-BBF8-8C6F0A924694}">
      <text>
        <r>
          <rPr>
            <b/>
            <sz val="10"/>
            <color indexed="81"/>
            <rFont val="Tahoma"/>
            <family val="2"/>
          </rPr>
          <t>2026
Yritys maksaa keskimäärin:</t>
        </r>
        <r>
          <rPr>
            <sz val="10"/>
            <color indexed="81"/>
            <rFont val="Tahoma"/>
            <family val="2"/>
          </rPr>
          <t xml:space="preserve"> 
- TyEL-maksua keskimäärin 17,1 % 
- Tapaturmavakuutusta 0,5 - 5 % (tapaturma-alttiilla aloilla suurempi esim. rakentaminen 1 - 3 %)
- Ryhmähenkivakuutusta 0,06 % 
- Työttömyysvakuutusta 1,2 % (palkkasumma alle 2 455 500 €) 
</t>
        </r>
        <r>
          <rPr>
            <b/>
            <sz val="10"/>
            <color indexed="81"/>
            <rFont val="Tahoma"/>
            <family val="2"/>
          </rPr>
          <t xml:space="preserve">Yhteensä noin 18,9  - 23,4 % </t>
        </r>
      </text>
    </comment>
    <comment ref="T93" authorId="1" shapeId="0" xr:uid="{ED2914A9-341E-46C1-8FE7-03143FDCEB10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C96" authorId="1" shapeId="0" xr:uid="{23ECC88D-158D-44E0-B291-D73A27A62117}">
      <text>
        <r>
          <rPr>
            <sz val="10"/>
            <color indexed="81"/>
            <rFont val="Tahoma"/>
            <family val="2"/>
          </rPr>
          <t>Ei sisällä osamaksuvelkojen korkoja. Ovat kohdassa 27.</t>
        </r>
      </text>
    </comment>
    <comment ref="G98" authorId="1" shapeId="0" xr:uid="{1B7389A1-9828-42F9-801D-B9979ED1D88B}">
      <text>
        <r>
          <rPr>
            <sz val="10"/>
            <color indexed="81"/>
            <rFont val="Tahoma"/>
            <family val="2"/>
          </rPr>
          <t xml:space="preserve">Lisää </t>
        </r>
        <r>
          <rPr>
            <b/>
            <sz val="10"/>
            <color indexed="81"/>
            <rFont val="Tahoma"/>
            <family val="2"/>
          </rPr>
          <t>alv 0 % investoinnit</t>
        </r>
        <r>
          <rPr>
            <sz val="10"/>
            <color indexed="81"/>
            <rFont val="Tahoma"/>
            <family val="2"/>
          </rPr>
          <t xml:space="preserve"> 1. T1 INVESTOINTISUUNNITELMA -taulukosta. Vähennä leasingrahoitus.</t>
        </r>
      </text>
    </comment>
    <comment ref="G105" authorId="1" shapeId="0" xr:uid="{6DE9F91E-A5E1-4B50-BBB7-CD891A282869}">
      <text>
        <r>
          <rPr>
            <sz val="10"/>
            <color indexed="81"/>
            <rFont val="Tahoma"/>
            <family val="2"/>
          </rPr>
          <t>Ohjelma laskee tasan kuukausieriksi. Voit muuttaa toteutuvan mukaiseksi.</t>
        </r>
      </text>
    </comment>
    <comment ref="T105" authorId="1" shapeId="0" xr:uid="{6AC677B1-EB79-4064-9AD7-8D3FBEA3D0B4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G106" authorId="1" shapeId="0" xr:uid="{7818E9A5-C1C3-4AD7-9AE7-A22D4BB6B368}">
      <text>
        <r>
          <rPr>
            <sz val="10"/>
            <color indexed="81"/>
            <rFont val="Tahoma"/>
            <family val="2"/>
          </rPr>
          <t xml:space="preserve">Luku sisältää koko vuoden pitkäaikaiset laina- ja osamaksulisäykset taulukosta 2. T7 LAINAT. Lisää lyhytaikaiset ja muut ilman velkakirjaa nostetut lainat. Sijoita oikealle kuukaudelle! </t>
        </r>
      </text>
    </comment>
    <comment ref="G107" authorId="1" shapeId="0" xr:uid="{7FF00A9E-A776-473A-8CFE-25C47B2D5B04}">
      <text>
        <r>
          <rPr>
            <sz val="10"/>
            <color indexed="81"/>
            <rFont val="Tahoma"/>
            <family val="2"/>
          </rPr>
          <t>Ohjelma laskee lainanlyhennykset tasaerinä kuukausittain. Voit muuttaa toteutuvan mukaiseksi. Lisää lyhytaikaisten velkojen ja muiden ilman velkakirjaa olevien lainojen lyhennykset.</t>
        </r>
      </text>
    </comment>
    <comment ref="G108" authorId="1" shapeId="0" xr:uid="{0759AECF-9017-4138-916D-18E65DDFADBA}">
      <text>
        <r>
          <rPr>
            <sz val="10"/>
            <color indexed="81"/>
            <rFont val="Tahoma"/>
            <family val="2"/>
          </rPr>
          <t>Ohjelma olettaa osingot maksettavan 3 kk aikana.</t>
        </r>
      </text>
    </comment>
    <comment ref="G109" authorId="1" shapeId="0" xr:uid="{177E8C9A-40A5-40CE-80F5-9F75A096D45B}">
      <text>
        <r>
          <rPr>
            <sz val="10"/>
            <color indexed="81"/>
            <rFont val="Tahoma"/>
            <family val="2"/>
          </rPr>
          <t xml:space="preserve">Omistajien sijoitukset yritykseen </t>
        </r>
        <r>
          <rPr>
            <b/>
            <sz val="10"/>
            <color indexed="81"/>
            <rFont val="Tahoma"/>
            <family val="2"/>
          </rPr>
          <t xml:space="preserve">ensimmäisen ennustevuoden jälkeen </t>
        </r>
        <r>
          <rPr>
            <sz val="10"/>
            <color indexed="81"/>
            <rFont val="Tahoma"/>
            <family val="2"/>
          </rPr>
          <t>1. T1 INVESTOINTISUUN-taulukosta. Sijoita oikealle kuukaudelle.</t>
        </r>
      </text>
    </comment>
    <comment ref="G110" authorId="1" shapeId="0" xr:uid="{35974396-C231-4D3E-A042-252152F380EE}">
      <text>
        <r>
          <rPr>
            <sz val="10"/>
            <color indexed="81"/>
            <rFont val="Tahoma"/>
            <family val="2"/>
          </rPr>
          <t xml:space="preserve">Omistajien antamat pääomalainat 1. T1 INVESTOINTISUUN-taulukon kohdasta 15. Sijoita oikealle kuukaudelle. </t>
        </r>
      </text>
    </comment>
    <comment ref="R114" authorId="1" shapeId="0" xr:uid="{5F0D1A92-030F-420A-8FB9-557D70680B6E}">
      <text>
        <r>
          <rPr>
            <sz val="10"/>
            <color indexed="81"/>
            <rFont val="Tahoma"/>
            <family val="2"/>
          </rPr>
          <t xml:space="preserve">Kassavarat 24 kuukauden kuluttua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Omistaja</author>
  </authors>
  <commentList>
    <comment ref="B55" authorId="0" shapeId="0" xr:uid="{FAD29B87-2AEC-4E7E-8327-F3E2D8576C96}">
      <text>
        <r>
          <rPr>
            <b/>
            <sz val="9"/>
            <color indexed="81"/>
            <rFont val="Tahoma"/>
            <family val="2"/>
          </rPr>
          <t>Omistaja:</t>
        </r>
        <r>
          <rPr>
            <sz val="9"/>
            <color indexed="81"/>
            <rFont val="Tahoma"/>
            <family val="2"/>
          </rPr>
          <t xml:space="preserve">
Ilman toimitilavuokria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<sst xmlns="http://schemas.openxmlformats.org/spreadsheetml/2006/main" count="2255" uniqueCount="881">
  <si>
    <t xml:space="preserve"> </t>
  </si>
  <si>
    <t xml:space="preserve">2. VUOSI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</si>
  <si>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</si>
  <si>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</si>
  <si>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</si>
  <si>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</si>
  <si>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</si>
  <si>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</si>
  <si>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</si>
  <si>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</si>
  <si>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</si>
  <si>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</si>
  <si>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3. VUOSI </t>
  </si>
  <si>
    <t>%</t>
  </si>
  <si>
    <t>Tot.</t>
  </si>
  <si>
    <t xml:space="preserve"> Laatija</t>
  </si>
  <si>
    <t xml:space="preserve">1. VUOSI </t>
  </si>
  <si>
    <t>Euroa</t>
  </si>
  <si>
    <t>YHTEENSÄ</t>
  </si>
  <si>
    <t xml:space="preserve"> 2.1 Eläkekulut</t>
  </si>
  <si>
    <t>LIIKEVAIHTO</t>
  </si>
  <si>
    <t>Liiketoiminnan muut tuotot</t>
  </si>
  <si>
    <t>Aineet, tarvikkeet ja tavarat</t>
  </si>
  <si>
    <t>Ulkopuoliset palvelut</t>
  </si>
  <si>
    <t>Liiketoiminnan muut kulut</t>
  </si>
  <si>
    <t>LIIKETOIMINNAN TUOTOT YHTEENSÄ</t>
  </si>
  <si>
    <t>KÄYTTÖKATE</t>
  </si>
  <si>
    <t>Poistot ja arvonalentumiset</t>
  </si>
  <si>
    <t>VOITTO (TAPPIO) ENNEN TILINPÄÄTÖSSIIRTOJA JA VEROJA</t>
  </si>
  <si>
    <t>Tuloverot</t>
  </si>
  <si>
    <t>+</t>
  </si>
  <si>
    <t>-</t>
  </si>
  <si>
    <t>TILIKAUDEN VOITTO/TAPPIO</t>
  </si>
  <si>
    <t>20.</t>
  </si>
  <si>
    <t xml:space="preserve">    </t>
  </si>
  <si>
    <t>Päivämäärä</t>
  </si>
  <si>
    <t xml:space="preserve"> Pääomantarve yhteensä</t>
  </si>
  <si>
    <t xml:space="preserve"> Vieras rahoitus</t>
  </si>
  <si>
    <t xml:space="preserve"> Luotonantaja</t>
  </si>
  <si>
    <t xml:space="preserve"> Yritys</t>
  </si>
  <si>
    <t>Valmistevaraston lisäys/vähennys</t>
  </si>
  <si>
    <t>+/-</t>
  </si>
  <si>
    <t>Tuotot osuuksista ja muista sijoituksista</t>
  </si>
  <si>
    <t>Ennuste 2</t>
  </si>
  <si>
    <t>Ennuste 3</t>
  </si>
  <si>
    <t>HENKILÖSTÖ KESKIMÄÄRIN</t>
  </si>
  <si>
    <t>T1  INVESTOINTISUUNNITELMA</t>
  </si>
  <si>
    <t>T2  TULOSSUUNNITELMA</t>
  </si>
  <si>
    <t>E1  TOIMINTAKUSTANNUKSET</t>
  </si>
  <si>
    <t>Poistoeron lisäys/vähennys</t>
  </si>
  <si>
    <t>E2  LIIKEVAIHDON MUODOSTUMINEN</t>
  </si>
  <si>
    <t>Investoinnin aikaansaama liikevaihdon lisäys/vuosi</t>
  </si>
  <si>
    <t>Ennuste 1</t>
  </si>
  <si>
    <t xml:space="preserve">   </t>
  </si>
  <si>
    <t>T4 RAHOITUSSUUNNITELMA</t>
  </si>
  <si>
    <t>Rahoitustulos</t>
  </si>
  <si>
    <t>Omistajien lisäsijoitukset</t>
  </si>
  <si>
    <t>Koneet ja kalusto</t>
  </si>
  <si>
    <t>Osingonjako ja yksityiskäyttö</t>
  </si>
  <si>
    <t>Kumulatiivinen yli-/alijäämä</t>
  </si>
  <si>
    <t>Vaihto-omaisuus</t>
  </si>
  <si>
    <t>Muut investoinnit</t>
  </si>
  <si>
    <t>Käyttöpääoman muutos</t>
  </si>
  <si>
    <t>Muu rahoitusomaisuuden lisäys</t>
  </si>
  <si>
    <t>Lyhytaikaisten lainojen vähennys</t>
  </si>
  <si>
    <t>Korko-%</t>
  </si>
  <si>
    <t>Lyhennys</t>
  </si>
  <si>
    <t>Korko</t>
  </si>
  <si>
    <t>UUDET LAINAT</t>
  </si>
  <si>
    <t>KAIKKI YHTEENSÄ</t>
  </si>
  <si>
    <t>Määrä</t>
  </si>
  <si>
    <t>Nosto</t>
  </si>
  <si>
    <t>PO loppu</t>
  </si>
  <si>
    <t>Uudet lainat yhteensä</t>
  </si>
  <si>
    <t>Lyhytaikaisten lainojen lisäys</t>
  </si>
  <si>
    <t>Lyhen.</t>
  </si>
  <si>
    <t>aika'</t>
  </si>
  <si>
    <t>Laina-</t>
  </si>
  <si>
    <t>PO ka.</t>
  </si>
  <si>
    <t>Maa-alueet</t>
  </si>
  <si>
    <t>Rakennukset ja rakennelmat</t>
  </si>
  <si>
    <t>Myyntisaamiset</t>
  </si>
  <si>
    <t>Osatuloutuksen saamiset</t>
  </si>
  <si>
    <t>Ostovelat</t>
  </si>
  <si>
    <t>Saadut ennakot</t>
  </si>
  <si>
    <t xml:space="preserve">Käyttöpääoma </t>
  </si>
  <si>
    <t>=</t>
  </si>
  <si>
    <t>YHT</t>
  </si>
  <si>
    <t xml:space="preserve"> - myynnin kuukausijakautuma</t>
  </si>
  <si>
    <t xml:space="preserve"> Laskutusmyynti</t>
  </si>
  <si>
    <t xml:space="preserve"> - myynnin kuukausijakautuma </t>
  </si>
  <si>
    <t xml:space="preserve"> - maksuehto</t>
  </si>
  <si>
    <t xml:space="preserve"> pv</t>
  </si>
  <si>
    <t xml:space="preserve"> Aineet ja tarvikkeet</t>
  </si>
  <si>
    <t xml:space="preserve"> Maksettava arvonlisävero</t>
  </si>
  <si>
    <t xml:space="preserve"> Verot</t>
  </si>
  <si>
    <t xml:space="preserve"> Osingot, yksityiskäyttö</t>
  </si>
  <si>
    <t>TULOT - MENOT</t>
  </si>
  <si>
    <t>LIIKETOIMINNAN TULOT</t>
  </si>
  <si>
    <t>LIIKETOIMINTA YHTEENSÄ</t>
  </si>
  <si>
    <t>LIIKETOIMINNAN MENOT</t>
  </si>
  <si>
    <t xml:space="preserve"> Rahoitusmenot</t>
  </si>
  <si>
    <t xml:space="preserve"> Omistajien lisäsijoitukset</t>
  </si>
  <si>
    <t>PÄÄOMARAHOITUS: TULOT JA MENOT</t>
  </si>
  <si>
    <t>Pidätys-%</t>
  </si>
  <si>
    <t>Alv -%</t>
  </si>
  <si>
    <t>Alv-%</t>
  </si>
  <si>
    <t>PÄÄOMARAHOITUS, NETTO</t>
  </si>
  <si>
    <t>LIIKETOIMINNAN MENOT YHTEENSÄ</t>
  </si>
  <si>
    <t>11.</t>
  </si>
  <si>
    <t>12.</t>
  </si>
  <si>
    <t>14.</t>
  </si>
  <si>
    <t>15.</t>
  </si>
  <si>
    <t>16.</t>
  </si>
  <si>
    <t>17.</t>
  </si>
  <si>
    <t>18.</t>
  </si>
  <si>
    <t>19.</t>
  </si>
  <si>
    <t>T5 KASSABUDJETTI</t>
  </si>
  <si>
    <t>Oma rahoitus</t>
  </si>
  <si>
    <t xml:space="preserve"> Ulkopuoliset palvelut</t>
  </si>
  <si>
    <t>Raha-</t>
  </si>
  <si>
    <t>Verottaja-</t>
  </si>
  <si>
    <t>Netto-</t>
  </si>
  <si>
    <t>palkat</t>
  </si>
  <si>
    <t>edut</t>
  </si>
  <si>
    <t>tilitykset</t>
  </si>
  <si>
    <t>Yhteensä</t>
  </si>
  <si>
    <t xml:space="preserve">YEL-henkilöt </t>
  </si>
  <si>
    <t>Verotettava</t>
  </si>
  <si>
    <t>tulo</t>
  </si>
  <si>
    <t xml:space="preserve"> - avustus-%</t>
  </si>
  <si>
    <t xml:space="preserve"> - Alv:n määrä</t>
  </si>
  <si>
    <t xml:space="preserve"> - Veroton hinta</t>
  </si>
  <si>
    <t xml:space="preserve"> - avustuksen määrä</t>
  </si>
  <si>
    <t>ALV-palautukset yhteensä</t>
  </si>
  <si>
    <t>Avustukset yhteensä</t>
  </si>
  <si>
    <t>ALV-PALAUTUS  JA AVUSTUS</t>
  </si>
  <si>
    <t>I</t>
  </si>
  <si>
    <t>II</t>
  </si>
  <si>
    <t>III</t>
  </si>
  <si>
    <t>Sijoitukset</t>
  </si>
  <si>
    <t xml:space="preserve">I </t>
  </si>
  <si>
    <t>Saamiset</t>
  </si>
  <si>
    <t>1. Myyntisaamiset</t>
  </si>
  <si>
    <t>Rahoitusarvopaperit</t>
  </si>
  <si>
    <t>IV</t>
  </si>
  <si>
    <t>Rahat ja pankkisaamiset</t>
  </si>
  <si>
    <t>VASTAAVAA</t>
  </si>
  <si>
    <t>VASTATTAVAA</t>
  </si>
  <si>
    <t>OMA PÄÄOMA</t>
  </si>
  <si>
    <t>B.</t>
  </si>
  <si>
    <t>VAIHTUVAT VASTAAVAT</t>
  </si>
  <si>
    <t>A.</t>
  </si>
  <si>
    <t>PYSYVÄT VASTAAVAT</t>
  </si>
  <si>
    <t>TILINPÄÄTÖSSIIRTOJEN KERTYMÄ</t>
  </si>
  <si>
    <t>2. Vapaaehtoiset varaukset</t>
  </si>
  <si>
    <t>Vuosipoisto</t>
  </si>
  <si>
    <t xml:space="preserve">C. </t>
  </si>
  <si>
    <t>PAKOLLISET VARAUKSET</t>
  </si>
  <si>
    <t xml:space="preserve">D. </t>
  </si>
  <si>
    <t>1. Lainat rahoituslaitoksilta</t>
  </si>
  <si>
    <t>Ensimmäinen kausi</t>
  </si>
  <si>
    <t>Viimeinen kausi</t>
  </si>
  <si>
    <t>Uudet osamaksuvelat 1</t>
  </si>
  <si>
    <t>Uudet osamaksuvelat 2</t>
  </si>
  <si>
    <t>Uudet osamaksuvelat 3</t>
  </si>
  <si>
    <t>Osamaksuvelkojen vähennys</t>
  </si>
  <si>
    <t>Osamaksuvelkojen lisäys</t>
  </si>
  <si>
    <t>PITKÄAIKAINEN VIERAS PÄÄOMA</t>
  </si>
  <si>
    <t>E.</t>
  </si>
  <si>
    <t>LYHYTAIKAINEN VIERAS PÄÄOMA</t>
  </si>
  <si>
    <t>3. Ostovelat</t>
  </si>
  <si>
    <t>4. Muut pitkäaikaiset velat</t>
  </si>
  <si>
    <t>2. Pääomalainat</t>
  </si>
  <si>
    <t>4. Muut lyhytaikaiset velat</t>
  </si>
  <si>
    <t>5. Siirtovelat</t>
  </si>
  <si>
    <t>VASTAAVAA YHTEENSÄ</t>
  </si>
  <si>
    <t xml:space="preserve"> Aineettomat hyödykkeet</t>
  </si>
  <si>
    <t xml:space="preserve"> - arvon avustuksen jälkeen alv 0</t>
  </si>
  <si>
    <t xml:space="preserve">T3 TASE </t>
  </si>
  <si>
    <t>2. Osatuloutuksen saamiset</t>
  </si>
  <si>
    <t>6. Saadut ennakot</t>
  </si>
  <si>
    <t xml:space="preserve">Aineettomat hyödykkeet </t>
  </si>
  <si>
    <t xml:space="preserve">Aineelliset hyödykkeet </t>
  </si>
  <si>
    <t xml:space="preserve">2. Rakennukset ja rakennelmat </t>
  </si>
  <si>
    <t xml:space="preserve">3. Koneet ja kalusto </t>
  </si>
  <si>
    <t xml:space="preserve">4. Muut aineelliset hyödykkeet </t>
  </si>
  <si>
    <t>Osamaksuvelat yhteensä</t>
  </si>
  <si>
    <t>Ennuste 4</t>
  </si>
  <si>
    <t>VANHAT LAINAT</t>
  </si>
  <si>
    <t>VASTATTAVAA YHTEENSÄ</t>
  </si>
  <si>
    <t xml:space="preserve"> +/-</t>
  </si>
  <si>
    <t>1. Osakepääoma tms.</t>
  </si>
  <si>
    <t>2. Edellisten tilikausien voitot</t>
  </si>
  <si>
    <t xml:space="preserve">1. Maa- ja vesialueet </t>
  </si>
  <si>
    <t>Muut saamiset</t>
  </si>
  <si>
    <t xml:space="preserve"> -/+</t>
  </si>
  <si>
    <t>Myyntisaamisten kiertonopeus (pv)</t>
  </si>
  <si>
    <t>Ennuste 5</t>
  </si>
  <si>
    <t>Uudet osamaksuvelat 4</t>
  </si>
  <si>
    <t xml:space="preserve"> Nettovarallisuus</t>
  </si>
  <si>
    <t xml:space="preserve"> Varat</t>
  </si>
  <si>
    <t>4. VUOSI</t>
  </si>
  <si>
    <t>TUNNUSLUKUJA TALOUDESTA</t>
  </si>
  <si>
    <t xml:space="preserve"> Liikevaihto</t>
  </si>
  <si>
    <t xml:space="preserve"> Liikevaihto/henkilö</t>
  </si>
  <si>
    <t xml:space="preserve"> Henkilöstö</t>
  </si>
  <si>
    <t>LIIKETOIMINNAN LAAJUUS</t>
  </si>
  <si>
    <t>LIIKETOIMINNAN KANNATTAVUUS</t>
  </si>
  <si>
    <t xml:space="preserve"> Sijoitettu pääoma</t>
  </si>
  <si>
    <t xml:space="preserve"> Käyttökate-%</t>
  </si>
  <si>
    <t xml:space="preserve"> Käyttökate</t>
  </si>
  <si>
    <t xml:space="preserve"> Tilikauden voitto</t>
  </si>
  <si>
    <t xml:space="preserve"> Tilikauden voitto-%</t>
  </si>
  <si>
    <t>MAKSUVALMIUS</t>
  </si>
  <si>
    <t xml:space="preserve"> Quick ratio</t>
  </si>
  <si>
    <t xml:space="preserve"> Current ratio</t>
  </si>
  <si>
    <t xml:space="preserve"> Omavaraisuusaste</t>
  </si>
  <si>
    <t>3. Osingonjako, yksityisotot</t>
  </si>
  <si>
    <t>3. Muut saamiset</t>
  </si>
  <si>
    <t>4. Siirtosaamiset</t>
  </si>
  <si>
    <t xml:space="preserve"> Keskimääräinen veronpidätys-% palkoista</t>
  </si>
  <si>
    <t xml:space="preserve"> Lainojen hoitokate</t>
  </si>
  <si>
    <t xml:space="preserve"> Pakolliset henkilöstökulut / henkilö</t>
  </si>
  <si>
    <t xml:space="preserve"> Kaikki henkilöstökulut / henkilö</t>
  </si>
  <si>
    <t>NETTOVARALLISUUSLASKELMA</t>
  </si>
  <si>
    <t>Arvonlisäverovähennys</t>
  </si>
  <si>
    <t xml:space="preserve">Avustukset (kohtiin 1 - 7) </t>
  </si>
  <si>
    <t>Rahoitus yhteensä</t>
  </si>
  <si>
    <t xml:space="preserve"> Muut kiinteät kulut sis. arvonlisäveron</t>
  </si>
  <si>
    <t>Arvosana</t>
  </si>
  <si>
    <t xml:space="preserve">ENNUSTEVUOSI </t>
  </si>
  <si>
    <t>tilikaudella</t>
  </si>
  <si>
    <t>Lainojen toimitusmaksut, pankkitakausmaksut</t>
  </si>
  <si>
    <t>Ohjelman antamien tulosten oikeellisuus ja vastuu tuloksista</t>
  </si>
  <si>
    <t>Käyttäjä tiedostaa, että ohjelma voi sisältää virheitä ja ohjelman antamat tulokset ovat viitteellisiä</t>
  </si>
  <si>
    <t>ja suuntaa-antavia. Käyttäjä käyttää ohjelmaa ja tulkitsee tuloksia omalla vastuullaan.</t>
  </si>
  <si>
    <t>F.</t>
  </si>
  <si>
    <t>G.</t>
  </si>
  <si>
    <t>4. Tilikauden voitto/tappio</t>
  </si>
  <si>
    <t xml:space="preserve">Muu lyhytaik. vieraan po:n lisäys/vähennys     </t>
  </si>
  <si>
    <t xml:space="preserve">  </t>
  </si>
  <si>
    <t>aika</t>
  </si>
  <si>
    <t xml:space="preserve"> Investoinnit alv 0  %</t>
  </si>
  <si>
    <t>Ostovelkojen kiertonopeus (pv)</t>
  </si>
  <si>
    <t xml:space="preserve"> Lainojen lyhennykset </t>
  </si>
  <si>
    <t>Tuloveroprosentti</t>
  </si>
  <si>
    <t>Henkilöstökulut (sis. lomapalkkavarauksen)</t>
  </si>
  <si>
    <t>Laina-määrä</t>
  </si>
  <si>
    <t>ALV-%</t>
  </si>
  <si>
    <t xml:space="preserve"> - Alv:n osuus</t>
  </si>
  <si>
    <t>MYYNTIEN ALV YHTEENSÄ</t>
  </si>
  <si>
    <t>OSTOJEN ALV:N MÄÄRÄ</t>
  </si>
  <si>
    <t>ALV-TILITYS KOHDEKUUKAUDELTÄ</t>
  </si>
  <si>
    <t>5. Sijoitetun vapaan pääoman rahasto</t>
  </si>
  <si>
    <t xml:space="preserve"> Pääomalaina</t>
  </si>
  <si>
    <t>Maksuehto</t>
  </si>
  <si>
    <t>Myyntisaamiset edel. Tilik</t>
  </si>
  <si>
    <t>&lt;31 pv</t>
  </si>
  <si>
    <t>Maksuehto  &lt; 30 pv</t>
  </si>
  <si>
    <t>31 - 60 pv</t>
  </si>
  <si>
    <t>Maksuehto 31 - 60 pv</t>
  </si>
  <si>
    <t>61 - 90 pv</t>
  </si>
  <si>
    <t>Maksuehto 61 - 90 pv</t>
  </si>
  <si>
    <t>91 - 120 pv</t>
  </si>
  <si>
    <t>Maksuehto 91 - 120 pv</t>
  </si>
  <si>
    <t>121 - 150 pv</t>
  </si>
  <si>
    <t>Maksuehto 121 - 150 pv</t>
  </si>
  <si>
    <t>150  - 180 pv</t>
  </si>
  <si>
    <t>Maksuehto 151 - 180 pv</t>
  </si>
  <si>
    <t>Kassaan 1. kk</t>
  </si>
  <si>
    <t>Kassaan 2. kk</t>
  </si>
  <si>
    <t>Kassaan 3. kk</t>
  </si>
  <si>
    <t>Kassaan 4. kk</t>
  </si>
  <si>
    <t>Kassaan 5. kk</t>
  </si>
  <si>
    <t>Kassaan 6. kk</t>
  </si>
  <si>
    <t>Kassaan 7. kk</t>
  </si>
  <si>
    <t>Maksut tilille myynneistä</t>
  </si>
  <si>
    <t>Kassaa 1. kk + myyntisaatavat</t>
  </si>
  <si>
    <t>Maksut yhteensä</t>
  </si>
  <si>
    <t xml:space="preserve"> Osingon/yksityisoton osuus nettovarallisuudesta</t>
  </si>
  <si>
    <t>Enn. 1</t>
  </si>
  <si>
    <t>Enn. 2</t>
  </si>
  <si>
    <t>Enn. 3</t>
  </si>
  <si>
    <t>Enn. 4</t>
  </si>
  <si>
    <t>Yht.</t>
  </si>
  <si>
    <t xml:space="preserve">  T2 TULOSSUUNNITELMA</t>
  </si>
  <si>
    <t>1000 €</t>
  </si>
  <si>
    <t>Tilikauden pituus (kuukautta)</t>
  </si>
  <si>
    <t>Valmistus omaan käyttöön</t>
  </si>
  <si>
    <t>Henkilöstökulut</t>
  </si>
  <si>
    <t>Suunnitelman mukaiset poistot</t>
  </si>
  <si>
    <t>LIIKETULOS</t>
  </si>
  <si>
    <t>13.</t>
  </si>
  <si>
    <t>I.</t>
  </si>
  <si>
    <t>II.</t>
  </si>
  <si>
    <t>III.</t>
  </si>
  <si>
    <t>I .</t>
  </si>
  <si>
    <t>IV.</t>
  </si>
  <si>
    <t xml:space="preserve"> RAHAN LÄHTEET</t>
  </si>
  <si>
    <t xml:space="preserve"> RAHAN KÄYTTÖ</t>
  </si>
  <si>
    <t>Investoinnit</t>
  </si>
  <si>
    <t xml:space="preserve"> Vieraan po:n takaisinmaksuaika (vuotta)</t>
  </si>
  <si>
    <t>Verotusperusteisten varausten lisäys/vähennys</t>
  </si>
  <si>
    <t>Korko- ja rahoitustuotot</t>
  </si>
  <si>
    <t>Korko- ja rahoituskulut</t>
  </si>
  <si>
    <t xml:space="preserve"> Sijoitetun pääoman tuotto-%</t>
  </si>
  <si>
    <t xml:space="preserve"> Velat </t>
  </si>
  <si>
    <t>12</t>
  </si>
  <si>
    <t>Jos kuvat eivät lataudu niin pyöräytä hiiren rullaa tai paina F1</t>
  </si>
  <si>
    <t xml:space="preserve">               </t>
  </si>
  <si>
    <t>21.</t>
  </si>
  <si>
    <t>22.</t>
  </si>
  <si>
    <t>Taseen loppusumma</t>
  </si>
  <si>
    <t>Vähennetään leasingrahoitus T1:stä</t>
  </si>
  <si>
    <t xml:space="preserve"> - Poistettava kalusto sis. alv</t>
  </si>
  <si>
    <t>23.</t>
  </si>
  <si>
    <t xml:space="preserve"> - Poistettava kalusto </t>
  </si>
  <si>
    <t>Korko €</t>
  </si>
  <si>
    <t>SVOP-palautus</t>
  </si>
  <si>
    <t>Pääomalainojen vähennys</t>
  </si>
  <si>
    <t>Muut pitkäaikaiset velat, vähennys</t>
  </si>
  <si>
    <t>Yli- / alijäämä (7 - 25)</t>
  </si>
  <si>
    <t>24.</t>
  </si>
  <si>
    <t>Yli- / alijäämä (7 - 22)</t>
  </si>
  <si>
    <t>Pitkäaikaisten rahalaitoslainojen vähennys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</si>
  <si>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</si>
  <si>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</si>
  <si>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</si>
  <si>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</si>
  <si>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</si>
  <si>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</si>
  <si>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</si>
  <si>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</si>
  <si>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</si>
  <si>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</si>
  <si>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</si>
  <si>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 xml:space="preserve">  T7 LAINAT</t>
  </si>
  <si>
    <t xml:space="preserve">  T1  INVESTOINTISUUNNITELMA</t>
  </si>
  <si>
    <t xml:space="preserve">  T3 TASE</t>
  </si>
  <si>
    <t xml:space="preserve">Saadut ennakot, osuus liikevaihdosta (%) </t>
  </si>
  <si>
    <t>Osatuloutukset, osuus liikevaihdosta (%)</t>
  </si>
  <si>
    <t>Pitkäaikainen ostovelka, vähennys</t>
  </si>
  <si>
    <t xml:space="preserve"> Koneet ja kalusto alv 0 %</t>
  </si>
  <si>
    <t xml:space="preserve"> Koneet ja kalusto sis. alv </t>
  </si>
  <si>
    <t xml:space="preserve">Leasingrahoitus kohta 4. Koneet ja kalusto sis. alv </t>
  </si>
  <si>
    <t>Leasingrahoitus kohta 5. Koneet ja kalusto alv 0 %</t>
  </si>
  <si>
    <t xml:space="preserve"> Vapaaehtoiset eläke- ja henkilövakuutusmaksut</t>
  </si>
  <si>
    <t>Pitkäaik. lainojen lyhennyserämuutokset</t>
  </si>
  <si>
    <t>Leasingrahoitus Koneet sis. alv</t>
  </si>
  <si>
    <t>Leasingrahoitus Koneet alv 0 %</t>
  </si>
  <si>
    <t>Vuosimuutos-%</t>
  </si>
  <si>
    <t xml:space="preserve"> Liiketoiminnan muut tuotot, vuosimuutos-%</t>
  </si>
  <si>
    <t>1/20XX - 12/20XX</t>
  </si>
  <si>
    <t xml:space="preserve"> 1. vuonna nostettavat lainat</t>
  </si>
  <si>
    <t xml:space="preserve"> 2. vuonna nostettavat lainat</t>
  </si>
  <si>
    <t xml:space="preserve"> 3. vuonna nostettavat lainat</t>
  </si>
  <si>
    <t xml:space="preserve"> 4. vuonna nostettavat lainat</t>
  </si>
  <si>
    <t>T4 RAHOITUSSUUNNITELMA / KÄYTTÖPÄÄOMA (1000 €)</t>
  </si>
  <si>
    <t>TILINPÄÄTÖKSEN TUNNUSLUKUJA</t>
  </si>
  <si>
    <t xml:space="preserve"> VUOSITTAIN MAKSETTAVAT LYHENNYKSET JA KOROT</t>
  </si>
  <si>
    <t>T7 LAINAT (1000 €)</t>
  </si>
  <si>
    <t xml:space="preserve"> OMA RAHOITUS</t>
  </si>
  <si>
    <t xml:space="preserve"> VIERAS RAHOITUS</t>
  </si>
  <si>
    <t>Lisätiedot</t>
  </si>
  <si>
    <t xml:space="preserve"> Sähköpostiosoite</t>
  </si>
  <si>
    <t>Vaihto-omaisuus/liikevaihto (%)</t>
  </si>
  <si>
    <t>1. Poistoeron lisäys/vähennys</t>
  </si>
  <si>
    <t xml:space="preserve"> Net gearing (nettovelkaantumisaste)</t>
  </si>
  <si>
    <t xml:space="preserve"> Liiketulos (EBIT)</t>
  </si>
  <si>
    <t xml:space="preserve"> Liiketulos-%</t>
  </si>
  <si>
    <t xml:space="preserve">                    </t>
  </si>
  <si>
    <t>Siirtosaamiset</t>
  </si>
  <si>
    <t>36.</t>
  </si>
  <si>
    <t>Käyttöpääoman muutos (rivi 36)</t>
  </si>
  <si>
    <t>PALKAT</t>
  </si>
  <si>
    <t>Luontois-</t>
  </si>
  <si>
    <t xml:space="preserve"> Lainat yhteensä</t>
  </si>
  <si>
    <t xml:space="preserve"> Osamaksuvelat yhteensä</t>
  </si>
  <si>
    <t xml:space="preserve"> KAIKKI YHTEENSÄ</t>
  </si>
  <si>
    <t xml:space="preserve"> RAHAN LÄHTEET JA RAHAN KÄYTTÖ</t>
  </si>
  <si>
    <t xml:space="preserve"> KÄYTTÖPÄÄOMA</t>
  </si>
  <si>
    <t xml:space="preserve"> LIIKETOIMINNAN LAAJUUS</t>
  </si>
  <si>
    <t xml:space="preserve"> LIIKETOIMINNAN KANNATTAVUUS</t>
  </si>
  <si>
    <t xml:space="preserve"> MAKSUVALMIUS</t>
  </si>
  <si>
    <t xml:space="preserve"> VAKAVARAISUUS</t>
  </si>
  <si>
    <t xml:space="preserve"> MUITA TUNNUSLUKUJA</t>
  </si>
  <si>
    <t xml:space="preserve"> NETTOVARALLISUUSLASKELMA</t>
  </si>
  <si>
    <t xml:space="preserve">Lyhytaikaiset lainat </t>
  </si>
  <si>
    <t>Pitkäaikaiset velat, ei velkakirjaa</t>
  </si>
  <si>
    <t>Liiketulos EBIT-%</t>
  </si>
  <si>
    <t>Omistajien sijoitukset</t>
  </si>
  <si>
    <t xml:space="preserve"> Lainojen ja osamaksuvelkojen lisäys</t>
  </si>
  <si>
    <t>Pitkäaikaisten lainojen lisäys</t>
  </si>
  <si>
    <t xml:space="preserve"> Muu pääomarahoitus</t>
  </si>
  <si>
    <t xml:space="preserve"> Investoinnit sis. alv</t>
  </si>
  <si>
    <t xml:space="preserve"> Vuokrat ja vastikkeet alv 0 %</t>
  </si>
  <si>
    <t xml:space="preserve"> Muut kiinteät kulut alv 0 %</t>
  </si>
  <si>
    <t xml:space="preserve"> Toimitilavuokrat sis. alv</t>
  </si>
  <si>
    <t>sis. alv</t>
  </si>
  <si>
    <t>Erotus</t>
  </si>
  <si>
    <t>Tavoite-</t>
  </si>
  <si>
    <t>menot</t>
  </si>
  <si>
    <t>Tavoite</t>
  </si>
  <si>
    <t>Nettotulos = Liiketulos+rahoitustuotot-rahoituskulut-verot</t>
  </si>
  <si>
    <t xml:space="preserve">Nettotulos =  </t>
  </si>
  <si>
    <t>Oma pääoma alussa</t>
  </si>
  <si>
    <t>Oma pääoma lopussa</t>
  </si>
  <si>
    <t>Sijoitettu korollinen vieras pääoma alussa</t>
  </si>
  <si>
    <t>Sijoitettu korollinen vieras pääoma lopussa</t>
  </si>
  <si>
    <t xml:space="preserve"> Sijoitetun pääoman tuotto (ROI)</t>
  </si>
  <si>
    <t>Rahat ja arvopaperit</t>
  </si>
  <si>
    <t xml:space="preserve">Korollinen vieras pääoma = </t>
  </si>
  <si>
    <t>1. Oma pääoma keskimäärin</t>
  </si>
  <si>
    <t>2. Sijoitettu korollinen vieras pääoma keskimäärin</t>
  </si>
  <si>
    <t>3. Sijoitettu pääoma keskimäärin (1 + 2)</t>
  </si>
  <si>
    <t>Net gearing - laskenta</t>
  </si>
  <si>
    <t>Sijoitetun pääoman  tuoton laskenta</t>
  </si>
  <si>
    <t>Saadut ennakot, osuus liikevaihdosta (%)</t>
  </si>
  <si>
    <t>TyEL toimihenkilöt</t>
  </si>
  <si>
    <t>TyEL-työntekijät</t>
  </si>
  <si>
    <t>Korollinen vieras pääoma = Pitkäaikainen vieras pääoma pl. Saadut ennakot+korolliset lyhytaikaiset velat+Muut korolliset sisäiset velat</t>
  </si>
  <si>
    <t>Nosto €</t>
  </si>
  <si>
    <t>Lyhennys €</t>
  </si>
  <si>
    <r>
      <t xml:space="preserve">  PÄÄOMANTARVE </t>
    </r>
    <r>
      <rPr>
        <sz val="10"/>
        <color theme="0"/>
        <rFont val="Arial"/>
        <family val="2"/>
      </rPr>
      <t>(1000 euroa)</t>
    </r>
  </si>
  <si>
    <r>
      <t xml:space="preserve">  RAHOITUS </t>
    </r>
    <r>
      <rPr>
        <sz val="10"/>
        <color theme="0"/>
        <rFont val="Arial"/>
        <family val="2"/>
      </rPr>
      <t>(1000 euroa)</t>
    </r>
  </si>
  <si>
    <r>
      <t xml:space="preserve"> T3 TASE VASTAAVAA </t>
    </r>
    <r>
      <rPr>
        <sz val="10"/>
        <color theme="0"/>
        <rFont val="Arial"/>
        <family val="2"/>
      </rPr>
      <t>(1000 €)</t>
    </r>
  </si>
  <si>
    <r>
      <t xml:space="preserve"> TASE VASTATTAVAA </t>
    </r>
    <r>
      <rPr>
        <sz val="10"/>
        <color theme="0"/>
        <rFont val="Arial"/>
        <family val="2"/>
      </rPr>
      <t>(1000 €)</t>
    </r>
  </si>
  <si>
    <r>
      <t xml:space="preserve"> T4 RAHOITUSSUUNNITELMA </t>
    </r>
    <r>
      <rPr>
        <sz val="9"/>
        <color theme="0"/>
        <rFont val="Arial"/>
        <family val="2"/>
      </rPr>
      <t>(1000 €)</t>
    </r>
  </si>
  <si>
    <t>D.</t>
  </si>
  <si>
    <t xml:space="preserve">LIIKEVAIHTO (€) /HENKILÖ </t>
  </si>
  <si>
    <r>
      <t xml:space="preserve">PITKÄAIKAISET LAINAT       </t>
    </r>
    <r>
      <rPr>
        <sz val="9"/>
        <color theme="0"/>
        <rFont val="Arial"/>
        <family val="2"/>
      </rPr>
      <t>(ei pääomalainoja)</t>
    </r>
  </si>
  <si>
    <r>
      <rPr>
        <b/>
        <sz val="9"/>
        <color theme="0"/>
        <rFont val="Arial"/>
        <family val="2"/>
      </rPr>
      <t xml:space="preserve">  Laina-aika</t>
    </r>
    <r>
      <rPr>
        <sz val="9"/>
        <color theme="0"/>
        <rFont val="Arial"/>
        <family val="2"/>
      </rPr>
      <t xml:space="preserve"> (vuotta)</t>
    </r>
  </si>
  <si>
    <t>Investonnit yhteensä</t>
  </si>
  <si>
    <t xml:space="preserve"> Laina, 1. ennustevuosi</t>
  </si>
  <si>
    <t>Laina-määrä (euroa)</t>
  </si>
  <si>
    <t>Tyont.</t>
  </si>
  <si>
    <t>maksut</t>
  </si>
  <si>
    <t>YT6 Aloittavan yrityksen tulossuunnitelma</t>
  </si>
  <si>
    <t>TASE JA RAHOITUSSUUNNITELMA</t>
  </si>
  <si>
    <t xml:space="preserve">T1 INVESTOINTISUUNNITELMA   </t>
  </si>
  <si>
    <t xml:space="preserve"> KASSA ALUSSA (vuoden investoinnit tekemättä)</t>
  </si>
  <si>
    <t xml:space="preserve"> Myyntisaatavat edelliseltä tilikaudelta</t>
  </si>
  <si>
    <t>€</t>
  </si>
  <si>
    <t xml:space="preserve"> Myyntisaamisten kiertonopeus (pv)</t>
  </si>
  <si>
    <t xml:space="preserve"> Ostovelkojen kiertonopeus (pv)</t>
  </si>
  <si>
    <t xml:space="preserve"> Liikehuoneisto-osakkeiden hankinta</t>
  </si>
  <si>
    <r>
      <t xml:space="preserve"> PÄÄOMANTARVE </t>
    </r>
    <r>
      <rPr>
        <sz val="11"/>
        <color theme="0"/>
        <rFont val="Arial"/>
        <family val="2"/>
      </rPr>
      <t>(euroa)</t>
    </r>
  </si>
  <si>
    <r>
      <t xml:space="preserve"> RAHOITUS </t>
    </r>
    <r>
      <rPr>
        <sz val="11"/>
        <color theme="0"/>
        <rFont val="Arial"/>
        <family val="2"/>
      </rPr>
      <t>(euroa)</t>
    </r>
  </si>
  <si>
    <t xml:space="preserve"> Uudisrakennukset ja rakennelmat sis. alv </t>
  </si>
  <si>
    <t>1. Maa- ja vesialueet, liittymät</t>
  </si>
  <si>
    <t xml:space="preserve"> Maa-alueet ja vesialueet, liittymät yms.</t>
  </si>
  <si>
    <t xml:space="preserve">Muistiinpanoja </t>
  </si>
  <si>
    <t xml:space="preserve"> Muistiinpanoja</t>
  </si>
  <si>
    <t xml:space="preserve"> Kiinteistöt ja rakennukset</t>
  </si>
  <si>
    <t xml:space="preserve"> Lainojen toimitusmaksut, takausmaksut</t>
  </si>
  <si>
    <t>UUDET OSAMAKSUVELAT</t>
  </si>
  <si>
    <t>OHJE</t>
  </si>
  <si>
    <t>Pääomalainat</t>
  </si>
  <si>
    <t>VAKAVARAISUUS</t>
  </si>
  <si>
    <t>Sähköpostiosoite</t>
  </si>
  <si>
    <t>Puhelinnumero</t>
  </si>
  <si>
    <t>Aloittamisajankohta</t>
  </si>
  <si>
    <t>Arvioitu valmistuminen</t>
  </si>
  <si>
    <t>Aloitusajankohta</t>
  </si>
  <si>
    <t>Liiketoimintakaupan tavaravarasto, alkuvarasto</t>
  </si>
  <si>
    <t>Aineet, tarvikkeet ja tavarat, ostot tilikaudella</t>
  </si>
  <si>
    <t xml:space="preserve"> Ostovelat edelliseltä tilikaudelta, maksuaika pv</t>
  </si>
  <si>
    <t>Ostovelat edell. tilikausi</t>
  </si>
  <si>
    <t>Toteutunut maksuaika pv</t>
  </si>
  <si>
    <t xml:space="preserve">Ostovelat €/pv  </t>
  </si>
  <si>
    <t>LIIKEVAIHTO yhteensä</t>
  </si>
  <si>
    <t>AINEKÄYTTÖ  yhteensä</t>
  </si>
  <si>
    <t>OSTOJEN ARVONLISÄVERO  yhteensä</t>
  </si>
  <si>
    <t>MYYNNIN ARVONLISÄVERO yhteensä</t>
  </si>
  <si>
    <t>AINEKÄYTTÖ -% keskimäärin</t>
  </si>
  <si>
    <t>Yritys</t>
  </si>
  <si>
    <t>Laatija</t>
  </si>
  <si>
    <t>Hankekuvaus</t>
  </si>
  <si>
    <t>Hanke</t>
  </si>
  <si>
    <t xml:space="preserve"> KASSA ALUSSA </t>
  </si>
  <si>
    <t xml:space="preserve"> Osamaksujen lyhennyserät</t>
  </si>
  <si>
    <t xml:space="preserve"> Leasingkustannukset investoinneista alv 0%</t>
  </si>
  <si>
    <t xml:space="preserve"> Osamaksujen lyhennyserät ja korot</t>
  </si>
  <si>
    <t xml:space="preserve"> Omistajien lisäsijoitukset </t>
  </si>
  <si>
    <t>ALV-TILITYS KASSABUDJETISSA 2. VUOSI</t>
  </si>
  <si>
    <t>ALV-TILITYS KASSABUDJETISSA 1.VUOSI</t>
  </si>
  <si>
    <r>
      <t xml:space="preserve">PITKÄAIKAISET LAINAT
</t>
    </r>
    <r>
      <rPr>
        <sz val="10"/>
        <color theme="0"/>
        <rFont val="Arial"/>
        <family val="2"/>
      </rPr>
      <t>(ei pääomalainoja)</t>
    </r>
  </si>
  <si>
    <t>Muistiinpanoja</t>
  </si>
  <si>
    <t xml:space="preserve"> Asunto</t>
  </si>
  <si>
    <t xml:space="preserve"> Pankkitilin saldo</t>
  </si>
  <si>
    <t xml:space="preserve"> Vieraan pääoman takaisinmaksuaika (vuotta)</t>
  </si>
  <si>
    <t>Ennustevuosi</t>
  </si>
  <si>
    <t>ENNUSTEVUOSI</t>
  </si>
  <si>
    <t>Laskutusmyynti kaudella</t>
  </si>
  <si>
    <t>Osamaksurahoitus, eläkelaina, yrittäjän oma laina tms.</t>
  </si>
  <si>
    <t>Buildings inc. VAT</t>
  </si>
  <si>
    <t>Intangible assets</t>
  </si>
  <si>
    <t>Increase in working capital</t>
  </si>
  <si>
    <t>Initial stock</t>
  </si>
  <si>
    <t>Capital requirement all together</t>
  </si>
  <si>
    <t>YEAR</t>
  </si>
  <si>
    <r>
      <t xml:space="preserve">  FUNDING </t>
    </r>
    <r>
      <rPr>
        <sz val="10"/>
        <color theme="0"/>
        <rFont val="Arial"/>
        <family val="2"/>
      </rPr>
      <t>(1000 euroa)</t>
    </r>
  </si>
  <si>
    <t>Own funding</t>
  </si>
  <si>
    <t xml:space="preserve">  Total Long-term liabilities</t>
  </si>
  <si>
    <t>Leasing financing, machines inc. VAT</t>
  </si>
  <si>
    <t>Leasing financing, machines VAT 0%</t>
  </si>
  <si>
    <t>VAT deduction</t>
  </si>
  <si>
    <t xml:space="preserve">Grants </t>
  </si>
  <si>
    <t>Funding all together</t>
  </si>
  <si>
    <t>More information</t>
  </si>
  <si>
    <t>In total</t>
  </si>
  <si>
    <t xml:space="preserve">  T2 RESULT PLAN</t>
  </si>
  <si>
    <t>TURNOVER</t>
  </si>
  <si>
    <t>Other incomes</t>
  </si>
  <si>
    <t>Production for own use</t>
  </si>
  <si>
    <t>TOTAL BUSINESS INCOME</t>
  </si>
  <si>
    <t>Raw materials and consumables</t>
  </si>
  <si>
    <t>External services (outsourcing)</t>
  </si>
  <si>
    <t>Personnel costs</t>
  </si>
  <si>
    <t>Other business expenses</t>
  </si>
  <si>
    <t>EBITDA</t>
  </si>
  <si>
    <t>Stocks increase/decrease</t>
  </si>
  <si>
    <t>Planned depreciation</t>
  </si>
  <si>
    <t>OPERATING PROFIT</t>
  </si>
  <si>
    <t>Other interest income and other financial income</t>
  </si>
  <si>
    <t>Interest and other financial expenses</t>
  </si>
  <si>
    <t xml:space="preserve">Income from other investments </t>
  </si>
  <si>
    <t>Income taxes</t>
  </si>
  <si>
    <t>Change in cumulative accelerated depreciation</t>
  </si>
  <si>
    <t>Change in taxation-based reserves</t>
  </si>
  <si>
    <t>PROFIT/LOSS OF THE FINANCIAL YEAR</t>
  </si>
  <si>
    <t>PROFIT/LOSS BEFORE APPROPRIATIONS AND TAXES</t>
  </si>
  <si>
    <t>Staff (employee)</t>
  </si>
  <si>
    <t xml:space="preserve">NET TURNOVER PER EMPLOYEE </t>
  </si>
  <si>
    <r>
      <t xml:space="preserve"> T3 BALANCE SHEET: ASSETS </t>
    </r>
    <r>
      <rPr>
        <sz val="10"/>
        <color theme="0"/>
        <rFont val="Arial"/>
        <family val="2"/>
      </rPr>
      <t>(1000 €)</t>
    </r>
  </si>
  <si>
    <t>NON-CURRENT ASSETS</t>
  </si>
  <si>
    <t>Tangible assets</t>
  </si>
  <si>
    <t>1. Land and waters</t>
  </si>
  <si>
    <t xml:space="preserve">2. Buildings </t>
  </si>
  <si>
    <t>3. Machinery and equipment</t>
  </si>
  <si>
    <t>4. Other tangible assets</t>
  </si>
  <si>
    <t>Investments</t>
  </si>
  <si>
    <t>CURRENT ASSETS</t>
  </si>
  <si>
    <t>Stocks</t>
  </si>
  <si>
    <t>Stocks/Turnover (%)</t>
  </si>
  <si>
    <t>Receivables</t>
  </si>
  <si>
    <t>3. Other receivables</t>
  </si>
  <si>
    <t>Other investments</t>
  </si>
  <si>
    <t>Cash in hand and cash in bank</t>
  </si>
  <si>
    <t>ASSETS IN TOTAL</t>
  </si>
  <si>
    <t xml:space="preserve"> BALANCE SHEET: LIABILITIES(1000 €)</t>
  </si>
  <si>
    <t>CAPITAL AND RESERVES</t>
  </si>
  <si>
    <t>1. Subscribed capital</t>
  </si>
  <si>
    <t>2. Retained earnings gain</t>
  </si>
  <si>
    <t>3. Dividend distribution</t>
  </si>
  <si>
    <t>4. Profit/loss of the financial year</t>
  </si>
  <si>
    <t>5. Reserve for invested non-restricted capital</t>
  </si>
  <si>
    <t>APPROPRIATIONS</t>
  </si>
  <si>
    <t>PROVISIONS</t>
  </si>
  <si>
    <t>Long-term liabilities</t>
  </si>
  <si>
    <t>1. Loans from credit institutions</t>
  </si>
  <si>
    <t>2. Capital loans</t>
  </si>
  <si>
    <t>3. Accounts Payables</t>
  </si>
  <si>
    <t>4. Other Long-term liabilities</t>
  </si>
  <si>
    <t>CREDITORS, SHORT TERM</t>
  </si>
  <si>
    <t xml:space="preserve">4. Other short term loans </t>
  </si>
  <si>
    <t>5. Accruals and deferred income</t>
  </si>
  <si>
    <t>LIABILITIES IN TOTAL</t>
  </si>
  <si>
    <t>Financial result</t>
  </si>
  <si>
    <t xml:space="preserve">Additional investments by the owners    </t>
  </si>
  <si>
    <t>Increase in long-term loans</t>
  </si>
  <si>
    <t>Increase in short-term loans</t>
  </si>
  <si>
    <t>TOTAL</t>
  </si>
  <si>
    <t xml:space="preserve"> SOURCES OF FUNDS</t>
  </si>
  <si>
    <t>Other funds, incomes, aids</t>
  </si>
  <si>
    <t xml:space="preserve"> USE OF FUNDS</t>
  </si>
  <si>
    <t>Change in working capital</t>
  </si>
  <si>
    <t>Other increase in financial assets</t>
  </si>
  <si>
    <t>Return from reserve for invested non-restricted capital (SVOP)</t>
  </si>
  <si>
    <t>Reduction of capital loans</t>
  </si>
  <si>
    <t>Reduction of long-term accounts payables</t>
  </si>
  <si>
    <t>Reduction of long-term credit loans</t>
  </si>
  <si>
    <t>Reduction of other creditors, long term</t>
  </si>
  <si>
    <t>Change in long term loan repayment installment</t>
  </si>
  <si>
    <t>Reduction of installment debts</t>
  </si>
  <si>
    <t>Other short-term loans increase/decrease</t>
  </si>
  <si>
    <t>Reduction of short-term loans</t>
  </si>
  <si>
    <t>Dividend</t>
  </si>
  <si>
    <t>Surplus/deficit (7 - 22)</t>
  </si>
  <si>
    <t>CUMULATIVE SURPLUS/DEFICIT</t>
  </si>
  <si>
    <t>Prognosis Year 1</t>
  </si>
  <si>
    <t>Prognosis Year 2</t>
  </si>
  <si>
    <t>Prognosis Year 3</t>
  </si>
  <si>
    <t>Prognosis Year 4</t>
  </si>
  <si>
    <t>T4 FINANCIAL PLAN/WORKING CAPITAL (1000 €)</t>
  </si>
  <si>
    <t>Accounts receivable days</t>
  </si>
  <si>
    <t>Accounts receivable, trade debtors</t>
  </si>
  <si>
    <t>Other receivables</t>
  </si>
  <si>
    <t>Prepayments and accrued income</t>
  </si>
  <si>
    <t>Advance payments</t>
  </si>
  <si>
    <t>Accounts Payables</t>
  </si>
  <si>
    <t>Accounts payables days</t>
  </si>
  <si>
    <t>Installment payments</t>
  </si>
  <si>
    <t>Instalment payments/Turnover (%)</t>
  </si>
  <si>
    <t>Advance payments/turnover (%)</t>
  </si>
  <si>
    <t>Working capital</t>
  </si>
  <si>
    <t xml:space="preserve">LONG-TERM LOANS </t>
  </si>
  <si>
    <t>Loan Amount</t>
  </si>
  <si>
    <r>
      <rPr>
        <b/>
        <sz val="8"/>
        <color theme="0"/>
        <rFont val="Arial"/>
        <family val="2"/>
      </rPr>
      <t>Loan term</t>
    </r>
    <r>
      <rPr>
        <sz val="8"/>
        <color theme="0"/>
        <rFont val="Arial"/>
        <family val="2"/>
      </rPr>
      <t xml:space="preserve"> (year)</t>
    </r>
  </si>
  <si>
    <t>Interest %</t>
  </si>
  <si>
    <t>Payment</t>
  </si>
  <si>
    <t>Interest</t>
  </si>
  <si>
    <t>Amount</t>
  </si>
  <si>
    <t xml:space="preserve"> 2st year loans</t>
  </si>
  <si>
    <t xml:space="preserve"> 3st year loans</t>
  </si>
  <si>
    <t xml:space="preserve"> 4st year loans</t>
  </si>
  <si>
    <t xml:space="preserve"> 1st year loans</t>
  </si>
  <si>
    <t>Total</t>
  </si>
  <si>
    <t xml:space="preserve"> Instalment loans</t>
  </si>
  <si>
    <t xml:space="preserve">Short-term loans </t>
  </si>
  <si>
    <t>Capital loans</t>
  </si>
  <si>
    <t>Long-Term loans, no payment plan</t>
  </si>
  <si>
    <t>Handling fees</t>
  </si>
  <si>
    <t>ALL TOGETHER</t>
  </si>
  <si>
    <t xml:space="preserve"> Payback time for creditors (years)</t>
  </si>
  <si>
    <t xml:space="preserve"> Net gearing</t>
  </si>
  <si>
    <t>Value</t>
  </si>
  <si>
    <t>T1 INVESTMENT PLAN</t>
  </si>
  <si>
    <t>Date</t>
  </si>
  <si>
    <t>Company</t>
  </si>
  <si>
    <t>Author</t>
  </si>
  <si>
    <t>Email</t>
  </si>
  <si>
    <t>Phone</t>
  </si>
  <si>
    <t>Description</t>
  </si>
  <si>
    <t>Start date</t>
  </si>
  <si>
    <t>Completion date</t>
  </si>
  <si>
    <t>Other liabilities, installment etc.</t>
  </si>
  <si>
    <t>3. Accounts payables</t>
  </si>
  <si>
    <t>BALANCE SHEET AND FINANCIAL PLAN</t>
  </si>
  <si>
    <t>KEY FINANCIAL RATIOS</t>
  </si>
  <si>
    <t xml:space="preserve"> Debt service coverage ratio</t>
  </si>
  <si>
    <t xml:space="preserve"> Equity ratio</t>
  </si>
  <si>
    <t>2. Receivables booked according to percentage of completion method</t>
  </si>
  <si>
    <t>6. Advances received</t>
  </si>
  <si>
    <t>BusinessPilot offered by</t>
  </si>
  <si>
    <r>
      <t xml:space="preserve">CAPITAL REQUIREMENT </t>
    </r>
    <r>
      <rPr>
        <sz val="10"/>
        <color theme="0"/>
        <rFont val="Arial"/>
        <family val="2"/>
      </rPr>
      <t>(1000 euroa)</t>
    </r>
  </si>
  <si>
    <t>T7 LOANS (1000 €)</t>
  </si>
  <si>
    <t xml:space="preserve"> Collection period of trade receivables, days</t>
  </si>
  <si>
    <t>1. Trade receivables</t>
  </si>
  <si>
    <t>4. Prepaid expenses and accrued income</t>
  </si>
  <si>
    <t xml:space="preserve"> Muut tuotot alv 0 % (yritystuet, vakuutuskorvaukset yms.)</t>
  </si>
  <si>
    <t xml:space="preserve"> Muut tuotot sis. alv (mm. liiketoim. muut tuotot, saneeraus)</t>
  </si>
  <si>
    <t>KUMULATIIVINEN KASSA</t>
  </si>
  <si>
    <t xml:space="preserve"> Muut tuotot sis. alv (liiketoim. muut tuotot, saneeraus)</t>
  </si>
  <si>
    <t xml:space="preserve"> Tuotteen/palvelun nimi</t>
  </si>
  <si>
    <t>Liikevaihto €</t>
  </si>
  <si>
    <t>kpl</t>
  </si>
  <si>
    <t xml:space="preserve">Lisätiedot </t>
  </si>
  <si>
    <t xml:space="preserve"> Lisätietoa rahoittajista esim. sijoittajien nimet, summat, vakuudet</t>
  </si>
  <si>
    <t>yritysTULKKI YT6 Aloittavan yrityksen tulossuunnitelma</t>
  </si>
  <si>
    <t>Investointi käytössä kuukausina tilikauden alusta</t>
  </si>
  <si>
    <t xml:space="preserve">Investointi käytössä kuukausina tilikauden alusta </t>
  </si>
  <si>
    <t>Ostoihin sisältyvät alv</t>
  </si>
  <si>
    <t>ALV-vähennyskelpoiset kulut</t>
  </si>
  <si>
    <t>Hinta</t>
  </si>
  <si>
    <t>HInta</t>
  </si>
  <si>
    <t>Tilatus lehdet</t>
  </si>
  <si>
    <t>Alv-vähennyskelpoiset kulut sis. Alv yhteensä</t>
  </si>
  <si>
    <t>Alv-vähennyskelpoiset kulut Alv 0 % yhteensä</t>
  </si>
  <si>
    <t>Keskimääräinen alv-%</t>
  </si>
  <si>
    <t xml:space="preserve"> Osamaksuvelka 2. ennustevuosi</t>
  </si>
  <si>
    <t xml:space="preserve"> Osamaksuvelka 3. ennustevuosi</t>
  </si>
  <si>
    <t xml:space="preserve"> Osamaksuvelka 4. ennustevuosi</t>
  </si>
  <si>
    <t xml:space="preserve"> Osamaksuvelka 1. ennustevuosi </t>
  </si>
  <si>
    <t>Käyttöpääoma</t>
  </si>
  <si>
    <t>Kirjat, matkaliput, majoitus, muut matkak.</t>
  </si>
  <si>
    <t xml:space="preserve"> Vaihto-omaisuus (varasto) </t>
  </si>
  <si>
    <t>Vaihto-omaisuus (varasto)</t>
  </si>
  <si>
    <t>Vaihto-omaisuuden lisäys/vähennys</t>
  </si>
  <si>
    <t xml:space="preserve"> Käteismyynti- ja ennakkomaksuosuus-%</t>
  </si>
  <si>
    <t>YEL-yrittäjien kuukausipalkat brutto</t>
  </si>
  <si>
    <t>YEL-yrittäjien luontoisedut / kk</t>
  </si>
  <si>
    <t>Palkanmaksukuukaudet</t>
  </si>
  <si>
    <t>Työntekijöiden keskituntipalkka / kk / henkilö</t>
  </si>
  <si>
    <t>Työtunnit / kk / henkilö</t>
  </si>
  <si>
    <t>Työntekijöiden lukumäärä</t>
  </si>
  <si>
    <t>Luontoisedut yhteensä vuodessa</t>
  </si>
  <si>
    <t>Toimihenkilöiden palkat keskimäärin / kk / henkilö</t>
  </si>
  <si>
    <t>Toimihenkilöiden lukumäärä</t>
  </si>
  <si>
    <t xml:space="preserve">Keskimääräinen veronpidätys-% </t>
  </si>
  <si>
    <t>Keskimääräinen veronpidätys-% YEL-yrittäjät</t>
  </si>
  <si>
    <t>Yrityksen TyEL-vakuutusmaksut</t>
  </si>
  <si>
    <t>YEL-maksujen työtulo yhteensä</t>
  </si>
  <si>
    <t>YEL-vakuutusmaksuprosentti</t>
  </si>
  <si>
    <t>YEL-vakuutusmaksut</t>
  </si>
  <si>
    <t>Vapaaehtoiset eläkevakuutusmaksut</t>
  </si>
  <si>
    <t xml:space="preserve">Yrityksen osuus TyEL-vakuutusmaksusta </t>
  </si>
  <si>
    <t>Työntekijän sotu- ja muut pakoll. vakuutusmaksut</t>
  </si>
  <si>
    <t>Henkilökunnan koulutus</t>
  </si>
  <si>
    <t>Työterveyshuolto</t>
  </si>
  <si>
    <t>Virkistys- ja harrastustoiminta</t>
  </si>
  <si>
    <t>Muut vapaaehtoiset henkilöstökulut</t>
  </si>
  <si>
    <t>Työvaatteet ja suojavälineet</t>
  </si>
  <si>
    <t>Vuokrat ja vastikkeet (liiketoimintaan)</t>
  </si>
  <si>
    <t>Vuokra/vastike kuukaudessa euroa</t>
  </si>
  <si>
    <t>Maksukuukaudet tilikaudessa</t>
  </si>
  <si>
    <t xml:space="preserve">Sähkö ja kaasu </t>
  </si>
  <si>
    <t>Vesi ja jätevesi</t>
  </si>
  <si>
    <t>Lämmitys</t>
  </si>
  <si>
    <t>Puhtaanapito, ulkoalueiden hoito</t>
  </si>
  <si>
    <t>Jätehuolto</t>
  </si>
  <si>
    <t>Vartiointi, lukituspalvelut, muut kulut</t>
  </si>
  <si>
    <t>Kiinteistöjen ja irtaimiston palovakuutusarvo</t>
  </si>
  <si>
    <t>Kiinteistövero</t>
  </si>
  <si>
    <t>Toimitilojen korjaus</t>
  </si>
  <si>
    <t>Laite- ja ohjelmavuokrat</t>
  </si>
  <si>
    <t>Ohjelmat, päivitykset ja ylläpito</t>
  </si>
  <si>
    <t xml:space="preserve">ATK-laitehankinnat käyttöaika alle 3 vuotta </t>
  </si>
  <si>
    <t>Muut atk-kulut</t>
  </si>
  <si>
    <t>Muut kaluston vuokrakulut</t>
  </si>
  <si>
    <t>Polttoaine</t>
  </si>
  <si>
    <t>Huolto, korjaus ja katsastus</t>
  </si>
  <si>
    <t>Vakuutukset ja käyttömaksut</t>
  </si>
  <si>
    <t>Muut konekulut</t>
  </si>
  <si>
    <t>Huolto ja korjaus</t>
  </si>
  <si>
    <t>Leasingsopimukset yhteensä, euroa</t>
  </si>
  <si>
    <t>Leasingsopimusten kestoaika (kuukautta)</t>
  </si>
  <si>
    <t>Jäännösarvo-% sopimuksen päättyessä</t>
  </si>
  <si>
    <t>Pienhankinnat ja laitehankinnat käyttöikä alle 3 vuotta</t>
  </si>
  <si>
    <t>Muut kone- ja kalustokulut</t>
  </si>
  <si>
    <t>Matkaliput ja majoituskulut</t>
  </si>
  <si>
    <t>Muut matkakulut</t>
  </si>
  <si>
    <t>Ruokailu matkalla</t>
  </si>
  <si>
    <t>Päivärahat, ateriakorvaukset yms.</t>
  </si>
  <si>
    <t>Kilometrikorvaukset</t>
  </si>
  <si>
    <t>Mainostoimistopalvelut</t>
  </si>
  <si>
    <t>Suora- ja ilmoitusmainonta</t>
  </si>
  <si>
    <t>Internet-, radio-, TV-mainonta</t>
  </si>
  <si>
    <t>Messut, näyttelyt yms. myynninedistäminen</t>
  </si>
  <si>
    <t>Muut markkinointikulut</t>
  </si>
  <si>
    <t>Tuotekehitys- ja testauspalvelut</t>
  </si>
  <si>
    <t xml:space="preserve">Tuotesuojauksen viranomaismaksut </t>
  </si>
  <si>
    <t>Sertifiointi ja laatutodistukset</t>
  </si>
  <si>
    <t>Muut kehityskulut</t>
  </si>
  <si>
    <t>Vuokratyövoima</t>
  </si>
  <si>
    <t>Taloushallintopalvelut, tilintarkastus</t>
  </si>
  <si>
    <t>Laki- ja konsultointipalvelut, muut hallintokulut</t>
  </si>
  <si>
    <t xml:space="preserve">Viranomaismaksut/-luvat </t>
  </si>
  <si>
    <t xml:space="preserve"> 3.13 Hallintopalvelut </t>
  </si>
  <si>
    <t>Kirjat</t>
  </si>
  <si>
    <t>Lehdet</t>
  </si>
  <si>
    <t xml:space="preserve">Jäsenmaksut </t>
  </si>
  <si>
    <t>Puhelin ja internet</t>
  </si>
  <si>
    <t>Datasiirtokulut</t>
  </si>
  <si>
    <t>Postikulut</t>
  </si>
  <si>
    <t>Rahaliikenteen kulut</t>
  </si>
  <si>
    <t>Vastuuvakuutukset</t>
  </si>
  <si>
    <t>Esinevakuutukset, konerikko yms.</t>
  </si>
  <si>
    <t>Muut vakuutukset, keskeytysvakuutus</t>
  </si>
  <si>
    <t xml:space="preserve"> 3.24 Muut kulut alv 0 % </t>
  </si>
  <si>
    <t xml:space="preserve"> 3.23 Vuokrat, vastikkeet, hoitokulut alv 0 %</t>
  </si>
  <si>
    <t xml:space="preserve"> 3.22 Ulkopuoliset palvelut sis. alv </t>
  </si>
  <si>
    <t xml:space="preserve"> 3.21 Leasingkulut, investoinnit alv 0 %</t>
  </si>
  <si>
    <t xml:space="preserve"> 3.20 Ajoneuvo- ja konekulut, yksityiskäyttö</t>
  </si>
  <si>
    <t xml:space="preserve"> 3.19 Muut hallintokulut</t>
  </si>
  <si>
    <t xml:space="preserve"> 3.18 Kokous- ja neuvottelukulut</t>
  </si>
  <si>
    <t xml:space="preserve"> 3.17 Toimistotarvikkeet</t>
  </si>
  <si>
    <t xml:space="preserve"> 3.16 Vakuutukset  </t>
  </si>
  <si>
    <t xml:space="preserve"> 3.15 Tieto- ja rahaliikenne</t>
  </si>
  <si>
    <t xml:space="preserve"> 3.14 Tiedonhankinta </t>
  </si>
  <si>
    <t xml:space="preserve"> 3.12 Tutkimus- ja tuotekehityskulut </t>
  </si>
  <si>
    <t xml:space="preserve"> 3.11 Markkinointikulut</t>
  </si>
  <si>
    <r>
      <t xml:space="preserve"> 3.10 Myyntikulut </t>
    </r>
    <r>
      <rPr>
        <sz val="9"/>
        <rFont val="Arial"/>
        <family val="2"/>
      </rPr>
      <t>(mm. palkkiot, provisiot)</t>
    </r>
  </si>
  <si>
    <t xml:space="preserve"> 3.9 Edustuskulut</t>
  </si>
  <si>
    <t xml:space="preserve"> 3.8 Matkakustannusten korvaukset</t>
  </si>
  <si>
    <t xml:space="preserve"> 3.7 Matkakulut</t>
  </si>
  <si>
    <t xml:space="preserve"> 3.6 Muut kone- ja laitekulut, liikekäyttö</t>
  </si>
  <si>
    <t xml:space="preserve"> 3.5 Työkonekulut, liikekäyttö</t>
  </si>
  <si>
    <t xml:space="preserve"> 3.2 Toimitilakustannukset </t>
  </si>
  <si>
    <t xml:space="preserve"> 3.1 Muut henkilöstökulut</t>
  </si>
  <si>
    <t xml:space="preserve"> HENKILÖSTÖKULUT YHTEENSÄ</t>
  </si>
  <si>
    <t xml:space="preserve"> LIIKETOIMINNAN MUUT KULUT</t>
  </si>
  <si>
    <t xml:space="preserve"> 2.5 Muut henkilövakuutusmaksut</t>
  </si>
  <si>
    <t xml:space="preserve"> 2.4 YEL-yrittäjän henkivakuutusmaksu</t>
  </si>
  <si>
    <t xml:space="preserve"> 2.3 YEL-yrittäjän sosiaalivakuutusmaksut </t>
  </si>
  <si>
    <t xml:space="preserve"> 2.2 Muut henkilösivukulut</t>
  </si>
  <si>
    <t xml:space="preserve"> HENKILÖSTÖSIVUKULUT</t>
  </si>
  <si>
    <t xml:space="preserve"> 1.4 Saadut vakuutusmaksukorvaukset</t>
  </si>
  <si>
    <t xml:space="preserve"> 1.3 Toimihenkilöt / TyEL-yrittäjät</t>
  </si>
  <si>
    <t xml:space="preserve"> 1.2 Tuntipalkkaiset työntekijät / TyEL-yrittäjät</t>
  </si>
  <si>
    <t xml:space="preserve"> 1.1 YEL-yrittäjät</t>
  </si>
  <si>
    <t xml:space="preserve"> PALKAT JA PALKKIOT</t>
  </si>
  <si>
    <t>Avustus, pääomalainan lisäys, sijoitusten tuloutus ja omaisuuden myyntitulot</t>
  </si>
  <si>
    <t xml:space="preserve"> Arvosana</t>
  </si>
  <si>
    <t>Lisäykset tilikaudella</t>
  </si>
  <si>
    <t>Vähennykset tilikaudella</t>
  </si>
  <si>
    <t>Poistot</t>
  </si>
  <si>
    <t>Osamaksuvelat</t>
  </si>
  <si>
    <t>Pitkäaikaisten lainojen lyhennykset</t>
  </si>
  <si>
    <t xml:space="preserve">Lyhytaikaiset rahalaitoslainat </t>
  </si>
  <si>
    <t xml:space="preserve"> Ennakonpidätysvelka</t>
  </si>
  <si>
    <t>Sosiaaliturvamaksuvelka</t>
  </si>
  <si>
    <t>Arvonlisäverovelka</t>
  </si>
  <si>
    <t>Muut lyhytaikaiset velat</t>
  </si>
  <si>
    <t>Siirtovelat</t>
  </si>
  <si>
    <t>Lomapalkkavelat</t>
  </si>
  <si>
    <t>Laskettu eläke- ja sivukuluvelka</t>
  </si>
  <si>
    <t>Prosenttia maksetuista palkoista</t>
  </si>
  <si>
    <t>Eläke- ja sivukuluvelka lomapalkkavelasta (%)</t>
  </si>
  <si>
    <t>Maksukuukaudet tilikaudella</t>
  </si>
  <si>
    <t xml:space="preserve"> Myyntihinta / yksikkö alv 0 %</t>
  </si>
  <si>
    <t xml:space="preserve"> Ainekäytön/hankintojen osuus-%</t>
  </si>
  <si>
    <t xml:space="preserve"> Ainekäyttö/hankinnat</t>
  </si>
  <si>
    <t xml:space="preserve"> Myyntimäärä yksikköä</t>
  </si>
  <si>
    <r>
      <t xml:space="preserve"> • pinta-ala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</si>
  <si>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t xml:space="preserve"> • avustus-%</t>
  </si>
  <si>
    <r>
      <t xml:space="preserve"> • pinta-ala / tilavuus (m</t>
    </r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>/ 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)</t>
    </r>
  </si>
  <si>
    <t xml:space="preserve"> • arvonlisävero-%</t>
  </si>
  <si>
    <t>VOITTO (TAPPIO) ENNEN
TILINPÄÄTÖSSIIRTOJA JA VEROJA</t>
  </si>
  <si>
    <t>Rahoituksen korko-%</t>
  </si>
  <si>
    <t>Financial year (Months)</t>
  </si>
  <si>
    <t>Sijoitukset, osakkeet</t>
  </si>
  <si>
    <t xml:space="preserve"> TULOT - MENOT</t>
  </si>
  <si>
    <t xml:space="preserve"> KUMULATIIVINEN KASSA KUUKAUDEN LOPUSSA</t>
  </si>
  <si>
    <t>• avustus-%</t>
  </si>
  <si>
    <t>Muu oma rahoitus</t>
  </si>
  <si>
    <t>Pääomalaina</t>
  </si>
  <si>
    <t>Tulorahoitus</t>
  </si>
  <si>
    <t>Osakepääoman korotus</t>
  </si>
  <si>
    <t>Sijoitus SVOP-rahastoon</t>
  </si>
  <si>
    <t>Käyttöpääoman lisäys</t>
  </si>
  <si>
    <t>Aineettomat hyödykkeet</t>
  </si>
  <si>
    <t>Muut aineelliset hyödykkeet</t>
  </si>
  <si>
    <t>Koneet ja kalusto alv 0 %</t>
  </si>
  <si>
    <t>Koneet ja kalusto sis. alv</t>
  </si>
  <si>
    <t>Rakennukset ja rakennelmat alv 0 %</t>
  </si>
  <si>
    <t>Rakennukset ja rakennelmat sis. alv</t>
  </si>
  <si>
    <t>• grant percentage</t>
  </si>
  <si>
    <t>Land and waters</t>
  </si>
  <si>
    <t>Buildings VAT 0 %</t>
  </si>
  <si>
    <t>Machinery and equipment inc. Vat</t>
  </si>
  <si>
    <t>Machinery and equipment VAT 0 %</t>
  </si>
  <si>
    <t>Other tangible assets</t>
  </si>
  <si>
    <t>Owners' investments</t>
  </si>
  <si>
    <t>Share capital increase</t>
  </si>
  <si>
    <t xml:space="preserve">Reserve for invested non-restricted capital </t>
  </si>
  <si>
    <t>Income financing</t>
  </si>
  <si>
    <t>Capital loan</t>
  </si>
  <si>
    <t>Other own funding</t>
  </si>
  <si>
    <t>Osakepääoma</t>
  </si>
  <si>
    <t xml:space="preserve">Avustus, pääomalainojen ja SVOP:n lisäys, sijoitusten tuloutus     </t>
  </si>
  <si>
    <t xml:space="preserve">Increase in installment debts </t>
  </si>
  <si>
    <t>T4 FINANCIAL PLAN</t>
  </si>
  <si>
    <t xml:space="preserve"> Osinko ja yksityisotot</t>
  </si>
  <si>
    <t xml:space="preserve"> 3.3 Leasingrahoituksen kustannukset sis. alv</t>
  </si>
  <si>
    <t xml:space="preserve"> 3.4 ATK-laite ja -ohjelmakulut</t>
  </si>
  <si>
    <t xml:space="preserve"> Leasingkustannukset ja vuokrakulut, liikekäyttö</t>
  </si>
  <si>
    <t xml:space="preserve"> Investoinnit alv 0 %</t>
  </si>
  <si>
    <t xml:space="preserve"> Leasingkustannukset investoinneista alv 0 %</t>
  </si>
  <si>
    <t xml:space="preserve"> Muut aineelliset hyödykkeet </t>
  </si>
  <si>
    <t xml:space="preserve">Pankki </t>
  </si>
  <si>
    <t xml:space="preserve">Finnvera </t>
  </si>
  <si>
    <t>Yrityksen oma rahoitus</t>
  </si>
  <si>
    <t>Increase in revenue generated by the investment</t>
  </si>
  <si>
    <t xml:space="preserve">Sijoitus SVOP-rahastoon </t>
  </si>
  <si>
    <t>Arvonlisäverottomat yritykset sis. Alv hinnoin</t>
  </si>
  <si>
    <t>Bruttopalkat</t>
  </si>
  <si>
    <t>YEL-hlöt</t>
  </si>
  <si>
    <t>TyEL-hlöt</t>
  </si>
  <si>
    <t xml:space="preserve"> YEL-yrittäjien bruttopalkat</t>
  </si>
  <si>
    <t xml:space="preserve"> TyEL-työntekijöiden bruttopalkat (kokoaikaiset työntekijät)</t>
  </si>
  <si>
    <t xml:space="preserve"> TyEL-työntekijöiden bruttopalkat (osa-aikaiset työntekijät)</t>
  </si>
  <si>
    <t xml:space="preserve"> TyEL-palkkojen sivukulut</t>
  </si>
  <si>
    <t xml:space="preserve"> TyEL-työntekijöiden bruttopalkat (kokoaikaiset)</t>
  </si>
  <si>
    <t xml:space="preserve"> YEL-palkkojen sivukulut</t>
  </si>
  <si>
    <t>22. Investoinnin aikaansaama liikevaihdon lisäys/vuosi</t>
  </si>
  <si>
    <t>Verotettava tulo</t>
  </si>
  <si>
    <t xml:space="preserve"> Lyhytaikaiset lainat (limiittilaina)</t>
  </si>
  <si>
    <t xml:space="preserve"> Pitkäaikaiset velat
 ei velkakirjaa</t>
  </si>
  <si>
    <t>Kehittämisyhtiö Witas 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</si>
</sst>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#,##0\ &quot;€&quot;;[Red]\-#,##0\ &quot;€&quot;"/>
    <numFmt numFmtId="164" formatCode="0.0\ %"/>
    <numFmt numFmtId="165" formatCode="#,##0_ ;[Red]\-#,##0\ "/>
    <numFmt numFmtId="166" formatCode="0.0"/>
    <numFmt numFmtId="167" formatCode="#,##0.0"/>
    <numFmt numFmtId="168" formatCode="#,##0\ &quot;€&quot;"/>
    <numFmt numFmtId="169" formatCode="#,##0.000"/>
    <numFmt numFmtId="170" formatCode="d\.m\.yyyy;@"/>
    <numFmt numFmtId="171" formatCode="#,##0.0_ ;[Red]\-#,##0.0\ "/>
    <numFmt numFmtId="172" formatCode="#,##0\ _€"/>
  </numFmts>
  <fonts count="91" x14ac:knownFonts="1">
    <font>
      <sz val="10"/>
      <name val="Arial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name val="Arial"/>
      <family val="2"/>
    </font>
    <font>
      <sz val="10"/>
      <color indexed="3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6"/>
      <name val="Arial"/>
      <family val="2"/>
    </font>
    <font>
      <i/>
      <sz val="12"/>
      <color indexed="18"/>
      <name val="Arial"/>
      <family val="2"/>
    </font>
    <font>
      <sz val="11"/>
      <color indexed="18"/>
      <name val="Arial"/>
      <family val="2"/>
    </font>
    <font>
      <sz val="9"/>
      <color indexed="18"/>
      <name val="Arial"/>
      <family val="2"/>
    </font>
    <font>
      <b/>
      <i/>
      <sz val="10"/>
      <name val="Verdana"/>
      <family val="2"/>
    </font>
    <font>
      <b/>
      <sz val="8"/>
      <name val="Verdana"/>
      <family val="2"/>
    </font>
    <font>
      <b/>
      <sz val="10"/>
      <name val="Tahoma"/>
      <family val="2"/>
    </font>
    <font>
      <b/>
      <sz val="9"/>
      <color indexed="18"/>
      <name val="Arial"/>
      <family val="2"/>
    </font>
    <font>
      <b/>
      <i/>
      <sz val="8"/>
      <name val="Verdana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b/>
      <u/>
      <sz val="8"/>
      <name val="Arial"/>
      <family val="2"/>
    </font>
    <font>
      <u/>
      <sz val="9"/>
      <name val="Arial"/>
      <family val="2"/>
    </font>
    <font>
      <b/>
      <sz val="10"/>
      <color rgb="FFFF0000"/>
      <name val="Arial"/>
      <family val="2"/>
    </font>
    <font>
      <sz val="9"/>
      <color rgb="FF000080"/>
      <name val="Arial"/>
      <family val="2"/>
    </font>
    <font>
      <sz val="9"/>
      <color rgb="FF000066"/>
      <name val="Arial"/>
      <family val="2"/>
    </font>
    <font>
      <sz val="10"/>
      <color rgb="FF000066"/>
      <name val="Arial"/>
      <family val="2"/>
    </font>
    <font>
      <b/>
      <sz val="9"/>
      <color rgb="FF000080"/>
      <name val="Arial"/>
      <family val="2"/>
    </font>
    <font>
      <b/>
      <sz val="9"/>
      <color rgb="FF000066"/>
      <name val="Arial"/>
      <family val="2"/>
    </font>
    <font>
      <sz val="9"/>
      <color theme="1"/>
      <name val="Arial"/>
      <family val="2"/>
    </font>
    <font>
      <i/>
      <sz val="8"/>
      <color rgb="FF002060"/>
      <name val="Arial"/>
      <family val="2"/>
    </font>
    <font>
      <i/>
      <sz val="9"/>
      <color rgb="FF002060"/>
      <name val="Arial"/>
      <family val="2"/>
    </font>
    <font>
      <u/>
      <sz val="10"/>
      <color rgb="FFFF0000"/>
      <name val="Arial"/>
      <family val="2"/>
    </font>
    <font>
      <sz val="10"/>
      <color rgb="FFFF0000"/>
      <name val="Arial"/>
      <family val="2"/>
    </font>
    <font>
      <u/>
      <sz val="9"/>
      <color rgb="FFFF0000"/>
      <name val="Arial"/>
      <family val="2"/>
    </font>
    <font>
      <sz val="9"/>
      <color rgb="FFFF0000"/>
      <name val="Arial"/>
      <family val="2"/>
    </font>
    <font>
      <i/>
      <sz val="8"/>
      <color theme="3"/>
      <name val="Arial"/>
      <family val="2"/>
    </font>
    <font>
      <b/>
      <sz val="9"/>
      <color rgb="FFFF0000"/>
      <name val="Arial"/>
      <family val="2"/>
    </font>
    <font>
      <b/>
      <sz val="10"/>
      <color theme="3"/>
      <name val="Arial"/>
      <family val="2"/>
    </font>
    <font>
      <sz val="8"/>
      <color rgb="FFFF0000"/>
      <name val="Arial"/>
      <family val="2"/>
    </font>
    <font>
      <b/>
      <sz val="9"/>
      <color rgb="FF404040"/>
      <name val="Arial"/>
      <family val="2"/>
    </font>
    <font>
      <b/>
      <sz val="10"/>
      <color theme="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i/>
      <sz val="9"/>
      <color theme="3"/>
      <name val="Arial"/>
      <family val="2"/>
    </font>
    <font>
      <i/>
      <sz val="8"/>
      <color rgb="FF000066"/>
      <name val="Arial"/>
      <family val="2"/>
    </font>
    <font>
      <i/>
      <sz val="9"/>
      <name val="Arial"/>
      <family val="2"/>
    </font>
    <font>
      <b/>
      <i/>
      <sz val="9"/>
      <color theme="3"/>
      <name val="Arial"/>
      <family val="2"/>
    </font>
    <font>
      <i/>
      <sz val="8"/>
      <color rgb="FF1F497D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i/>
      <sz val="9"/>
      <color rgb="FF002060"/>
      <name val="Arial"/>
      <family val="2"/>
    </font>
    <font>
      <i/>
      <sz val="8"/>
      <color rgb="FF000080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i/>
      <sz val="8"/>
      <color theme="0"/>
      <name val="Arial"/>
      <family val="2"/>
    </font>
    <font>
      <i/>
      <sz val="8"/>
      <color theme="1"/>
      <name val="Arial"/>
      <family val="2"/>
    </font>
    <font>
      <u/>
      <sz val="10"/>
      <color indexed="81"/>
      <name val="Tahoma"/>
      <family val="2"/>
    </font>
    <font>
      <b/>
      <i/>
      <sz val="8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color indexed="81"/>
      <name val="Tahoma"/>
      <family val="2"/>
    </font>
    <font>
      <b/>
      <sz val="8"/>
      <color theme="1"/>
      <name val="Arial"/>
      <family val="2"/>
    </font>
    <font>
      <b/>
      <sz val="12"/>
      <color indexed="81"/>
      <name val="Tahoma"/>
      <family val="2"/>
    </font>
    <font>
      <b/>
      <sz val="11"/>
      <color indexed="81"/>
      <name val="Tahoma"/>
      <family val="2"/>
    </font>
    <font>
      <i/>
      <sz val="10"/>
      <color indexed="81"/>
      <name val="Tahoma"/>
      <family val="2"/>
    </font>
    <font>
      <i/>
      <sz val="8"/>
      <color rgb="FFFF0000"/>
      <name val="Arial"/>
      <family val="2"/>
    </font>
    <font>
      <b/>
      <sz val="10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152A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3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theme="0" tint="-0.34998626667073579"/>
      </bottom>
      <diagonal/>
    </border>
    <border>
      <left/>
      <right/>
      <top style="hair">
        <color indexed="64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thin">
        <color theme="0" tint="-0.34998626667073579"/>
      </right>
      <top/>
      <bottom style="dotted">
        <color theme="0" tint="-0.34998626667073579"/>
      </bottom>
      <diagonal/>
    </border>
    <border>
      <left/>
      <right style="thin">
        <color theme="0" tint="-0.24994659260841701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medium">
        <color theme="0" tint="-0.34998626667073579"/>
      </right>
      <top style="thin">
        <color indexed="64"/>
      </top>
      <bottom style="double">
        <color indexed="64"/>
      </bottom>
      <diagonal/>
    </border>
    <border>
      <left/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4659260841701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dashed">
        <color theme="0" tint="-0.34998626667073579"/>
      </top>
      <bottom/>
      <diagonal/>
    </border>
    <border>
      <left/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theme="0" tint="-0.34998626667073579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theme="0" tint="-0.34998626667073579"/>
      </left>
      <right style="dotted">
        <color auto="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otted">
        <color auto="1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dotted">
        <color auto="1"/>
      </right>
      <top style="dashed">
        <color theme="0" tint="-0.34998626667073579"/>
      </top>
      <bottom/>
      <diagonal/>
    </border>
    <border>
      <left style="dotted">
        <color auto="1"/>
      </left>
      <right style="thin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34998626667073579"/>
      </left>
      <right style="dotted">
        <color auto="1"/>
      </right>
      <top/>
      <bottom style="thin">
        <color theme="0" tint="-0.34998626667073579"/>
      </bottom>
      <diagonal/>
    </border>
    <border>
      <left style="dotted">
        <color auto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dashed">
        <color theme="0" tint="-0.34998626667073579"/>
      </bottom>
      <diagonal/>
    </border>
    <border>
      <left style="thin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dotted">
        <color auto="1"/>
      </right>
      <top/>
      <bottom/>
      <diagonal/>
    </border>
    <border>
      <left style="dotted">
        <color auto="1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24994659260841701"/>
      </top>
      <bottom/>
      <diagonal/>
    </border>
    <border>
      <left/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77111117893"/>
      </left>
      <right/>
      <top/>
      <bottom style="dashed">
        <color theme="0" tint="-0.34998626667073579"/>
      </bottom>
      <diagonal/>
    </border>
    <border>
      <left style="thin">
        <color theme="0" tint="-0.249977111117893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/>
      <top style="dashed">
        <color theme="0" tint="-0.34998626667073579"/>
      </top>
      <bottom/>
      <diagonal/>
    </border>
    <border>
      <left style="thin">
        <color theme="0" tint="-0.249977111117893"/>
      </left>
      <right/>
      <top/>
      <bottom style="dotted">
        <color indexed="64"/>
      </bottom>
      <diagonal/>
    </border>
    <border>
      <left style="thin">
        <color theme="0" tint="-0.249977111117893"/>
      </left>
      <right/>
      <top style="dotted">
        <color indexed="64"/>
      </top>
      <bottom style="dotted">
        <color indexed="64"/>
      </bottom>
      <diagonal/>
    </border>
    <border>
      <left style="thin">
        <color theme="0" tint="-0.249977111117893"/>
      </left>
      <right/>
      <top style="dotted">
        <color indexed="64"/>
      </top>
      <bottom/>
      <diagonal/>
    </border>
    <border>
      <left style="thin">
        <color theme="0" tint="-0.249977111117893"/>
      </left>
      <right/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/>
      <diagonal/>
    </border>
    <border>
      <left style="dotted">
        <color auto="1"/>
      </left>
      <right style="thin">
        <color theme="0" tint="-0.249977111117893"/>
      </right>
      <top/>
      <bottom style="dotted">
        <color auto="1"/>
      </bottom>
      <diagonal/>
    </border>
    <border>
      <left style="dotted">
        <color auto="1"/>
      </left>
      <right style="thin">
        <color theme="0" tint="-0.249977111117893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theme="0" tint="-0.249977111117893"/>
      </right>
      <top style="dotted">
        <color auto="1"/>
      </top>
      <bottom/>
      <diagonal/>
    </border>
    <border>
      <left style="dashed">
        <color theme="0" tint="-0.34998626667073579"/>
      </left>
      <right style="thin">
        <color theme="0" tint="-0.249977111117893"/>
      </right>
      <top/>
      <bottom/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dashed">
        <color theme="0" tint="-0.34998626667073579"/>
      </bottom>
      <diagonal/>
    </border>
    <border>
      <left/>
      <right style="thin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dashed">
        <color theme="0" tint="-0.34998626667073579"/>
      </bottom>
      <diagonal/>
    </border>
    <border>
      <left/>
      <right style="thin">
        <color theme="0" tint="-0.249977111117893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thin">
        <color theme="0" tint="-0.249977111117893"/>
      </right>
      <top style="dashed">
        <color theme="0" tint="-0.34998626667073579"/>
      </top>
      <bottom/>
      <diagonal/>
    </border>
    <border>
      <left/>
      <right style="thin">
        <color theme="0" tint="-0.249977111117893"/>
      </right>
      <top/>
      <bottom style="dotted">
        <color auto="1"/>
      </bottom>
      <diagonal/>
    </border>
    <border>
      <left/>
      <right style="thin">
        <color theme="0" tint="-0.249977111117893"/>
      </right>
      <top style="dotted">
        <color auto="1"/>
      </top>
      <bottom style="dotted">
        <color auto="1"/>
      </bottom>
      <diagonal/>
    </border>
    <border>
      <left/>
      <right style="thin">
        <color theme="0" tint="-0.249977111117893"/>
      </right>
      <top style="dotted">
        <color auto="1"/>
      </top>
      <bottom/>
      <diagonal/>
    </border>
    <border>
      <left/>
      <right style="thin">
        <color theme="0" tint="-0.249977111117893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249977111117893"/>
      </left>
      <right style="dotted">
        <color auto="1"/>
      </right>
      <top/>
      <bottom style="dotted">
        <color auto="1"/>
      </bottom>
      <diagonal/>
    </border>
    <border>
      <left style="thin">
        <color theme="0" tint="-0.249977111117893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theme="0" tint="-0.249977111117893"/>
      </left>
      <right style="dotted">
        <color auto="1"/>
      </right>
      <top style="dotted">
        <color auto="1"/>
      </top>
      <bottom/>
      <diagonal/>
    </border>
    <border>
      <left style="thin">
        <color theme="0" tint="-0.249977111117893"/>
      </left>
      <right style="dashed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/>
      <diagonal/>
    </border>
    <border>
      <left/>
      <right style="thin">
        <color theme="0" tint="-0.249977111117893"/>
      </right>
      <top style="thin">
        <color theme="0" tint="-0.34998626667073579"/>
      </top>
      <bottom/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/>
      <right style="thin">
        <color theme="0" tint="-0.34998626667073579"/>
      </right>
      <top style="dotted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3" tint="0.59996337778862885"/>
      </bottom>
      <diagonal/>
    </border>
    <border>
      <left/>
      <right/>
      <top style="medium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indexed="64"/>
      </right>
      <top style="medium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34998626667073579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thin">
        <color indexed="64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ash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dashed">
        <color theme="0" tint="-0.34998626667073579"/>
      </top>
      <bottom style="dotted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medium">
        <color theme="1" tint="0.499984740745262"/>
      </top>
      <bottom/>
      <diagonal/>
    </border>
    <border>
      <left style="medium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/>
      <top style="dash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/>
      <diagonal/>
    </border>
    <border>
      <left/>
      <right/>
      <top style="medium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9" fontId="6" fillId="0" borderId="0" applyFont="0" applyFill="0" applyBorder="0" applyAlignment="0" applyProtection="0"/>
  </cellStyleXfs>
  <cellXfs count="2713">
    <xf numFmtId="0" fontId="0" fillId="0" borderId="0" xfId="0"/>
    <xf numFmtId="0" fontId="8" fillId="0" borderId="0" xfId="0" applyFont="1"/>
    <xf numFmtId="0" fontId="9" fillId="0" borderId="0" xfId="0" applyFont="1"/>
    <xf numFmtId="3" fontId="9" fillId="0" borderId="0" xfId="0" applyNumberFormat="1" applyFont="1" applyProtection="1">
      <protection hidden="1"/>
    </xf>
    <xf numFmtId="0" fontId="15" fillId="0" borderId="0" xfId="0" applyFont="1"/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3" fontId="8" fillId="0" borderId="0" xfId="0" applyNumberFormat="1" applyFont="1" applyProtection="1">
      <protection hidden="1"/>
    </xf>
    <xf numFmtId="0" fontId="0" fillId="2" borderId="0" xfId="0" applyFill="1"/>
    <xf numFmtId="3" fontId="9" fillId="2" borderId="0" xfId="0" applyNumberFormat="1" applyFont="1" applyFill="1" applyProtection="1">
      <protection hidden="1"/>
    </xf>
    <xf numFmtId="0" fontId="9" fillId="2" borderId="0" xfId="0" applyFont="1" applyFill="1" applyProtection="1">
      <protection hidden="1"/>
    </xf>
    <xf numFmtId="4" fontId="8" fillId="2" borderId="0" xfId="0" applyNumberFormat="1" applyFont="1" applyFill="1" applyProtection="1">
      <protection hidden="1"/>
    </xf>
    <xf numFmtId="3" fontId="8" fillId="2" borderId="0" xfId="0" applyNumberFormat="1" applyFont="1" applyFill="1" applyProtection="1">
      <protection hidden="1"/>
    </xf>
    <xf numFmtId="0" fontId="13" fillId="2" borderId="0" xfId="0" applyFont="1" applyFill="1"/>
    <xf numFmtId="164" fontId="8" fillId="2" borderId="0" xfId="0" applyNumberFormat="1" applyFont="1" applyFill="1" applyProtection="1">
      <protection hidden="1"/>
    </xf>
    <xf numFmtId="4" fontId="9" fillId="2" borderId="0" xfId="0" applyNumberFormat="1" applyFont="1" applyFill="1" applyProtection="1">
      <protection hidden="1"/>
    </xf>
    <xf numFmtId="3" fontId="0" fillId="2" borderId="0" xfId="0" applyNumberFormat="1" applyFill="1" applyProtection="1">
      <protection hidden="1"/>
    </xf>
    <xf numFmtId="167" fontId="9" fillId="2" borderId="0" xfId="0" applyNumberFormat="1" applyFont="1" applyFill="1" applyProtection="1">
      <protection hidden="1"/>
    </xf>
    <xf numFmtId="14" fontId="0" fillId="0" borderId="0" xfId="0" applyNumberFormat="1"/>
    <xf numFmtId="0" fontId="18" fillId="0" borderId="0" xfId="0" applyFont="1"/>
    <xf numFmtId="0" fontId="8" fillId="2" borderId="0" xfId="0" applyFont="1" applyFill="1"/>
    <xf numFmtId="1" fontId="0" fillId="0" borderId="0" xfId="0" applyNumberFormat="1"/>
    <xf numFmtId="0" fontId="0" fillId="0" borderId="0" xfId="0" applyAlignment="1">
      <alignment horizontal="right" vertical="top" wrapText="1"/>
    </xf>
    <xf numFmtId="3" fontId="22" fillId="2" borderId="0" xfId="0" applyNumberFormat="1" applyFont="1" applyFill="1" applyProtection="1">
      <protection hidden="1"/>
    </xf>
    <xf numFmtId="0" fontId="11" fillId="0" borderId="0" xfId="0" applyFont="1"/>
    <xf numFmtId="0" fontId="7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164" fontId="8" fillId="0" borderId="0" xfId="0" applyNumberFormat="1" applyFont="1"/>
    <xf numFmtId="0" fontId="19" fillId="2" borderId="0" xfId="0" applyFont="1" applyFill="1"/>
    <xf numFmtId="0" fontId="18" fillId="0" borderId="0" xfId="0" applyFont="1" applyAlignment="1">
      <alignment horizontal="right"/>
    </xf>
    <xf numFmtId="0" fontId="14" fillId="0" borderId="0" xfId="0" applyFont="1"/>
    <xf numFmtId="3" fontId="15" fillId="0" borderId="0" xfId="0" applyNumberFormat="1" applyFont="1" applyProtection="1">
      <protection hidden="1"/>
    </xf>
    <xf numFmtId="3" fontId="15" fillId="0" borderId="0" xfId="0" applyNumberFormat="1" applyFont="1"/>
    <xf numFmtId="0" fontId="8" fillId="2" borderId="0" xfId="0" applyFont="1" applyFill="1" applyAlignment="1">
      <alignment horizontal="right"/>
    </xf>
    <xf numFmtId="49" fontId="8" fillId="2" borderId="0" xfId="0" applyNumberFormat="1" applyFont="1" applyFill="1" applyAlignment="1">
      <alignment horizontal="right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167" fontId="8" fillId="2" borderId="0" xfId="0" applyNumberFormat="1" applyFont="1" applyFill="1"/>
    <xf numFmtId="0" fontId="9" fillId="2" borderId="0" xfId="0" applyFont="1" applyFill="1" applyAlignment="1">
      <alignment horizontal="left"/>
    </xf>
    <xf numFmtId="3" fontId="0" fillId="0" borderId="0" xfId="0" applyNumberFormat="1"/>
    <xf numFmtId="0" fontId="0" fillId="0" borderId="0" xfId="0" applyAlignment="1">
      <alignment horizontal="center"/>
    </xf>
    <xf numFmtId="0" fontId="1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12" fillId="0" borderId="0" xfId="0" applyFont="1"/>
    <xf numFmtId="0" fontId="7" fillId="3" borderId="1" xfId="0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7" fillId="3" borderId="2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3" fontId="14" fillId="0" borderId="0" xfId="0" applyNumberFormat="1" applyFont="1" applyProtection="1">
      <protection hidden="1"/>
    </xf>
    <xf numFmtId="0" fontId="10" fillId="0" borderId="0" xfId="0" applyFont="1"/>
    <xf numFmtId="0" fontId="0" fillId="0" borderId="0" xfId="0" applyAlignment="1">
      <alignment vertical="center"/>
    </xf>
    <xf numFmtId="0" fontId="18" fillId="0" borderId="0" xfId="0" applyFont="1" applyAlignment="1">
      <alignment horizontal="center"/>
    </xf>
    <xf numFmtId="3" fontId="10" fillId="0" borderId="0" xfId="0" applyNumberFormat="1" applyFont="1"/>
    <xf numFmtId="3" fontId="7" fillId="0" borderId="0" xfId="0" applyNumberFormat="1" applyFont="1" applyProtection="1">
      <protection hidden="1"/>
    </xf>
    <xf numFmtId="3" fontId="10" fillId="0" borderId="0" xfId="0" applyNumberFormat="1" applyFont="1" applyProtection="1">
      <protection hidden="1"/>
    </xf>
    <xf numFmtId="3" fontId="14" fillId="0" borderId="0" xfId="0" applyNumberFormat="1" applyFont="1"/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6" fontId="9" fillId="0" borderId="0" xfId="0" applyNumberFormat="1" applyFont="1" applyAlignment="1">
      <alignment horizontal="center" vertical="center"/>
    </xf>
    <xf numFmtId="0" fontId="22" fillId="0" borderId="8" xfId="0" applyFont="1" applyBorder="1"/>
    <xf numFmtId="0" fontId="22" fillId="0" borderId="0" xfId="0" applyFont="1"/>
    <xf numFmtId="0" fontId="27" fillId="0" borderId="0" xfId="0" applyFont="1"/>
    <xf numFmtId="14" fontId="1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3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/>
    <xf numFmtId="0" fontId="8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0" fillId="0" borderId="3" xfId="0" applyBorder="1"/>
    <xf numFmtId="0" fontId="15" fillId="0" borderId="16" xfId="0" applyFont="1" applyBorder="1" applyAlignment="1">
      <alignment horizontal="center" vertical="center"/>
    </xf>
    <xf numFmtId="167" fontId="8" fillId="0" borderId="0" xfId="0" applyNumberFormat="1" applyFont="1" applyAlignment="1">
      <alignment horizontal="center"/>
    </xf>
    <xf numFmtId="14" fontId="9" fillId="0" borderId="0" xfId="0" applyNumberFormat="1" applyFont="1"/>
    <xf numFmtId="0" fontId="0" fillId="0" borderId="17" xfId="0" applyBorder="1"/>
    <xf numFmtId="0" fontId="0" fillId="0" borderId="18" xfId="0" applyBorder="1"/>
    <xf numFmtId="0" fontId="10" fillId="0" borderId="0" xfId="0" applyFont="1" applyAlignment="1">
      <alignment horizontal="right" vertical="center"/>
    </xf>
    <xf numFmtId="0" fontId="21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9" fillId="0" borderId="20" xfId="0" applyFont="1" applyBorder="1" applyAlignment="1">
      <alignment horizontal="center" vertical="center"/>
    </xf>
    <xf numFmtId="166" fontId="0" fillId="0" borderId="18" xfId="0" applyNumberFormat="1" applyBorder="1"/>
    <xf numFmtId="164" fontId="0" fillId="0" borderId="21" xfId="2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6" fontId="9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" fontId="0" fillId="0" borderId="18" xfId="0" applyNumberFormat="1" applyBorder="1"/>
    <xf numFmtId="0" fontId="41" fillId="0" borderId="0" xfId="0" applyFont="1" applyAlignment="1" applyProtection="1">
      <alignment vertical="center"/>
      <protection hidden="1"/>
    </xf>
    <xf numFmtId="0" fontId="28" fillId="2" borderId="0" xfId="0" applyFont="1" applyFill="1"/>
    <xf numFmtId="0" fontId="29" fillId="2" borderId="0" xfId="0" applyFont="1" applyFill="1" applyAlignment="1" applyProtection="1">
      <alignment horizontal="left" vertical="center"/>
      <protection hidden="1"/>
    </xf>
    <xf numFmtId="0" fontId="28" fillId="2" borderId="0" xfId="0" applyFont="1" applyFill="1" applyAlignment="1">
      <alignment horizontal="center"/>
    </xf>
    <xf numFmtId="0" fontId="26" fillId="2" borderId="0" xfId="0" applyFont="1" applyFill="1"/>
    <xf numFmtId="49" fontId="8" fillId="2" borderId="0" xfId="0" applyNumberFormat="1" applyFont="1" applyFill="1" applyAlignment="1">
      <alignment horizontal="right" vertical="center"/>
    </xf>
    <xf numFmtId="3" fontId="8" fillId="0" borderId="0" xfId="0" applyNumberFormat="1" applyFont="1"/>
    <xf numFmtId="0" fontId="12" fillId="0" borderId="0" xfId="0" applyFont="1" applyAlignment="1">
      <alignment horizontal="right"/>
    </xf>
    <xf numFmtId="0" fontId="32" fillId="0" borderId="0" xfId="0" applyFont="1"/>
    <xf numFmtId="3" fontId="33" fillId="0" borderId="0" xfId="0" applyNumberFormat="1" applyFont="1"/>
    <xf numFmtId="0" fontId="34" fillId="0" borderId="0" xfId="0" applyFont="1" applyAlignment="1">
      <alignment horizontal="center"/>
    </xf>
    <xf numFmtId="0" fontId="7" fillId="0" borderId="0" xfId="0" applyFont="1"/>
    <xf numFmtId="0" fontId="9" fillId="0" borderId="26" xfId="0" applyFont="1" applyBorder="1"/>
    <xf numFmtId="0" fontId="8" fillId="0" borderId="0" xfId="0" applyFont="1" applyAlignment="1" applyProtection="1">
      <alignment horizontal="left"/>
      <protection hidden="1"/>
    </xf>
    <xf numFmtId="0" fontId="8" fillId="0" borderId="26" xfId="0" applyFont="1" applyBorder="1"/>
    <xf numFmtId="0" fontId="8" fillId="0" borderId="26" xfId="0" applyFont="1" applyBorder="1" applyAlignment="1" applyProtection="1">
      <alignment horizontal="center"/>
      <protection hidden="1"/>
    </xf>
    <xf numFmtId="0" fontId="8" fillId="0" borderId="26" xfId="0" applyFont="1" applyBorder="1" applyAlignment="1" applyProtection="1">
      <alignment horizontal="left"/>
      <protection hidden="1"/>
    </xf>
    <xf numFmtId="0" fontId="9" fillId="0" borderId="26" xfId="0" applyFont="1" applyBorder="1" applyAlignment="1" applyProtection="1">
      <alignment horizontal="left"/>
      <protection hidden="1"/>
    </xf>
    <xf numFmtId="1" fontId="8" fillId="0" borderId="0" xfId="0" applyNumberFormat="1" applyFont="1" applyAlignment="1" applyProtection="1">
      <alignment horizontal="center"/>
      <protection hidden="1"/>
    </xf>
    <xf numFmtId="10" fontId="0" fillId="0" borderId="0" xfId="2" applyNumberFormat="1" applyFont="1"/>
    <xf numFmtId="1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/>
    <xf numFmtId="164" fontId="0" fillId="0" borderId="0" xfId="0" applyNumberFormat="1" applyAlignment="1">
      <alignment horizontal="right"/>
    </xf>
    <xf numFmtId="165" fontId="8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1" fontId="9" fillId="0" borderId="0" xfId="0" applyNumberFormat="1" applyFont="1" applyAlignment="1" applyProtection="1">
      <alignment horizontal="center"/>
      <protection hidden="1"/>
    </xf>
    <xf numFmtId="1" fontId="27" fillId="0" borderId="0" xfId="0" applyNumberFormat="1" applyFont="1" applyAlignment="1" applyProtection="1">
      <alignment horizontal="center"/>
      <protection hidden="1"/>
    </xf>
    <xf numFmtId="0" fontId="32" fillId="0" borderId="0" xfId="0" applyFont="1" applyAlignment="1">
      <alignment horizontal="center"/>
    </xf>
    <xf numFmtId="0" fontId="29" fillId="2" borderId="0" xfId="0" applyFont="1" applyFill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0" xfId="0" applyFont="1" applyProtection="1">
      <protection hidden="1"/>
    </xf>
    <xf numFmtId="3" fontId="0" fillId="0" borderId="0" xfId="0" applyNumberFormat="1" applyAlignment="1" applyProtection="1">
      <alignment horizontal="right"/>
      <protection hidden="1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164" fontId="8" fillId="0" borderId="0" xfId="0" applyNumberFormat="1" applyFont="1" applyAlignment="1" applyProtection="1">
      <alignment horizontal="right"/>
      <protection hidden="1"/>
    </xf>
    <xf numFmtId="0" fontId="12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14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1" fontId="14" fillId="0" borderId="0" xfId="0" applyNumberFormat="1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/>
      <protection hidden="1"/>
    </xf>
    <xf numFmtId="3" fontId="15" fillId="0" borderId="0" xfId="0" applyNumberFormat="1" applyFont="1" applyAlignment="1" applyProtection="1">
      <alignment horizontal="right" vertic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1" fontId="15" fillId="0" borderId="0" xfId="0" applyNumberFormat="1" applyFont="1" applyAlignment="1" applyProtection="1">
      <alignment horizontal="right"/>
      <protection hidden="1"/>
    </xf>
    <xf numFmtId="3" fontId="15" fillId="0" borderId="0" xfId="0" applyNumberFormat="1" applyFont="1" applyAlignment="1" applyProtection="1">
      <alignment horizontal="right"/>
      <protection hidden="1"/>
    </xf>
    <xf numFmtId="0" fontId="15" fillId="0" borderId="0" xfId="0" applyFont="1" applyAlignment="1" applyProtection="1">
      <alignment vertical="center"/>
      <protection hidden="1"/>
    </xf>
    <xf numFmtId="0" fontId="10" fillId="0" borderId="0" xfId="0" applyFont="1" applyAlignment="1">
      <alignment horizontal="right"/>
    </xf>
    <xf numFmtId="0" fontId="10" fillId="2" borderId="0" xfId="0" applyFont="1" applyFill="1"/>
    <xf numFmtId="3" fontId="10" fillId="0" borderId="0" xfId="0" applyNumberFormat="1" applyFont="1" applyAlignment="1">
      <alignment horizontal="right"/>
    </xf>
    <xf numFmtId="0" fontId="36" fillId="0" borderId="0" xfId="0" applyFont="1"/>
    <xf numFmtId="0" fontId="36" fillId="0" borderId="0" xfId="0" applyFont="1" applyAlignment="1">
      <alignment horizontal="center"/>
    </xf>
    <xf numFmtId="0" fontId="28" fillId="2" borderId="0" xfId="0" applyFont="1" applyFill="1" applyAlignment="1">
      <alignment horizontal="left"/>
    </xf>
    <xf numFmtId="0" fontId="23" fillId="2" borderId="0" xfId="0" applyFont="1" applyFill="1" applyAlignment="1">
      <alignment horizontal="center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23" fillId="0" borderId="0" xfId="0" applyFont="1"/>
    <xf numFmtId="0" fontId="9" fillId="0" borderId="27" xfId="0" applyFont="1" applyBorder="1" applyAlignment="1" applyProtection="1">
      <alignment horizontal="left" vertical="center"/>
      <protection hidden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25" xfId="0" applyFont="1" applyBorder="1" applyAlignment="1">
      <alignment vertical="center"/>
    </xf>
    <xf numFmtId="0" fontId="9" fillId="0" borderId="0" xfId="0" applyFont="1" applyAlignment="1">
      <alignment horizontal="right"/>
    </xf>
    <xf numFmtId="3" fontId="0" fillId="0" borderId="35" xfId="0" applyNumberFormat="1" applyBorder="1"/>
    <xf numFmtId="3" fontId="0" fillId="0" borderId="36" xfId="0" applyNumberFormat="1" applyBorder="1"/>
    <xf numFmtId="3" fontId="9" fillId="0" borderId="0" xfId="0" applyNumberFormat="1" applyFont="1"/>
    <xf numFmtId="0" fontId="9" fillId="0" borderId="38" xfId="0" applyFont="1" applyBorder="1" applyAlignment="1" applyProtection="1">
      <alignment horizontal="center" vertical="center"/>
      <protection hidden="1"/>
    </xf>
    <xf numFmtId="1" fontId="9" fillId="3" borderId="39" xfId="0" applyNumberFormat="1" applyFont="1" applyFill="1" applyBorder="1" applyAlignment="1">
      <alignment horizontal="center"/>
    </xf>
    <xf numFmtId="0" fontId="15" fillId="0" borderId="18" xfId="0" applyFont="1" applyBorder="1"/>
    <xf numFmtId="164" fontId="15" fillId="0" borderId="18" xfId="2" applyNumberFormat="1" applyFont="1" applyBorder="1"/>
    <xf numFmtId="3" fontId="15" fillId="0" borderId="18" xfId="2" applyNumberFormat="1" applyFont="1" applyBorder="1"/>
    <xf numFmtId="164" fontId="0" fillId="0" borderId="18" xfId="2" applyNumberFormat="1" applyFont="1" applyBorder="1"/>
    <xf numFmtId="0" fontId="15" fillId="0" borderId="17" xfId="0" applyFont="1" applyBorder="1" applyAlignment="1">
      <alignment vertical="center"/>
    </xf>
    <xf numFmtId="3" fontId="15" fillId="0" borderId="0" xfId="0" applyNumberFormat="1" applyFont="1" applyAlignment="1">
      <alignment horizontal="center" vertical="center"/>
    </xf>
    <xf numFmtId="0" fontId="15" fillId="0" borderId="0" xfId="0" applyFont="1" applyAlignment="1" applyProtection="1">
      <alignment horizontal="left" vertical="center"/>
      <protection locked="0"/>
    </xf>
    <xf numFmtId="3" fontId="14" fillId="0" borderId="0" xfId="0" applyNumberFormat="1" applyFont="1" applyAlignment="1">
      <alignment horizontal="center" vertical="center"/>
    </xf>
    <xf numFmtId="0" fontId="15" fillId="0" borderId="27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34" xfId="0" applyBorder="1"/>
    <xf numFmtId="0" fontId="9" fillId="0" borderId="31" xfId="0" applyFont="1" applyBorder="1" applyAlignment="1">
      <alignment horizontal="right" vertical="center"/>
    </xf>
    <xf numFmtId="0" fontId="14" fillId="0" borderId="8" xfId="0" applyFont="1" applyBorder="1" applyAlignment="1">
      <alignment vertical="center"/>
    </xf>
    <xf numFmtId="0" fontId="15" fillId="0" borderId="17" xfId="0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31" xfId="0" applyFont="1" applyBorder="1" applyAlignment="1">
      <alignment horizontal="right" vertical="center"/>
    </xf>
    <xf numFmtId="3" fontId="0" fillId="0" borderId="18" xfId="0" applyNumberFormat="1" applyBorder="1"/>
    <xf numFmtId="0" fontId="9" fillId="0" borderId="21" xfId="0" applyFont="1" applyBorder="1" applyAlignment="1">
      <alignment horizontal="right"/>
    </xf>
    <xf numFmtId="0" fontId="9" fillId="0" borderId="11" xfId="0" applyFont="1" applyBorder="1"/>
    <xf numFmtId="0" fontId="20" fillId="0" borderId="11" xfId="0" applyFont="1" applyBorder="1"/>
    <xf numFmtId="3" fontId="9" fillId="0" borderId="20" xfId="0" applyNumberFormat="1" applyFont="1" applyBorder="1" applyAlignment="1" applyProtection="1">
      <alignment horizontal="center" vertical="center"/>
      <protection hidden="1"/>
    </xf>
    <xf numFmtId="0" fontId="14" fillId="0" borderId="5" xfId="0" applyFont="1" applyBorder="1" applyAlignment="1">
      <alignment vertical="center"/>
    </xf>
    <xf numFmtId="3" fontId="0" fillId="0" borderId="36" xfId="2" applyNumberFormat="1" applyFont="1" applyBorder="1"/>
    <xf numFmtId="3" fontId="0" fillId="0" borderId="43" xfId="0" applyNumberFormat="1" applyBorder="1"/>
    <xf numFmtId="0" fontId="41" fillId="0" borderId="0" xfId="0" applyFont="1" applyProtection="1">
      <protection hidden="1"/>
    </xf>
    <xf numFmtId="0" fontId="15" fillId="0" borderId="44" xfId="0" applyFont="1" applyBorder="1" applyAlignment="1">
      <alignment vertical="center"/>
    </xf>
    <xf numFmtId="0" fontId="14" fillId="0" borderId="45" xfId="0" applyFont="1" applyBorder="1" applyAlignment="1">
      <alignment horizontal="right" vertical="center"/>
    </xf>
    <xf numFmtId="0" fontId="9" fillId="0" borderId="45" xfId="0" applyFont="1" applyBorder="1" applyAlignment="1">
      <alignment horizontal="right" vertical="center"/>
    </xf>
    <xf numFmtId="0" fontId="15" fillId="0" borderId="45" xfId="0" applyFont="1" applyBorder="1" applyAlignment="1">
      <alignment horizontal="right" vertical="center"/>
    </xf>
    <xf numFmtId="0" fontId="15" fillId="0" borderId="44" xfId="0" applyFont="1" applyBorder="1" applyAlignment="1">
      <alignment horizontal="right" vertical="center"/>
    </xf>
    <xf numFmtId="0" fontId="14" fillId="0" borderId="44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0" fontId="15" fillId="0" borderId="51" xfId="0" applyFont="1" applyBorder="1" applyAlignment="1">
      <alignment vertical="center"/>
    </xf>
    <xf numFmtId="0" fontId="10" fillId="0" borderId="51" xfId="0" applyFont="1" applyBorder="1" applyAlignment="1">
      <alignment vertical="center"/>
    </xf>
    <xf numFmtId="0" fontId="10" fillId="0" borderId="53" xfId="0" applyFont="1" applyBorder="1" applyAlignment="1">
      <alignment vertical="center"/>
    </xf>
    <xf numFmtId="0" fontId="9" fillId="0" borderId="5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4" fillId="0" borderId="48" xfId="0" applyFont="1" applyBorder="1" applyAlignment="1">
      <alignment vertical="center"/>
    </xf>
    <xf numFmtId="0" fontId="10" fillId="0" borderId="51" xfId="0" applyFont="1" applyBorder="1" applyAlignment="1">
      <alignment horizontal="right" vertical="center"/>
    </xf>
    <xf numFmtId="0" fontId="14" fillId="0" borderId="24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57" xfId="0" applyFont="1" applyBorder="1" applyAlignment="1">
      <alignment horizontal="left" vertical="center"/>
    </xf>
    <xf numFmtId="0" fontId="15" fillId="0" borderId="51" xfId="0" applyFont="1" applyBorder="1" applyAlignment="1">
      <alignment horizontal="right" vertical="center"/>
    </xf>
    <xf numFmtId="0" fontId="15" fillId="0" borderId="53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9" fillId="0" borderId="17" xfId="0" applyFont="1" applyBorder="1" applyAlignment="1">
      <alignment vertical="center"/>
    </xf>
    <xf numFmtId="49" fontId="15" fillId="0" borderId="40" xfId="0" applyNumberFormat="1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3" fontId="0" fillId="0" borderId="0" xfId="2" applyNumberFormat="1" applyFont="1"/>
    <xf numFmtId="0" fontId="8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right" vertical="center"/>
      <protection hidden="1"/>
    </xf>
    <xf numFmtId="166" fontId="0" fillId="0" borderId="0" xfId="0" applyNumberFormat="1" applyAlignment="1" applyProtection="1">
      <alignment horizontal="right" vertical="center"/>
      <protection hidden="1"/>
    </xf>
    <xf numFmtId="3" fontId="8" fillId="0" borderId="0" xfId="0" applyNumberFormat="1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right"/>
      <protection hidden="1"/>
    </xf>
    <xf numFmtId="3" fontId="0" fillId="0" borderId="34" xfId="0" applyNumberFormat="1" applyBorder="1"/>
    <xf numFmtId="3" fontId="9" fillId="0" borderId="61" xfId="0" applyNumberFormat="1" applyFont="1" applyBorder="1" applyAlignment="1" applyProtection="1">
      <alignment vertical="center"/>
      <protection hidden="1"/>
    </xf>
    <xf numFmtId="0" fontId="8" fillId="0" borderId="29" xfId="0" applyFont="1" applyBorder="1" applyAlignment="1" applyProtection="1">
      <alignment vertical="center"/>
      <protection hidden="1"/>
    </xf>
    <xf numFmtId="0" fontId="8" fillId="0" borderId="54" xfId="0" applyFont="1" applyBorder="1" applyAlignment="1" applyProtection="1">
      <alignment vertical="center"/>
      <protection hidden="1"/>
    </xf>
    <xf numFmtId="49" fontId="9" fillId="0" borderId="57" xfId="0" applyNumberFormat="1" applyFont="1" applyBorder="1" applyAlignment="1" applyProtection="1">
      <alignment horizontal="center" vertical="center"/>
      <protection hidden="1"/>
    </xf>
    <xf numFmtId="9" fontId="15" fillId="0" borderId="18" xfId="2" applyFont="1" applyBorder="1"/>
    <xf numFmtId="1" fontId="9" fillId="3" borderId="61" xfId="0" applyNumberFormat="1" applyFont="1" applyFill="1" applyBorder="1" applyAlignment="1" applyProtection="1">
      <alignment horizontal="center" vertical="center"/>
      <protection hidden="1"/>
    </xf>
    <xf numFmtId="0" fontId="9" fillId="0" borderId="13" xfId="0" applyFont="1" applyBorder="1" applyAlignment="1" applyProtection="1">
      <alignment horizontal="left" vertical="center"/>
      <protection hidden="1"/>
    </xf>
    <xf numFmtId="3" fontId="0" fillId="0" borderId="0" xfId="0" applyNumberFormat="1" applyAlignment="1">
      <alignment vertical="center"/>
    </xf>
    <xf numFmtId="49" fontId="14" fillId="0" borderId="7" xfId="0" applyNumberFormat="1" applyFont="1" applyBorder="1" applyAlignment="1" applyProtection="1">
      <alignment horizontal="left" vertical="center"/>
      <protection hidden="1"/>
    </xf>
    <xf numFmtId="1" fontId="14" fillId="0" borderId="18" xfId="0" applyNumberFormat="1" applyFont="1" applyBorder="1" applyAlignment="1" applyProtection="1">
      <alignment horizontal="center"/>
      <protection hidden="1"/>
    </xf>
    <xf numFmtId="1" fontId="14" fillId="0" borderId="18" xfId="0" applyNumberFormat="1" applyFont="1" applyBorder="1" applyAlignment="1">
      <alignment horizontal="center"/>
    </xf>
    <xf numFmtId="166" fontId="9" fillId="0" borderId="0" xfId="0" applyNumberFormat="1" applyFont="1"/>
    <xf numFmtId="0" fontId="20" fillId="0" borderId="0" xfId="0" applyFont="1"/>
    <xf numFmtId="0" fontId="9" fillId="8" borderId="27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9" fillId="8" borderId="28" xfId="0" applyFont="1" applyFill="1" applyBorder="1" applyAlignment="1">
      <alignment horizontal="center" vertical="center"/>
    </xf>
    <xf numFmtId="3" fontId="9" fillId="0" borderId="8" xfId="0" applyNumberFormat="1" applyFont="1" applyBorder="1"/>
    <xf numFmtId="0" fontId="8" fillId="0" borderId="3" xfId="0" applyFont="1" applyBorder="1" applyProtection="1">
      <protection hidden="1"/>
    </xf>
    <xf numFmtId="0" fontId="8" fillId="0" borderId="3" xfId="0" applyFont="1" applyBorder="1"/>
    <xf numFmtId="0" fontId="8" fillId="0" borderId="2" xfId="0" applyFont="1" applyBorder="1"/>
    <xf numFmtId="0" fontId="15" fillId="0" borderId="0" xfId="0" applyFont="1" applyAlignment="1" applyProtection="1">
      <alignment horizontal="left" vertical="center"/>
      <protection hidden="1"/>
    </xf>
    <xf numFmtId="0" fontId="15" fillId="0" borderId="70" xfId="0" applyFont="1" applyBorder="1" applyProtection="1">
      <protection hidden="1"/>
    </xf>
    <xf numFmtId="0" fontId="15" fillId="0" borderId="72" xfId="0" applyFont="1" applyBorder="1" applyProtection="1">
      <protection hidden="1"/>
    </xf>
    <xf numFmtId="0" fontId="15" fillId="0" borderId="0" xfId="0" applyFont="1" applyAlignment="1" applyProtection="1">
      <alignment vertical="center"/>
      <protection locked="0"/>
    </xf>
    <xf numFmtId="0" fontId="15" fillId="0" borderId="73" xfId="0" applyFont="1" applyBorder="1" applyAlignment="1" applyProtection="1">
      <alignment horizontal="center" vertical="center"/>
      <protection hidden="1"/>
    </xf>
    <xf numFmtId="0" fontId="15" fillId="0" borderId="44" xfId="0" applyFont="1" applyBorder="1" applyAlignment="1" applyProtection="1">
      <alignment vertical="center"/>
      <protection hidden="1"/>
    </xf>
    <xf numFmtId="0" fontId="14" fillId="0" borderId="74" xfId="0" applyFont="1" applyBorder="1" applyAlignment="1">
      <alignment horizontal="right" vertical="center"/>
    </xf>
    <xf numFmtId="0" fontId="14" fillId="0" borderId="44" xfId="0" applyFont="1" applyBorder="1" applyAlignment="1" applyProtection="1">
      <alignment vertical="center"/>
      <protection hidden="1"/>
    </xf>
    <xf numFmtId="0" fontId="15" fillId="0" borderId="74" xfId="0" applyFont="1" applyBorder="1" applyAlignment="1">
      <alignment horizontal="right" vertical="center"/>
    </xf>
    <xf numFmtId="3" fontId="14" fillId="0" borderId="35" xfId="0" applyNumberFormat="1" applyFont="1" applyBorder="1" applyAlignment="1" applyProtection="1">
      <alignment horizontal="center" vertical="center"/>
      <protection hidden="1"/>
    </xf>
    <xf numFmtId="166" fontId="15" fillId="0" borderId="35" xfId="0" applyNumberFormat="1" applyFont="1" applyBorder="1" applyAlignment="1" applyProtection="1">
      <alignment horizontal="center" vertical="center"/>
      <protection hidden="1"/>
    </xf>
    <xf numFmtId="166" fontId="15" fillId="7" borderId="35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44" xfId="0" applyFont="1" applyBorder="1" applyAlignment="1" applyProtection="1">
      <alignment horizontal="left" vertical="center"/>
      <protection hidden="1"/>
    </xf>
    <xf numFmtId="0" fontId="14" fillId="0" borderId="74" xfId="0" quotePrefix="1" applyFont="1" applyBorder="1" applyAlignment="1">
      <alignment horizontal="right" vertical="center"/>
    </xf>
    <xf numFmtId="0" fontId="14" fillId="0" borderId="44" xfId="0" applyFont="1" applyBorder="1" applyAlignment="1" applyProtection="1">
      <alignment horizontal="left" vertical="center"/>
      <protection hidden="1"/>
    </xf>
    <xf numFmtId="0" fontId="15" fillId="0" borderId="74" xfId="0" applyFont="1" applyBorder="1" applyAlignment="1" applyProtection="1">
      <alignment horizontal="right" vertical="center"/>
      <protection hidden="1"/>
    </xf>
    <xf numFmtId="0" fontId="14" fillId="0" borderId="74" xfId="0" applyFont="1" applyBorder="1" applyAlignment="1" applyProtection="1">
      <alignment horizontal="right" vertical="center"/>
      <protection hidden="1"/>
    </xf>
    <xf numFmtId="0" fontId="15" fillId="0" borderId="75" xfId="0" applyFont="1" applyBorder="1" applyAlignment="1" applyProtection="1">
      <alignment horizontal="center" vertical="center"/>
      <protection hidden="1"/>
    </xf>
    <xf numFmtId="0" fontId="15" fillId="0" borderId="76" xfId="0" applyFont="1" applyBorder="1" applyAlignment="1" applyProtection="1">
      <alignment vertical="center"/>
      <protection hidden="1"/>
    </xf>
    <xf numFmtId="0" fontId="14" fillId="0" borderId="28" xfId="0" applyFont="1" applyBorder="1" applyAlignment="1">
      <alignment horizontal="right" vertical="center"/>
    </xf>
    <xf numFmtId="0" fontId="15" fillId="0" borderId="14" xfId="0" applyFont="1" applyBorder="1" applyAlignment="1" applyProtection="1">
      <alignment horizontal="center" vertical="center"/>
      <protection hidden="1"/>
    </xf>
    <xf numFmtId="0" fontId="14" fillId="0" borderId="34" xfId="0" applyFont="1" applyBorder="1" applyAlignment="1" applyProtection="1">
      <alignment horizontal="left" vertical="center"/>
      <protection hidden="1"/>
    </xf>
    <xf numFmtId="0" fontId="14" fillId="0" borderId="68" xfId="0" applyFont="1" applyBorder="1" applyAlignment="1" applyProtection="1">
      <alignment horizontal="left" vertical="center"/>
      <protection hidden="1"/>
    </xf>
    <xf numFmtId="166" fontId="15" fillId="0" borderId="55" xfId="0" applyNumberFormat="1" applyFont="1" applyBorder="1" applyAlignment="1" applyProtection="1">
      <alignment horizontal="center" vertical="center"/>
      <protection hidden="1"/>
    </xf>
    <xf numFmtId="167" fontId="15" fillId="0" borderId="0" xfId="0" applyNumberFormat="1" applyFont="1" applyAlignment="1">
      <alignment horizontal="center"/>
    </xf>
    <xf numFmtId="164" fontId="15" fillId="0" borderId="0" xfId="0" applyNumberFormat="1" applyFont="1" applyAlignment="1" applyProtection="1">
      <alignment horizontal="right"/>
      <protection hidden="1"/>
    </xf>
    <xf numFmtId="0" fontId="38" fillId="0" borderId="0" xfId="0" applyFont="1" applyProtection="1">
      <protection hidden="1"/>
    </xf>
    <xf numFmtId="3" fontId="15" fillId="0" borderId="32" xfId="0" applyNumberFormat="1" applyFont="1" applyBorder="1" applyAlignment="1" applyProtection="1">
      <alignment vertical="center"/>
      <protection hidden="1"/>
    </xf>
    <xf numFmtId="0" fontId="15" fillId="0" borderId="77" xfId="0" applyFont="1" applyBorder="1" applyAlignment="1">
      <alignment vertical="center"/>
    </xf>
    <xf numFmtId="0" fontId="15" fillId="0" borderId="45" xfId="0" quotePrefix="1" applyFont="1" applyBorder="1" applyAlignment="1">
      <alignment horizontal="right" vertical="center"/>
    </xf>
    <xf numFmtId="0" fontId="15" fillId="0" borderId="0" xfId="0" applyFont="1" applyAlignment="1" applyProtection="1">
      <alignment horizontal="left"/>
      <protection locked="0"/>
    </xf>
    <xf numFmtId="0" fontId="15" fillId="0" borderId="26" xfId="0" applyFont="1" applyBorder="1" applyAlignment="1" applyProtection="1">
      <alignment horizontal="left" vertical="center"/>
      <protection locked="0"/>
    </xf>
    <xf numFmtId="0" fontId="15" fillId="0" borderId="27" xfId="0" applyFont="1" applyBorder="1" applyAlignment="1">
      <alignment horizontal="right" vertical="center"/>
    </xf>
    <xf numFmtId="0" fontId="14" fillId="0" borderId="78" xfId="0" applyFont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vertical="center"/>
    </xf>
    <xf numFmtId="0" fontId="15" fillId="0" borderId="27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15" fillId="0" borderId="28" xfId="0" applyFont="1" applyBorder="1" applyAlignment="1" applyProtection="1">
      <alignment vertical="center"/>
      <protection locked="0"/>
    </xf>
    <xf numFmtId="0" fontId="15" fillId="0" borderId="34" xfId="0" applyFont="1" applyBorder="1" applyAlignment="1" applyProtection="1">
      <alignment vertical="center"/>
      <protection locked="0"/>
    </xf>
    <xf numFmtId="0" fontId="15" fillId="0" borderId="68" xfId="0" applyFont="1" applyBorder="1" applyAlignment="1" applyProtection="1">
      <alignment vertical="center"/>
      <protection locked="0"/>
    </xf>
    <xf numFmtId="0" fontId="15" fillId="0" borderId="70" xfId="0" applyFont="1" applyBorder="1" applyAlignment="1" applyProtection="1">
      <alignment vertical="center"/>
      <protection hidden="1"/>
    </xf>
    <xf numFmtId="0" fontId="15" fillId="0" borderId="79" xfId="0" applyFont="1" applyBorder="1" applyAlignment="1" applyProtection="1">
      <alignment horizontal="right" vertical="center"/>
      <protection hidden="1"/>
    </xf>
    <xf numFmtId="0" fontId="15" fillId="0" borderId="72" xfId="0" applyFont="1" applyBorder="1" applyAlignment="1">
      <alignment vertical="center"/>
    </xf>
    <xf numFmtId="0" fontId="15" fillId="0" borderId="80" xfId="0" applyFont="1" applyBorder="1" applyAlignment="1">
      <alignment horizontal="right" vertical="center"/>
    </xf>
    <xf numFmtId="0" fontId="15" fillId="0" borderId="18" xfId="0" applyFont="1" applyBorder="1" applyAlignment="1" applyProtection="1">
      <alignment horizontal="center" vertical="center"/>
      <protection hidden="1"/>
    </xf>
    <xf numFmtId="0" fontId="9" fillId="0" borderId="27" xfId="0" applyFont="1" applyBorder="1" applyProtection="1">
      <protection hidden="1"/>
    </xf>
    <xf numFmtId="0" fontId="15" fillId="0" borderId="31" xfId="0" applyFont="1" applyBorder="1" applyAlignment="1">
      <alignment horizontal="right" vertical="center"/>
    </xf>
    <xf numFmtId="0" fontId="0" fillId="0" borderId="80" xfId="0" applyBorder="1"/>
    <xf numFmtId="0" fontId="0" fillId="0" borderId="79" xfId="0" applyBorder="1"/>
    <xf numFmtId="0" fontId="15" fillId="0" borderId="81" xfId="0" applyFont="1" applyBorder="1" applyProtection="1">
      <protection hidden="1"/>
    </xf>
    <xf numFmtId="0" fontId="0" fillId="0" borderId="82" xfId="0" applyBorder="1"/>
    <xf numFmtId="0" fontId="7" fillId="0" borderId="42" xfId="0" applyFont="1" applyBorder="1" applyAlignment="1">
      <alignment horizontal="center" vertical="center"/>
    </xf>
    <xf numFmtId="167" fontId="8" fillId="0" borderId="0" xfId="0" applyNumberFormat="1" applyFont="1" applyAlignment="1" applyProtection="1">
      <alignment vertical="center"/>
      <protection hidden="1"/>
    </xf>
    <xf numFmtId="0" fontId="15" fillId="0" borderId="63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14" xfId="0" applyFont="1" applyBorder="1" applyAlignment="1" applyProtection="1">
      <alignment horizontal="left" vertical="center"/>
      <protection locked="0"/>
    </xf>
    <xf numFmtId="0" fontId="15" fillId="0" borderId="34" xfId="0" applyFont="1" applyBorder="1" applyAlignment="1" applyProtection="1">
      <alignment horizontal="left" vertical="center"/>
      <protection locked="0"/>
    </xf>
    <xf numFmtId="0" fontId="15" fillId="0" borderId="26" xfId="0" applyFont="1" applyBorder="1" applyAlignment="1" applyProtection="1">
      <alignment vertical="center"/>
      <protection locked="0"/>
    </xf>
    <xf numFmtId="0" fontId="15" fillId="0" borderId="28" xfId="0" applyFont="1" applyBorder="1" applyAlignment="1" applyProtection="1">
      <alignment horizontal="left"/>
      <protection locked="0"/>
    </xf>
    <xf numFmtId="0" fontId="15" fillId="0" borderId="68" xfId="0" applyFont="1" applyBorder="1" applyAlignment="1" applyProtection="1">
      <alignment horizontal="left" vertical="center"/>
      <protection locked="0"/>
    </xf>
    <xf numFmtId="164" fontId="15" fillId="7" borderId="18" xfId="0" applyNumberFormat="1" applyFont="1" applyFill="1" applyBorder="1" applyAlignment="1" applyProtection="1">
      <alignment horizontal="center" vertical="center"/>
      <protection locked="0"/>
    </xf>
    <xf numFmtId="0" fontId="15" fillId="0" borderId="27" xfId="0" applyFont="1" applyBorder="1" applyAlignment="1" applyProtection="1">
      <alignment vertical="center"/>
      <protection locked="0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166" fontId="15" fillId="0" borderId="35" xfId="0" applyNumberFormat="1" applyFont="1" applyBorder="1" applyAlignment="1">
      <alignment horizontal="center" vertical="center"/>
    </xf>
    <xf numFmtId="0" fontId="0" fillId="0" borderId="2" xfId="0" applyBorder="1"/>
    <xf numFmtId="0" fontId="50" fillId="0" borderId="0" xfId="0" applyFont="1" applyAlignment="1">
      <alignment vertical="center"/>
    </xf>
    <xf numFmtId="0" fontId="51" fillId="0" borderId="0" xfId="0" applyFont="1"/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53" fillId="0" borderId="0" xfId="0" applyFont="1"/>
    <xf numFmtId="0" fontId="53" fillId="0" borderId="0" xfId="0" applyFont="1" applyAlignment="1">
      <alignment vertical="center"/>
    </xf>
    <xf numFmtId="0" fontId="39" fillId="0" borderId="0" xfId="0" applyFont="1"/>
    <xf numFmtId="0" fontId="10" fillId="0" borderId="0" xfId="0" applyFont="1" applyProtection="1">
      <protection hidden="1"/>
    </xf>
    <xf numFmtId="0" fontId="9" fillId="0" borderId="0" xfId="0" applyFont="1" applyProtection="1">
      <protection hidden="1"/>
    </xf>
    <xf numFmtId="3" fontId="15" fillId="7" borderId="18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14" xfId="0" applyFont="1" applyBorder="1" applyAlignment="1" applyProtection="1">
      <alignment vertical="center"/>
      <protection locked="0"/>
    </xf>
    <xf numFmtId="0" fontId="10" fillId="0" borderId="21" xfId="0" applyFont="1" applyBorder="1" applyAlignment="1">
      <alignment horizontal="center" vertical="center"/>
    </xf>
    <xf numFmtId="0" fontId="10" fillId="0" borderId="0" xfId="0" applyFont="1" applyAlignment="1" applyProtection="1">
      <alignment horizontal="right" vertical="center"/>
      <protection hidden="1"/>
    </xf>
    <xf numFmtId="3" fontId="0" fillId="0" borderId="0" xfId="0" applyNumberFormat="1" applyProtection="1">
      <protection hidden="1"/>
    </xf>
    <xf numFmtId="1" fontId="14" fillId="0" borderId="18" xfId="0" applyNumberFormat="1" applyFont="1" applyBorder="1" applyAlignment="1">
      <alignment horizontal="center" vertical="center"/>
    </xf>
    <xf numFmtId="1" fontId="15" fillId="7" borderId="18" xfId="0" applyNumberFormat="1" applyFont="1" applyFill="1" applyBorder="1" applyAlignment="1" applyProtection="1">
      <alignment horizontal="center" vertical="center"/>
      <protection locked="0"/>
    </xf>
    <xf numFmtId="1" fontId="15" fillId="7" borderId="32" xfId="0" applyNumberFormat="1" applyFont="1" applyFill="1" applyBorder="1" applyAlignment="1" applyProtection="1">
      <alignment horizontal="center" vertical="center"/>
      <protection locked="0"/>
    </xf>
    <xf numFmtId="0" fontId="15" fillId="7" borderId="36" xfId="0" applyFont="1" applyFill="1" applyBorder="1" applyAlignment="1" applyProtection="1">
      <alignment vertical="center"/>
      <protection locked="0"/>
    </xf>
    <xf numFmtId="1" fontId="15" fillId="7" borderId="85" xfId="0" applyNumberFormat="1" applyFont="1" applyFill="1" applyBorder="1" applyAlignment="1" applyProtection="1">
      <alignment horizontal="center" vertical="center"/>
      <protection locked="0"/>
    </xf>
    <xf numFmtId="0" fontId="14" fillId="0" borderId="14" xfId="0" applyFont="1" applyBorder="1" applyAlignment="1">
      <alignment vertical="center"/>
    </xf>
    <xf numFmtId="0" fontId="15" fillId="7" borderId="36" xfId="0" applyFont="1" applyFill="1" applyBorder="1" applyAlignment="1" applyProtection="1">
      <alignment horizontal="left" vertical="center"/>
      <protection locked="0"/>
    </xf>
    <xf numFmtId="0" fontId="15" fillId="7" borderId="88" xfId="0" applyFont="1" applyFill="1" applyBorder="1" applyAlignment="1" applyProtection="1">
      <alignment horizontal="left" vertical="center"/>
      <protection locked="0"/>
    </xf>
    <xf numFmtId="0" fontId="14" fillId="0" borderId="4" xfId="0" applyFont="1" applyBorder="1" applyAlignment="1">
      <alignment vertical="center"/>
    </xf>
    <xf numFmtId="0" fontId="14" fillId="0" borderId="3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87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5" fillId="0" borderId="26" xfId="0" applyFont="1" applyBorder="1" applyAlignment="1">
      <alignment vertical="center"/>
    </xf>
    <xf numFmtId="3" fontId="15" fillId="0" borderId="43" xfId="0" applyNumberFormat="1" applyFont="1" applyBorder="1" applyAlignment="1" applyProtection="1">
      <alignment vertical="center"/>
      <protection hidden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41" fillId="0" borderId="0" xfId="0" applyFont="1"/>
    <xf numFmtId="1" fontId="8" fillId="0" borderId="0" xfId="0" applyNumberFormat="1" applyFont="1"/>
    <xf numFmtId="17" fontId="0" fillId="3" borderId="0" xfId="0" applyNumberFormat="1" applyFill="1"/>
    <xf numFmtId="166" fontId="41" fillId="0" borderId="0" xfId="0" applyNumberFormat="1" applyFont="1"/>
    <xf numFmtId="1" fontId="41" fillId="0" borderId="0" xfId="0" applyNumberFormat="1" applyFont="1" applyAlignment="1">
      <alignment horizontal="center"/>
    </xf>
    <xf numFmtId="1" fontId="51" fillId="0" borderId="0" xfId="0" applyNumberFormat="1" applyFont="1"/>
    <xf numFmtId="0" fontId="15" fillId="0" borderId="3" xfId="0" applyFont="1" applyBorder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5" fillId="0" borderId="31" xfId="0" applyFont="1" applyBorder="1" applyAlignment="1" applyProtection="1">
      <alignment vertical="center"/>
      <protection locked="0"/>
    </xf>
    <xf numFmtId="0" fontId="15" fillId="2" borderId="31" xfId="0" applyFont="1" applyFill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15" fillId="0" borderId="58" xfId="0" applyFont="1" applyBorder="1" applyAlignment="1" applyProtection="1">
      <alignment vertical="center"/>
      <protection locked="0"/>
    </xf>
    <xf numFmtId="0" fontId="53" fillId="0" borderId="0" xfId="0" applyFont="1" applyAlignment="1" applyProtection="1">
      <alignment vertical="center"/>
      <protection locked="0"/>
    </xf>
    <xf numFmtId="0" fontId="15" fillId="0" borderId="0" xfId="2" applyNumberFormat="1" applyFont="1" applyAlignment="1" applyProtection="1">
      <alignment vertical="center"/>
      <protection locked="0"/>
    </xf>
    <xf numFmtId="1" fontId="41" fillId="0" borderId="0" xfId="0" applyNumberFormat="1" applyFont="1" applyAlignment="1">
      <alignment horizontal="left"/>
    </xf>
    <xf numFmtId="0" fontId="15" fillId="0" borderId="28" xfId="0" applyFont="1" applyBorder="1" applyAlignment="1" applyProtection="1">
      <alignment horizontal="left" vertical="center"/>
      <protection hidden="1"/>
    </xf>
    <xf numFmtId="0" fontId="15" fillId="0" borderId="28" xfId="0" applyFont="1" applyBorder="1" applyAlignment="1" applyProtection="1">
      <alignment vertical="center"/>
      <protection hidden="1"/>
    </xf>
    <xf numFmtId="0" fontId="15" fillId="0" borderId="17" xfId="0" applyFont="1" applyBorder="1" applyAlignment="1">
      <alignment horizontal="left" vertical="center"/>
    </xf>
    <xf numFmtId="0" fontId="55" fillId="0" borderId="27" xfId="0" applyFont="1" applyBorder="1" applyAlignment="1" applyProtection="1">
      <alignment vertical="center"/>
      <protection hidden="1"/>
    </xf>
    <xf numFmtId="0" fontId="50" fillId="0" borderId="27" xfId="0" applyFont="1" applyBorder="1" applyAlignment="1" applyProtection="1">
      <alignment vertical="center"/>
      <protection locked="0"/>
    </xf>
    <xf numFmtId="0" fontId="51" fillId="0" borderId="27" xfId="0" applyFont="1" applyBorder="1" applyAlignment="1" applyProtection="1">
      <alignment vertical="center"/>
      <protection locked="0"/>
    </xf>
    <xf numFmtId="0" fontId="14" fillId="0" borderId="28" xfId="0" applyFont="1" applyBorder="1" applyAlignment="1" applyProtection="1">
      <alignment vertical="center"/>
      <protection locked="0"/>
    </xf>
    <xf numFmtId="0" fontId="14" fillId="0" borderId="27" xfId="0" applyFont="1" applyBorder="1" applyAlignment="1" applyProtection="1">
      <alignment vertical="center"/>
      <protection locked="0"/>
    </xf>
    <xf numFmtId="0" fontId="41" fillId="0" borderId="27" xfId="0" applyFont="1" applyBorder="1" applyAlignment="1" applyProtection="1">
      <alignment vertical="center"/>
      <protection locked="0"/>
    </xf>
    <xf numFmtId="0" fontId="15" fillId="7" borderId="95" xfId="0" applyFont="1" applyFill="1" applyBorder="1" applyAlignment="1" applyProtection="1">
      <alignment vertical="center"/>
      <protection locked="0"/>
    </xf>
    <xf numFmtId="17" fontId="14" fillId="0" borderId="0" xfId="0" applyNumberFormat="1" applyFont="1"/>
    <xf numFmtId="1" fontId="14" fillId="0" borderId="0" xfId="0" applyNumberFormat="1" applyFont="1"/>
    <xf numFmtId="0" fontId="14" fillId="0" borderId="0" xfId="0" applyFont="1" applyAlignment="1">
      <alignment horizontal="right"/>
    </xf>
    <xf numFmtId="0" fontId="15" fillId="10" borderId="0" xfId="0" applyFont="1" applyFill="1"/>
    <xf numFmtId="3" fontId="15" fillId="10" borderId="0" xfId="0" applyNumberFormat="1" applyFont="1" applyFill="1"/>
    <xf numFmtId="0" fontId="7" fillId="0" borderId="0" xfId="0" applyFont="1" applyAlignment="1" applyProtection="1">
      <alignment horizontal="right"/>
      <protection hidden="1"/>
    </xf>
    <xf numFmtId="0" fontId="7" fillId="0" borderId="0" xfId="0" applyFont="1" applyAlignment="1">
      <alignment horizontal="right"/>
    </xf>
    <xf numFmtId="0" fontId="7" fillId="0" borderId="0" xfId="0" applyFont="1" applyAlignment="1" applyProtection="1">
      <alignment horizontal="right" vertical="center"/>
      <protection hidden="1"/>
    </xf>
    <xf numFmtId="0" fontId="14" fillId="0" borderId="97" xfId="0" applyFont="1" applyBorder="1" applyAlignment="1">
      <alignment vertical="center"/>
    </xf>
    <xf numFmtId="0" fontId="14" fillId="0" borderId="97" xfId="0" applyFont="1" applyBorder="1" applyAlignment="1">
      <alignment horizontal="right" vertical="center"/>
    </xf>
    <xf numFmtId="0" fontId="15" fillId="0" borderId="76" xfId="0" applyFont="1" applyBorder="1" applyAlignment="1">
      <alignment vertical="center"/>
    </xf>
    <xf numFmtId="0" fontId="15" fillId="0" borderId="77" xfId="0" applyFont="1" applyBorder="1" applyAlignment="1">
      <alignment horizontal="right" vertical="center"/>
    </xf>
    <xf numFmtId="1" fontId="15" fillId="0" borderId="0" xfId="0" applyNumberFormat="1" applyFont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left" vertical="center"/>
      <protection hidden="1"/>
    </xf>
    <xf numFmtId="0" fontId="8" fillId="0" borderId="8" xfId="0" applyFont="1" applyBorder="1" applyAlignment="1" applyProtection="1">
      <alignment horizontal="left" vertical="center"/>
      <protection hidden="1"/>
    </xf>
    <xf numFmtId="0" fontId="50" fillId="0" borderId="8" xfId="0" applyFont="1" applyBorder="1" applyAlignment="1">
      <alignment vertical="center"/>
    </xf>
    <xf numFmtId="0" fontId="8" fillId="0" borderId="9" xfId="0" applyFont="1" applyBorder="1" applyAlignment="1" applyProtection="1">
      <alignment horizontal="left" vertical="center"/>
      <protection hidden="1"/>
    </xf>
    <xf numFmtId="0" fontId="8" fillId="0" borderId="31" xfId="0" applyFont="1" applyBorder="1" applyAlignment="1" applyProtection="1">
      <alignment horizontal="left" vertical="center"/>
      <protection hidden="1"/>
    </xf>
    <xf numFmtId="0" fontId="8" fillId="0" borderId="26" xfId="0" applyFont="1" applyBorder="1" applyAlignment="1" applyProtection="1">
      <alignment horizontal="left" vertical="center"/>
      <protection hidden="1"/>
    </xf>
    <xf numFmtId="0" fontId="15" fillId="0" borderId="31" xfId="0" applyFont="1" applyBorder="1" applyAlignment="1">
      <alignment vertical="center"/>
    </xf>
    <xf numFmtId="0" fontId="15" fillId="0" borderId="31" xfId="0" applyFont="1" applyBorder="1" applyAlignment="1" applyProtection="1">
      <alignment vertical="center"/>
      <protection hidden="1"/>
    </xf>
    <xf numFmtId="0" fontId="53" fillId="0" borderId="26" xfId="0" applyFont="1" applyBorder="1" applyAlignment="1">
      <alignment vertical="center"/>
    </xf>
    <xf numFmtId="0" fontId="15" fillId="0" borderId="57" xfId="0" applyFont="1" applyBorder="1" applyAlignment="1" applyProtection="1">
      <alignment vertical="center"/>
      <protection locked="0"/>
    </xf>
    <xf numFmtId="0" fontId="15" fillId="0" borderId="42" xfId="0" applyFont="1" applyBorder="1" applyAlignment="1" applyProtection="1">
      <alignment vertical="center"/>
      <protection locked="0"/>
    </xf>
    <xf numFmtId="0" fontId="15" fillId="0" borderId="54" xfId="0" applyFont="1" applyBorder="1" applyAlignment="1" applyProtection="1">
      <alignment vertical="center"/>
      <protection locked="0"/>
    </xf>
    <xf numFmtId="0" fontId="15" fillId="0" borderId="10" xfId="0" applyFont="1" applyBorder="1" applyAlignment="1" applyProtection="1">
      <alignment vertical="center"/>
      <protection locked="0"/>
    </xf>
    <xf numFmtId="0" fontId="55" fillId="0" borderId="26" xfId="0" applyFont="1" applyBorder="1" applyAlignment="1" applyProtection="1">
      <alignment vertical="center"/>
      <protection hidden="1"/>
    </xf>
    <xf numFmtId="0" fontId="15" fillId="0" borderId="24" xfId="0" applyFont="1" applyBorder="1" applyAlignment="1" applyProtection="1">
      <alignment vertical="center"/>
      <protection locked="0"/>
    </xf>
    <xf numFmtId="0" fontId="15" fillId="0" borderId="71" xfId="0" applyFont="1" applyBorder="1" applyAlignment="1" applyProtection="1">
      <alignment horizontal="left" vertical="center"/>
      <protection hidden="1"/>
    </xf>
    <xf numFmtId="0" fontId="15" fillId="0" borderId="69" xfId="0" applyFont="1" applyBorder="1" applyAlignment="1" applyProtection="1">
      <alignment horizontal="left" vertical="center"/>
      <protection hidden="1"/>
    </xf>
    <xf numFmtId="0" fontId="15" fillId="0" borderId="71" xfId="0" applyFont="1" applyBorder="1" applyAlignment="1" applyProtection="1">
      <alignment vertical="center"/>
      <protection hidden="1"/>
    </xf>
    <xf numFmtId="0" fontId="15" fillId="0" borderId="72" xfId="0" applyFont="1" applyBorder="1" applyAlignment="1">
      <alignment horizontal="left" vertical="center"/>
    </xf>
    <xf numFmtId="0" fontId="10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10" fillId="7" borderId="105" xfId="0" applyFont="1" applyFill="1" applyBorder="1" applyAlignment="1" applyProtection="1">
      <alignment vertical="center"/>
      <protection locked="0"/>
    </xf>
    <xf numFmtId="0" fontId="10" fillId="7" borderId="109" xfId="0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3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vertical="center"/>
      <protection hidden="1"/>
    </xf>
    <xf numFmtId="3" fontId="7" fillId="0" borderId="0" xfId="0" applyNumberFormat="1" applyFont="1" applyAlignment="1" applyProtection="1">
      <alignment vertical="center"/>
      <protection hidden="1"/>
    </xf>
    <xf numFmtId="167" fontId="7" fillId="0" borderId="0" xfId="0" applyNumberFormat="1" applyFont="1" applyAlignment="1" applyProtection="1">
      <alignment horizontal="center"/>
      <protection hidden="1"/>
    </xf>
    <xf numFmtId="166" fontId="14" fillId="0" borderId="35" xfId="0" applyNumberFormat="1" applyFont="1" applyBorder="1" applyAlignment="1" applyProtection="1">
      <alignment horizontal="center" vertical="center"/>
      <protection hidden="1"/>
    </xf>
    <xf numFmtId="1" fontId="15" fillId="3" borderId="18" xfId="0" applyNumberFormat="1" applyFont="1" applyFill="1" applyBorder="1" applyAlignment="1" applyProtection="1">
      <alignment horizontal="center" vertical="center"/>
      <protection hidden="1"/>
    </xf>
    <xf numFmtId="3" fontId="15" fillId="0" borderId="9" xfId="0" applyNumberFormat="1" applyFont="1" applyBorder="1" applyAlignment="1">
      <alignment horizontal="center" vertical="center"/>
    </xf>
    <xf numFmtId="3" fontId="15" fillId="0" borderId="118" xfId="0" applyNumberFormat="1" applyFont="1" applyBorder="1" applyAlignment="1">
      <alignment horizontal="center" vertical="center"/>
    </xf>
    <xf numFmtId="0" fontId="15" fillId="0" borderId="119" xfId="0" applyFont="1" applyBorder="1" applyAlignment="1" applyProtection="1">
      <alignment vertical="center"/>
      <protection hidden="1"/>
    </xf>
    <xf numFmtId="0" fontId="15" fillId="0" borderId="119" xfId="0" quotePrefix="1" applyFont="1" applyBorder="1" applyAlignment="1">
      <alignment vertical="center"/>
    </xf>
    <xf numFmtId="0" fontId="15" fillId="0" borderId="119" xfId="0" applyFont="1" applyBorder="1" applyAlignment="1">
      <alignment horizontal="right" vertical="center"/>
    </xf>
    <xf numFmtId="0" fontId="15" fillId="0" borderId="119" xfId="0" applyFont="1" applyBorder="1" applyAlignment="1">
      <alignment vertical="center"/>
    </xf>
    <xf numFmtId="0" fontId="14" fillId="0" borderId="119" xfId="0" quotePrefix="1" applyFont="1" applyBorder="1" applyAlignment="1">
      <alignment horizontal="right" vertical="center"/>
    </xf>
    <xf numFmtId="0" fontId="15" fillId="0" borderId="119" xfId="0" quotePrefix="1" applyFont="1" applyBorder="1" applyAlignment="1">
      <alignment horizontal="right" vertical="center"/>
    </xf>
    <xf numFmtId="0" fontId="0" fillId="0" borderId="59" xfId="0" applyBorder="1"/>
    <xf numFmtId="0" fontId="0" fillId="0" borderId="31" xfId="0" applyBorder="1"/>
    <xf numFmtId="0" fontId="15" fillId="0" borderId="118" xfId="0" applyFont="1" applyBorder="1" applyAlignment="1">
      <alignment horizontal="right" vertical="center"/>
    </xf>
    <xf numFmtId="0" fontId="15" fillId="0" borderId="118" xfId="0" quotePrefix="1" applyFont="1" applyBorder="1" applyAlignment="1">
      <alignment horizontal="right" vertical="center"/>
    </xf>
    <xf numFmtId="0" fontId="15" fillId="0" borderId="119" xfId="0" applyFont="1" applyBorder="1" applyAlignment="1" applyProtection="1">
      <alignment horizontal="left" vertical="center"/>
      <protection hidden="1"/>
    </xf>
    <xf numFmtId="0" fontId="15" fillId="0" borderId="118" xfId="0" applyFont="1" applyBorder="1" applyAlignment="1" applyProtection="1">
      <alignment vertical="center"/>
      <protection hidden="1"/>
    </xf>
    <xf numFmtId="14" fontId="6" fillId="0" borderId="0" xfId="0" applyNumberFormat="1" applyFont="1"/>
    <xf numFmtId="0" fontId="58" fillId="0" borderId="0" xfId="0" applyFont="1" applyAlignment="1">
      <alignment horizontal="center" vertical="center" readingOrder="1"/>
    </xf>
    <xf numFmtId="0" fontId="14" fillId="0" borderId="0" xfId="0" applyFont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166" fontId="15" fillId="0" borderId="27" xfId="0" applyNumberFormat="1" applyFont="1" applyBorder="1" applyAlignment="1">
      <alignment vertical="center"/>
    </xf>
    <xf numFmtId="166" fontId="15" fillId="0" borderId="0" xfId="0" applyNumberFormat="1" applyFont="1" applyAlignment="1">
      <alignment vertical="center"/>
    </xf>
    <xf numFmtId="1" fontId="9" fillId="7" borderId="38" xfId="0" applyNumberFormat="1" applyFont="1" applyFill="1" applyBorder="1" applyAlignment="1" applyProtection="1">
      <alignment horizontal="center"/>
      <protection locked="0"/>
    </xf>
    <xf numFmtId="0" fontId="14" fillId="0" borderId="34" xfId="0" applyFont="1" applyBorder="1" applyAlignment="1">
      <alignment horizontal="center" vertical="center"/>
    </xf>
    <xf numFmtId="0" fontId="14" fillId="0" borderId="34" xfId="0" applyFont="1" applyBorder="1" applyAlignment="1">
      <alignment vertical="center"/>
    </xf>
    <xf numFmtId="0" fontId="14" fillId="0" borderId="34" xfId="0" applyFont="1" applyBorder="1" applyAlignment="1">
      <alignment horizontal="right" vertical="center"/>
    </xf>
    <xf numFmtId="3" fontId="14" fillId="0" borderId="34" xfId="0" applyNumberFormat="1" applyFont="1" applyBorder="1" applyAlignment="1">
      <alignment vertical="center"/>
    </xf>
    <xf numFmtId="0" fontId="0" fillId="0" borderId="0" xfId="0" applyAlignment="1">
      <alignment horizontal="right" vertical="center"/>
    </xf>
    <xf numFmtId="3" fontId="9" fillId="0" borderId="0" xfId="0" applyNumberFormat="1" applyFont="1" applyAlignment="1">
      <alignment vertical="center"/>
    </xf>
    <xf numFmtId="164" fontId="7" fillId="0" borderId="18" xfId="2" applyNumberFormat="1" applyFont="1" applyBorder="1" applyAlignment="1" applyProtection="1">
      <alignment vertical="center"/>
      <protection hidden="1"/>
    </xf>
    <xf numFmtId="0" fontId="10" fillId="0" borderId="43" xfId="0" applyFont="1" applyBorder="1" applyAlignment="1">
      <alignment horizontal="center" vertical="center"/>
    </xf>
    <xf numFmtId="0" fontId="10" fillId="0" borderId="9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4" fillId="0" borderId="0" xfId="0" applyFont="1" applyAlignment="1" applyProtection="1">
      <alignment vertical="center"/>
      <protection hidden="1"/>
    </xf>
    <xf numFmtId="0" fontId="15" fillId="0" borderId="27" xfId="0" applyFont="1" applyBorder="1" applyAlignment="1" applyProtection="1">
      <alignment vertical="center"/>
      <protection locked="0" hidden="1"/>
    </xf>
    <xf numFmtId="0" fontId="15" fillId="0" borderId="45" xfId="0" applyFont="1" applyBorder="1" applyAlignment="1">
      <alignment vertical="center"/>
    </xf>
    <xf numFmtId="0" fontId="6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right" vertical="top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right" vertical="center"/>
      <protection hidden="1"/>
    </xf>
    <xf numFmtId="166" fontId="14" fillId="0" borderId="0" xfId="0" applyNumberFormat="1" applyFont="1" applyAlignment="1" applyProtection="1">
      <alignment horizontal="right" vertical="center"/>
      <protection hidden="1"/>
    </xf>
    <xf numFmtId="3" fontId="14" fillId="0" borderId="0" xfId="0" applyNumberFormat="1" applyFont="1" applyAlignment="1" applyProtection="1">
      <alignment vertical="center"/>
      <protection hidden="1"/>
    </xf>
    <xf numFmtId="0" fontId="14" fillId="0" borderId="0" xfId="0" applyFont="1" applyAlignment="1">
      <alignment horizontal="left" vertical="center"/>
    </xf>
    <xf numFmtId="0" fontId="14" fillId="0" borderId="31" xfId="0" applyFont="1" applyBorder="1" applyAlignment="1">
      <alignment vertical="center"/>
    </xf>
    <xf numFmtId="0" fontId="14" fillId="0" borderId="98" xfId="0" applyFont="1" applyBorder="1" applyAlignment="1">
      <alignment horizontal="right" vertical="center"/>
    </xf>
    <xf numFmtId="0" fontId="14" fillId="0" borderId="76" xfId="0" applyFont="1" applyBorder="1" applyAlignment="1">
      <alignment horizontal="left" vertical="center"/>
    </xf>
    <xf numFmtId="0" fontId="14" fillId="0" borderId="77" xfId="0" applyFont="1" applyBorder="1" applyAlignment="1">
      <alignment vertical="center"/>
    </xf>
    <xf numFmtId="0" fontId="15" fillId="0" borderId="127" xfId="0" applyFont="1" applyBorder="1" applyAlignment="1">
      <alignment vertical="center"/>
    </xf>
    <xf numFmtId="0" fontId="9" fillId="0" borderId="126" xfId="0" applyFont="1" applyBorder="1" applyAlignment="1">
      <alignment horizontal="right" vertical="center"/>
    </xf>
    <xf numFmtId="0" fontId="15" fillId="0" borderId="127" xfId="0" applyFont="1" applyBorder="1" applyAlignment="1">
      <alignment horizontal="right" vertical="center"/>
    </xf>
    <xf numFmtId="9" fontId="15" fillId="7" borderId="126" xfId="2" applyFont="1" applyFill="1" applyBorder="1" applyAlignment="1" applyProtection="1">
      <alignment horizontal="center" vertical="center"/>
      <protection locked="0"/>
    </xf>
    <xf numFmtId="0" fontId="10" fillId="7" borderId="99" xfId="0" applyFont="1" applyFill="1" applyBorder="1" applyAlignment="1" applyProtection="1">
      <alignment vertical="center"/>
      <protection locked="0"/>
    </xf>
    <xf numFmtId="3" fontId="15" fillId="0" borderId="71" xfId="0" applyNumberFormat="1" applyFont="1" applyBorder="1" applyAlignment="1" applyProtection="1">
      <alignment horizontal="left" vertical="center"/>
      <protection hidden="1"/>
    </xf>
    <xf numFmtId="3" fontId="15" fillId="0" borderId="92" xfId="0" applyNumberFormat="1" applyFont="1" applyBorder="1" applyAlignment="1">
      <alignment horizontal="right" vertical="center"/>
    </xf>
    <xf numFmtId="3" fontId="15" fillId="0" borderId="43" xfId="0" applyNumberFormat="1" applyFont="1" applyBorder="1" applyAlignment="1">
      <alignment vertical="center"/>
    </xf>
    <xf numFmtId="164" fontId="15" fillId="0" borderId="43" xfId="0" applyNumberFormat="1" applyFont="1" applyBorder="1" applyAlignment="1">
      <alignment horizontal="right" vertical="center"/>
    </xf>
    <xf numFmtId="3" fontId="15" fillId="0" borderId="43" xfId="0" applyNumberFormat="1" applyFont="1" applyBorder="1" applyAlignment="1">
      <alignment horizontal="right" vertical="center"/>
    </xf>
    <xf numFmtId="0" fontId="15" fillId="0" borderId="43" xfId="0" applyFont="1" applyBorder="1" applyAlignment="1">
      <alignment horizontal="right" vertical="center"/>
    </xf>
    <xf numFmtId="0" fontId="8" fillId="0" borderId="10" xfId="0" applyFont="1" applyBorder="1" applyAlignment="1" applyProtection="1">
      <alignment vertical="center"/>
      <protection hidden="1"/>
    </xf>
    <xf numFmtId="3" fontId="15" fillId="0" borderId="18" xfId="0" applyNumberFormat="1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15" fillId="0" borderId="76" xfId="0" applyFont="1" applyBorder="1" applyAlignment="1">
      <alignment horizontal="left" vertical="center"/>
    </xf>
    <xf numFmtId="0" fontId="15" fillId="0" borderId="77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56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15" fillId="7" borderId="18" xfId="0" applyFont="1" applyFill="1" applyBorder="1" applyAlignment="1" applyProtection="1">
      <alignment horizontal="center" vertical="center"/>
      <protection locked="0"/>
    </xf>
    <xf numFmtId="0" fontId="43" fillId="0" borderId="21" xfId="0" applyFont="1" applyBorder="1" applyAlignment="1">
      <alignment horizontal="center" vertical="center"/>
    </xf>
    <xf numFmtId="0" fontId="43" fillId="0" borderId="43" xfId="0" applyFont="1" applyBorder="1" applyAlignment="1">
      <alignment horizontal="center" vertical="center"/>
    </xf>
    <xf numFmtId="166" fontId="43" fillId="7" borderId="96" xfId="0" applyNumberFormat="1" applyFont="1" applyFill="1" applyBorder="1" applyAlignment="1" applyProtection="1">
      <alignment horizontal="center" vertical="center"/>
      <protection locked="0"/>
    </xf>
    <xf numFmtId="0" fontId="43" fillId="0" borderId="58" xfId="0" applyFont="1" applyBorder="1" applyAlignment="1">
      <alignment horizontal="center" vertical="center"/>
    </xf>
    <xf numFmtId="166" fontId="43" fillId="0" borderId="43" xfId="0" applyNumberFormat="1" applyFont="1" applyBorder="1" applyAlignment="1" applyProtection="1">
      <alignment horizontal="center" vertical="center"/>
      <protection hidden="1"/>
    </xf>
    <xf numFmtId="0" fontId="43" fillId="0" borderId="9" xfId="0" applyFont="1" applyBorder="1" applyAlignment="1">
      <alignment horizontal="center" vertical="center"/>
    </xf>
    <xf numFmtId="0" fontId="43" fillId="0" borderId="9" xfId="0" applyFont="1" applyBorder="1" applyAlignment="1" applyProtection="1">
      <alignment horizontal="center" vertical="center"/>
      <protection hidden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5" fillId="0" borderId="11" xfId="0" applyFont="1" applyBorder="1" applyAlignment="1" applyProtection="1">
      <alignment vertical="center"/>
      <protection hidden="1"/>
    </xf>
    <xf numFmtId="0" fontId="15" fillId="7" borderId="52" xfId="0" applyFont="1" applyFill="1" applyBorder="1" applyAlignment="1" applyProtection="1">
      <alignment vertical="center"/>
      <protection locked="0"/>
    </xf>
    <xf numFmtId="1" fontId="15" fillId="7" borderId="38" xfId="0" applyNumberFormat="1" applyFont="1" applyFill="1" applyBorder="1" applyAlignment="1" applyProtection="1">
      <alignment horizontal="center" vertical="center"/>
      <protection locked="0"/>
    </xf>
    <xf numFmtId="0" fontId="15" fillId="7" borderId="37" xfId="0" applyFont="1" applyFill="1" applyBorder="1" applyAlignment="1" applyProtection="1">
      <alignment vertical="center"/>
      <protection locked="0"/>
    </xf>
    <xf numFmtId="2" fontId="42" fillId="7" borderId="43" xfId="0" applyNumberFormat="1" applyFont="1" applyFill="1" applyBorder="1" applyAlignment="1" applyProtection="1">
      <alignment horizontal="center" vertical="center"/>
      <protection locked="0"/>
    </xf>
    <xf numFmtId="2" fontId="42" fillId="7" borderId="18" xfId="0" applyNumberFormat="1" applyFont="1" applyFill="1" applyBorder="1" applyAlignment="1" applyProtection="1">
      <alignment horizontal="center" vertical="center"/>
      <protection locked="0"/>
    </xf>
    <xf numFmtId="0" fontId="43" fillId="0" borderId="18" xfId="0" applyFont="1" applyBorder="1" applyAlignment="1">
      <alignment horizontal="left"/>
    </xf>
    <xf numFmtId="3" fontId="15" fillId="0" borderId="58" xfId="0" applyNumberFormat="1" applyFont="1" applyBorder="1" applyAlignment="1">
      <alignment horizontal="right" vertical="center"/>
    </xf>
    <xf numFmtId="3" fontId="15" fillId="0" borderId="58" xfId="0" applyNumberFormat="1" applyFont="1" applyBorder="1" applyAlignment="1" applyProtection="1">
      <alignment horizontal="right" vertical="center"/>
      <protection hidden="1"/>
    </xf>
    <xf numFmtId="0" fontId="15" fillId="7" borderId="11" xfId="0" applyFont="1" applyFill="1" applyBorder="1" applyAlignment="1" applyProtection="1">
      <alignment horizontal="left" vertical="center"/>
      <protection locked="0"/>
    </xf>
    <xf numFmtId="3" fontId="15" fillId="7" borderId="58" xfId="0" applyNumberFormat="1" applyFont="1" applyFill="1" applyBorder="1" applyAlignment="1">
      <alignment horizontal="right" vertical="center"/>
    </xf>
    <xf numFmtId="0" fontId="15" fillId="0" borderId="9" xfId="0" applyFont="1" applyBorder="1" applyAlignment="1" applyProtection="1">
      <alignment vertical="center"/>
      <protection hidden="1"/>
    </xf>
    <xf numFmtId="0" fontId="15" fillId="7" borderId="17" xfId="0" applyFont="1" applyFill="1" applyBorder="1" applyAlignment="1" applyProtection="1">
      <alignment horizontal="left" vertical="center"/>
      <protection locked="0"/>
    </xf>
    <xf numFmtId="0" fontId="0" fillId="7" borderId="43" xfId="0" applyFill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1" xfId="0" applyBorder="1" applyAlignment="1">
      <alignment vertical="center"/>
    </xf>
    <xf numFmtId="0" fontId="6" fillId="0" borderId="0" xfId="0" applyFont="1" applyAlignment="1">
      <alignment horizontal="center"/>
    </xf>
    <xf numFmtId="0" fontId="10" fillId="7" borderId="105" xfId="0" applyFont="1" applyFill="1" applyBorder="1" applyProtection="1">
      <protection locked="0"/>
    </xf>
    <xf numFmtId="0" fontId="10" fillId="7" borderId="99" xfId="0" applyFont="1" applyFill="1" applyBorder="1" applyProtection="1">
      <protection locked="0"/>
    </xf>
    <xf numFmtId="3" fontId="8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2" fontId="8" fillId="0" borderId="0" xfId="0" applyNumberFormat="1" applyFont="1" applyAlignment="1" applyProtection="1">
      <alignment horizontal="left"/>
      <protection hidden="1"/>
    </xf>
    <xf numFmtId="14" fontId="0" fillId="0" borderId="0" xfId="0" applyNumberFormat="1" applyAlignment="1" applyProtection="1">
      <alignment horizontal="center" vertical="center"/>
      <protection hidden="1"/>
    </xf>
    <xf numFmtId="14" fontId="0" fillId="0" borderId="0" xfId="0" applyNumberFormat="1" applyAlignment="1">
      <alignment horizontal="center" vertical="center"/>
    </xf>
    <xf numFmtId="0" fontId="12" fillId="0" borderId="0" xfId="0" applyFont="1" applyAlignment="1">
      <alignment vertical="center"/>
    </xf>
    <xf numFmtId="2" fontId="8" fillId="0" borderId="0" xfId="0" applyNumberFormat="1" applyFont="1" applyAlignment="1">
      <alignment horizontal="left" vertical="center"/>
    </xf>
    <xf numFmtId="1" fontId="8" fillId="0" borderId="0" xfId="0" applyNumberFormat="1" applyFont="1" applyAlignment="1">
      <alignment vertical="center"/>
    </xf>
    <xf numFmtId="14" fontId="8" fillId="0" borderId="0" xfId="0" applyNumberFormat="1" applyFont="1" applyAlignment="1">
      <alignment vertical="center"/>
    </xf>
    <xf numFmtId="6" fontId="59" fillId="0" borderId="0" xfId="0" applyNumberFormat="1" applyFont="1" applyAlignment="1">
      <alignment vertical="center"/>
    </xf>
    <xf numFmtId="14" fontId="9" fillId="0" borderId="17" xfId="0" applyNumberFormat="1" applyFont="1" applyBorder="1" applyAlignment="1" applyProtection="1">
      <alignment horizontal="left" vertical="center"/>
      <protection hidden="1"/>
    </xf>
    <xf numFmtId="14" fontId="9" fillId="0" borderId="17" xfId="0" applyNumberFormat="1" applyFont="1" applyBorder="1" applyAlignment="1">
      <alignment horizontal="left" vertical="center"/>
    </xf>
    <xf numFmtId="1" fontId="14" fillId="6" borderId="61" xfId="0" applyNumberFormat="1" applyFont="1" applyFill="1" applyBorder="1" applyAlignment="1" applyProtection="1">
      <alignment horizontal="center" vertical="center"/>
      <protection hidden="1"/>
    </xf>
    <xf numFmtId="3" fontId="15" fillId="7" borderId="18" xfId="0" applyNumberFormat="1" applyFont="1" applyFill="1" applyBorder="1" applyAlignment="1" applyProtection="1">
      <alignment horizontal="center" vertical="center"/>
      <protection locked="0"/>
    </xf>
    <xf numFmtId="3" fontId="9" fillId="0" borderId="38" xfId="0" applyNumberFormat="1" applyFont="1" applyBorder="1" applyAlignment="1" applyProtection="1">
      <alignment horizontal="center" vertical="center"/>
      <protection hidden="1"/>
    </xf>
    <xf numFmtId="3" fontId="15" fillId="0" borderId="35" xfId="0" applyNumberFormat="1" applyFont="1" applyBorder="1" applyAlignment="1" applyProtection="1">
      <alignment horizontal="center" vertical="center"/>
      <protection hidden="1"/>
    </xf>
    <xf numFmtId="0" fontId="15" fillId="0" borderId="59" xfId="0" applyFont="1" applyBorder="1" applyAlignment="1" applyProtection="1">
      <alignment horizontal="center" vertical="center"/>
      <protection hidden="1"/>
    </xf>
    <xf numFmtId="3" fontId="15" fillId="7" borderId="32" xfId="0" applyNumberFormat="1" applyFont="1" applyFill="1" applyBorder="1" applyAlignment="1" applyProtection="1">
      <alignment horizontal="center" vertical="center"/>
      <protection locked="0"/>
    </xf>
    <xf numFmtId="3" fontId="15" fillId="0" borderId="33" xfId="0" applyNumberFormat="1" applyFont="1" applyBorder="1" applyAlignment="1" applyProtection="1">
      <alignment horizontal="center" vertical="center"/>
      <protection hidden="1"/>
    </xf>
    <xf numFmtId="3" fontId="15" fillId="0" borderId="32" xfId="0" applyNumberFormat="1" applyFont="1" applyBorder="1" applyAlignment="1" applyProtection="1">
      <alignment horizontal="center" vertical="center"/>
      <protection hidden="1"/>
    </xf>
    <xf numFmtId="0" fontId="15" fillId="0" borderId="20" xfId="0" applyFont="1" applyBorder="1" applyAlignment="1" applyProtection="1">
      <alignment horizontal="center" vertical="center"/>
      <protection hidden="1"/>
    </xf>
    <xf numFmtId="0" fontId="15" fillId="0" borderId="19" xfId="0" applyFont="1" applyBorder="1" applyAlignment="1" applyProtection="1">
      <alignment horizontal="center" vertical="center"/>
      <protection hidden="1"/>
    </xf>
    <xf numFmtId="3" fontId="15" fillId="0" borderId="18" xfId="0" applyNumberFormat="1" applyFont="1" applyBorder="1" applyAlignment="1" applyProtection="1">
      <alignment horizontal="center" vertical="center"/>
      <protection hidden="1"/>
    </xf>
    <xf numFmtId="167" fontId="9" fillId="0" borderId="0" xfId="0" applyNumberFormat="1" applyFont="1" applyAlignment="1">
      <alignment horizontal="center" vertical="center"/>
    </xf>
    <xf numFmtId="0" fontId="10" fillId="0" borderId="0" xfId="0" applyFont="1" applyAlignment="1" applyProtection="1">
      <alignment shrinkToFit="1"/>
      <protection hidden="1"/>
    </xf>
    <xf numFmtId="0" fontId="6" fillId="0" borderId="0" xfId="0" applyFont="1" applyAlignment="1">
      <alignment shrinkToFit="1"/>
    </xf>
    <xf numFmtId="0" fontId="15" fillId="0" borderId="112" xfId="0" applyFont="1" applyBorder="1" applyAlignment="1" applyProtection="1">
      <alignment horizontal="left" vertical="center"/>
      <protection hidden="1"/>
    </xf>
    <xf numFmtId="3" fontId="15" fillId="6" borderId="18" xfId="0" applyNumberFormat="1" applyFont="1" applyFill="1" applyBorder="1" applyAlignment="1">
      <alignment vertical="center"/>
    </xf>
    <xf numFmtId="3" fontId="15" fillId="6" borderId="18" xfId="0" applyNumberFormat="1" applyFont="1" applyFill="1" applyBorder="1" applyAlignment="1" applyProtection="1">
      <alignment vertical="center"/>
      <protection hidden="1"/>
    </xf>
    <xf numFmtId="3" fontId="15" fillId="6" borderId="38" xfId="0" applyNumberFormat="1" applyFont="1" applyFill="1" applyBorder="1" applyAlignment="1" applyProtection="1">
      <alignment vertical="center"/>
      <protection hidden="1"/>
    </xf>
    <xf numFmtId="3" fontId="15" fillId="6" borderId="20" xfId="0" applyNumberFormat="1" applyFont="1" applyFill="1" applyBorder="1" applyAlignment="1">
      <alignment vertical="center"/>
    </xf>
    <xf numFmtId="3" fontId="15" fillId="6" borderId="18" xfId="0" applyNumberFormat="1" applyFont="1" applyFill="1" applyBorder="1" applyProtection="1">
      <protection hidden="1"/>
    </xf>
    <xf numFmtId="3" fontId="15" fillId="6" borderId="18" xfId="0" applyNumberFormat="1" applyFont="1" applyFill="1" applyBorder="1" applyAlignment="1" applyProtection="1">
      <alignment horizontal="right" vertical="center"/>
      <protection hidden="1"/>
    </xf>
    <xf numFmtId="3" fontId="15" fillId="6" borderId="20" xfId="0" applyNumberFormat="1" applyFont="1" applyFill="1" applyBorder="1" applyAlignment="1" applyProtection="1">
      <alignment horizontal="right" vertical="center"/>
      <protection hidden="1"/>
    </xf>
    <xf numFmtId="164" fontId="15" fillId="6" borderId="18" xfId="2" applyNumberFormat="1" applyFont="1" applyFill="1" applyBorder="1" applyAlignment="1" applyProtection="1">
      <alignment horizontal="right" vertical="center"/>
      <protection hidden="1"/>
    </xf>
    <xf numFmtId="0" fontId="49" fillId="6" borderId="18" xfId="0" applyFont="1" applyFill="1" applyBorder="1" applyAlignment="1" applyProtection="1">
      <alignment horizontal="left" vertical="center"/>
      <protection hidden="1"/>
    </xf>
    <xf numFmtId="4" fontId="15" fillId="6" borderId="18" xfId="0" applyNumberFormat="1" applyFont="1" applyFill="1" applyBorder="1" applyProtection="1">
      <protection hidden="1"/>
    </xf>
    <xf numFmtId="4" fontId="15" fillId="6" borderId="18" xfId="0" applyNumberFormat="1" applyFont="1" applyFill="1" applyBorder="1" applyAlignment="1" applyProtection="1">
      <alignment horizontal="right" vertical="center"/>
      <protection hidden="1"/>
    </xf>
    <xf numFmtId="164" fontId="15" fillId="6" borderId="18" xfId="2" applyNumberFormat="1" applyFont="1" applyFill="1" applyBorder="1" applyProtection="1">
      <protection hidden="1"/>
    </xf>
    <xf numFmtId="0" fontId="15" fillId="6" borderId="18" xfId="0" applyFont="1" applyFill="1" applyBorder="1" applyAlignment="1" applyProtection="1">
      <alignment horizontal="center" vertical="center"/>
      <protection hidden="1"/>
    </xf>
    <xf numFmtId="3" fontId="14" fillId="6" borderId="32" xfId="0" applyNumberFormat="1" applyFont="1" applyFill="1" applyBorder="1" applyAlignment="1" applyProtection="1">
      <alignment vertical="center"/>
      <protection hidden="1"/>
    </xf>
    <xf numFmtId="3" fontId="14" fillId="6" borderId="59" xfId="0" applyNumberFormat="1" applyFont="1" applyFill="1" applyBorder="1" applyAlignment="1" applyProtection="1">
      <alignment vertical="center"/>
      <protection hidden="1"/>
    </xf>
    <xf numFmtId="3" fontId="14" fillId="6" borderId="18" xfId="0" applyNumberFormat="1" applyFont="1" applyFill="1" applyBorder="1" applyAlignment="1" applyProtection="1">
      <alignment vertical="center"/>
      <protection hidden="1"/>
    </xf>
    <xf numFmtId="3" fontId="15" fillId="6" borderId="20" xfId="0" applyNumberFormat="1" applyFont="1" applyFill="1" applyBorder="1" applyAlignment="1" applyProtection="1">
      <alignment vertical="center"/>
      <protection hidden="1"/>
    </xf>
    <xf numFmtId="3" fontId="15" fillId="6" borderId="32" xfId="0" applyNumberFormat="1" applyFont="1" applyFill="1" applyBorder="1" applyAlignment="1" applyProtection="1">
      <alignment vertical="center"/>
      <protection hidden="1"/>
    </xf>
    <xf numFmtId="3" fontId="9" fillId="6" borderId="18" xfId="0" applyNumberFormat="1" applyFont="1" applyFill="1" applyBorder="1" applyAlignment="1" applyProtection="1">
      <alignment horizontal="right" vertical="center"/>
      <protection hidden="1"/>
    </xf>
    <xf numFmtId="164" fontId="18" fillId="6" borderId="18" xfId="0" applyNumberFormat="1" applyFont="1" applyFill="1" applyBorder="1" applyAlignment="1" applyProtection="1">
      <alignment vertical="center"/>
      <protection hidden="1"/>
    </xf>
    <xf numFmtId="3" fontId="8" fillId="6" borderId="18" xfId="0" applyNumberFormat="1" applyFont="1" applyFill="1" applyBorder="1" applyAlignment="1" applyProtection="1">
      <alignment vertical="center"/>
      <protection hidden="1"/>
    </xf>
    <xf numFmtId="3" fontId="9" fillId="6" borderId="18" xfId="0" applyNumberFormat="1" applyFont="1" applyFill="1" applyBorder="1" applyAlignment="1" applyProtection="1">
      <alignment vertical="center"/>
      <protection hidden="1"/>
    </xf>
    <xf numFmtId="3" fontId="15" fillId="6" borderId="18" xfId="0" applyNumberFormat="1" applyFont="1" applyFill="1" applyBorder="1"/>
    <xf numFmtId="164" fontId="18" fillId="6" borderId="18" xfId="0" applyNumberFormat="1" applyFont="1" applyFill="1" applyBorder="1" applyAlignment="1" applyProtection="1">
      <alignment horizontal="center" vertical="center"/>
      <protection hidden="1"/>
    </xf>
    <xf numFmtId="164" fontId="54" fillId="6" borderId="18" xfId="0" applyNumberFormat="1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/>
      <protection hidden="1"/>
    </xf>
    <xf numFmtId="164" fontId="54" fillId="0" borderId="0" xfId="2" applyNumberFormat="1" applyFont="1" applyAlignment="1" applyProtection="1">
      <alignment horizontal="left" vertical="center"/>
      <protection hidden="1"/>
    </xf>
    <xf numFmtId="1" fontId="14" fillId="6" borderId="124" xfId="0" applyNumberFormat="1" applyFont="1" applyFill="1" applyBorder="1" applyAlignment="1" applyProtection="1">
      <alignment horizontal="center" vertical="center"/>
      <protection hidden="1"/>
    </xf>
    <xf numFmtId="166" fontId="15" fillId="6" borderId="66" xfId="0" applyNumberFormat="1" applyFont="1" applyFill="1" applyBorder="1" applyAlignment="1" applyProtection="1">
      <alignment horizontal="center" vertical="center"/>
      <protection hidden="1"/>
    </xf>
    <xf numFmtId="3" fontId="14" fillId="6" borderId="65" xfId="0" applyNumberFormat="1" applyFont="1" applyFill="1" applyBorder="1" applyAlignment="1" applyProtection="1">
      <alignment vertical="center"/>
      <protection hidden="1"/>
    </xf>
    <xf numFmtId="3" fontId="14" fillId="6" borderId="66" xfId="0" applyNumberFormat="1" applyFont="1" applyFill="1" applyBorder="1" applyAlignment="1" applyProtection="1">
      <alignment horizontal="center" vertical="center"/>
      <protection hidden="1"/>
    </xf>
    <xf numFmtId="3" fontId="15" fillId="6" borderId="12" xfId="0" applyNumberFormat="1" applyFont="1" applyFill="1" applyBorder="1" applyAlignment="1" applyProtection="1">
      <alignment vertical="center"/>
      <protection hidden="1"/>
    </xf>
    <xf numFmtId="3" fontId="14" fillId="6" borderId="41" xfId="0" applyNumberFormat="1" applyFont="1" applyFill="1" applyBorder="1" applyAlignment="1" applyProtection="1">
      <alignment vertical="center"/>
      <protection hidden="1"/>
    </xf>
    <xf numFmtId="166" fontId="15" fillId="6" borderId="123" xfId="0" applyNumberFormat="1" applyFont="1" applyFill="1" applyBorder="1" applyAlignment="1" applyProtection="1">
      <alignment horizontal="center" vertical="center"/>
      <protection hidden="1"/>
    </xf>
    <xf numFmtId="1" fontId="14" fillId="6" borderId="33" xfId="0" applyNumberFormat="1" applyFont="1" applyFill="1" applyBorder="1" applyAlignment="1" applyProtection="1">
      <alignment horizontal="center" vertical="center"/>
      <protection hidden="1"/>
    </xf>
    <xf numFmtId="166" fontId="15" fillId="6" borderId="35" xfId="0" applyNumberFormat="1" applyFont="1" applyFill="1" applyBorder="1" applyAlignment="1" applyProtection="1">
      <alignment horizontal="center" vertical="center"/>
      <protection hidden="1"/>
    </xf>
    <xf numFmtId="1" fontId="14" fillId="6" borderId="36" xfId="0" applyNumberFormat="1" applyFont="1" applyFill="1" applyBorder="1" applyAlignment="1" applyProtection="1">
      <alignment horizontal="center"/>
      <protection hidden="1"/>
    </xf>
    <xf numFmtId="164" fontId="15" fillId="6" borderId="36" xfId="0" applyNumberFormat="1" applyFont="1" applyFill="1" applyBorder="1" applyAlignment="1">
      <alignment horizontal="center" vertical="center"/>
    </xf>
    <xf numFmtId="0" fontId="62" fillId="0" borderId="74" xfId="0" applyFont="1" applyBorder="1" applyAlignment="1">
      <alignment horizontal="right" vertical="center"/>
    </xf>
    <xf numFmtId="3" fontId="43" fillId="7" borderId="59" xfId="0" applyNumberFormat="1" applyFont="1" applyFill="1" applyBorder="1" applyAlignment="1" applyProtection="1">
      <alignment horizontal="center" vertical="center"/>
      <protection locked="0" hidden="1"/>
    </xf>
    <xf numFmtId="3" fontId="43" fillId="0" borderId="18" xfId="0" applyNumberFormat="1" applyFont="1" applyBorder="1" applyAlignment="1" applyProtection="1">
      <alignment horizontal="center" vertical="center"/>
      <protection hidden="1"/>
    </xf>
    <xf numFmtId="164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 applyAlignment="1" applyProtection="1">
      <alignment horizontal="center" vertical="center"/>
      <protection hidden="1"/>
    </xf>
    <xf numFmtId="3" fontId="43" fillId="6" borderId="62" xfId="0" applyNumberFormat="1" applyFont="1" applyFill="1" applyBorder="1" applyAlignment="1" applyProtection="1">
      <alignment horizontal="center" vertical="center"/>
      <protection hidden="1"/>
    </xf>
    <xf numFmtId="3" fontId="43" fillId="6" borderId="3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left" vertical="center"/>
    </xf>
    <xf numFmtId="3" fontId="8" fillId="6" borderId="18" xfId="0" applyNumberFormat="1" applyFont="1" applyFill="1" applyBorder="1" applyAlignment="1" applyProtection="1">
      <alignment horizontal="center" vertical="center"/>
      <protection hidden="1"/>
    </xf>
    <xf numFmtId="3" fontId="8" fillId="6" borderId="9" xfId="0" applyNumberFormat="1" applyFont="1" applyFill="1" applyBorder="1" applyAlignment="1" applyProtection="1">
      <alignment horizontal="center" vertical="center"/>
      <protection hidden="1"/>
    </xf>
    <xf numFmtId="167" fontId="8" fillId="6" borderId="58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102" xfId="0" applyFont="1" applyBorder="1" applyAlignment="1" applyProtection="1">
      <alignment horizontal="left" vertical="center"/>
      <protection hidden="1"/>
    </xf>
    <xf numFmtId="164" fontId="10" fillId="0" borderId="106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48" fillId="0" borderId="112" xfId="0" applyFont="1" applyBorder="1" applyAlignment="1">
      <alignment horizontal="right" vertical="center"/>
    </xf>
    <xf numFmtId="0" fontId="14" fillId="0" borderId="102" xfId="0" applyFont="1" applyBorder="1" applyProtection="1">
      <protection hidden="1"/>
    </xf>
    <xf numFmtId="0" fontId="15" fillId="7" borderId="52" xfId="0" applyFont="1" applyFill="1" applyBorder="1" applyAlignment="1" applyProtection="1">
      <alignment horizontal="left" vertical="center"/>
      <protection locked="0"/>
    </xf>
    <xf numFmtId="0" fontId="58" fillId="0" borderId="0" xfId="0" applyFont="1" applyAlignment="1">
      <alignment horizontal="left" vertical="center" readingOrder="1"/>
    </xf>
    <xf numFmtId="0" fontId="14" fillId="0" borderId="112" xfId="0" applyFont="1" applyBorder="1" applyProtection="1">
      <protection hidden="1"/>
    </xf>
    <xf numFmtId="0" fontId="15" fillId="0" borderId="112" xfId="0" applyFont="1" applyBorder="1" applyProtection="1">
      <protection hidden="1"/>
    </xf>
    <xf numFmtId="0" fontId="15" fillId="0" borderId="135" xfId="0" applyFont="1" applyBorder="1" applyProtection="1">
      <protection hidden="1"/>
    </xf>
    <xf numFmtId="0" fontId="14" fillId="0" borderId="135" xfId="0" applyFont="1" applyBorder="1" applyProtection="1">
      <protection hidden="1"/>
    </xf>
    <xf numFmtId="0" fontId="15" fillId="0" borderId="135" xfId="0" applyFont="1" applyBorder="1" applyAlignment="1" applyProtection="1">
      <alignment horizontal="left"/>
      <protection hidden="1"/>
    </xf>
    <xf numFmtId="0" fontId="14" fillId="0" borderId="135" xfId="0" applyFont="1" applyBorder="1" applyAlignment="1" applyProtection="1">
      <alignment horizontal="left" vertical="center"/>
      <protection hidden="1"/>
    </xf>
    <xf numFmtId="0" fontId="15" fillId="0" borderId="105" xfId="0" applyFont="1" applyBorder="1" applyAlignment="1" applyProtection="1">
      <alignment horizontal="center" vertical="center"/>
      <protection hidden="1"/>
    </xf>
    <xf numFmtId="0" fontId="15" fillId="0" borderId="122" xfId="0" applyFont="1" applyBorder="1" applyProtection="1">
      <protection hidden="1"/>
    </xf>
    <xf numFmtId="0" fontId="15" fillId="0" borderId="112" xfId="0" applyFont="1" applyBorder="1" applyAlignment="1" applyProtection="1">
      <alignment vertical="center"/>
      <protection hidden="1"/>
    </xf>
    <xf numFmtId="0" fontId="14" fillId="0" borderId="112" xfId="0" applyFont="1" applyBorder="1" applyAlignment="1" applyProtection="1">
      <alignment horizontal="left" vertical="center"/>
      <protection hidden="1"/>
    </xf>
    <xf numFmtId="0" fontId="14" fillId="0" borderId="112" xfId="0" applyFont="1" applyBorder="1" applyAlignment="1" applyProtection="1">
      <alignment vertical="center"/>
      <protection hidden="1"/>
    </xf>
    <xf numFmtId="0" fontId="14" fillId="0" borderId="122" xfId="0" applyFont="1" applyBorder="1" applyProtection="1">
      <protection hidden="1"/>
    </xf>
    <xf numFmtId="0" fontId="15" fillId="0" borderId="105" xfId="0" applyFont="1" applyBorder="1" applyAlignment="1" applyProtection="1">
      <alignment horizontal="left" vertical="center"/>
      <protection hidden="1"/>
    </xf>
    <xf numFmtId="3" fontId="14" fillId="0" borderId="112" xfId="0" applyNumberFormat="1" applyFont="1" applyBorder="1" applyAlignment="1" applyProtection="1">
      <alignment vertical="center"/>
      <protection hidden="1"/>
    </xf>
    <xf numFmtId="0" fontId="15" fillId="0" borderId="112" xfId="0" applyFont="1" applyBorder="1" applyAlignment="1" applyProtection="1">
      <alignment shrinkToFit="1"/>
      <protection hidden="1"/>
    </xf>
    <xf numFmtId="3" fontId="15" fillId="0" borderId="112" xfId="0" applyNumberFormat="1" applyFont="1" applyBorder="1" applyAlignment="1">
      <alignment horizontal="right" vertical="center"/>
    </xf>
    <xf numFmtId="167" fontId="15" fillId="0" borderId="112" xfId="0" applyNumberFormat="1" applyFont="1" applyBorder="1" applyAlignment="1" applyProtection="1">
      <alignment vertical="center"/>
      <protection hidden="1"/>
    </xf>
    <xf numFmtId="167" fontId="14" fillId="0" borderId="112" xfId="0" applyNumberFormat="1" applyFont="1" applyBorder="1" applyAlignment="1" applyProtection="1">
      <alignment vertical="center"/>
      <protection hidden="1"/>
    </xf>
    <xf numFmtId="0" fontId="15" fillId="0" borderId="102" xfId="0" applyFont="1" applyBorder="1" applyAlignment="1" applyProtection="1">
      <alignment vertical="center"/>
      <protection hidden="1"/>
    </xf>
    <xf numFmtId="0" fontId="15" fillId="0" borderId="104" xfId="0" applyFont="1" applyBorder="1" applyAlignment="1" applyProtection="1">
      <alignment horizontal="center" vertical="center"/>
      <protection hidden="1"/>
    </xf>
    <xf numFmtId="0" fontId="15" fillId="0" borderId="105" xfId="0" applyFont="1" applyBorder="1" applyAlignment="1" applyProtection="1">
      <alignment horizontal="center"/>
      <protection hidden="1"/>
    </xf>
    <xf numFmtId="0" fontId="15" fillId="0" borderId="134" xfId="0" applyFont="1" applyBorder="1" applyProtection="1">
      <protection hidden="1"/>
    </xf>
    <xf numFmtId="3" fontId="15" fillId="0" borderId="108" xfId="0" applyNumberFormat="1" applyFont="1" applyBorder="1" applyAlignment="1" applyProtection="1">
      <alignment horizontal="center" vertical="center"/>
      <protection hidden="1"/>
    </xf>
    <xf numFmtId="3" fontId="15" fillId="0" borderId="105" xfId="0" applyNumberFormat="1" applyFont="1" applyBorder="1" applyAlignment="1" applyProtection="1">
      <alignment horizontal="center" vertical="center"/>
      <protection hidden="1"/>
    </xf>
    <xf numFmtId="0" fontId="15" fillId="0" borderId="134" xfId="0" applyFont="1" applyBorder="1" applyAlignment="1" applyProtection="1">
      <alignment horizontal="left"/>
      <protection hidden="1"/>
    </xf>
    <xf numFmtId="3" fontId="15" fillId="0" borderId="107" xfId="0" applyNumberFormat="1" applyFont="1" applyBorder="1" applyAlignment="1" applyProtection="1">
      <alignment horizontal="center" vertical="center"/>
      <protection hidden="1"/>
    </xf>
    <xf numFmtId="0" fontId="64" fillId="0" borderId="0" xfId="0" applyFont="1" applyAlignment="1" applyProtection="1">
      <alignment horizontal="left" vertical="center"/>
      <protection hidden="1"/>
    </xf>
    <xf numFmtId="164" fontId="64" fillId="0" borderId="0" xfId="2" applyNumberFormat="1" applyFont="1" applyBorder="1" applyAlignment="1" applyProtection="1">
      <alignment horizontal="left" vertical="center"/>
      <protection hidden="1"/>
    </xf>
    <xf numFmtId="4" fontId="64" fillId="0" borderId="0" xfId="0" applyNumberFormat="1" applyFont="1" applyAlignment="1" applyProtection="1">
      <alignment horizontal="left" vertical="center"/>
      <protection hidden="1"/>
    </xf>
    <xf numFmtId="164" fontId="54" fillId="0" borderId="0" xfId="2" applyNumberFormat="1" applyFont="1" applyBorder="1" applyAlignment="1" applyProtection="1">
      <alignment horizontal="left" vertical="center"/>
      <protection hidden="1"/>
    </xf>
    <xf numFmtId="167" fontId="14" fillId="0" borderId="0" xfId="0" applyNumberFormat="1" applyFont="1" applyAlignment="1" applyProtection="1">
      <alignment horizontal="center"/>
      <protection hidden="1"/>
    </xf>
    <xf numFmtId="14" fontId="15" fillId="0" borderId="0" xfId="0" applyNumberFormat="1" applyFont="1" applyAlignment="1" applyProtection="1">
      <alignment horizontal="left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3" fontId="10" fillId="0" borderId="0" xfId="0" applyNumberFormat="1" applyFont="1" applyAlignment="1" applyProtection="1">
      <alignment horizontal="right"/>
      <protection hidden="1"/>
    </xf>
    <xf numFmtId="0" fontId="7" fillId="0" borderId="0" xfId="0" applyFont="1" applyAlignment="1" applyProtection="1">
      <alignment vertical="center" shrinkToFit="1"/>
      <protection hidden="1"/>
    </xf>
    <xf numFmtId="0" fontId="7" fillId="0" borderId="0" xfId="0" applyFont="1" applyAlignment="1">
      <alignment vertical="center" shrinkToFit="1"/>
    </xf>
    <xf numFmtId="3" fontId="15" fillId="0" borderId="21" xfId="0" applyNumberFormat="1" applyFont="1" applyBorder="1" applyAlignment="1" applyProtection="1">
      <alignment horizontal="center" vertical="center"/>
      <protection hidden="1"/>
    </xf>
    <xf numFmtId="3" fontId="0" fillId="0" borderId="0" xfId="0" applyNumberFormat="1" applyAlignment="1" applyProtection="1">
      <alignment horizontal="center" vertical="center"/>
      <protection hidden="1"/>
    </xf>
    <xf numFmtId="3" fontId="15" fillId="0" borderId="0" xfId="0" applyNumberFormat="1" applyFont="1" applyAlignment="1" applyProtection="1">
      <alignment horizontal="center" vertical="center"/>
      <protection hidden="1"/>
    </xf>
    <xf numFmtId="167" fontId="10" fillId="6" borderId="107" xfId="0" applyNumberFormat="1" applyFont="1" applyFill="1" applyBorder="1" applyAlignment="1" applyProtection="1">
      <alignment horizontal="center" vertical="center"/>
      <protection hidden="1"/>
    </xf>
    <xf numFmtId="0" fontId="15" fillId="7" borderId="37" xfId="0" applyFont="1" applyFill="1" applyBorder="1" applyAlignment="1" applyProtection="1">
      <alignment horizontal="left" vertical="center"/>
      <protection locked="0"/>
    </xf>
    <xf numFmtId="1" fontId="14" fillId="0" borderId="32" xfId="0" applyNumberFormat="1" applyFont="1" applyBorder="1" applyAlignment="1">
      <alignment horizontal="center"/>
    </xf>
    <xf numFmtId="0" fontId="15" fillId="0" borderId="102" xfId="0" applyFont="1" applyBorder="1" applyAlignment="1" applyProtection="1">
      <alignment vertical="center"/>
      <protection locked="0"/>
    </xf>
    <xf numFmtId="0" fontId="15" fillId="2" borderId="102" xfId="0" applyFont="1" applyFill="1" applyBorder="1" applyAlignment="1" applyProtection="1">
      <alignment vertical="center"/>
      <protection locked="0"/>
    </xf>
    <xf numFmtId="0" fontId="15" fillId="0" borderId="141" xfId="0" applyFont="1" applyBorder="1" applyAlignment="1" applyProtection="1">
      <alignment vertical="center"/>
      <protection locked="0"/>
    </xf>
    <xf numFmtId="14" fontId="8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 vertical="center"/>
    </xf>
    <xf numFmtId="0" fontId="0" fillId="0" borderId="32" xfId="0" applyBorder="1"/>
    <xf numFmtId="166" fontId="0" fillId="0" borderId="32" xfId="0" applyNumberFormat="1" applyBorder="1"/>
    <xf numFmtId="1" fontId="0" fillId="0" borderId="32" xfId="0" applyNumberFormat="1" applyBorder="1"/>
    <xf numFmtId="164" fontId="0" fillId="0" borderId="24" xfId="2" applyNumberFormat="1" applyFont="1" applyBorder="1"/>
    <xf numFmtId="3" fontId="0" fillId="0" borderId="52" xfId="2" applyNumberFormat="1" applyFont="1" applyBorder="1"/>
    <xf numFmtId="3" fontId="0" fillId="0" borderId="32" xfId="0" applyNumberFormat="1" applyBorder="1"/>
    <xf numFmtId="3" fontId="0" fillId="0" borderId="33" xfId="0" applyNumberFormat="1" applyBorder="1"/>
    <xf numFmtId="3" fontId="0" fillId="0" borderId="58" xfId="0" applyNumberFormat="1" applyBorder="1"/>
    <xf numFmtId="3" fontId="0" fillId="0" borderId="52" xfId="0" applyNumberFormat="1" applyBorder="1"/>
    <xf numFmtId="3" fontId="9" fillId="0" borderId="59" xfId="0" applyNumberFormat="1" applyFont="1" applyBorder="1" applyAlignment="1" applyProtection="1">
      <alignment horizontal="center" vertical="center"/>
      <protection hidden="1"/>
    </xf>
    <xf numFmtId="0" fontId="0" fillId="0" borderId="49" xfId="0" applyBorder="1"/>
    <xf numFmtId="166" fontId="0" fillId="0" borderId="62" xfId="0" applyNumberFormat="1" applyBorder="1"/>
    <xf numFmtId="1" fontId="0" fillId="0" borderId="62" xfId="0" applyNumberFormat="1" applyBorder="1"/>
    <xf numFmtId="164" fontId="0" fillId="0" borderId="48" xfId="2" applyNumberFormat="1" applyFont="1" applyBorder="1"/>
    <xf numFmtId="3" fontId="0" fillId="0" borderId="49" xfId="2" applyNumberFormat="1" applyFont="1" applyBorder="1"/>
    <xf numFmtId="3" fontId="0" fillId="0" borderId="62" xfId="0" applyNumberFormat="1" applyBorder="1"/>
    <xf numFmtId="3" fontId="0" fillId="0" borderId="50" xfId="0" applyNumberFormat="1" applyBorder="1"/>
    <xf numFmtId="3" fontId="0" fillId="0" borderId="92" xfId="0" applyNumberFormat="1" applyBorder="1"/>
    <xf numFmtId="3" fontId="0" fillId="0" borderId="49" xfId="0" applyNumberFormat="1" applyBorder="1"/>
    <xf numFmtId="3" fontId="9" fillId="0" borderId="29" xfId="0" applyNumberFormat="1" applyFont="1" applyBorder="1" applyAlignment="1" applyProtection="1">
      <alignment horizontal="center" vertical="center"/>
      <protection hidden="1"/>
    </xf>
    <xf numFmtId="0" fontId="0" fillId="0" borderId="36" xfId="0" applyBorder="1"/>
    <xf numFmtId="0" fontId="0" fillId="0" borderId="37" xfId="0" applyBorder="1"/>
    <xf numFmtId="166" fontId="0" fillId="0" borderId="38" xfId="0" applyNumberFormat="1" applyBorder="1"/>
    <xf numFmtId="1" fontId="0" fillId="0" borderId="38" xfId="0" applyNumberFormat="1" applyBorder="1"/>
    <xf numFmtId="164" fontId="0" fillId="0" borderId="56" xfId="2" applyNumberFormat="1" applyFont="1" applyBorder="1"/>
    <xf numFmtId="3" fontId="0" fillId="0" borderId="37" xfId="2" applyNumberFormat="1" applyFont="1" applyBorder="1"/>
    <xf numFmtId="3" fontId="0" fillId="0" borderId="38" xfId="0" applyNumberFormat="1" applyBorder="1"/>
    <xf numFmtId="3" fontId="0" fillId="0" borderId="55" xfId="0" applyNumberFormat="1" applyBorder="1"/>
    <xf numFmtId="3" fontId="0" fillId="0" borderId="87" xfId="0" applyNumberFormat="1" applyBorder="1"/>
    <xf numFmtId="3" fontId="0" fillId="0" borderId="37" xfId="0" applyNumberFormat="1" applyBorder="1"/>
    <xf numFmtId="0" fontId="0" fillId="0" borderId="20" xfId="0" applyBorder="1"/>
    <xf numFmtId="166" fontId="0" fillId="0" borderId="20" xfId="0" applyNumberFormat="1" applyBorder="1"/>
    <xf numFmtId="1" fontId="0" fillId="0" borderId="20" xfId="0" applyNumberFormat="1" applyBorder="1"/>
    <xf numFmtId="164" fontId="0" fillId="0" borderId="19" xfId="2" applyNumberFormat="1" applyFont="1" applyBorder="1"/>
    <xf numFmtId="3" fontId="0" fillId="0" borderId="22" xfId="2" applyNumberFormat="1" applyFont="1" applyBorder="1"/>
    <xf numFmtId="3" fontId="0" fillId="0" borderId="20" xfId="0" applyNumberFormat="1" applyBorder="1"/>
    <xf numFmtId="3" fontId="0" fillId="0" borderId="23" xfId="0" applyNumberFormat="1" applyBorder="1"/>
    <xf numFmtId="3" fontId="0" fillId="0" borderId="9" xfId="0" applyNumberFormat="1" applyBorder="1"/>
    <xf numFmtId="3" fontId="0" fillId="0" borderId="22" xfId="0" applyNumberFormat="1" applyBorder="1"/>
    <xf numFmtId="0" fontId="0" fillId="0" borderId="38" xfId="0" applyBorder="1"/>
    <xf numFmtId="0" fontId="0" fillId="0" borderId="62" xfId="0" applyBorder="1"/>
    <xf numFmtId="3" fontId="0" fillId="0" borderId="34" xfId="2" applyNumberFormat="1" applyFont="1" applyBorder="1"/>
    <xf numFmtId="3" fontId="15" fillId="6" borderId="106" xfId="0" applyNumberFormat="1" applyFont="1" applyFill="1" applyBorder="1" applyAlignment="1" applyProtection="1">
      <alignment horizontal="center" vertical="center"/>
      <protection hidden="1"/>
    </xf>
    <xf numFmtId="3" fontId="15" fillId="6" borderId="107" xfId="0" applyNumberFormat="1" applyFont="1" applyFill="1" applyBorder="1" applyAlignment="1" applyProtection="1">
      <alignment horizontal="center" vertical="center"/>
      <protection hidden="1"/>
    </xf>
    <xf numFmtId="0" fontId="15" fillId="0" borderId="136" xfId="0" applyFont="1" applyBorder="1" applyProtection="1">
      <protection hidden="1"/>
    </xf>
    <xf numFmtId="0" fontId="15" fillId="0" borderId="137" xfId="0" applyFont="1" applyBorder="1" applyProtection="1">
      <protection hidden="1"/>
    </xf>
    <xf numFmtId="0" fontId="15" fillId="0" borderId="136" xfId="0" applyFont="1" applyBorder="1" applyAlignment="1" applyProtection="1">
      <alignment horizontal="left"/>
      <protection hidden="1"/>
    </xf>
    <xf numFmtId="0" fontId="15" fillId="0" borderId="137" xfId="0" applyFont="1" applyBorder="1" applyAlignment="1" applyProtection="1">
      <alignment horizontal="left"/>
      <protection hidden="1"/>
    </xf>
    <xf numFmtId="0" fontId="14" fillId="0" borderId="99" xfId="0" applyFont="1" applyBorder="1" applyAlignment="1" applyProtection="1">
      <alignment horizontal="left"/>
      <protection hidden="1"/>
    </xf>
    <xf numFmtId="0" fontId="15" fillId="8" borderId="0" xfId="0" applyFont="1" applyFill="1" applyAlignment="1" applyProtection="1">
      <alignment horizontal="left" vertical="center"/>
      <protection hidden="1"/>
    </xf>
    <xf numFmtId="3" fontId="14" fillId="8" borderId="0" xfId="0" applyNumberFormat="1" applyFont="1" applyFill="1" applyAlignment="1" applyProtection="1">
      <alignment vertical="center"/>
      <protection hidden="1"/>
    </xf>
    <xf numFmtId="0" fontId="14" fillId="8" borderId="0" xfId="0" applyFont="1" applyFill="1" applyProtection="1">
      <protection hidden="1"/>
    </xf>
    <xf numFmtId="0" fontId="15" fillId="8" borderId="0" xfId="0" applyFont="1" applyFill="1" applyAlignment="1" applyProtection="1">
      <alignment shrinkToFit="1"/>
      <protection hidden="1"/>
    </xf>
    <xf numFmtId="3" fontId="15" fillId="8" borderId="0" xfId="0" quotePrefix="1" applyNumberFormat="1" applyFont="1" applyFill="1" applyAlignment="1">
      <alignment horizontal="right" vertical="center"/>
    </xf>
    <xf numFmtId="167" fontId="15" fillId="8" borderId="0" xfId="0" applyNumberFormat="1" applyFont="1" applyFill="1" applyAlignment="1">
      <alignment horizontal="center" vertical="center" shrinkToFit="1"/>
    </xf>
    <xf numFmtId="0" fontId="48" fillId="0" borderId="112" xfId="0" applyFont="1" applyBorder="1" applyAlignment="1" applyProtection="1">
      <alignment horizontal="right" vertical="center"/>
      <protection hidden="1"/>
    </xf>
    <xf numFmtId="0" fontId="15" fillId="0" borderId="114" xfId="0" applyFont="1" applyBorder="1" applyAlignment="1" applyProtection="1">
      <alignment horizontal="center"/>
      <protection hidden="1"/>
    </xf>
    <xf numFmtId="4" fontId="7" fillId="0" borderId="0" xfId="0" applyNumberFormat="1" applyFont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4" fontId="54" fillId="0" borderId="0" xfId="0" applyNumberFormat="1" applyFont="1" applyAlignment="1" applyProtection="1">
      <alignment horizontal="left"/>
      <protection hidden="1"/>
    </xf>
    <xf numFmtId="166" fontId="10" fillId="0" borderId="0" xfId="2" applyNumberFormat="1" applyFont="1" applyAlignment="1" applyProtection="1">
      <alignment horizontal="center" vertical="center"/>
      <protection hidden="1"/>
    </xf>
    <xf numFmtId="164" fontId="10" fillId="0" borderId="0" xfId="2" applyNumberFormat="1" applyFont="1" applyAlignment="1" applyProtection="1">
      <alignment horizontal="center" vertical="center"/>
      <protection hidden="1"/>
    </xf>
    <xf numFmtId="0" fontId="65" fillId="0" borderId="112" xfId="0" applyFont="1" applyBorder="1" applyAlignment="1">
      <alignment horizontal="right" vertical="center"/>
    </xf>
    <xf numFmtId="0" fontId="48" fillId="0" borderId="135" xfId="0" applyFont="1" applyBorder="1" applyAlignment="1" applyProtection="1">
      <alignment horizontal="right"/>
      <protection hidden="1"/>
    </xf>
    <xf numFmtId="0" fontId="49" fillId="0" borderId="72" xfId="0" applyFont="1" applyBorder="1"/>
    <xf numFmtId="0" fontId="49" fillId="0" borderId="80" xfId="0" applyFont="1" applyBorder="1"/>
    <xf numFmtId="0" fontId="49" fillId="0" borderId="72" xfId="0" applyFont="1" applyBorder="1" applyAlignment="1">
      <alignment horizontal="left"/>
    </xf>
    <xf numFmtId="3" fontId="63" fillId="6" borderId="18" xfId="0" applyNumberFormat="1" applyFont="1" applyFill="1" applyBorder="1" applyAlignment="1" applyProtection="1">
      <alignment horizontal="right" vertical="center"/>
      <protection hidden="1"/>
    </xf>
    <xf numFmtId="0" fontId="63" fillId="0" borderId="118" xfId="0" applyFont="1" applyBorder="1" applyAlignment="1">
      <alignment horizontal="center" vertical="center"/>
    </xf>
    <xf numFmtId="164" fontId="63" fillId="6" borderId="18" xfId="2" applyNumberFormat="1" applyFont="1" applyFill="1" applyBorder="1" applyAlignment="1">
      <alignment vertical="center"/>
    </xf>
    <xf numFmtId="0" fontId="48" fillId="0" borderId="118" xfId="0" applyFont="1" applyBorder="1" applyAlignment="1">
      <alignment horizontal="center" vertical="center"/>
    </xf>
    <xf numFmtId="166" fontId="48" fillId="6" borderId="18" xfId="0" applyNumberFormat="1" applyFont="1" applyFill="1" applyBorder="1" applyAlignment="1">
      <alignment vertical="center"/>
    </xf>
    <xf numFmtId="164" fontId="48" fillId="6" borderId="18" xfId="2" applyNumberFormat="1" applyFont="1" applyFill="1" applyBorder="1" applyAlignment="1">
      <alignment vertical="center"/>
    </xf>
    <xf numFmtId="164" fontId="48" fillId="6" borderId="20" xfId="2" applyNumberFormat="1" applyFont="1" applyFill="1" applyBorder="1" applyAlignment="1">
      <alignment vertical="center"/>
    </xf>
    <xf numFmtId="167" fontId="14" fillId="0" borderId="0" xfId="0" applyNumberFormat="1" applyFont="1" applyAlignment="1" applyProtection="1">
      <alignment horizontal="center" vertical="center"/>
      <protection hidden="1"/>
    </xf>
    <xf numFmtId="166" fontId="15" fillId="0" borderId="112" xfId="0" applyNumberFormat="1" applyFont="1" applyBorder="1" applyAlignment="1" applyProtection="1">
      <alignment horizontal="center" vertical="center"/>
      <protection hidden="1"/>
    </xf>
    <xf numFmtId="3" fontId="14" fillId="0" borderId="112" xfId="0" applyNumberFormat="1" applyFont="1" applyBorder="1" applyAlignment="1" applyProtection="1">
      <alignment horizontal="center" vertical="center"/>
      <protection hidden="1"/>
    </xf>
    <xf numFmtId="166" fontId="14" fillId="0" borderId="112" xfId="0" applyNumberFormat="1" applyFont="1" applyBorder="1" applyAlignment="1" applyProtection="1">
      <alignment horizontal="center" vertical="center"/>
      <protection hidden="1"/>
    </xf>
    <xf numFmtId="167" fontId="15" fillId="8" borderId="112" xfId="0" applyNumberFormat="1" applyFont="1" applyFill="1" applyBorder="1" applyAlignment="1" applyProtection="1">
      <alignment vertical="center"/>
      <protection hidden="1"/>
    </xf>
    <xf numFmtId="167" fontId="14" fillId="8" borderId="112" xfId="0" applyNumberFormat="1" applyFont="1" applyFill="1" applyBorder="1" applyAlignment="1" applyProtection="1">
      <alignment vertical="center"/>
      <protection hidden="1"/>
    </xf>
    <xf numFmtId="14" fontId="14" fillId="0" borderId="0" xfId="0" applyNumberFormat="1" applyFont="1" applyAlignment="1" applyProtection="1">
      <alignment horizontal="left" vertical="center"/>
      <protection hidden="1"/>
    </xf>
    <xf numFmtId="167" fontId="64" fillId="0" borderId="0" xfId="0" applyNumberFormat="1" applyFont="1" applyAlignment="1" applyProtection="1">
      <alignment horizontal="left" vertical="center"/>
      <protection hidden="1"/>
    </xf>
    <xf numFmtId="14" fontId="14" fillId="0" borderId="0" xfId="0" applyNumberFormat="1" applyFont="1" applyAlignment="1">
      <alignment horizontal="left" shrinkToFit="1"/>
    </xf>
    <xf numFmtId="0" fontId="14" fillId="0" borderId="27" xfId="0" applyFont="1" applyBorder="1" applyAlignment="1" applyProtection="1">
      <alignment horizontal="left" vertical="center" indent="1"/>
      <protection hidden="1"/>
    </xf>
    <xf numFmtId="0" fontId="14" fillId="0" borderId="109" xfId="0" applyFont="1" applyBorder="1" applyAlignment="1" applyProtection="1">
      <alignment horizontal="center"/>
      <protection hidden="1"/>
    </xf>
    <xf numFmtId="0" fontId="15" fillId="0" borderId="109" xfId="0" applyFont="1" applyBorder="1" applyAlignment="1" applyProtection="1">
      <alignment horizontal="center"/>
      <protection hidden="1"/>
    </xf>
    <xf numFmtId="0" fontId="10" fillId="0" borderId="109" xfId="0" applyFont="1" applyBorder="1" applyAlignment="1" applyProtection="1">
      <alignment horizontal="center"/>
      <protection hidden="1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left" vertical="center"/>
    </xf>
    <xf numFmtId="0" fontId="14" fillId="0" borderId="53" xfId="0" applyFont="1" applyBorder="1" applyAlignment="1">
      <alignment horizontal="center" vertical="center"/>
    </xf>
    <xf numFmtId="3" fontId="15" fillId="0" borderId="20" xfId="0" applyNumberFormat="1" applyFont="1" applyBorder="1" applyAlignment="1" applyProtection="1">
      <alignment horizontal="center" vertical="center"/>
      <protection hidden="1"/>
    </xf>
    <xf numFmtId="164" fontId="48" fillId="7" borderId="18" xfId="0" applyNumberFormat="1" applyFont="1" applyFill="1" applyBorder="1" applyAlignment="1" applyProtection="1">
      <alignment horizontal="center" vertical="center"/>
      <protection locked="0" hidden="1"/>
    </xf>
    <xf numFmtId="164" fontId="48" fillId="7" borderId="18" xfId="2" applyNumberFormat="1" applyFont="1" applyFill="1" applyBorder="1" applyAlignment="1" applyProtection="1">
      <alignment horizontal="center" vertical="center"/>
      <protection locked="0" hidden="1"/>
    </xf>
    <xf numFmtId="164" fontId="48" fillId="7" borderId="20" xfId="2" applyNumberFormat="1" applyFont="1" applyFill="1" applyBorder="1" applyAlignment="1" applyProtection="1">
      <alignment horizontal="center" vertical="center"/>
      <protection locked="0" hidden="1"/>
    </xf>
    <xf numFmtId="3" fontId="15" fillId="0" borderId="38" xfId="0" applyNumberFormat="1" applyFont="1" applyBorder="1" applyAlignment="1" applyProtection="1">
      <alignment horizontal="center" vertical="center"/>
      <protection hidden="1"/>
    </xf>
    <xf numFmtId="3" fontId="15" fillId="0" borderId="55" xfId="0" applyNumberFormat="1" applyFont="1" applyBorder="1" applyAlignment="1" applyProtection="1">
      <alignment horizontal="center" vertical="center"/>
      <protection hidden="1"/>
    </xf>
    <xf numFmtId="3" fontId="14" fillId="0" borderId="18" xfId="0" applyNumberFormat="1" applyFont="1" applyBorder="1" applyAlignment="1" applyProtection="1">
      <alignment horizontal="center" vertical="center"/>
      <protection hidden="1"/>
    </xf>
    <xf numFmtId="3" fontId="14" fillId="0" borderId="21" xfId="0" applyNumberFormat="1" applyFont="1" applyBorder="1" applyAlignment="1" applyProtection="1">
      <alignment horizontal="center" vertical="center"/>
      <protection hidden="1"/>
    </xf>
    <xf numFmtId="167" fontId="48" fillId="0" borderId="18" xfId="0" applyNumberFormat="1" applyFont="1" applyBorder="1" applyAlignment="1" applyProtection="1">
      <alignment horizontal="center" vertical="center"/>
      <protection hidden="1"/>
    </xf>
    <xf numFmtId="164" fontId="48" fillId="0" borderId="18" xfId="0" applyNumberFormat="1" applyFont="1" applyBorder="1" applyAlignment="1" applyProtection="1">
      <alignment horizontal="center" vertical="center"/>
      <protection hidden="1"/>
    </xf>
    <xf numFmtId="3" fontId="14" fillId="7" borderId="18" xfId="0" applyNumberFormat="1" applyFont="1" applyFill="1" applyBorder="1" applyAlignment="1" applyProtection="1">
      <alignment horizontal="center" vertical="center"/>
      <protection locked="0"/>
    </xf>
    <xf numFmtId="3" fontId="14" fillId="0" borderId="34" xfId="0" applyNumberFormat="1" applyFont="1" applyBorder="1" applyAlignment="1" applyProtection="1">
      <alignment horizontal="center" vertical="center"/>
      <protection hidden="1"/>
    </xf>
    <xf numFmtId="3" fontId="9" fillId="0" borderId="61" xfId="0" applyNumberFormat="1" applyFont="1" applyBorder="1" applyAlignment="1" applyProtection="1">
      <alignment horizontal="center" vertical="center"/>
      <protection hidden="1"/>
    </xf>
    <xf numFmtId="3" fontId="9" fillId="0" borderId="57" xfId="0" applyNumberFormat="1" applyFont="1" applyBorder="1" applyAlignment="1" applyProtection="1">
      <alignment horizontal="center" vertical="center"/>
      <protection hidden="1"/>
    </xf>
    <xf numFmtId="3" fontId="9" fillId="0" borderId="6" xfId="0" applyNumberFormat="1" applyFont="1" applyBorder="1" applyAlignment="1" applyProtection="1">
      <alignment horizontal="center" vertical="center"/>
      <protection hidden="1"/>
    </xf>
    <xf numFmtId="10" fontId="10" fillId="7" borderId="130" xfId="0" applyNumberFormat="1" applyFont="1" applyFill="1" applyBorder="1" applyAlignment="1" applyProtection="1">
      <alignment horizontal="center" vertical="center"/>
      <protection locked="0"/>
    </xf>
    <xf numFmtId="3" fontId="15" fillId="0" borderId="24" xfId="0" applyNumberFormat="1" applyFont="1" applyBorder="1" applyAlignment="1" applyProtection="1">
      <alignment horizontal="center" vertical="center"/>
      <protection hidden="1"/>
    </xf>
    <xf numFmtId="3" fontId="15" fillId="0" borderId="17" xfId="0" applyNumberFormat="1" applyFont="1" applyBorder="1" applyAlignment="1" applyProtection="1">
      <alignment horizontal="center" vertical="center"/>
      <protection hidden="1"/>
    </xf>
    <xf numFmtId="3" fontId="15" fillId="6" borderId="21" xfId="0" applyNumberFormat="1" applyFont="1" applyFill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5" fillId="0" borderId="106" xfId="0" applyNumberFormat="1" applyFont="1" applyBorder="1" applyAlignment="1" applyProtection="1">
      <alignment horizontal="center" vertical="center"/>
      <protection hidden="1"/>
    </xf>
    <xf numFmtId="3" fontId="15" fillId="0" borderId="52" xfId="0" applyNumberFormat="1" applyFont="1" applyBorder="1" applyAlignment="1" applyProtection="1">
      <alignment horizontal="center" vertical="center"/>
      <protection hidden="1"/>
    </xf>
    <xf numFmtId="3" fontId="15" fillId="7" borderId="36" xfId="0" applyNumberFormat="1" applyFont="1" applyFill="1" applyBorder="1" applyAlignment="1" applyProtection="1">
      <alignment horizontal="center" vertical="center"/>
      <protection locked="0"/>
    </xf>
    <xf numFmtId="3" fontId="14" fillId="0" borderId="36" xfId="0" applyNumberFormat="1" applyFont="1" applyBorder="1" applyAlignment="1" applyProtection="1">
      <alignment horizontal="center" vertical="center"/>
      <protection hidden="1"/>
    </xf>
    <xf numFmtId="3" fontId="15" fillId="0" borderId="36" xfId="0" applyNumberFormat="1" applyFont="1" applyBorder="1" applyAlignment="1" applyProtection="1">
      <alignment horizontal="center" vertical="center"/>
      <protection hidden="1"/>
    </xf>
    <xf numFmtId="3" fontId="15" fillId="6" borderId="36" xfId="0" applyNumberFormat="1" applyFont="1" applyFill="1" applyBorder="1" applyAlignment="1">
      <alignment horizontal="center" vertical="center"/>
    </xf>
    <xf numFmtId="3" fontId="14" fillId="0" borderId="22" xfId="0" applyNumberFormat="1" applyFont="1" applyBorder="1" applyAlignment="1" applyProtection="1">
      <alignment horizontal="center" vertical="center"/>
      <protection hidden="1"/>
    </xf>
    <xf numFmtId="3" fontId="15" fillId="7" borderId="22" xfId="0" applyNumberFormat="1" applyFont="1" applyFill="1" applyBorder="1" applyAlignment="1" applyProtection="1">
      <alignment horizontal="center" vertical="center"/>
      <protection locked="0" hidden="1"/>
    </xf>
    <xf numFmtId="164" fontId="48" fillId="7" borderId="22" xfId="0" applyNumberFormat="1" applyFont="1" applyFill="1" applyBorder="1" applyAlignment="1" applyProtection="1">
      <alignment horizontal="center" vertical="center"/>
      <protection locked="0"/>
    </xf>
    <xf numFmtId="164" fontId="48" fillId="0" borderId="35" xfId="0" applyNumberFormat="1" applyFont="1" applyBorder="1" applyAlignment="1">
      <alignment horizontal="center" vertical="center"/>
    </xf>
    <xf numFmtId="3" fontId="15" fillId="0" borderId="22" xfId="0" applyNumberFormat="1" applyFont="1" applyBorder="1" applyAlignment="1" applyProtection="1">
      <alignment horizontal="center" vertical="center"/>
      <protection hidden="1"/>
    </xf>
    <xf numFmtId="3" fontId="14" fillId="0" borderId="37" xfId="0" applyNumberFormat="1" applyFont="1" applyBorder="1" applyAlignment="1" applyProtection="1">
      <alignment horizontal="center" vertical="center"/>
      <protection hidden="1"/>
    </xf>
    <xf numFmtId="0" fontId="66" fillId="0" borderId="72" xfId="0" applyFont="1" applyBorder="1"/>
    <xf numFmtId="164" fontId="15" fillId="0" borderId="18" xfId="2" applyNumberFormat="1" applyFont="1" applyBorder="1" applyAlignment="1" applyProtection="1">
      <alignment horizontal="center" vertical="center"/>
      <protection hidden="1"/>
    </xf>
    <xf numFmtId="164" fontId="15" fillId="6" borderId="20" xfId="0" applyNumberFormat="1" applyFont="1" applyFill="1" applyBorder="1" applyAlignment="1" applyProtection="1">
      <alignment horizontal="right"/>
      <protection hidden="1"/>
    </xf>
    <xf numFmtId="167" fontId="15" fillId="0" borderId="0" xfId="0" applyNumberFormat="1" applyFont="1" applyAlignment="1" applyProtection="1">
      <alignment horizontal="center"/>
      <protection hidden="1"/>
    </xf>
    <xf numFmtId="0" fontId="15" fillId="0" borderId="17" xfId="0" applyFont="1" applyBorder="1"/>
    <xf numFmtId="164" fontId="15" fillId="7" borderId="24" xfId="0" applyNumberFormat="1" applyFont="1" applyFill="1" applyBorder="1" applyAlignment="1" applyProtection="1">
      <alignment horizontal="center" vertical="center"/>
      <protection locked="0"/>
    </xf>
    <xf numFmtId="3" fontId="15" fillId="7" borderId="52" xfId="0" applyNumberFormat="1" applyFont="1" applyFill="1" applyBorder="1" applyAlignment="1" applyProtection="1">
      <alignment horizontal="center" vertical="center"/>
      <protection locked="0"/>
    </xf>
    <xf numFmtId="3" fontId="15" fillId="7" borderId="17" xfId="0" applyNumberFormat="1" applyFont="1" applyFill="1" applyBorder="1" applyAlignment="1" applyProtection="1">
      <alignment horizontal="center" vertical="center"/>
      <protection locked="0"/>
    </xf>
    <xf numFmtId="3" fontId="15" fillId="7" borderId="38" xfId="0" applyNumberFormat="1" applyFont="1" applyFill="1" applyBorder="1" applyAlignment="1" applyProtection="1">
      <alignment horizontal="center" vertical="center"/>
      <protection locked="0"/>
    </xf>
    <xf numFmtId="164" fontId="15" fillId="7" borderId="56" xfId="0" applyNumberFormat="1" applyFont="1" applyFill="1" applyBorder="1" applyAlignment="1" applyProtection="1">
      <alignment horizontal="center" vertical="center"/>
      <protection locked="0"/>
    </xf>
    <xf numFmtId="3" fontId="15" fillId="7" borderId="37" xfId="0" applyNumberFormat="1" applyFont="1" applyFill="1" applyBorder="1" applyAlignment="1" applyProtection="1">
      <alignment horizontal="center" vertical="center"/>
      <protection locked="0"/>
    </xf>
    <xf numFmtId="3" fontId="15" fillId="7" borderId="15" xfId="0" applyNumberFormat="1" applyFont="1" applyFill="1" applyBorder="1" applyAlignment="1" applyProtection="1">
      <alignment horizontal="center" vertical="center"/>
      <protection locked="0"/>
    </xf>
    <xf numFmtId="3" fontId="15" fillId="0" borderId="56" xfId="0" applyNumberFormat="1" applyFont="1" applyBorder="1" applyAlignment="1" applyProtection="1">
      <alignment horizontal="center" vertical="center"/>
      <protection hidden="1"/>
    </xf>
    <xf numFmtId="3" fontId="15" fillId="0" borderId="37" xfId="0" applyNumberFormat="1" applyFont="1" applyBorder="1" applyAlignment="1" applyProtection="1">
      <alignment horizontal="center" vertical="center"/>
      <protection hidden="1"/>
    </xf>
    <xf numFmtId="3" fontId="15" fillId="0" borderId="15" xfId="0" applyNumberFormat="1" applyFont="1" applyBorder="1" applyAlignment="1" applyProtection="1">
      <alignment horizontal="center" vertical="center"/>
      <protection hidden="1"/>
    </xf>
    <xf numFmtId="3" fontId="15" fillId="0" borderId="17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15" fillId="0" borderId="15" xfId="0" applyNumberFormat="1" applyFont="1" applyBorder="1" applyAlignment="1">
      <alignment horizontal="center" vertical="center"/>
    </xf>
    <xf numFmtId="3" fontId="15" fillId="0" borderId="56" xfId="0" applyNumberFormat="1" applyFont="1" applyBorder="1" applyAlignment="1">
      <alignment horizontal="center" vertical="center"/>
    </xf>
    <xf numFmtId="3" fontId="15" fillId="0" borderId="51" xfId="0" applyNumberFormat="1" applyFont="1" applyBorder="1" applyAlignment="1" applyProtection="1">
      <alignment horizontal="center" vertical="center"/>
      <protection hidden="1"/>
    </xf>
    <xf numFmtId="3" fontId="15" fillId="0" borderId="26" xfId="0" applyNumberFormat="1" applyFont="1" applyBorder="1" applyAlignment="1">
      <alignment horizontal="center" vertical="center"/>
    </xf>
    <xf numFmtId="3" fontId="15" fillId="0" borderId="26" xfId="0" applyNumberFormat="1" applyFont="1" applyBorder="1" applyAlignment="1" applyProtection="1">
      <alignment horizontal="center" vertical="center"/>
      <protection hidden="1"/>
    </xf>
    <xf numFmtId="3" fontId="15" fillId="0" borderId="60" xfId="0" applyNumberFormat="1" applyFont="1" applyBorder="1" applyAlignment="1" applyProtection="1">
      <alignment horizontal="center" vertical="center"/>
      <protection hidden="1"/>
    </xf>
    <xf numFmtId="3" fontId="15" fillId="7" borderId="85" xfId="0" applyNumberFormat="1" applyFont="1" applyFill="1" applyBorder="1" applyAlignment="1" applyProtection="1">
      <alignment horizontal="center" vertical="center"/>
      <protection locked="0"/>
    </xf>
    <xf numFmtId="164" fontId="15" fillId="7" borderId="89" xfId="0" applyNumberFormat="1" applyFont="1" applyFill="1" applyBorder="1" applyAlignment="1" applyProtection="1">
      <alignment horizontal="center" vertical="center"/>
      <protection locked="0"/>
    </xf>
    <xf numFmtId="3" fontId="15" fillId="0" borderId="88" xfId="0" applyNumberFormat="1" applyFont="1" applyBorder="1" applyAlignment="1" applyProtection="1">
      <alignment horizontal="center" vertical="center"/>
      <protection hidden="1"/>
    </xf>
    <xf numFmtId="3" fontId="15" fillId="0" borderId="90" xfId="0" applyNumberFormat="1" applyFont="1" applyBorder="1" applyAlignment="1">
      <alignment horizontal="center" vertical="center"/>
    </xf>
    <xf numFmtId="3" fontId="15" fillId="0" borderId="89" xfId="0" applyNumberFormat="1" applyFont="1" applyBorder="1" applyAlignment="1">
      <alignment horizontal="center" vertical="center"/>
    </xf>
    <xf numFmtId="3" fontId="15" fillId="0" borderId="89" xfId="0" applyNumberFormat="1" applyFont="1" applyBorder="1" applyAlignment="1" applyProtection="1">
      <alignment horizontal="center" vertical="center"/>
      <protection hidden="1"/>
    </xf>
    <xf numFmtId="3" fontId="15" fillId="0" borderId="84" xfId="0" applyNumberFormat="1" applyFont="1" applyBorder="1" applyAlignment="1" applyProtection="1">
      <alignment horizontal="center" vertical="center"/>
      <protection hidden="1"/>
    </xf>
    <xf numFmtId="3" fontId="15" fillId="7" borderId="88" xfId="0" applyNumberFormat="1" applyFont="1" applyFill="1" applyBorder="1" applyAlignment="1" applyProtection="1">
      <alignment horizontal="center" vertical="center"/>
      <protection locked="0"/>
    </xf>
    <xf numFmtId="3" fontId="14" fillId="0" borderId="61" xfId="0" applyNumberFormat="1" applyFont="1" applyBorder="1" applyAlignment="1" applyProtection="1">
      <alignment horizontal="center" vertical="center"/>
      <protection hidden="1"/>
    </xf>
    <xf numFmtId="0" fontId="14" fillId="6" borderId="34" xfId="0" applyFont="1" applyFill="1" applyBorder="1" applyAlignment="1" applyProtection="1">
      <alignment horizontal="center" vertical="center"/>
      <protection hidden="1"/>
    </xf>
    <xf numFmtId="3" fontId="14" fillId="0" borderId="53" xfId="0" applyNumberFormat="1" applyFont="1" applyBorder="1" applyAlignment="1" applyProtection="1">
      <alignment horizontal="center" vertical="center"/>
      <protection hidden="1"/>
    </xf>
    <xf numFmtId="3" fontId="14" fillId="0" borderId="57" xfId="0" applyNumberFormat="1" applyFont="1" applyBorder="1" applyAlignment="1" applyProtection="1">
      <alignment horizontal="center" vertical="center"/>
      <protection hidden="1"/>
    </xf>
    <xf numFmtId="3" fontId="14" fillId="0" borderId="91" xfId="0" applyNumberFormat="1" applyFont="1" applyBorder="1" applyAlignment="1" applyProtection="1">
      <alignment horizontal="center" vertical="center"/>
      <protection hidden="1"/>
    </xf>
    <xf numFmtId="3" fontId="14" fillId="0" borderId="64" xfId="0" applyNumberFormat="1" applyFont="1" applyBorder="1" applyAlignment="1" applyProtection="1">
      <alignment horizontal="center" vertical="center"/>
      <protection hidden="1"/>
    </xf>
    <xf numFmtId="3" fontId="14" fillId="0" borderId="42" xfId="0" applyNumberFormat="1" applyFont="1" applyBorder="1" applyAlignment="1" applyProtection="1">
      <alignment horizontal="center" vertical="center"/>
      <protection hidden="1"/>
    </xf>
    <xf numFmtId="3" fontId="15" fillId="8" borderId="17" xfId="0" applyNumberFormat="1" applyFont="1" applyFill="1" applyBorder="1" applyAlignment="1" applyProtection="1">
      <alignment horizontal="center" vertical="center"/>
      <protection hidden="1"/>
    </xf>
    <xf numFmtId="3" fontId="15" fillId="8" borderId="58" xfId="0" applyNumberFormat="1" applyFont="1" applyFill="1" applyBorder="1" applyAlignment="1" applyProtection="1">
      <alignment horizontal="center" vertical="center"/>
      <protection hidden="1"/>
    </xf>
    <xf numFmtId="3" fontId="15" fillId="8" borderId="52" xfId="0" applyNumberFormat="1" applyFont="1" applyFill="1" applyBorder="1" applyAlignment="1" applyProtection="1">
      <alignment horizontal="center" vertical="center"/>
      <protection hidden="1"/>
    </xf>
    <xf numFmtId="164" fontId="15" fillId="7" borderId="21" xfId="0" applyNumberFormat="1" applyFont="1" applyFill="1" applyBorder="1" applyAlignment="1" applyProtection="1">
      <alignment horizontal="center" vertical="center"/>
      <protection locked="0"/>
    </xf>
    <xf numFmtId="3" fontId="15" fillId="6" borderId="52" xfId="0" applyNumberFormat="1" applyFont="1" applyFill="1" applyBorder="1" applyAlignment="1" applyProtection="1">
      <alignment horizontal="center" vertical="center"/>
      <protection hidden="1"/>
    </xf>
    <xf numFmtId="3" fontId="15" fillId="6" borderId="17" xfId="0" applyNumberFormat="1" applyFont="1" applyFill="1" applyBorder="1" applyAlignment="1" applyProtection="1">
      <alignment horizontal="center" vertical="center"/>
      <protection hidden="1"/>
    </xf>
    <xf numFmtId="3" fontId="15" fillId="6" borderId="24" xfId="0" applyNumberFormat="1" applyFont="1" applyFill="1" applyBorder="1" applyAlignment="1" applyProtection="1">
      <alignment horizontal="center" vertical="center"/>
      <protection hidden="1"/>
    </xf>
    <xf numFmtId="3" fontId="15" fillId="6" borderId="11" xfId="0" applyNumberFormat="1" applyFont="1" applyFill="1" applyBorder="1" applyAlignment="1">
      <alignment horizontal="center" vertical="center"/>
    </xf>
    <xf numFmtId="3" fontId="15" fillId="6" borderId="11" xfId="0" applyNumberFormat="1" applyFont="1" applyFill="1" applyBorder="1" applyAlignment="1" applyProtection="1">
      <alignment horizontal="center" vertical="center"/>
      <protection hidden="1"/>
    </xf>
    <xf numFmtId="3" fontId="15" fillId="6" borderId="35" xfId="0" applyNumberFormat="1" applyFont="1" applyFill="1" applyBorder="1" applyAlignment="1" applyProtection="1">
      <alignment horizontal="center" vertical="center"/>
      <protection hidden="1"/>
    </xf>
    <xf numFmtId="3" fontId="15" fillId="7" borderId="43" xfId="0" applyNumberFormat="1" applyFont="1" applyFill="1" applyBorder="1" applyAlignment="1" applyProtection="1">
      <alignment horizontal="center" vertical="center"/>
      <protection locked="0"/>
    </xf>
    <xf numFmtId="3" fontId="15" fillId="8" borderId="11" xfId="0" applyNumberFormat="1" applyFont="1" applyFill="1" applyBorder="1" applyAlignment="1" applyProtection="1">
      <alignment horizontal="center" vertical="center"/>
      <protection hidden="1"/>
    </xf>
    <xf numFmtId="3" fontId="15" fillId="0" borderId="36" xfId="0" applyNumberFormat="1" applyFont="1" applyBorder="1" applyAlignment="1">
      <alignment horizontal="center" vertical="center"/>
    </xf>
    <xf numFmtId="164" fontId="15" fillId="7" borderId="142" xfId="0" applyNumberFormat="1" applyFont="1" applyFill="1" applyBorder="1" applyAlignment="1" applyProtection="1">
      <alignment horizontal="center" vertical="center"/>
      <protection locked="0"/>
    </xf>
    <xf numFmtId="3" fontId="15" fillId="6" borderId="93" xfId="0" applyNumberFormat="1" applyFont="1" applyFill="1" applyBorder="1" applyAlignment="1">
      <alignment horizontal="center" vertical="center"/>
    </xf>
    <xf numFmtId="3" fontId="15" fillId="6" borderId="90" xfId="0" applyNumberFormat="1" applyFont="1" applyFill="1" applyBorder="1" applyAlignment="1">
      <alignment horizontal="center" vertical="center"/>
    </xf>
    <xf numFmtId="3" fontId="15" fillId="6" borderId="89" xfId="0" applyNumberFormat="1" applyFont="1" applyFill="1" applyBorder="1" applyAlignment="1">
      <alignment horizontal="center" vertical="center"/>
    </xf>
    <xf numFmtId="3" fontId="15" fillId="6" borderId="88" xfId="0" applyNumberFormat="1" applyFont="1" applyFill="1" applyBorder="1" applyAlignment="1">
      <alignment horizontal="center" vertical="center"/>
    </xf>
    <xf numFmtId="3" fontId="15" fillId="6" borderId="90" xfId="0" applyNumberFormat="1" applyFont="1" applyFill="1" applyBorder="1" applyAlignment="1" applyProtection="1">
      <alignment horizontal="center" vertical="center"/>
      <protection hidden="1"/>
    </xf>
    <xf numFmtId="3" fontId="15" fillId="6" borderId="84" xfId="0" applyNumberFormat="1" applyFont="1" applyFill="1" applyBorder="1" applyAlignment="1" applyProtection="1">
      <alignment horizontal="center" vertical="center"/>
      <protection hidden="1"/>
    </xf>
    <xf numFmtId="3" fontId="15" fillId="0" borderId="93" xfId="0" applyNumberFormat="1" applyFont="1" applyBorder="1" applyAlignment="1">
      <alignment horizontal="center" vertical="center"/>
    </xf>
    <xf numFmtId="3" fontId="15" fillId="8" borderId="90" xfId="0" applyNumberFormat="1" applyFont="1" applyFill="1" applyBorder="1" applyAlignment="1" applyProtection="1">
      <alignment horizontal="center" vertical="center"/>
      <protection hidden="1"/>
    </xf>
    <xf numFmtId="3" fontId="14" fillId="8" borderId="61" xfId="0" applyNumberFormat="1" applyFont="1" applyFill="1" applyBorder="1" applyAlignment="1" applyProtection="1">
      <alignment horizontal="center" vertical="center"/>
      <protection hidden="1"/>
    </xf>
    <xf numFmtId="164" fontId="14" fillId="6" borderId="57" xfId="0" applyNumberFormat="1" applyFont="1" applyFill="1" applyBorder="1" applyAlignment="1" applyProtection="1">
      <alignment horizontal="center" vertical="center"/>
      <protection hidden="1"/>
    </xf>
    <xf numFmtId="3" fontId="14" fillId="8" borderId="53" xfId="0" applyNumberFormat="1" applyFont="1" applyFill="1" applyBorder="1" applyAlignment="1" applyProtection="1">
      <alignment horizontal="center" vertical="center"/>
      <protection hidden="1"/>
    </xf>
    <xf numFmtId="3" fontId="14" fillId="8" borderId="64" xfId="0" applyNumberFormat="1" applyFont="1" applyFill="1" applyBorder="1" applyAlignment="1" applyProtection="1">
      <alignment horizontal="center" vertical="center"/>
      <protection hidden="1"/>
    </xf>
    <xf numFmtId="3" fontId="14" fillId="8" borderId="42" xfId="0" applyNumberFormat="1" applyFont="1" applyFill="1" applyBorder="1" applyAlignment="1" applyProtection="1">
      <alignment horizontal="center" vertical="center"/>
      <protection hidden="1"/>
    </xf>
    <xf numFmtId="3" fontId="14" fillId="8" borderId="68" xfId="0" applyNumberFormat="1" applyFont="1" applyFill="1" applyBorder="1" applyAlignment="1" applyProtection="1">
      <alignment horizontal="center" vertical="center"/>
      <protection hidden="1"/>
    </xf>
    <xf numFmtId="3" fontId="14" fillId="7" borderId="46" xfId="0" applyNumberFormat="1" applyFont="1" applyFill="1" applyBorder="1" applyAlignment="1" applyProtection="1">
      <alignment horizontal="center" vertical="center"/>
      <protection locked="0"/>
    </xf>
    <xf numFmtId="0" fontId="14" fillId="6" borderId="5" xfId="0" applyFont="1" applyFill="1" applyBorder="1" applyAlignment="1" applyProtection="1">
      <alignment horizontal="center" vertical="center"/>
      <protection hidden="1"/>
    </xf>
    <xf numFmtId="164" fontId="14" fillId="7" borderId="7" xfId="0" applyNumberFormat="1" applyFont="1" applyFill="1" applyBorder="1" applyAlignment="1" applyProtection="1">
      <alignment horizontal="center" vertical="center"/>
      <protection locked="0"/>
    </xf>
    <xf numFmtId="3" fontId="14" fillId="6" borderId="4" xfId="0" applyNumberFormat="1" applyFont="1" applyFill="1" applyBorder="1" applyAlignment="1">
      <alignment horizontal="center" vertical="center"/>
    </xf>
    <xf numFmtId="3" fontId="14" fillId="6" borderId="46" xfId="0" applyNumberFormat="1" applyFont="1" applyFill="1" applyBorder="1" applyAlignment="1">
      <alignment horizontal="center" vertical="center"/>
    </xf>
    <xf numFmtId="3" fontId="14" fillId="0" borderId="59" xfId="0" applyNumberFormat="1" applyFont="1" applyBorder="1" applyAlignment="1" applyProtection="1">
      <alignment horizontal="center" vertical="center"/>
      <protection hidden="1"/>
    </xf>
    <xf numFmtId="3" fontId="14" fillId="0" borderId="46" xfId="0" applyNumberFormat="1" applyFont="1" applyBorder="1" applyAlignment="1" applyProtection="1">
      <alignment horizontal="center" vertical="center"/>
      <protection hidden="1"/>
    </xf>
    <xf numFmtId="0" fontId="14" fillId="6" borderId="46" xfId="0" applyFont="1" applyFill="1" applyBorder="1" applyAlignment="1" applyProtection="1">
      <alignment horizontal="center" vertical="center"/>
      <protection hidden="1"/>
    </xf>
    <xf numFmtId="0" fontId="14" fillId="6" borderId="7" xfId="0" applyFont="1" applyFill="1" applyBorder="1" applyAlignment="1" applyProtection="1">
      <alignment horizontal="center" vertical="center"/>
      <protection hidden="1"/>
    </xf>
    <xf numFmtId="3" fontId="14" fillId="0" borderId="131" xfId="0" applyNumberFormat="1" applyFont="1" applyBorder="1" applyAlignment="1" applyProtection="1">
      <alignment horizontal="center" vertical="center"/>
      <protection hidden="1"/>
    </xf>
    <xf numFmtId="3" fontId="14" fillId="0" borderId="132" xfId="0" applyNumberFormat="1" applyFont="1" applyBorder="1" applyAlignment="1" applyProtection="1">
      <alignment horizontal="center" vertical="center"/>
      <protection hidden="1"/>
    </xf>
    <xf numFmtId="3" fontId="14" fillId="0" borderId="133" xfId="0" applyNumberFormat="1" applyFont="1" applyBorder="1" applyAlignment="1" applyProtection="1">
      <alignment horizontal="center" vertical="center"/>
      <protection hidden="1"/>
    </xf>
    <xf numFmtId="3" fontId="9" fillId="0" borderId="49" xfId="0" applyNumberFormat="1" applyFont="1" applyBorder="1" applyAlignment="1" applyProtection="1">
      <alignment horizontal="center" vertical="center"/>
      <protection hidden="1"/>
    </xf>
    <xf numFmtId="167" fontId="9" fillId="0" borderId="50" xfId="0" applyNumberFormat="1" applyFont="1" applyBorder="1" applyAlignment="1" applyProtection="1">
      <alignment horizontal="center" vertical="center"/>
      <protection hidden="1"/>
    </xf>
    <xf numFmtId="3" fontId="15" fillId="2" borderId="36" xfId="0" applyNumberFormat="1" applyFont="1" applyFill="1" applyBorder="1" applyAlignment="1" applyProtection="1">
      <alignment horizontal="center" vertical="center"/>
      <protection hidden="1"/>
    </xf>
    <xf numFmtId="167" fontId="15" fillId="0" borderId="35" xfId="0" applyNumberFormat="1" applyFont="1" applyBorder="1" applyAlignment="1" applyProtection="1">
      <alignment horizontal="center" vertical="center"/>
      <protection hidden="1"/>
    </xf>
    <xf numFmtId="3" fontId="10" fillId="7" borderId="36" xfId="0" applyNumberFormat="1" applyFont="1" applyFill="1" applyBorder="1" applyAlignment="1" applyProtection="1">
      <alignment horizontal="center" vertical="center"/>
      <protection locked="0"/>
    </xf>
    <xf numFmtId="167" fontId="10" fillId="6" borderId="35" xfId="0" applyNumberFormat="1" applyFont="1" applyFill="1" applyBorder="1" applyAlignment="1" applyProtection="1">
      <alignment horizontal="center" vertical="center"/>
      <protection hidden="1"/>
    </xf>
    <xf numFmtId="167" fontId="10" fillId="7" borderId="36" xfId="0" applyNumberFormat="1" applyFont="1" applyFill="1" applyBorder="1" applyAlignment="1" applyProtection="1">
      <alignment horizontal="center" vertical="center"/>
      <protection locked="0"/>
    </xf>
    <xf numFmtId="4" fontId="10" fillId="7" borderId="36" xfId="0" applyNumberFormat="1" applyFont="1" applyFill="1" applyBorder="1" applyAlignment="1" applyProtection="1">
      <alignment horizontal="center" vertical="center"/>
      <protection locked="0"/>
    </xf>
    <xf numFmtId="4" fontId="10" fillId="6" borderId="35" xfId="0" applyNumberFormat="1" applyFont="1" applyFill="1" applyBorder="1" applyAlignment="1" applyProtection="1">
      <alignment horizontal="center" vertical="center"/>
      <protection hidden="1"/>
    </xf>
    <xf numFmtId="167" fontId="10" fillId="6" borderId="35" xfId="0" applyNumberFormat="1" applyFont="1" applyFill="1" applyBorder="1" applyAlignment="1">
      <alignment horizontal="center" vertical="center"/>
    </xf>
    <xf numFmtId="3" fontId="15" fillId="7" borderId="51" xfId="0" applyNumberFormat="1" applyFont="1" applyFill="1" applyBorder="1" applyAlignment="1" applyProtection="1">
      <alignment horizontal="center" vertical="center"/>
      <protection locked="0"/>
    </xf>
    <xf numFmtId="167" fontId="15" fillId="6" borderId="33" xfId="0" applyNumberFormat="1" applyFont="1" applyFill="1" applyBorder="1" applyAlignment="1">
      <alignment horizontal="center" vertical="center"/>
    </xf>
    <xf numFmtId="167" fontId="15" fillId="6" borderId="33" xfId="0" applyNumberFormat="1" applyFont="1" applyFill="1" applyBorder="1" applyAlignment="1" applyProtection="1">
      <alignment horizontal="center" vertical="center"/>
      <protection hidden="1"/>
    </xf>
    <xf numFmtId="167" fontId="10" fillId="6" borderId="33" xfId="0" applyNumberFormat="1" applyFont="1" applyFill="1" applyBorder="1" applyAlignment="1" applyProtection="1">
      <alignment horizontal="center" vertical="center"/>
      <protection hidden="1"/>
    </xf>
    <xf numFmtId="3" fontId="9" fillId="0" borderId="47" xfId="0" applyNumberFormat="1" applyFont="1" applyBorder="1" applyAlignment="1" applyProtection="1">
      <alignment horizontal="center" vertical="center"/>
      <protection hidden="1"/>
    </xf>
    <xf numFmtId="167" fontId="15" fillId="6" borderId="35" xfId="0" applyNumberFormat="1" applyFont="1" applyFill="1" applyBorder="1" applyAlignment="1" applyProtection="1">
      <alignment horizontal="center" vertical="center"/>
      <protection hidden="1"/>
    </xf>
    <xf numFmtId="164" fontId="10" fillId="6" borderId="35" xfId="0" applyNumberFormat="1" applyFont="1" applyFill="1" applyBorder="1" applyAlignment="1" applyProtection="1">
      <alignment horizontal="center" vertical="center"/>
      <protection hidden="1"/>
    </xf>
    <xf numFmtId="10" fontId="10" fillId="7" borderId="36" xfId="0" applyNumberFormat="1" applyFont="1" applyFill="1" applyBorder="1" applyAlignment="1" applyProtection="1">
      <alignment horizontal="center" vertical="center"/>
      <protection locked="0"/>
    </xf>
    <xf numFmtId="164" fontId="10" fillId="6" borderId="18" xfId="0" applyNumberFormat="1" applyFont="1" applyFill="1" applyBorder="1" applyAlignment="1" applyProtection="1">
      <alignment horizontal="center" vertical="center"/>
      <protection hidden="1"/>
    </xf>
    <xf numFmtId="3" fontId="10" fillId="0" borderId="36" xfId="0" applyNumberFormat="1" applyFont="1" applyBorder="1" applyAlignment="1" applyProtection="1">
      <alignment horizontal="center" vertical="center"/>
      <protection hidden="1"/>
    </xf>
    <xf numFmtId="167" fontId="10" fillId="6" borderId="18" xfId="0" applyNumberFormat="1" applyFont="1" applyFill="1" applyBorder="1" applyAlignment="1" applyProtection="1">
      <alignment horizontal="center" vertical="center"/>
      <protection hidden="1"/>
    </xf>
    <xf numFmtId="3" fontId="57" fillId="7" borderId="36" xfId="0" applyNumberFormat="1" applyFont="1" applyFill="1" applyBorder="1" applyAlignment="1" applyProtection="1">
      <alignment horizontal="center" vertical="center"/>
      <protection locked="0"/>
    </xf>
    <xf numFmtId="167" fontId="57" fillId="6" borderId="18" xfId="0" applyNumberFormat="1" applyFont="1" applyFill="1" applyBorder="1" applyAlignment="1" applyProtection="1">
      <alignment horizontal="center" vertical="center"/>
      <protection hidden="1"/>
    </xf>
    <xf numFmtId="167" fontId="57" fillId="6" borderId="35" xfId="0" applyNumberFormat="1" applyFont="1" applyFill="1" applyBorder="1" applyAlignment="1" applyProtection="1">
      <alignment horizontal="center" vertical="center"/>
      <protection hidden="1"/>
    </xf>
    <xf numFmtId="10" fontId="10" fillId="7" borderId="36" xfId="0" applyNumberFormat="1" applyFont="1" applyFill="1" applyBorder="1" applyAlignment="1" applyProtection="1">
      <alignment horizontal="center" vertical="center"/>
      <protection locked="0" hidden="1"/>
    </xf>
    <xf numFmtId="167" fontId="15" fillId="6" borderId="18" xfId="0" applyNumberFormat="1" applyFont="1" applyFill="1" applyBorder="1" applyAlignment="1" applyProtection="1">
      <alignment horizontal="center" vertical="center"/>
      <protection hidden="1"/>
    </xf>
    <xf numFmtId="167" fontId="15" fillId="6" borderId="21" xfId="0" applyNumberFormat="1" applyFont="1" applyFill="1" applyBorder="1" applyAlignment="1" applyProtection="1">
      <alignment horizontal="center" vertical="center"/>
      <protection hidden="1"/>
    </xf>
    <xf numFmtId="3" fontId="53" fillId="7" borderId="36" xfId="0" applyNumberFormat="1" applyFont="1" applyFill="1" applyBorder="1" applyAlignment="1" applyProtection="1">
      <alignment horizontal="center" vertical="center"/>
      <protection locked="0"/>
    </xf>
    <xf numFmtId="167" fontId="53" fillId="6" borderId="35" xfId="0" applyNumberFormat="1" applyFont="1" applyFill="1" applyBorder="1" applyAlignment="1" applyProtection="1">
      <alignment horizontal="center" vertical="center"/>
      <protection hidden="1"/>
    </xf>
    <xf numFmtId="167" fontId="53" fillId="6" borderId="21" xfId="0" applyNumberFormat="1" applyFont="1" applyFill="1" applyBorder="1" applyAlignment="1" applyProtection="1">
      <alignment horizontal="center" vertical="center"/>
      <protection hidden="1"/>
    </xf>
    <xf numFmtId="167" fontId="10" fillId="0" borderId="55" xfId="0" applyNumberFormat="1" applyFont="1" applyBorder="1" applyAlignment="1" applyProtection="1">
      <alignment horizontal="center" vertical="center"/>
      <protection hidden="1"/>
    </xf>
    <xf numFmtId="3" fontId="9" fillId="0" borderId="16" xfId="0" applyNumberFormat="1" applyFont="1" applyBorder="1" applyAlignment="1" applyProtection="1">
      <alignment horizontal="center" vertical="center"/>
      <protection hidden="1"/>
    </xf>
    <xf numFmtId="167" fontId="9" fillId="0" borderId="6" xfId="0" applyNumberFormat="1" applyFont="1" applyBorder="1" applyAlignment="1" applyProtection="1">
      <alignment horizontal="center" vertical="center"/>
      <protection hidden="1"/>
    </xf>
    <xf numFmtId="3" fontId="9" fillId="0" borderId="4" xfId="0" applyNumberFormat="1" applyFont="1" applyBorder="1" applyAlignment="1" applyProtection="1">
      <alignment horizontal="center" vertical="center"/>
      <protection hidden="1"/>
    </xf>
    <xf numFmtId="167" fontId="9" fillId="0" borderId="30" xfId="0" applyNumberFormat="1" applyFont="1" applyBorder="1" applyAlignment="1" applyProtection="1">
      <alignment horizontal="center" vertical="center"/>
      <protection hidden="1"/>
    </xf>
    <xf numFmtId="3" fontId="15" fillId="0" borderId="49" xfId="0" applyNumberFormat="1" applyFont="1" applyBorder="1" applyAlignment="1" applyProtection="1">
      <alignment horizontal="center" vertical="center"/>
      <protection hidden="1"/>
    </xf>
    <xf numFmtId="167" fontId="15" fillId="0" borderId="50" xfId="0" applyNumberFormat="1" applyFont="1" applyBorder="1" applyAlignment="1" applyProtection="1">
      <alignment horizontal="center" vertical="center"/>
      <protection hidden="1"/>
    </xf>
    <xf numFmtId="167" fontId="10" fillId="6" borderId="23" xfId="0" applyNumberFormat="1" applyFont="1" applyFill="1" applyBorder="1" applyAlignment="1" applyProtection="1">
      <alignment horizontal="center" vertical="center"/>
      <protection hidden="1"/>
    </xf>
    <xf numFmtId="3" fontId="10" fillId="7" borderId="22" xfId="0" applyNumberFormat="1" applyFont="1" applyFill="1" applyBorder="1" applyAlignment="1" applyProtection="1">
      <alignment horizontal="center" vertical="center"/>
      <protection locked="0"/>
    </xf>
    <xf numFmtId="167" fontId="10" fillId="6" borderId="55" xfId="0" applyNumberFormat="1" applyFont="1" applyFill="1" applyBorder="1" applyAlignment="1" applyProtection="1">
      <alignment horizontal="center" vertical="center"/>
      <protection hidden="1"/>
    </xf>
    <xf numFmtId="1" fontId="10" fillId="7" borderId="36" xfId="0" applyNumberFormat="1" applyFont="1" applyFill="1" applyBorder="1" applyAlignment="1" applyProtection="1">
      <alignment horizontal="center" vertical="center"/>
      <protection locked="0"/>
    </xf>
    <xf numFmtId="1" fontId="10" fillId="6" borderId="35" xfId="0" applyNumberFormat="1" applyFont="1" applyFill="1" applyBorder="1" applyAlignment="1" applyProtection="1">
      <alignment horizontal="center" vertical="center"/>
      <protection hidden="1"/>
    </xf>
    <xf numFmtId="3" fontId="10" fillId="7" borderId="52" xfId="0" applyNumberFormat="1" applyFont="1" applyFill="1" applyBorder="1" applyAlignment="1" applyProtection="1">
      <alignment horizontal="center" vertical="center"/>
      <protection locked="0"/>
    </xf>
    <xf numFmtId="3" fontId="10" fillId="6" borderId="33" xfId="0" applyNumberFormat="1" applyFont="1" applyFill="1" applyBorder="1" applyAlignment="1" applyProtection="1">
      <alignment horizontal="center" vertical="center"/>
      <protection hidden="1"/>
    </xf>
    <xf numFmtId="164" fontId="10" fillId="7" borderId="52" xfId="0" applyNumberFormat="1" applyFont="1" applyFill="1" applyBorder="1" applyAlignment="1" applyProtection="1">
      <alignment horizontal="center" vertical="center"/>
      <protection locked="0"/>
    </xf>
    <xf numFmtId="3" fontId="10" fillId="7" borderId="37" xfId="0" applyNumberFormat="1" applyFont="1" applyFill="1" applyBorder="1" applyAlignment="1" applyProtection="1">
      <alignment horizontal="center" vertical="center"/>
      <protection locked="0"/>
    </xf>
    <xf numFmtId="3" fontId="15" fillId="0" borderId="78" xfId="0" applyNumberFormat="1" applyFont="1" applyBorder="1" applyAlignment="1" applyProtection="1">
      <alignment horizontal="center" vertical="center"/>
      <protection hidden="1"/>
    </xf>
    <xf numFmtId="3" fontId="15" fillId="7" borderId="4" xfId="0" applyNumberFormat="1" applyFont="1" applyFill="1" applyBorder="1" applyAlignment="1" applyProtection="1">
      <alignment horizontal="center" vertical="center"/>
      <protection locked="0"/>
    </xf>
    <xf numFmtId="167" fontId="15" fillId="0" borderId="30" xfId="0" applyNumberFormat="1" applyFont="1" applyBorder="1" applyAlignment="1" applyProtection="1">
      <alignment horizontal="center" vertical="center"/>
      <protection hidden="1"/>
    </xf>
    <xf numFmtId="3" fontId="15" fillId="7" borderId="47" xfId="0" applyNumberFormat="1" applyFont="1" applyFill="1" applyBorder="1" applyAlignment="1" applyProtection="1">
      <alignment horizontal="center" vertical="center"/>
      <protection locked="0"/>
    </xf>
    <xf numFmtId="167" fontId="15" fillId="0" borderId="6" xfId="0" applyNumberFormat="1" applyFont="1" applyBorder="1" applyAlignment="1" applyProtection="1">
      <alignment horizontal="center" vertical="center"/>
      <protection hidden="1"/>
    </xf>
    <xf numFmtId="167" fontId="15" fillId="0" borderId="33" xfId="0" applyNumberFormat="1" applyFont="1" applyBorder="1" applyAlignment="1" applyProtection="1">
      <alignment horizontal="center" vertical="center"/>
      <protection hidden="1"/>
    </xf>
    <xf numFmtId="167" fontId="10" fillId="5" borderId="35" xfId="0" applyNumberFormat="1" applyFont="1" applyFill="1" applyBorder="1" applyAlignment="1" applyProtection="1">
      <alignment horizontal="center" vertical="center"/>
      <protection hidden="1"/>
    </xf>
    <xf numFmtId="167" fontId="10" fillId="5" borderId="23" xfId="0" applyNumberFormat="1" applyFont="1" applyFill="1" applyBorder="1" applyAlignment="1" applyProtection="1">
      <alignment horizontal="center" vertical="center"/>
      <protection hidden="1"/>
    </xf>
    <xf numFmtId="167" fontId="10" fillId="6" borderId="60" xfId="0" applyNumberFormat="1" applyFont="1" applyFill="1" applyBorder="1" applyAlignment="1" applyProtection="1">
      <alignment horizontal="center" vertical="center"/>
      <protection hidden="1"/>
    </xf>
    <xf numFmtId="3" fontId="10" fillId="7" borderId="18" xfId="0" quotePrefix="1" applyNumberFormat="1" applyFont="1" applyFill="1" applyBorder="1" applyAlignment="1" applyProtection="1">
      <alignment horizontal="center" vertical="center"/>
      <protection locked="0"/>
    </xf>
    <xf numFmtId="3" fontId="10" fillId="7" borderId="18" xfId="0" applyNumberFormat="1" applyFont="1" applyFill="1" applyBorder="1" applyAlignment="1" applyProtection="1">
      <alignment horizontal="center" vertical="center"/>
      <protection locked="0"/>
    </xf>
    <xf numFmtId="4" fontId="10" fillId="7" borderId="18" xfId="0" applyNumberFormat="1" applyFont="1" applyFill="1" applyBorder="1" applyAlignment="1" applyProtection="1">
      <alignment horizontal="center" vertical="center"/>
      <protection locked="0"/>
    </xf>
    <xf numFmtId="164" fontId="10" fillId="7" borderId="18" xfId="0" applyNumberFormat="1" applyFont="1" applyFill="1" applyBorder="1" applyAlignment="1" applyProtection="1">
      <alignment horizontal="center" vertical="center"/>
      <protection locked="0"/>
    </xf>
    <xf numFmtId="3" fontId="7" fillId="0" borderId="62" xfId="0" applyNumberFormat="1" applyFont="1" applyBorder="1" applyAlignment="1" applyProtection="1">
      <alignment horizontal="center"/>
      <protection hidden="1"/>
    </xf>
    <xf numFmtId="3" fontId="7" fillId="0" borderId="18" xfId="0" applyNumberFormat="1" applyFont="1" applyBorder="1" applyAlignment="1" applyProtection="1">
      <alignment horizontal="center"/>
      <protection hidden="1"/>
    </xf>
    <xf numFmtId="164" fontId="7" fillId="0" borderId="18" xfId="2" applyNumberFormat="1" applyFont="1" applyBorder="1" applyAlignment="1" applyProtection="1">
      <alignment horizontal="center"/>
      <protection hidden="1"/>
    </xf>
    <xf numFmtId="0" fontId="0" fillId="0" borderId="59" xfId="0" applyBorder="1" applyAlignment="1">
      <alignment horizontal="center"/>
    </xf>
    <xf numFmtId="3" fontId="9" fillId="0" borderId="0" xfId="0" applyNumberFormat="1" applyFont="1" applyAlignment="1" applyProtection="1">
      <alignment horizontal="center" vertical="center"/>
      <protection hidden="1"/>
    </xf>
    <xf numFmtId="4" fontId="15" fillId="0" borderId="18" xfId="0" applyNumberFormat="1" applyFont="1" applyBorder="1" applyAlignment="1" applyProtection="1">
      <alignment horizontal="center" vertical="center"/>
      <protection hidden="1"/>
    </xf>
    <xf numFmtId="3" fontId="15" fillId="0" borderId="18" xfId="0" applyNumberFormat="1" applyFont="1" applyBorder="1" applyAlignment="1" applyProtection="1">
      <alignment horizontal="center"/>
      <protection hidden="1"/>
    </xf>
    <xf numFmtId="3" fontId="48" fillId="0" borderId="18" xfId="0" applyNumberFormat="1" applyFont="1" applyBorder="1" applyAlignment="1" applyProtection="1">
      <alignment horizontal="center" vertical="center"/>
      <protection hidden="1"/>
    </xf>
    <xf numFmtId="166" fontId="15" fillId="0" borderId="18" xfId="0" applyNumberFormat="1" applyFont="1" applyBorder="1" applyAlignment="1">
      <alignment horizontal="center" vertical="center"/>
    </xf>
    <xf numFmtId="3" fontId="14" fillId="0" borderId="32" xfId="0" applyNumberFormat="1" applyFont="1" applyBorder="1" applyAlignment="1" applyProtection="1">
      <alignment horizontal="center" vertical="center"/>
      <protection hidden="1"/>
    </xf>
    <xf numFmtId="3" fontId="14" fillId="0" borderId="24" xfId="0" applyNumberFormat="1" applyFont="1" applyBorder="1" applyAlignment="1" applyProtection="1">
      <alignment horizontal="center" vertical="center"/>
      <protection hidden="1"/>
    </xf>
    <xf numFmtId="3" fontId="15" fillId="7" borderId="21" xfId="0" applyNumberFormat="1" applyFont="1" applyFill="1" applyBorder="1" applyAlignment="1" applyProtection="1">
      <alignment horizontal="center" vertical="center"/>
      <protection locked="0"/>
    </xf>
    <xf numFmtId="3" fontId="14" fillId="0" borderId="26" xfId="0" applyNumberFormat="1" applyFont="1" applyBorder="1" applyAlignment="1" applyProtection="1">
      <alignment horizontal="center" vertical="center"/>
      <protection hidden="1"/>
    </xf>
    <xf numFmtId="3" fontId="14" fillId="0" borderId="0" xfId="0" applyNumberFormat="1" applyFont="1" applyAlignment="1" applyProtection="1">
      <alignment horizontal="center" vertical="center"/>
      <protection hidden="1"/>
    </xf>
    <xf numFmtId="3" fontId="15" fillId="9" borderId="32" xfId="0" applyNumberFormat="1" applyFont="1" applyFill="1" applyBorder="1" applyAlignment="1" applyProtection="1">
      <alignment horizontal="center" vertical="center"/>
      <protection hidden="1"/>
    </xf>
    <xf numFmtId="3" fontId="15" fillId="0" borderId="32" xfId="0" applyNumberFormat="1" applyFont="1" applyBorder="1" applyAlignment="1">
      <alignment horizontal="center" vertical="center"/>
    </xf>
    <xf numFmtId="3" fontId="9" fillId="0" borderId="18" xfId="0" applyNumberFormat="1" applyFont="1" applyBorder="1" applyAlignment="1" applyProtection="1">
      <alignment horizontal="center" vertical="center"/>
      <protection hidden="1"/>
    </xf>
    <xf numFmtId="3" fontId="9" fillId="0" borderId="21" xfId="0" applyNumberFormat="1" applyFont="1" applyBorder="1" applyAlignment="1" applyProtection="1">
      <alignment horizontal="center" vertical="center"/>
      <protection hidden="1"/>
    </xf>
    <xf numFmtId="164" fontId="18" fillId="7" borderId="18" xfId="2" applyNumberFormat="1" applyFont="1" applyFill="1" applyBorder="1" applyAlignment="1" applyProtection="1">
      <alignment horizontal="center" vertical="center"/>
      <protection locked="0"/>
    </xf>
    <xf numFmtId="164" fontId="18" fillId="7" borderId="21" xfId="2" applyNumberFormat="1" applyFont="1" applyFill="1" applyBorder="1" applyAlignment="1" applyProtection="1">
      <alignment horizontal="center" vertical="center"/>
      <protection locked="0"/>
    </xf>
    <xf numFmtId="3" fontId="9" fillId="7" borderId="18" xfId="0" applyNumberFormat="1" applyFont="1" applyFill="1" applyBorder="1" applyAlignment="1" applyProtection="1">
      <alignment horizontal="center" vertical="center"/>
      <protection locked="0"/>
    </xf>
    <xf numFmtId="3" fontId="9" fillId="7" borderId="21" xfId="0" applyNumberFormat="1" applyFont="1" applyFill="1" applyBorder="1" applyAlignment="1" applyProtection="1">
      <alignment horizontal="center" vertical="center"/>
      <protection locked="0"/>
    </xf>
    <xf numFmtId="164" fontId="54" fillId="7" borderId="18" xfId="0" applyNumberFormat="1" applyFont="1" applyFill="1" applyBorder="1" applyAlignment="1" applyProtection="1">
      <alignment horizontal="center" vertical="center"/>
      <protection locked="0"/>
    </xf>
    <xf numFmtId="3" fontId="15" fillId="8" borderId="32" xfId="0" applyNumberFormat="1" applyFont="1" applyFill="1" applyBorder="1" applyAlignment="1" applyProtection="1">
      <alignment horizontal="center" vertical="center"/>
      <protection hidden="1"/>
    </xf>
    <xf numFmtId="164" fontId="48" fillId="0" borderId="32" xfId="0" applyNumberFormat="1" applyFont="1" applyBorder="1" applyAlignment="1" applyProtection="1">
      <alignment horizontal="center" vertical="center"/>
      <protection hidden="1"/>
    </xf>
    <xf numFmtId="3" fontId="8" fillId="0" borderId="0" xfId="0" applyNumberFormat="1" applyFont="1" applyAlignment="1" applyProtection="1">
      <alignment horizontal="center" vertical="center"/>
      <protection hidden="1"/>
    </xf>
    <xf numFmtId="10" fontId="54" fillId="7" borderId="18" xfId="0" applyNumberFormat="1" applyFont="1" applyFill="1" applyBorder="1" applyAlignment="1" applyProtection="1">
      <alignment horizontal="center" vertical="center"/>
      <protection locked="0"/>
    </xf>
    <xf numFmtId="0" fontId="10" fillId="8" borderId="0" xfId="0" applyFont="1" applyFill="1" applyAlignment="1">
      <alignment horizontal="left" vertical="center"/>
    </xf>
    <xf numFmtId="0" fontId="49" fillId="0" borderId="18" xfId="0" applyFont="1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vertical="center"/>
      <protection hidden="1"/>
    </xf>
    <xf numFmtId="0" fontId="0" fillId="0" borderId="59" xfId="0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3" fontId="15" fillId="6" borderId="43" xfId="0" applyNumberFormat="1" applyFont="1" applyFill="1" applyBorder="1" applyAlignment="1" applyProtection="1">
      <alignment vertical="center"/>
      <protection hidden="1"/>
    </xf>
    <xf numFmtId="3" fontId="14" fillId="0" borderId="6" xfId="0" applyNumberFormat="1" applyFont="1" applyBorder="1" applyAlignment="1" applyProtection="1">
      <alignment horizontal="center" vertical="center"/>
      <protection hidden="1"/>
    </xf>
    <xf numFmtId="0" fontId="14" fillId="0" borderId="150" xfId="0" quotePrefix="1" applyFont="1" applyBorder="1" applyAlignment="1">
      <alignment horizontal="right" vertical="center"/>
    </xf>
    <xf numFmtId="164" fontId="15" fillId="0" borderId="0" xfId="2" applyNumberFormat="1" applyFont="1" applyBorder="1" applyAlignment="1" applyProtection="1">
      <alignment horizontal="center" vertical="center"/>
      <protection hidden="1"/>
    </xf>
    <xf numFmtId="3" fontId="15" fillId="6" borderId="78" xfId="0" applyNumberFormat="1" applyFont="1" applyFill="1" applyBorder="1" applyAlignment="1">
      <alignment vertical="center"/>
    </xf>
    <xf numFmtId="3" fontId="15" fillId="6" borderId="65" xfId="0" applyNumberFormat="1" applyFont="1" applyFill="1" applyBorder="1" applyAlignment="1">
      <alignment vertical="center"/>
    </xf>
    <xf numFmtId="166" fontId="15" fillId="6" borderId="66" xfId="0" applyNumberFormat="1" applyFont="1" applyFill="1" applyBorder="1" applyAlignment="1">
      <alignment horizontal="center" vertical="center"/>
    </xf>
    <xf numFmtId="3" fontId="15" fillId="6" borderId="12" xfId="0" applyNumberFormat="1" applyFont="1" applyFill="1" applyBorder="1" applyAlignment="1">
      <alignment vertical="center"/>
    </xf>
    <xf numFmtId="3" fontId="63" fillId="6" borderId="12" xfId="0" applyNumberFormat="1" applyFont="1" applyFill="1" applyBorder="1" applyAlignment="1">
      <alignment vertical="center"/>
    </xf>
    <xf numFmtId="166" fontId="63" fillId="6" borderId="66" xfId="0" applyNumberFormat="1" applyFont="1" applyFill="1" applyBorder="1" applyAlignment="1">
      <alignment horizontal="center" vertical="center"/>
    </xf>
    <xf numFmtId="3" fontId="15" fillId="0" borderId="21" xfId="0" applyNumberFormat="1" applyFont="1" applyBorder="1" applyAlignment="1">
      <alignment horizontal="center" vertical="center"/>
    </xf>
    <xf numFmtId="0" fontId="15" fillId="0" borderId="21" xfId="0" applyFont="1" applyBorder="1" applyAlignment="1" applyProtection="1">
      <alignment vertical="center"/>
      <protection hidden="1"/>
    </xf>
    <xf numFmtId="9" fontId="15" fillId="0" borderId="26" xfId="0" applyNumberFormat="1" applyFont="1" applyBorder="1" applyAlignment="1">
      <alignment horizontal="left" vertical="center"/>
    </xf>
    <xf numFmtId="9" fontId="15" fillId="0" borderId="0" xfId="0" applyNumberFormat="1" applyFont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15" fillId="0" borderId="26" xfId="0" applyFont="1" applyBorder="1" applyAlignment="1">
      <alignment horizontal="center" vertical="center"/>
    </xf>
    <xf numFmtId="0" fontId="8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40" fillId="0" borderId="0" xfId="0" applyFont="1" applyAlignment="1" applyProtection="1">
      <alignment vertical="center"/>
      <protection locked="0"/>
    </xf>
    <xf numFmtId="0" fontId="8" fillId="0" borderId="17" xfId="0" applyFont="1" applyBorder="1"/>
    <xf numFmtId="0" fontId="0" fillId="2" borderId="17" xfId="0" applyFill="1" applyBorder="1"/>
    <xf numFmtId="0" fontId="15" fillId="0" borderId="19" xfId="0" applyFont="1" applyBorder="1" applyAlignment="1" applyProtection="1">
      <alignment vertical="center"/>
      <protection locked="0"/>
    </xf>
    <xf numFmtId="0" fontId="15" fillId="0" borderId="8" xfId="0" applyFont="1" applyBorder="1" applyAlignment="1" applyProtection="1">
      <alignment vertical="center"/>
      <protection locked="0"/>
    </xf>
    <xf numFmtId="0" fontId="15" fillId="0" borderId="140" xfId="0" applyFont="1" applyBorder="1" applyAlignment="1" applyProtection="1">
      <alignment vertical="center"/>
      <protection locked="0"/>
    </xf>
    <xf numFmtId="3" fontId="14" fillId="6" borderId="18" xfId="0" applyNumberFormat="1" applyFont="1" applyFill="1" applyBorder="1" applyAlignment="1" applyProtection="1">
      <alignment horizontal="center" vertical="center"/>
      <protection hidden="1"/>
    </xf>
    <xf numFmtId="3" fontId="14" fillId="0" borderId="11" xfId="0" applyNumberFormat="1" applyFont="1" applyBorder="1" applyAlignment="1" applyProtection="1">
      <alignment horizontal="center" vertical="center"/>
      <protection hidden="1"/>
    </xf>
    <xf numFmtId="3" fontId="45" fillId="6" borderId="18" xfId="0" applyNumberFormat="1" applyFont="1" applyFill="1" applyBorder="1" applyAlignment="1" applyProtection="1">
      <alignment horizontal="center" vertical="center"/>
      <protection hidden="1"/>
    </xf>
    <xf numFmtId="3" fontId="14" fillId="0" borderId="8" xfId="0" applyNumberFormat="1" applyFont="1" applyBorder="1" applyAlignment="1" applyProtection="1">
      <alignment horizontal="center" vertical="center"/>
      <protection hidden="1"/>
    </xf>
    <xf numFmtId="3" fontId="6" fillId="0" borderId="8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64" fontId="10" fillId="7" borderId="36" xfId="0" applyNumberFormat="1" applyFont="1" applyFill="1" applyBorder="1" applyAlignment="1" applyProtection="1">
      <alignment horizontal="center" vertical="center"/>
      <protection locked="0"/>
    </xf>
    <xf numFmtId="0" fontId="53" fillId="0" borderId="19" xfId="0" applyFont="1" applyBorder="1" applyAlignment="1" applyProtection="1">
      <alignment vertical="center"/>
      <protection locked="0"/>
    </xf>
    <xf numFmtId="0" fontId="70" fillId="0" borderId="0" xfId="0" applyFont="1" applyProtection="1">
      <protection hidden="1"/>
    </xf>
    <xf numFmtId="165" fontId="0" fillId="0" borderId="43" xfId="0" applyNumberForma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71" fontId="0" fillId="0" borderId="43" xfId="0" applyNumberFormat="1" applyBorder="1" applyAlignment="1">
      <alignment horizontal="center" vertical="center"/>
    </xf>
    <xf numFmtId="171" fontId="6" fillId="0" borderId="11" xfId="0" applyNumberFormat="1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top" wrapText="1"/>
      <protection hidden="1"/>
    </xf>
    <xf numFmtId="0" fontId="15" fillId="0" borderId="70" xfId="0" applyFont="1" applyBorder="1" applyAlignment="1" applyProtection="1">
      <alignment horizontal="left" vertical="center"/>
      <protection hidden="1"/>
    </xf>
    <xf numFmtId="0" fontId="15" fillId="0" borderId="79" xfId="0" applyFont="1" applyBorder="1" applyAlignment="1" applyProtection="1">
      <alignment horizontal="left" vertical="center"/>
      <protection hidden="1"/>
    </xf>
    <xf numFmtId="0" fontId="15" fillId="0" borderId="72" xfId="0" applyFont="1" applyBorder="1" applyAlignment="1" applyProtection="1">
      <alignment horizontal="left" vertical="center"/>
      <protection hidden="1"/>
    </xf>
    <xf numFmtId="0" fontId="15" fillId="0" borderId="80" xfId="0" applyFont="1" applyBorder="1" applyAlignment="1" applyProtection="1">
      <alignment horizontal="left" vertical="center"/>
      <protection hidden="1"/>
    </xf>
    <xf numFmtId="0" fontId="9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5" fillId="0" borderId="21" xfId="0" applyFont="1" applyBorder="1" applyAlignment="1" applyProtection="1">
      <alignment horizontal="center" vertical="center"/>
      <protection hidden="1"/>
    </xf>
    <xf numFmtId="164" fontId="15" fillId="0" borderId="21" xfId="2" applyNumberFormat="1" applyFont="1" applyBorder="1" applyAlignment="1" applyProtection="1">
      <alignment horizontal="center" vertical="center"/>
      <protection hidden="1"/>
    </xf>
    <xf numFmtId="0" fontId="49" fillId="0" borderId="21" xfId="0" applyFont="1" applyBorder="1" applyAlignment="1" applyProtection="1">
      <alignment horizontal="center" vertical="center"/>
      <protection hidden="1"/>
    </xf>
    <xf numFmtId="4" fontId="15" fillId="0" borderId="21" xfId="0" applyNumberFormat="1" applyFont="1" applyBorder="1" applyAlignment="1" applyProtection="1">
      <alignment horizontal="center" vertical="center"/>
      <protection hidden="1"/>
    </xf>
    <xf numFmtId="3" fontId="15" fillId="0" borderId="19" xfId="0" applyNumberFormat="1" applyFont="1" applyBorder="1" applyAlignment="1" applyProtection="1">
      <alignment horizontal="center" vertical="center"/>
      <protection hidden="1"/>
    </xf>
    <xf numFmtId="3" fontId="15" fillId="0" borderId="0" xfId="0" applyNumberFormat="1" applyFont="1" applyAlignment="1">
      <alignment vertical="center"/>
    </xf>
    <xf numFmtId="164" fontId="15" fillId="0" borderId="0" xfId="2" applyNumberFormat="1" applyFont="1" applyAlignment="1">
      <alignment vertical="center"/>
    </xf>
    <xf numFmtId="0" fontId="40" fillId="0" borderId="0" xfId="0" applyFont="1"/>
    <xf numFmtId="0" fontId="15" fillId="0" borderId="153" xfId="0" applyFont="1" applyBorder="1" applyProtection="1">
      <protection hidden="1"/>
    </xf>
    <xf numFmtId="0" fontId="15" fillId="0" borderId="153" xfId="0" applyFont="1" applyBorder="1"/>
    <xf numFmtId="3" fontId="15" fillId="0" borderId="153" xfId="0" applyNumberFormat="1" applyFont="1" applyBorder="1"/>
    <xf numFmtId="0" fontId="14" fillId="0" borderId="153" xfId="0" applyFont="1" applyBorder="1" applyProtection="1">
      <protection hidden="1"/>
    </xf>
    <xf numFmtId="0" fontId="15" fillId="0" borderId="11" xfId="0" applyFont="1" applyBorder="1" applyProtection="1">
      <protection hidden="1"/>
    </xf>
    <xf numFmtId="3" fontId="15" fillId="0" borderId="11" xfId="0" applyNumberFormat="1" applyFont="1" applyBorder="1" applyProtection="1">
      <protection hidden="1"/>
    </xf>
    <xf numFmtId="3" fontId="14" fillId="0" borderId="153" xfId="0" applyNumberFormat="1" applyFont="1" applyBorder="1" applyProtection="1">
      <protection hidden="1"/>
    </xf>
    <xf numFmtId="0" fontId="9" fillId="0" borderId="0" xfId="0" applyFont="1" applyAlignment="1">
      <alignment horizontal="center" vertical="center"/>
    </xf>
    <xf numFmtId="3" fontId="45" fillId="0" borderId="0" xfId="0" applyNumberFormat="1" applyFont="1" applyAlignment="1" applyProtection="1">
      <alignment horizontal="center" vertical="center"/>
      <protection hidden="1"/>
    </xf>
    <xf numFmtId="3" fontId="9" fillId="0" borderId="0" xfId="0" applyNumberFormat="1" applyFont="1" applyAlignment="1">
      <alignment horizontal="center" vertical="center"/>
    </xf>
    <xf numFmtId="0" fontId="0" fillId="0" borderId="11" xfId="0" applyBorder="1"/>
    <xf numFmtId="0" fontId="10" fillId="0" borderId="20" xfId="0" applyFont="1" applyBorder="1" applyAlignment="1" applyProtection="1">
      <alignment vertical="center"/>
      <protection hidden="1"/>
    </xf>
    <xf numFmtId="0" fontId="10" fillId="0" borderId="20" xfId="0" applyFont="1" applyBorder="1" applyAlignment="1" applyProtection="1">
      <alignment horizontal="center" vertical="center"/>
      <protection hidden="1"/>
    </xf>
    <xf numFmtId="0" fontId="10" fillId="0" borderId="2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2" xfId="0" applyFont="1" applyBorder="1" applyAlignment="1" applyProtection="1">
      <alignment vertical="center"/>
      <protection hidden="1"/>
    </xf>
    <xf numFmtId="0" fontId="10" fillId="0" borderId="32" xfId="0" applyFont="1" applyBorder="1" applyAlignment="1" applyProtection="1">
      <alignment horizontal="center" vertical="center"/>
      <protection hidden="1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18" xfId="0" applyFont="1" applyBorder="1" applyAlignment="1" applyProtection="1">
      <alignment horizontal="center" vertical="center"/>
      <protection hidden="1"/>
    </xf>
    <xf numFmtId="10" fontId="7" fillId="5" borderId="18" xfId="0" applyNumberFormat="1" applyFont="1" applyFill="1" applyBorder="1" applyAlignment="1">
      <alignment horizontal="center" vertical="center"/>
    </xf>
    <xf numFmtId="3" fontId="10" fillId="0" borderId="18" xfId="0" applyNumberFormat="1" applyFont="1" applyBorder="1" applyAlignment="1" applyProtection="1">
      <alignment horizontal="center" vertical="center"/>
      <protection hidden="1"/>
    </xf>
    <xf numFmtId="3" fontId="10" fillId="0" borderId="18" xfId="0" applyNumberFormat="1" applyFont="1" applyBorder="1" applyAlignment="1">
      <alignment horizontal="center" vertical="center"/>
    </xf>
    <xf numFmtId="3" fontId="73" fillId="0" borderId="35" xfId="2" applyNumberFormat="1" applyFont="1" applyBorder="1" applyAlignment="1" applyProtection="1">
      <alignment horizontal="center" vertical="center"/>
      <protection locked="0"/>
    </xf>
    <xf numFmtId="3" fontId="73" fillId="0" borderId="21" xfId="2" applyNumberFormat="1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9" xfId="0" applyFont="1" applyBorder="1" applyAlignment="1" applyProtection="1">
      <alignment horizontal="center" vertical="center"/>
      <protection hidden="1"/>
    </xf>
    <xf numFmtId="0" fontId="10" fillId="0" borderId="58" xfId="0" applyFont="1" applyBorder="1" applyAlignment="1" applyProtection="1">
      <alignment horizontal="center" vertical="center"/>
      <protection hidden="1"/>
    </xf>
    <xf numFmtId="3" fontId="10" fillId="0" borderId="43" xfId="0" applyNumberFormat="1" applyFont="1" applyBorder="1" applyAlignment="1" applyProtection="1">
      <alignment horizontal="center" vertical="center"/>
      <protection hidden="1"/>
    </xf>
    <xf numFmtId="0" fontId="10" fillId="0" borderId="22" xfId="0" applyFont="1" applyBorder="1" applyAlignment="1" applyProtection="1">
      <alignment horizontal="center" vertical="center"/>
      <protection hidden="1"/>
    </xf>
    <xf numFmtId="0" fontId="10" fillId="0" borderId="52" xfId="0" applyFont="1" applyBorder="1" applyAlignment="1" applyProtection="1">
      <alignment horizontal="center" vertical="center"/>
      <protection hidden="1"/>
    </xf>
    <xf numFmtId="0" fontId="10" fillId="0" borderId="19" xfId="0" applyFont="1" applyBorder="1" applyAlignment="1" applyProtection="1">
      <alignment vertical="center"/>
      <protection hidden="1"/>
    </xf>
    <xf numFmtId="0" fontId="10" fillId="0" borderId="24" xfId="0" applyFont="1" applyBorder="1" applyAlignment="1" applyProtection="1">
      <alignment vertical="center"/>
      <protection hidden="1"/>
    </xf>
    <xf numFmtId="0" fontId="10" fillId="0" borderId="21" xfId="0" applyFont="1" applyBorder="1" applyAlignment="1" applyProtection="1">
      <alignment horizontal="center" vertical="center"/>
      <protection hidden="1"/>
    </xf>
    <xf numFmtId="164" fontId="10" fillId="0" borderId="18" xfId="2" applyNumberFormat="1" applyFont="1" applyFill="1" applyBorder="1" applyAlignment="1" applyProtection="1">
      <alignment horizontal="center" vertical="center"/>
      <protection hidden="1"/>
    </xf>
    <xf numFmtId="10" fontId="7" fillId="5" borderId="20" xfId="0" applyNumberFormat="1" applyFont="1" applyFill="1" applyBorder="1" applyAlignment="1">
      <alignment horizontal="center" vertical="center"/>
    </xf>
    <xf numFmtId="10" fontId="7" fillId="5" borderId="18" xfId="2" applyNumberFormat="1" applyFont="1" applyFill="1" applyBorder="1" applyAlignment="1" applyProtection="1">
      <alignment horizontal="center" vertical="center"/>
      <protection hidden="1"/>
    </xf>
    <xf numFmtId="10" fontId="7" fillId="5" borderId="20" xfId="2" applyNumberFormat="1" applyFont="1" applyFill="1" applyBorder="1" applyAlignment="1" applyProtection="1">
      <alignment horizontal="center" vertical="center"/>
      <protection hidden="1"/>
    </xf>
    <xf numFmtId="10" fontId="10" fillId="5" borderId="35" xfId="0" applyNumberFormat="1" applyFont="1" applyFill="1" applyBorder="1" applyAlignment="1">
      <alignment horizontal="center" vertical="center"/>
    </xf>
    <xf numFmtId="10" fontId="10" fillId="5" borderId="21" xfId="0" applyNumberFormat="1" applyFont="1" applyFill="1" applyBorder="1" applyAlignment="1">
      <alignment horizontal="center" vertical="center"/>
    </xf>
    <xf numFmtId="10" fontId="0" fillId="5" borderId="36" xfId="0" applyNumberFormat="1" applyFill="1" applyBorder="1"/>
    <xf numFmtId="10" fontId="0" fillId="5" borderId="35" xfId="0" applyNumberFormat="1" applyFill="1" applyBorder="1"/>
    <xf numFmtId="3" fontId="10" fillId="5" borderId="18" xfId="0" applyNumberFormat="1" applyFont="1" applyFill="1" applyBorder="1" applyAlignment="1">
      <alignment horizontal="center" vertical="center"/>
    </xf>
    <xf numFmtId="3" fontId="10" fillId="0" borderId="36" xfId="0" applyNumberFormat="1" applyFont="1" applyBorder="1" applyAlignment="1">
      <alignment horizontal="center" vertical="center"/>
    </xf>
    <xf numFmtId="3" fontId="10" fillId="0" borderId="35" xfId="0" applyNumberFormat="1" applyFont="1" applyBorder="1" applyAlignment="1">
      <alignment horizontal="center" vertical="center"/>
    </xf>
    <xf numFmtId="10" fontId="10" fillId="5" borderId="18" xfId="0" applyNumberFormat="1" applyFont="1" applyFill="1" applyBorder="1" applyAlignment="1">
      <alignment horizontal="center" vertical="center"/>
    </xf>
    <xf numFmtId="10" fontId="7" fillId="7" borderId="20" xfId="0" applyNumberFormat="1" applyFont="1" applyFill="1" applyBorder="1" applyAlignment="1">
      <alignment horizontal="center" vertical="center"/>
    </xf>
    <xf numFmtId="10" fontId="7" fillId="7" borderId="18" xfId="0" applyNumberFormat="1" applyFont="1" applyFill="1" applyBorder="1" applyAlignment="1">
      <alignment horizontal="center" vertical="center"/>
    </xf>
    <xf numFmtId="17" fontId="10" fillId="0" borderId="8" xfId="0" applyNumberFormat="1" applyFont="1" applyBorder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  <xf numFmtId="3" fontId="10" fillId="0" borderId="8" xfId="0" applyNumberFormat="1" applyFont="1" applyBorder="1" applyAlignment="1" applyProtection="1">
      <alignment horizontal="center" vertical="center"/>
      <protection hidden="1"/>
    </xf>
    <xf numFmtId="3" fontId="10" fillId="0" borderId="8" xfId="0" applyNumberFormat="1" applyFont="1" applyBorder="1" applyAlignment="1">
      <alignment horizontal="center" vertical="center"/>
    </xf>
    <xf numFmtId="3" fontId="73" fillId="0" borderId="8" xfId="2" applyNumberFormat="1" applyFont="1" applyBorder="1" applyAlignment="1" applyProtection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17" fontId="10" fillId="0" borderId="0" xfId="0" applyNumberFormat="1" applyFont="1" applyAlignment="1" applyProtection="1">
      <alignment horizontal="center" vertical="center"/>
      <protection hidden="1"/>
    </xf>
    <xf numFmtId="3" fontId="10" fillId="0" borderId="0" xfId="0" applyNumberFormat="1" applyFont="1" applyAlignment="1">
      <alignment horizontal="center" vertical="center"/>
    </xf>
    <xf numFmtId="3" fontId="73" fillId="0" borderId="0" xfId="2" applyNumberFormat="1" applyFont="1" applyBorder="1" applyAlignment="1" applyProtection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6" fontId="10" fillId="0" borderId="0" xfId="0" applyNumberFormat="1" applyFont="1" applyAlignment="1" applyProtection="1">
      <alignment horizontal="center" vertical="center"/>
      <protection hidden="1"/>
    </xf>
    <xf numFmtId="164" fontId="54" fillId="0" borderId="18" xfId="0" applyNumberFormat="1" applyFont="1" applyBorder="1" applyAlignment="1" applyProtection="1">
      <alignment horizontal="center" vertical="center"/>
      <protection hidden="1"/>
    </xf>
    <xf numFmtId="14" fontId="7" fillId="0" borderId="0" xfId="0" applyNumberFormat="1" applyFont="1" applyAlignment="1">
      <alignment horizontal="right"/>
    </xf>
    <xf numFmtId="3" fontId="10" fillId="0" borderId="106" xfId="0" applyNumberFormat="1" applyFont="1" applyBorder="1" applyAlignment="1" applyProtection="1">
      <alignment horizontal="center" vertical="center"/>
      <protection hidden="1"/>
    </xf>
    <xf numFmtId="3" fontId="7" fillId="0" borderId="106" xfId="0" applyNumberFormat="1" applyFont="1" applyBorder="1" applyAlignment="1" applyProtection="1">
      <alignment horizontal="center" vertical="center"/>
      <protection hidden="1"/>
    </xf>
    <xf numFmtId="167" fontId="10" fillId="0" borderId="106" xfId="0" applyNumberFormat="1" applyFont="1" applyBorder="1" applyAlignment="1" applyProtection="1">
      <alignment horizontal="center" vertical="center"/>
      <protection hidden="1"/>
    </xf>
    <xf numFmtId="167" fontId="7" fillId="0" borderId="106" xfId="0" applyNumberFormat="1" applyFont="1" applyBorder="1" applyAlignment="1" applyProtection="1">
      <alignment horizontal="center" vertical="center"/>
      <protection hidden="1"/>
    </xf>
    <xf numFmtId="3" fontId="14" fillId="0" borderId="106" xfId="0" applyNumberFormat="1" applyFont="1" applyBorder="1" applyAlignment="1" applyProtection="1">
      <alignment horizontal="center" vertical="center"/>
      <protection hidden="1"/>
    </xf>
    <xf numFmtId="0" fontId="15" fillId="0" borderId="112" xfId="0" applyFont="1" applyBorder="1" applyAlignment="1" applyProtection="1">
      <alignment horizontal="left" vertical="center" wrapText="1"/>
      <protection hidden="1"/>
    </xf>
    <xf numFmtId="0" fontId="15" fillId="0" borderId="102" xfId="0" applyFont="1" applyBorder="1" applyAlignment="1" applyProtection="1">
      <alignment horizontal="left" vertical="center"/>
      <protection hidden="1"/>
    </xf>
    <xf numFmtId="0" fontId="14" fillId="0" borderId="99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/>
      <protection hidden="1"/>
    </xf>
    <xf numFmtId="0" fontId="15" fillId="0" borderId="122" xfId="0" applyFont="1" applyBorder="1" applyAlignment="1" applyProtection="1">
      <alignment horizontal="left" vertical="center" wrapText="1"/>
      <protection hidden="1"/>
    </xf>
    <xf numFmtId="1" fontId="59" fillId="11" borderId="42" xfId="0" applyNumberFormat="1" applyFont="1" applyFill="1" applyBorder="1" applyAlignment="1">
      <alignment horizontal="center" vertical="center"/>
    </xf>
    <xf numFmtId="0" fontId="59" fillId="11" borderId="42" xfId="0" applyFont="1" applyFill="1" applyBorder="1" applyAlignment="1" applyProtection="1">
      <alignment horizontal="center" vertical="center"/>
      <protection hidden="1"/>
    </xf>
    <xf numFmtId="0" fontId="74" fillId="11" borderId="78" xfId="0" applyFont="1" applyFill="1" applyBorder="1" applyAlignment="1">
      <alignment horizontal="left" vertical="center"/>
    </xf>
    <xf numFmtId="0" fontId="76" fillId="11" borderId="63" xfId="0" applyFont="1" applyFill="1" applyBorder="1" applyAlignment="1">
      <alignment horizontal="center" vertical="center"/>
    </xf>
    <xf numFmtId="0" fontId="76" fillId="11" borderId="63" xfId="0" applyFont="1" applyFill="1" applyBorder="1" applyAlignment="1">
      <alignment horizontal="center" vertical="center" wrapText="1"/>
    </xf>
    <xf numFmtId="0" fontId="75" fillId="11" borderId="63" xfId="0" applyFont="1" applyFill="1" applyBorder="1" applyAlignment="1">
      <alignment horizontal="center" vertical="center"/>
    </xf>
    <xf numFmtId="0" fontId="77" fillId="11" borderId="27" xfId="0" applyFont="1" applyFill="1" applyBorder="1" applyAlignment="1">
      <alignment horizontal="center" wrapText="1"/>
    </xf>
    <xf numFmtId="0" fontId="74" fillId="11" borderId="68" xfId="0" applyFont="1" applyFill="1" applyBorder="1" applyAlignment="1">
      <alignment horizontal="right" vertical="center" indent="1"/>
    </xf>
    <xf numFmtId="1" fontId="59" fillId="11" borderId="58" xfId="0" applyNumberFormat="1" applyFont="1" applyFill="1" applyBorder="1" applyAlignment="1" applyProtection="1">
      <alignment horizontal="center" vertical="center"/>
      <protection hidden="1"/>
    </xf>
    <xf numFmtId="1" fontId="59" fillId="11" borderId="32" xfId="0" applyNumberFormat="1" applyFont="1" applyFill="1" applyBorder="1" applyAlignment="1" applyProtection="1">
      <alignment horizontal="center" vertical="center"/>
      <protection hidden="1"/>
    </xf>
    <xf numFmtId="1" fontId="59" fillId="11" borderId="33" xfId="0" applyNumberFormat="1" applyFont="1" applyFill="1" applyBorder="1" applyAlignment="1" applyProtection="1">
      <alignment horizontal="center" vertical="center"/>
      <protection hidden="1"/>
    </xf>
    <xf numFmtId="1" fontId="59" fillId="11" borderId="26" xfId="0" applyNumberFormat="1" applyFont="1" applyFill="1" applyBorder="1" applyAlignment="1" applyProtection="1">
      <alignment horizontal="center" vertical="center"/>
      <protection hidden="1"/>
    </xf>
    <xf numFmtId="1" fontId="59" fillId="11" borderId="60" xfId="0" applyNumberFormat="1" applyFont="1" applyFill="1" applyBorder="1" applyAlignment="1" applyProtection="1">
      <alignment horizontal="center" vertical="center"/>
      <protection hidden="1"/>
    </xf>
    <xf numFmtId="0" fontId="70" fillId="11" borderId="13" xfId="0" applyFont="1" applyFill="1" applyBorder="1" applyAlignment="1">
      <alignment horizontal="center" vertical="center"/>
    </xf>
    <xf numFmtId="0" fontId="70" fillId="11" borderId="3" xfId="0" applyFont="1" applyFill="1" applyBorder="1" applyAlignment="1">
      <alignment vertical="center"/>
    </xf>
    <xf numFmtId="0" fontId="70" fillId="11" borderId="10" xfId="0" applyFont="1" applyFill="1" applyBorder="1" applyAlignment="1">
      <alignment vertical="center"/>
    </xf>
    <xf numFmtId="0" fontId="77" fillId="11" borderId="0" xfId="0" applyFont="1" applyFill="1" applyAlignment="1">
      <alignment vertical="center"/>
    </xf>
    <xf numFmtId="0" fontId="70" fillId="11" borderId="31" xfId="0" applyFont="1" applyFill="1" applyBorder="1" applyAlignment="1">
      <alignment vertical="center"/>
    </xf>
    <xf numFmtId="1" fontId="59" fillId="11" borderId="59" xfId="0" applyNumberFormat="1" applyFont="1" applyFill="1" applyBorder="1" applyAlignment="1">
      <alignment horizontal="center" vertical="center"/>
    </xf>
    <xf numFmtId="1" fontId="59" fillId="11" borderId="32" xfId="0" applyNumberFormat="1" applyFont="1" applyFill="1" applyBorder="1" applyAlignment="1">
      <alignment horizontal="center" vertical="center"/>
    </xf>
    <xf numFmtId="0" fontId="77" fillId="11" borderId="17" xfId="0" applyFont="1" applyFill="1" applyBorder="1" applyAlignment="1">
      <alignment vertical="center"/>
    </xf>
    <xf numFmtId="0" fontId="70" fillId="11" borderId="58" xfId="0" applyFont="1" applyFill="1" applyBorder="1" applyAlignment="1">
      <alignment vertical="center"/>
    </xf>
    <xf numFmtId="168" fontId="70" fillId="11" borderId="32" xfId="0" applyNumberFormat="1" applyFont="1" applyFill="1" applyBorder="1" applyAlignment="1">
      <alignment horizontal="center" vertical="center"/>
    </xf>
    <xf numFmtId="168" fontId="70" fillId="11" borderId="18" xfId="0" applyNumberFormat="1" applyFont="1" applyFill="1" applyBorder="1" applyAlignment="1">
      <alignment horizontal="center" vertical="center"/>
    </xf>
    <xf numFmtId="0" fontId="75" fillId="11" borderId="29" xfId="0" applyFont="1" applyFill="1" applyBorder="1" applyAlignment="1" applyProtection="1">
      <alignment horizontal="center" vertical="center"/>
      <protection hidden="1"/>
    </xf>
    <xf numFmtId="0" fontId="75" fillId="11" borderId="30" xfId="0" applyFont="1" applyFill="1" applyBorder="1" applyAlignment="1" applyProtection="1">
      <alignment horizontal="center" vertical="center"/>
      <protection hidden="1"/>
    </xf>
    <xf numFmtId="1" fontId="59" fillId="11" borderId="59" xfId="0" applyNumberFormat="1" applyFont="1" applyFill="1" applyBorder="1" applyAlignment="1" applyProtection="1">
      <alignment horizontal="center" vertical="center"/>
      <protection hidden="1"/>
    </xf>
    <xf numFmtId="0" fontId="75" fillId="11" borderId="17" xfId="0" applyFont="1" applyFill="1" applyBorder="1" applyAlignment="1">
      <alignment horizontal="center" vertical="center"/>
    </xf>
    <xf numFmtId="0" fontId="74" fillId="11" borderId="18" xfId="0" applyFont="1" applyFill="1" applyBorder="1" applyAlignment="1" applyProtection="1">
      <alignment horizontal="center" vertical="center"/>
      <protection hidden="1"/>
    </xf>
    <xf numFmtId="0" fontId="74" fillId="11" borderId="21" xfId="0" applyFont="1" applyFill="1" applyBorder="1" applyAlignment="1" applyProtection="1">
      <alignment horizontal="center" vertical="center"/>
      <protection hidden="1"/>
    </xf>
    <xf numFmtId="0" fontId="75" fillId="11" borderId="54" xfId="0" applyFont="1" applyFill="1" applyBorder="1" applyAlignment="1" applyProtection="1">
      <alignment horizontal="center" vertical="center"/>
      <protection hidden="1"/>
    </xf>
    <xf numFmtId="1" fontId="59" fillId="11" borderId="24" xfId="0" applyNumberFormat="1" applyFont="1" applyFill="1" applyBorder="1" applyAlignment="1" applyProtection="1">
      <alignment horizontal="center" vertical="center"/>
      <protection hidden="1"/>
    </xf>
    <xf numFmtId="0" fontId="77" fillId="11" borderId="14" xfId="0" applyFont="1" applyFill="1" applyBorder="1" applyAlignment="1">
      <alignment horizontal="center" vertical="center"/>
    </xf>
    <xf numFmtId="0" fontId="77" fillId="11" borderId="34" xfId="0" applyFont="1" applyFill="1" applyBorder="1" applyAlignment="1">
      <alignment vertical="center"/>
    </xf>
    <xf numFmtId="0" fontId="70" fillId="11" borderId="42" xfId="0" applyFont="1" applyFill="1" applyBorder="1" applyAlignment="1">
      <alignment vertical="center"/>
    </xf>
    <xf numFmtId="168" fontId="70" fillId="11" borderId="61" xfId="0" applyNumberFormat="1" applyFont="1" applyFill="1" applyBorder="1" applyAlignment="1" applyProtection="1">
      <alignment horizontal="center" vertical="center"/>
      <protection hidden="1"/>
    </xf>
    <xf numFmtId="168" fontId="70" fillId="11" borderId="38" xfId="0" applyNumberFormat="1" applyFont="1" applyFill="1" applyBorder="1" applyAlignment="1">
      <alignment horizontal="center" vertical="center"/>
    </xf>
    <xf numFmtId="168" fontId="70" fillId="11" borderId="56" xfId="0" applyNumberFormat="1" applyFont="1" applyFill="1" applyBorder="1" applyAlignment="1">
      <alignment horizontal="center" vertical="center"/>
    </xf>
    <xf numFmtId="168" fontId="70" fillId="11" borderId="55" xfId="0" applyNumberFormat="1" applyFont="1" applyFill="1" applyBorder="1" applyAlignment="1">
      <alignment horizontal="center" vertical="center"/>
    </xf>
    <xf numFmtId="0" fontId="77" fillId="11" borderId="27" xfId="0" applyFont="1" applyFill="1" applyBorder="1" applyAlignment="1">
      <alignment horizontal="center" vertical="center"/>
    </xf>
    <xf numFmtId="168" fontId="59" fillId="11" borderId="59" xfId="0" applyNumberFormat="1" applyFont="1" applyFill="1" applyBorder="1" applyAlignment="1">
      <alignment horizontal="center" vertical="center"/>
    </xf>
    <xf numFmtId="168" fontId="59" fillId="11" borderId="20" xfId="0" applyNumberFormat="1" applyFont="1" applyFill="1" applyBorder="1" applyAlignment="1">
      <alignment horizontal="center" vertical="center"/>
    </xf>
    <xf numFmtId="168" fontId="59" fillId="11" borderId="19" xfId="0" applyNumberFormat="1" applyFont="1" applyFill="1" applyBorder="1" applyAlignment="1">
      <alignment horizontal="center" vertical="center"/>
    </xf>
    <xf numFmtId="168" fontId="59" fillId="11" borderId="23" xfId="0" applyNumberFormat="1" applyFont="1" applyFill="1" applyBorder="1" applyAlignment="1">
      <alignment horizontal="center" vertical="center"/>
    </xf>
    <xf numFmtId="0" fontId="78" fillId="11" borderId="27" xfId="0" applyFont="1" applyFill="1" applyBorder="1" applyAlignment="1">
      <alignment horizontal="center" vertical="center"/>
    </xf>
    <xf numFmtId="0" fontId="78" fillId="11" borderId="0" xfId="0" applyFont="1" applyFill="1" applyAlignment="1">
      <alignment horizontal="center" vertical="center"/>
    </xf>
    <xf numFmtId="0" fontId="78" fillId="11" borderId="28" xfId="0" applyFont="1" applyFill="1" applyBorder="1" applyAlignment="1">
      <alignment horizontal="center" vertical="center"/>
    </xf>
    <xf numFmtId="49" fontId="78" fillId="11" borderId="27" xfId="0" applyNumberFormat="1" applyFont="1" applyFill="1" applyBorder="1" applyAlignment="1">
      <alignment horizontal="center"/>
    </xf>
    <xf numFmtId="0" fontId="78" fillId="11" borderId="28" xfId="0" applyFont="1" applyFill="1" applyBorder="1" applyAlignment="1">
      <alignment horizontal="center"/>
    </xf>
    <xf numFmtId="49" fontId="78" fillId="11" borderId="12" xfId="0" applyNumberFormat="1" applyFont="1" applyFill="1" applyBorder="1" applyAlignment="1">
      <alignment horizontal="center"/>
    </xf>
    <xf numFmtId="0" fontId="78" fillId="11" borderId="23" xfId="0" applyFont="1" applyFill="1" applyBorder="1" applyAlignment="1">
      <alignment horizontal="center"/>
    </xf>
    <xf numFmtId="0" fontId="78" fillId="11" borderId="41" xfId="0" applyFont="1" applyFill="1" applyBorder="1" applyAlignment="1">
      <alignment horizontal="center" vertical="center"/>
    </xf>
    <xf numFmtId="0" fontId="78" fillId="11" borderId="15" xfId="0" applyFont="1" applyFill="1" applyBorder="1" applyAlignment="1">
      <alignment horizontal="center" vertical="center"/>
    </xf>
    <xf numFmtId="49" fontId="78" fillId="11" borderId="41" xfId="0" applyNumberFormat="1" applyFont="1" applyFill="1" applyBorder="1" applyAlignment="1">
      <alignment horizontal="center"/>
    </xf>
    <xf numFmtId="0" fontId="78" fillId="11" borderId="123" xfId="0" applyFont="1" applyFill="1" applyBorder="1" applyAlignment="1">
      <alignment horizontal="center"/>
    </xf>
    <xf numFmtId="0" fontId="74" fillId="11" borderId="41" xfId="0" applyFont="1" applyFill="1" applyBorder="1" applyAlignment="1">
      <alignment horizontal="center"/>
    </xf>
    <xf numFmtId="0" fontId="74" fillId="11" borderId="55" xfId="0" applyFont="1" applyFill="1" applyBorder="1" applyAlignment="1">
      <alignment horizontal="center"/>
    </xf>
    <xf numFmtId="0" fontId="78" fillId="11" borderId="55" xfId="0" applyFont="1" applyFill="1" applyBorder="1" applyAlignment="1">
      <alignment horizontal="center"/>
    </xf>
    <xf numFmtId="0" fontId="74" fillId="11" borderId="123" xfId="0" applyFont="1" applyFill="1" applyBorder="1" applyAlignment="1">
      <alignment horizontal="right" vertical="center" indent="1"/>
    </xf>
    <xf numFmtId="0" fontId="59" fillId="11" borderId="39" xfId="0" applyFont="1" applyFill="1" applyBorder="1" applyAlignment="1">
      <alignment horizontal="center" vertical="center"/>
    </xf>
    <xf numFmtId="0" fontId="74" fillId="11" borderId="1" xfId="0" applyFont="1" applyFill="1" applyBorder="1" applyAlignment="1">
      <alignment horizontal="center" vertical="center"/>
    </xf>
    <xf numFmtId="0" fontId="74" fillId="11" borderId="39" xfId="0" applyFont="1" applyFill="1" applyBorder="1" applyAlignment="1">
      <alignment horizontal="center" vertical="center"/>
    </xf>
    <xf numFmtId="0" fontId="74" fillId="11" borderId="151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hidden="1"/>
    </xf>
    <xf numFmtId="0" fontId="78" fillId="11" borderId="0" xfId="0" applyFont="1" applyFill="1" applyAlignment="1" applyProtection="1">
      <alignment horizontal="center" vertical="center" wrapText="1"/>
      <protection hidden="1"/>
    </xf>
    <xf numFmtId="1" fontId="14" fillId="0" borderId="0" xfId="0" applyNumberFormat="1" applyFont="1" applyAlignment="1" applyProtection="1">
      <alignment horizontal="center" vertical="center"/>
      <protection hidden="1"/>
    </xf>
    <xf numFmtId="166" fontId="15" fillId="0" borderId="0" xfId="0" applyNumberFormat="1" applyFont="1" applyAlignment="1" applyProtection="1">
      <alignment horizontal="center" vertical="center" shrinkToFit="1"/>
      <protection hidden="1"/>
    </xf>
    <xf numFmtId="0" fontId="15" fillId="0" borderId="0" xfId="0" applyFont="1" applyAlignment="1" applyProtection="1">
      <alignment horizontal="center" vertical="center" shrinkToFit="1"/>
      <protection hidden="1"/>
    </xf>
    <xf numFmtId="167" fontId="15" fillId="0" borderId="0" xfId="0" applyNumberFormat="1" applyFont="1" applyAlignment="1" applyProtection="1">
      <alignment horizontal="center" vertical="center" shrinkToFit="1"/>
      <protection hidden="1"/>
    </xf>
    <xf numFmtId="166" fontId="14" fillId="0" borderId="0" xfId="0" applyNumberFormat="1" applyFont="1" applyAlignment="1" applyProtection="1">
      <alignment horizontal="center" vertical="center" shrinkToFit="1"/>
      <protection hidden="1"/>
    </xf>
    <xf numFmtId="0" fontId="14" fillId="0" borderId="0" xfId="0" applyFont="1" applyAlignment="1" applyProtection="1">
      <alignment horizontal="center" vertical="center" shrinkToFit="1"/>
      <protection hidden="1"/>
    </xf>
    <xf numFmtId="167" fontId="14" fillId="0" borderId="0" xfId="0" applyNumberFormat="1" applyFont="1" applyAlignment="1" applyProtection="1">
      <alignment horizontal="center" vertical="center" shrinkToFit="1"/>
      <protection hidden="1"/>
    </xf>
    <xf numFmtId="0" fontId="74" fillId="11" borderId="159" xfId="0" applyFont="1" applyFill="1" applyBorder="1" applyAlignment="1">
      <alignment horizontal="left" vertical="center"/>
    </xf>
    <xf numFmtId="0" fontId="74" fillId="11" borderId="159" xfId="0" applyFont="1" applyFill="1" applyBorder="1" applyAlignment="1" applyProtection="1">
      <alignment horizontal="left" vertical="center"/>
      <protection hidden="1"/>
    </xf>
    <xf numFmtId="0" fontId="76" fillId="11" borderId="160" xfId="0" applyFont="1" applyFill="1" applyBorder="1" applyAlignment="1">
      <alignment horizontal="center" vertical="center"/>
    </xf>
    <xf numFmtId="0" fontId="76" fillId="11" borderId="159" xfId="0" applyFont="1" applyFill="1" applyBorder="1" applyAlignment="1">
      <alignment horizontal="center" vertical="center"/>
    </xf>
    <xf numFmtId="0" fontId="76" fillId="11" borderId="162" xfId="0" applyFont="1" applyFill="1" applyBorder="1" applyAlignment="1">
      <alignment horizontal="center" vertical="center"/>
    </xf>
    <xf numFmtId="1" fontId="15" fillId="8" borderId="164" xfId="0" applyNumberFormat="1" applyFont="1" applyFill="1" applyBorder="1" applyAlignment="1" applyProtection="1">
      <alignment horizontal="center" vertical="center"/>
      <protection hidden="1"/>
    </xf>
    <xf numFmtId="167" fontId="15" fillId="8" borderId="164" xfId="0" applyNumberFormat="1" applyFont="1" applyFill="1" applyBorder="1" applyAlignment="1" applyProtection="1">
      <alignment horizontal="center" vertical="center"/>
      <protection hidden="1"/>
    </xf>
    <xf numFmtId="1" fontId="15" fillId="8" borderId="166" xfId="0" applyNumberFormat="1" applyFont="1" applyFill="1" applyBorder="1" applyAlignment="1" applyProtection="1">
      <alignment horizontal="center" vertical="center"/>
      <protection hidden="1"/>
    </xf>
    <xf numFmtId="167" fontId="15" fillId="8" borderId="166" xfId="0" applyNumberFormat="1" applyFont="1" applyFill="1" applyBorder="1" applyAlignment="1" applyProtection="1">
      <alignment horizontal="center" vertical="center"/>
      <protection hidden="1"/>
    </xf>
    <xf numFmtId="1" fontId="15" fillId="8" borderId="168" xfId="0" applyNumberFormat="1" applyFont="1" applyFill="1" applyBorder="1" applyAlignment="1" applyProtection="1">
      <alignment horizontal="center" vertical="center"/>
      <protection hidden="1"/>
    </xf>
    <xf numFmtId="167" fontId="15" fillId="8" borderId="168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shrinkToFit="1"/>
      <protection hidden="1"/>
    </xf>
    <xf numFmtId="3" fontId="15" fillId="0" borderId="0" xfId="0" applyNumberFormat="1" applyFont="1" applyAlignment="1">
      <alignment horizontal="right" vertical="center"/>
    </xf>
    <xf numFmtId="0" fontId="48" fillId="0" borderId="148" xfId="0" applyFont="1" applyBorder="1" applyAlignment="1">
      <alignment horizontal="right" vertical="center"/>
    </xf>
    <xf numFmtId="0" fontId="59" fillId="11" borderId="100" xfId="0" applyFont="1" applyFill="1" applyBorder="1" applyAlignment="1">
      <alignment vertical="center"/>
    </xf>
    <xf numFmtId="0" fontId="15" fillId="0" borderId="176" xfId="0" applyFont="1" applyBorder="1" applyAlignment="1" applyProtection="1">
      <alignment horizontal="left" vertical="center"/>
      <protection hidden="1"/>
    </xf>
    <xf numFmtId="0" fontId="15" fillId="0" borderId="177" xfId="0" applyFont="1" applyBorder="1" applyAlignment="1" applyProtection="1">
      <alignment horizontal="left" vertical="center"/>
      <protection hidden="1"/>
    </xf>
    <xf numFmtId="0" fontId="15" fillId="0" borderId="104" xfId="0" applyFont="1" applyBorder="1" applyAlignment="1" applyProtection="1">
      <alignment horizontal="left" vertical="center"/>
      <protection hidden="1"/>
    </xf>
    <xf numFmtId="3" fontId="14" fillId="0" borderId="102" xfId="0" applyNumberFormat="1" applyFont="1" applyBorder="1" applyAlignment="1" applyProtection="1">
      <alignment vertical="center"/>
      <protection hidden="1"/>
    </xf>
    <xf numFmtId="0" fontId="15" fillId="0" borderId="102" xfId="0" applyFont="1" applyBorder="1" applyAlignment="1" applyProtection="1">
      <alignment shrinkToFit="1"/>
      <protection hidden="1"/>
    </xf>
    <xf numFmtId="3" fontId="15" fillId="0" borderId="102" xfId="0" quotePrefix="1" applyNumberFormat="1" applyFont="1" applyBorder="1" applyAlignment="1">
      <alignment horizontal="right" vertical="center"/>
    </xf>
    <xf numFmtId="1" fontId="15" fillId="8" borderId="179" xfId="0" applyNumberFormat="1" applyFont="1" applyFill="1" applyBorder="1" applyAlignment="1" applyProtection="1">
      <alignment horizontal="center" vertical="center"/>
      <protection hidden="1"/>
    </xf>
    <xf numFmtId="167" fontId="15" fillId="8" borderId="179" xfId="0" applyNumberFormat="1" applyFont="1" applyFill="1" applyBorder="1" applyAlignment="1" applyProtection="1">
      <alignment horizontal="center" vertical="center"/>
      <protection hidden="1"/>
    </xf>
    <xf numFmtId="1" fontId="15" fillId="8" borderId="181" xfId="0" applyNumberFormat="1" applyFont="1" applyFill="1" applyBorder="1" applyAlignment="1" applyProtection="1">
      <alignment horizontal="center" vertical="center"/>
      <protection hidden="1"/>
    </xf>
    <xf numFmtId="167" fontId="15" fillId="8" borderId="181" xfId="0" applyNumberFormat="1" applyFont="1" applyFill="1" applyBorder="1" applyAlignment="1" applyProtection="1">
      <alignment horizontal="center" vertical="center"/>
      <protection hidden="1"/>
    </xf>
    <xf numFmtId="1" fontId="15" fillId="8" borderId="183" xfId="0" applyNumberFormat="1" applyFont="1" applyFill="1" applyBorder="1" applyAlignment="1" applyProtection="1">
      <alignment horizontal="center" vertical="center"/>
      <protection hidden="1"/>
    </xf>
    <xf numFmtId="167" fontId="15" fillId="8" borderId="183" xfId="0" applyNumberFormat="1" applyFont="1" applyFill="1" applyBorder="1" applyAlignment="1" applyProtection="1">
      <alignment horizontal="center" vertical="center"/>
      <protection hidden="1"/>
    </xf>
    <xf numFmtId="1" fontId="15" fillId="8" borderId="185" xfId="0" applyNumberFormat="1" applyFont="1" applyFill="1" applyBorder="1" applyAlignment="1" applyProtection="1">
      <alignment horizontal="center" vertical="center"/>
      <protection hidden="1"/>
    </xf>
    <xf numFmtId="167" fontId="15" fillId="8" borderId="185" xfId="0" applyNumberFormat="1" applyFont="1" applyFill="1" applyBorder="1" applyAlignment="1" applyProtection="1">
      <alignment horizontal="center" vertical="center"/>
      <protection hidden="1"/>
    </xf>
    <xf numFmtId="167" fontId="15" fillId="8" borderId="187" xfId="0" applyNumberFormat="1" applyFont="1" applyFill="1" applyBorder="1" applyAlignment="1" applyProtection="1">
      <alignment horizontal="center" vertical="center"/>
      <protection hidden="1"/>
    </xf>
    <xf numFmtId="3" fontId="15" fillId="8" borderId="178" xfId="0" applyNumberFormat="1" applyFont="1" applyFill="1" applyBorder="1" applyAlignment="1" applyProtection="1">
      <alignment horizontal="center" vertical="center"/>
      <protection hidden="1"/>
    </xf>
    <xf numFmtId="3" fontId="15" fillId="8" borderId="180" xfId="0" applyNumberFormat="1" applyFont="1" applyFill="1" applyBorder="1" applyAlignment="1" applyProtection="1">
      <alignment horizontal="center" vertical="center"/>
      <protection hidden="1"/>
    </xf>
    <xf numFmtId="3" fontId="15" fillId="8" borderId="182" xfId="0" applyNumberFormat="1" applyFont="1" applyFill="1" applyBorder="1" applyAlignment="1" applyProtection="1">
      <alignment horizontal="center" vertical="center"/>
      <protection hidden="1"/>
    </xf>
    <xf numFmtId="3" fontId="15" fillId="8" borderId="163" xfId="0" applyNumberFormat="1" applyFont="1" applyFill="1" applyBorder="1" applyAlignment="1" applyProtection="1">
      <alignment horizontal="center" vertical="center"/>
      <protection hidden="1"/>
    </xf>
    <xf numFmtId="3" fontId="15" fillId="8" borderId="165" xfId="0" applyNumberFormat="1" applyFont="1" applyFill="1" applyBorder="1" applyAlignment="1" applyProtection="1">
      <alignment horizontal="center" vertical="center"/>
      <protection hidden="1"/>
    </xf>
    <xf numFmtId="3" fontId="15" fillId="8" borderId="167" xfId="0" applyNumberFormat="1" applyFont="1" applyFill="1" applyBorder="1" applyAlignment="1" applyProtection="1">
      <alignment horizontal="center" vertical="center"/>
      <protection hidden="1"/>
    </xf>
    <xf numFmtId="3" fontId="15" fillId="8" borderId="184" xfId="0" applyNumberFormat="1" applyFont="1" applyFill="1" applyBorder="1" applyAlignment="1" applyProtection="1">
      <alignment horizontal="center" vertical="center"/>
      <protection hidden="1"/>
    </xf>
    <xf numFmtId="3" fontId="15" fillId="8" borderId="186" xfId="0" applyNumberFormat="1" applyFont="1" applyFill="1" applyBorder="1" applyAlignment="1" applyProtection="1">
      <alignment horizontal="center" vertical="center"/>
      <protection hidden="1"/>
    </xf>
    <xf numFmtId="167" fontId="14" fillId="8" borderId="106" xfId="0" applyNumberFormat="1" applyFont="1" applyFill="1" applyBorder="1" applyAlignment="1" applyProtection="1">
      <alignment horizontal="center" vertical="center"/>
      <protection hidden="1"/>
    </xf>
    <xf numFmtId="3" fontId="15" fillId="8" borderId="189" xfId="0" applyNumberFormat="1" applyFont="1" applyFill="1" applyBorder="1" applyAlignment="1" applyProtection="1">
      <alignment horizontal="center" vertical="center"/>
      <protection hidden="1"/>
    </xf>
    <xf numFmtId="167" fontId="15" fillId="8" borderId="189" xfId="0" applyNumberFormat="1" applyFont="1" applyFill="1" applyBorder="1" applyAlignment="1" applyProtection="1">
      <alignment horizontal="center" vertical="center"/>
      <protection hidden="1"/>
    </xf>
    <xf numFmtId="0" fontId="74" fillId="11" borderId="190" xfId="0" applyFont="1" applyFill="1" applyBorder="1" applyAlignment="1" applyProtection="1">
      <alignment horizontal="center" vertical="center"/>
      <protection hidden="1"/>
    </xf>
    <xf numFmtId="0" fontId="10" fillId="7" borderId="0" xfId="0" applyFont="1" applyFill="1" applyProtection="1">
      <protection locked="0"/>
    </xf>
    <xf numFmtId="0" fontId="10" fillId="7" borderId="0" xfId="0" applyFont="1" applyFill="1" applyAlignment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0" fillId="7" borderId="0" xfId="0" applyFill="1" applyProtection="1">
      <protection locked="0"/>
    </xf>
    <xf numFmtId="164" fontId="10" fillId="7" borderId="0" xfId="0" applyNumberFormat="1" applyFont="1" applyFill="1" applyAlignment="1" applyProtection="1">
      <alignment vertical="center"/>
      <protection locked="0"/>
    </xf>
    <xf numFmtId="0" fontId="10" fillId="7" borderId="0" xfId="0" applyFont="1" applyFill="1" applyAlignment="1" applyProtection="1">
      <alignment horizontal="center" vertical="center"/>
      <protection locked="0"/>
    </xf>
    <xf numFmtId="3" fontId="14" fillId="0" borderId="139" xfId="0" applyNumberFormat="1" applyFont="1" applyBorder="1" applyAlignment="1" applyProtection="1">
      <alignment horizontal="center" vertical="center"/>
      <protection hidden="1"/>
    </xf>
    <xf numFmtId="0" fontId="10" fillId="7" borderId="192" xfId="0" applyFont="1" applyFill="1" applyBorder="1" applyAlignment="1" applyProtection="1">
      <alignment vertical="center"/>
      <protection locked="0"/>
    </xf>
    <xf numFmtId="0" fontId="10" fillId="7" borderId="102" xfId="0" applyFont="1" applyFill="1" applyBorder="1" applyAlignment="1" applyProtection="1">
      <alignment vertical="center"/>
      <protection locked="0"/>
    </xf>
    <xf numFmtId="0" fontId="10" fillId="7" borderId="103" xfId="0" applyFont="1" applyFill="1" applyBorder="1" applyAlignment="1" applyProtection="1">
      <alignment vertical="center"/>
      <protection locked="0"/>
    </xf>
    <xf numFmtId="1" fontId="74" fillId="11" borderId="110" xfId="0" applyNumberFormat="1" applyFont="1" applyFill="1" applyBorder="1" applyAlignment="1" applyProtection="1">
      <alignment horizontal="center" vertical="center"/>
      <protection hidden="1"/>
    </xf>
    <xf numFmtId="3" fontId="14" fillId="0" borderId="190" xfId="0" applyNumberFormat="1" applyFont="1" applyBorder="1" applyAlignment="1" applyProtection="1">
      <alignment horizontal="center" vertical="center"/>
      <protection hidden="1"/>
    </xf>
    <xf numFmtId="0" fontId="15" fillId="0" borderId="108" xfId="0" applyFont="1" applyBorder="1" applyAlignment="1" applyProtection="1">
      <alignment horizontal="center" vertical="center"/>
      <protection hidden="1"/>
    </xf>
    <xf numFmtId="167" fontId="15" fillId="0" borderId="105" xfId="0" applyNumberFormat="1" applyFont="1" applyBorder="1" applyAlignment="1" applyProtection="1">
      <alignment horizontal="center" vertical="center"/>
      <protection hidden="1"/>
    </xf>
    <xf numFmtId="0" fontId="59" fillId="11" borderId="100" xfId="0" applyFont="1" applyFill="1" applyBorder="1" applyAlignment="1" applyProtection="1">
      <alignment horizontal="left" vertical="center" indent="1"/>
      <protection hidden="1"/>
    </xf>
    <xf numFmtId="0" fontId="75" fillId="11" borderId="190" xfId="0" applyFont="1" applyFill="1" applyBorder="1" applyAlignment="1" applyProtection="1">
      <alignment horizontal="center" vertical="center"/>
      <protection hidden="1"/>
    </xf>
    <xf numFmtId="0" fontId="59" fillId="11" borderId="102" xfId="0" applyFont="1" applyFill="1" applyBorder="1" applyAlignment="1" applyProtection="1">
      <alignment horizontal="left" vertical="center" indent="1"/>
      <protection hidden="1"/>
    </xf>
    <xf numFmtId="0" fontId="75" fillId="11" borderId="110" xfId="0" applyFont="1" applyFill="1" applyBorder="1" applyAlignment="1" applyProtection="1">
      <alignment horizontal="center" vertical="center"/>
      <protection hidden="1"/>
    </xf>
    <xf numFmtId="49" fontId="75" fillId="11" borderId="110" xfId="0" applyNumberFormat="1" applyFont="1" applyFill="1" applyBorder="1" applyAlignment="1" applyProtection="1">
      <alignment horizontal="center" vertical="center"/>
      <protection hidden="1"/>
    </xf>
    <xf numFmtId="0" fontId="70" fillId="11" borderId="100" xfId="0" applyFont="1" applyFill="1" applyBorder="1" applyAlignment="1" applyProtection="1">
      <alignment horizontal="left" vertical="center" indent="1"/>
      <protection hidden="1"/>
    </xf>
    <xf numFmtId="0" fontId="70" fillId="11" borderId="0" xfId="0" applyFont="1" applyFill="1" applyAlignment="1" applyProtection="1">
      <alignment horizontal="left" vertical="center" indent="1"/>
      <protection hidden="1"/>
    </xf>
    <xf numFmtId="0" fontId="70" fillId="11" borderId="102" xfId="0" applyFont="1" applyFill="1" applyBorder="1" applyAlignment="1">
      <alignment horizontal="left" vertical="center" indent="1"/>
    </xf>
    <xf numFmtId="49" fontId="76" fillId="11" borderId="102" xfId="0" applyNumberFormat="1" applyFont="1" applyFill="1" applyBorder="1" applyAlignment="1" applyProtection="1">
      <alignment horizontal="center"/>
      <protection hidden="1"/>
    </xf>
    <xf numFmtId="0" fontId="76" fillId="11" borderId="102" xfId="0" applyFont="1" applyFill="1" applyBorder="1" applyAlignment="1" applyProtection="1">
      <alignment horizontal="center"/>
      <protection hidden="1"/>
    </xf>
    <xf numFmtId="49" fontId="76" fillId="11" borderId="191" xfId="0" applyNumberFormat="1" applyFont="1" applyFill="1" applyBorder="1" applyAlignment="1" applyProtection="1">
      <alignment horizontal="center"/>
      <protection hidden="1"/>
    </xf>
    <xf numFmtId="0" fontId="76" fillId="11" borderId="106" xfId="0" applyFont="1" applyFill="1" applyBorder="1" applyAlignment="1" applyProtection="1">
      <alignment horizontal="center"/>
      <protection hidden="1"/>
    </xf>
    <xf numFmtId="167" fontId="14" fillId="0" borderId="120" xfId="0" applyNumberFormat="1" applyFont="1" applyBorder="1" applyAlignment="1" applyProtection="1">
      <alignment vertical="center"/>
      <protection hidden="1"/>
    </xf>
    <xf numFmtId="1" fontId="14" fillId="0" borderId="120" xfId="0" applyNumberFormat="1" applyFont="1" applyBorder="1" applyAlignment="1" applyProtection="1">
      <alignment horizontal="center" vertical="center"/>
      <protection hidden="1"/>
    </xf>
    <xf numFmtId="167" fontId="14" fillId="8" borderId="120" xfId="0" applyNumberFormat="1" applyFont="1" applyFill="1" applyBorder="1" applyAlignment="1" applyProtection="1">
      <alignment vertical="center"/>
      <protection hidden="1"/>
    </xf>
    <xf numFmtId="3" fontId="7" fillId="0" borderId="108" xfId="0" applyNumberFormat="1" applyFont="1" applyBorder="1" applyAlignment="1" applyProtection="1">
      <alignment horizontal="center" vertical="center"/>
      <protection hidden="1"/>
    </xf>
    <xf numFmtId="0" fontId="10" fillId="6" borderId="107" xfId="0" applyFont="1" applyFill="1" applyBorder="1" applyAlignment="1" applyProtection="1">
      <alignment horizontal="center" vertical="center"/>
      <protection hidden="1"/>
    </xf>
    <xf numFmtId="0" fontId="14" fillId="6" borderId="113" xfId="0" applyFont="1" applyFill="1" applyBorder="1" applyAlignment="1" applyProtection="1">
      <alignment horizontal="center" vertical="center"/>
      <protection hidden="1"/>
    </xf>
    <xf numFmtId="0" fontId="7" fillId="6" borderId="113" xfId="0" applyFont="1" applyFill="1" applyBorder="1" applyAlignment="1" applyProtection="1">
      <alignment horizontal="center" vertical="center"/>
      <protection hidden="1"/>
    </xf>
    <xf numFmtId="49" fontId="76" fillId="11" borderId="106" xfId="0" applyNumberFormat="1" applyFont="1" applyFill="1" applyBorder="1" applyAlignment="1" applyProtection="1">
      <alignment horizontal="center"/>
      <protection hidden="1"/>
    </xf>
    <xf numFmtId="0" fontId="59" fillId="11" borderId="194" xfId="0" applyFont="1" applyFill="1" applyBorder="1" applyAlignment="1" applyProtection="1">
      <alignment horizontal="left" vertical="center" indent="1"/>
      <protection hidden="1"/>
    </xf>
    <xf numFmtId="0" fontId="59" fillId="11" borderId="114" xfId="0" applyFont="1" applyFill="1" applyBorder="1" applyAlignment="1" applyProtection="1">
      <alignment horizontal="left" vertical="center" indent="1"/>
      <protection hidden="1"/>
    </xf>
    <xf numFmtId="0" fontId="74" fillId="11" borderId="194" xfId="0" applyFont="1" applyFill="1" applyBorder="1" applyAlignment="1" applyProtection="1">
      <alignment horizontal="left" vertical="center" indent="1"/>
      <protection hidden="1"/>
    </xf>
    <xf numFmtId="0" fontId="74" fillId="11" borderId="114" xfId="0" applyFont="1" applyFill="1" applyBorder="1" applyAlignment="1" applyProtection="1">
      <alignment horizontal="left" vertical="center" indent="1"/>
      <protection hidden="1"/>
    </xf>
    <xf numFmtId="0" fontId="59" fillId="11" borderId="102" xfId="0" applyFont="1" applyFill="1" applyBorder="1" applyAlignment="1">
      <alignment vertical="center"/>
    </xf>
    <xf numFmtId="0" fontId="14" fillId="0" borderId="197" xfId="0" applyFont="1" applyBorder="1" applyAlignment="1" applyProtection="1">
      <alignment horizontal="center"/>
      <protection hidden="1"/>
    </xf>
    <xf numFmtId="0" fontId="14" fillId="0" borderId="114" xfId="0" applyFont="1" applyBorder="1" applyAlignment="1" applyProtection="1">
      <alignment horizontal="right"/>
      <protection hidden="1"/>
    </xf>
    <xf numFmtId="0" fontId="15" fillId="0" borderId="197" xfId="0" applyFont="1" applyBorder="1" applyAlignment="1" applyProtection="1">
      <alignment horizontal="center"/>
      <protection hidden="1"/>
    </xf>
    <xf numFmtId="0" fontId="14" fillId="0" borderId="207" xfId="0" applyFont="1" applyBorder="1" applyAlignment="1" applyProtection="1">
      <alignment horizontal="left" vertical="center"/>
      <protection hidden="1"/>
    </xf>
    <xf numFmtId="0" fontId="14" fillId="0" borderId="208" xfId="0" applyFont="1" applyBorder="1" applyAlignment="1" applyProtection="1">
      <alignment vertical="center"/>
      <protection hidden="1"/>
    </xf>
    <xf numFmtId="0" fontId="14" fillId="0" borderId="100" xfId="0" applyFont="1" applyBorder="1" applyAlignment="1" applyProtection="1">
      <alignment vertical="center"/>
      <protection hidden="1"/>
    </xf>
    <xf numFmtId="0" fontId="15" fillId="0" borderId="100" xfId="0" applyFont="1" applyBorder="1" applyAlignment="1" applyProtection="1">
      <alignment vertical="center"/>
      <protection hidden="1"/>
    </xf>
    <xf numFmtId="0" fontId="15" fillId="0" borderId="100" xfId="0" applyFont="1" applyBorder="1" applyProtection="1">
      <protection hidden="1"/>
    </xf>
    <xf numFmtId="0" fontId="14" fillId="0" borderId="102" xfId="0" applyFont="1" applyBorder="1" applyAlignment="1" applyProtection="1">
      <alignment horizontal="right" vertical="center"/>
      <protection hidden="1"/>
    </xf>
    <xf numFmtId="0" fontId="14" fillId="0" borderId="175" xfId="0" applyFont="1" applyBorder="1" applyAlignment="1" applyProtection="1">
      <alignment horizontal="left" vertical="center"/>
      <protection hidden="1"/>
    </xf>
    <xf numFmtId="0" fontId="14" fillId="0" borderId="102" xfId="0" applyFont="1" applyBorder="1" applyAlignment="1" applyProtection="1">
      <alignment vertical="center"/>
      <protection hidden="1"/>
    </xf>
    <xf numFmtId="14" fontId="9" fillId="0" borderId="0" xfId="0" applyNumberFormat="1" applyFont="1" applyAlignment="1">
      <alignment horizontal="left" vertical="center"/>
    </xf>
    <xf numFmtId="14" fontId="9" fillId="0" borderId="0" xfId="0" applyNumberFormat="1" applyFont="1" applyAlignment="1" applyProtection="1">
      <alignment horizontal="left"/>
      <protection hidden="1"/>
    </xf>
    <xf numFmtId="3" fontId="14" fillId="8" borderId="191" xfId="0" applyNumberFormat="1" applyFont="1" applyFill="1" applyBorder="1" applyAlignment="1" applyProtection="1">
      <alignment horizontal="center" vertical="center"/>
      <protection hidden="1"/>
    </xf>
    <xf numFmtId="3" fontId="15" fillId="8" borderId="188" xfId="0" applyNumberFormat="1" applyFont="1" applyFill="1" applyBorder="1" applyAlignment="1" applyProtection="1">
      <alignment horizontal="center" vertical="center"/>
      <protection hidden="1"/>
    </xf>
    <xf numFmtId="3" fontId="14" fillId="12" borderId="106" xfId="0" applyNumberFormat="1" applyFont="1" applyFill="1" applyBorder="1" applyAlignment="1" applyProtection="1">
      <alignment horizontal="center" vertical="center"/>
      <protection hidden="1"/>
    </xf>
    <xf numFmtId="1" fontId="14" fillId="6" borderId="113" xfId="0" applyNumberFormat="1" applyFont="1" applyFill="1" applyBorder="1" applyAlignment="1" applyProtection="1">
      <alignment horizontal="center" vertical="center"/>
      <protection hidden="1"/>
    </xf>
    <xf numFmtId="1" fontId="14" fillId="6" borderId="106" xfId="0" applyNumberFormat="1" applyFont="1" applyFill="1" applyBorder="1" applyAlignment="1" applyProtection="1">
      <alignment horizontal="center" vertical="center"/>
      <protection hidden="1"/>
    </xf>
    <xf numFmtId="1" fontId="15" fillId="6" borderId="106" xfId="0" applyNumberFormat="1" applyFont="1" applyFill="1" applyBorder="1" applyAlignment="1" applyProtection="1">
      <alignment horizontal="center" vertical="center"/>
      <protection hidden="1"/>
    </xf>
    <xf numFmtId="0" fontId="0" fillId="0" borderId="18" xfId="0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/>
    </xf>
    <xf numFmtId="1" fontId="9" fillId="0" borderId="8" xfId="0" applyNumberFormat="1" applyFont="1" applyBorder="1" applyAlignment="1">
      <alignment horizontal="center"/>
    </xf>
    <xf numFmtId="0" fontId="0" fillId="0" borderId="24" xfId="0" applyBorder="1"/>
    <xf numFmtId="166" fontId="0" fillId="0" borderId="17" xfId="0" applyNumberFormat="1" applyBorder="1"/>
    <xf numFmtId="3" fontId="0" fillId="0" borderId="24" xfId="0" applyNumberFormat="1" applyBorder="1"/>
    <xf numFmtId="166" fontId="9" fillId="0" borderId="8" xfId="0" applyNumberFormat="1" applyFont="1" applyBorder="1"/>
    <xf numFmtId="0" fontId="9" fillId="0" borderId="8" xfId="0" applyFont="1" applyBorder="1"/>
    <xf numFmtId="1" fontId="14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shrinkToFit="1"/>
    </xf>
    <xf numFmtId="3" fontId="9" fillId="6" borderId="18" xfId="0" applyNumberFormat="1" applyFont="1" applyFill="1" applyBorder="1" applyAlignment="1" applyProtection="1">
      <alignment horizontal="center" vertical="center"/>
      <protection hidden="1"/>
    </xf>
    <xf numFmtId="0" fontId="15" fillId="0" borderId="135" xfId="0" applyFont="1" applyBorder="1" applyAlignment="1" applyProtection="1">
      <alignment horizontal="left" vertical="center"/>
      <protection hidden="1"/>
    </xf>
    <xf numFmtId="0" fontId="15" fillId="0" borderId="134" xfId="0" applyFont="1" applyBorder="1" applyAlignment="1" applyProtection="1">
      <alignment horizontal="left" vertical="center"/>
      <protection hidden="1"/>
    </xf>
    <xf numFmtId="3" fontId="15" fillId="6" borderId="18" xfId="0" applyNumberFormat="1" applyFont="1" applyFill="1" applyBorder="1" applyAlignment="1" applyProtection="1">
      <alignment horizontal="center" vertical="center"/>
      <protection hidden="1"/>
    </xf>
    <xf numFmtId="3" fontId="10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center" vertical="center"/>
    </xf>
    <xf numFmtId="0" fontId="79" fillId="0" borderId="0" xfId="0" applyFont="1" applyAlignment="1" applyProtection="1">
      <alignment vertical="center"/>
      <protection hidden="1"/>
    </xf>
    <xf numFmtId="0" fontId="79" fillId="0" borderId="0" xfId="0" applyFont="1" applyProtection="1">
      <protection hidden="1"/>
    </xf>
    <xf numFmtId="0" fontId="79" fillId="0" borderId="0" xfId="0" applyFont="1" applyAlignment="1" applyProtection="1">
      <alignment horizontal="left"/>
      <protection hidden="1"/>
    </xf>
    <xf numFmtId="0" fontId="82" fillId="0" borderId="0" xfId="0" applyFont="1" applyProtection="1">
      <protection hidden="1"/>
    </xf>
    <xf numFmtId="0" fontId="82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vertical="center"/>
      <protection hidden="1"/>
    </xf>
    <xf numFmtId="14" fontId="14" fillId="0" borderId="0" xfId="0" applyNumberFormat="1" applyFont="1" applyAlignment="1" applyProtection="1">
      <alignment horizontal="center"/>
      <protection hidden="1"/>
    </xf>
    <xf numFmtId="0" fontId="82" fillId="0" borderId="0" xfId="0" applyFont="1" applyAlignment="1" applyProtection="1">
      <alignment horizontal="left" vertical="center"/>
      <protection hidden="1"/>
    </xf>
    <xf numFmtId="0" fontId="82" fillId="0" borderId="0" xfId="0" applyFont="1" applyAlignment="1" applyProtection="1">
      <alignment vertical="center"/>
      <protection hidden="1"/>
    </xf>
    <xf numFmtId="164" fontId="10" fillId="0" borderId="0" xfId="0" applyNumberFormat="1" applyFont="1" applyAlignment="1">
      <alignment horizontal="right" vertical="center"/>
    </xf>
    <xf numFmtId="164" fontId="10" fillId="0" borderId="0" xfId="2" applyNumberFormat="1" applyFont="1" applyAlignment="1" applyProtection="1">
      <alignment horizontal="right" vertical="center"/>
      <protection hidden="1"/>
    </xf>
    <xf numFmtId="0" fontId="25" fillId="0" borderId="0" xfId="0" applyFont="1" applyAlignment="1" applyProtection="1">
      <alignment vertical="center" wrapText="1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25" fillId="0" borderId="0" xfId="0" applyFont="1"/>
    <xf numFmtId="164" fontId="15" fillId="6" borderId="106" xfId="0" applyNumberFormat="1" applyFont="1" applyFill="1" applyBorder="1" applyAlignment="1" applyProtection="1">
      <alignment horizontal="center" vertical="center"/>
      <protection hidden="1"/>
    </xf>
    <xf numFmtId="166" fontId="14" fillId="8" borderId="106" xfId="0" applyNumberFormat="1" applyFont="1" applyFill="1" applyBorder="1" applyAlignment="1" applyProtection="1">
      <alignment horizontal="center" vertical="center"/>
      <protection hidden="1"/>
    </xf>
    <xf numFmtId="167" fontId="14" fillId="0" borderId="211" xfId="0" applyNumberFormat="1" applyFont="1" applyBorder="1" applyAlignment="1" applyProtection="1">
      <alignment vertical="center"/>
      <protection hidden="1"/>
    </xf>
    <xf numFmtId="166" fontId="14" fillId="0" borderId="211" xfId="0" applyNumberFormat="1" applyFont="1" applyBorder="1" applyAlignment="1" applyProtection="1">
      <alignment horizontal="center" vertical="center"/>
      <protection hidden="1"/>
    </xf>
    <xf numFmtId="167" fontId="14" fillId="8" borderId="211" xfId="0" applyNumberFormat="1" applyFont="1" applyFill="1" applyBorder="1" applyAlignment="1" applyProtection="1">
      <alignment vertical="center"/>
      <protection hidden="1"/>
    </xf>
    <xf numFmtId="0" fontId="14" fillId="0" borderId="21" xfId="0" applyFont="1" applyBorder="1" applyAlignment="1">
      <alignment vertical="center"/>
    </xf>
    <xf numFmtId="16" fontId="14" fillId="0" borderId="21" xfId="0" applyNumberFormat="1" applyFont="1" applyBorder="1" applyAlignment="1">
      <alignment horizontal="left" vertical="center"/>
    </xf>
    <xf numFmtId="0" fontId="14" fillId="7" borderId="21" xfId="0" applyFont="1" applyFill="1" applyBorder="1" applyAlignment="1" applyProtection="1">
      <alignment vertical="center"/>
      <protection locked="0"/>
    </xf>
    <xf numFmtId="0" fontId="14" fillId="0" borderId="26" xfId="0" applyFont="1" applyBorder="1" applyAlignment="1">
      <alignment vertical="center"/>
    </xf>
    <xf numFmtId="167" fontId="83" fillId="3" borderId="6" xfId="0" applyNumberFormat="1" applyFont="1" applyFill="1" applyBorder="1" applyAlignment="1" applyProtection="1">
      <alignment horizontal="center" vertical="center"/>
      <protection hidden="1"/>
    </xf>
    <xf numFmtId="167" fontId="83" fillId="3" borderId="7" xfId="0" applyNumberFormat="1" applyFont="1" applyFill="1" applyBorder="1" applyAlignment="1" applyProtection="1">
      <alignment horizontal="center" vertical="center"/>
      <protection hidden="1"/>
    </xf>
    <xf numFmtId="0" fontId="83" fillId="0" borderId="16" xfId="0" applyFont="1" applyBorder="1" applyAlignment="1" applyProtection="1">
      <alignment horizontal="right" vertical="center"/>
      <protection hidden="1"/>
    </xf>
    <xf numFmtId="3" fontId="83" fillId="0" borderId="4" xfId="0" applyNumberFormat="1" applyFont="1" applyBorder="1" applyAlignment="1" applyProtection="1">
      <alignment horizontal="center" vertical="center"/>
      <protection hidden="1"/>
    </xf>
    <xf numFmtId="3" fontId="83" fillId="3" borderId="6" xfId="0" applyNumberFormat="1" applyFont="1" applyFill="1" applyBorder="1" applyAlignment="1" applyProtection="1">
      <alignment horizontal="center" vertical="center"/>
      <protection hidden="1"/>
    </xf>
    <xf numFmtId="164" fontId="80" fillId="7" borderId="18" xfId="2" applyNumberFormat="1" applyFont="1" applyFill="1" applyBorder="1" applyAlignment="1" applyProtection="1">
      <alignment horizontal="center" vertical="center"/>
      <protection locked="0" hidden="1"/>
    </xf>
    <xf numFmtId="167" fontId="80" fillId="7" borderId="18" xfId="0" applyNumberFormat="1" applyFont="1" applyFill="1" applyBorder="1" applyAlignment="1" applyProtection="1">
      <alignment horizontal="center" vertical="center"/>
      <protection locked="0" hidden="1"/>
    </xf>
    <xf numFmtId="3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55" fillId="0" borderId="26" xfId="0" applyFont="1" applyBorder="1" applyAlignment="1" applyProtection="1">
      <alignment vertical="center"/>
      <protection locked="0"/>
    </xf>
    <xf numFmtId="0" fontId="47" fillId="0" borderId="26" xfId="0" applyFont="1" applyBorder="1" applyAlignment="1" applyProtection="1">
      <alignment vertical="center"/>
      <protection locked="0"/>
    </xf>
    <xf numFmtId="1" fontId="15" fillId="0" borderId="26" xfId="0" applyNumberFormat="1" applyFont="1" applyBorder="1" applyAlignment="1" applyProtection="1">
      <alignment horizontal="left" vertical="center"/>
      <protection locked="0"/>
    </xf>
    <xf numFmtId="3" fontId="46" fillId="7" borderId="62" xfId="0" applyNumberFormat="1" applyFont="1" applyFill="1" applyBorder="1" applyAlignment="1" applyProtection="1">
      <alignment horizontal="center" vertical="center"/>
      <protection locked="0" hidden="1"/>
    </xf>
    <xf numFmtId="3" fontId="43" fillId="7" borderId="18" xfId="0" applyNumberFormat="1" applyFont="1" applyFill="1" applyBorder="1" applyAlignment="1" applyProtection="1">
      <alignment horizontal="center" vertical="center"/>
      <protection locked="0" hidden="1"/>
    </xf>
    <xf numFmtId="3" fontId="43" fillId="7" borderId="32" xfId="0" applyNumberFormat="1" applyFont="1" applyFill="1" applyBorder="1" applyAlignment="1" applyProtection="1">
      <alignment horizontal="center" vertical="center"/>
      <protection locked="0" hidden="1"/>
    </xf>
    <xf numFmtId="0" fontId="15" fillId="7" borderId="18" xfId="0" applyFont="1" applyFill="1" applyBorder="1" applyAlignment="1" applyProtection="1">
      <alignment horizontal="center" vertical="top"/>
      <protection locked="0"/>
    </xf>
    <xf numFmtId="164" fontId="15" fillId="7" borderId="32" xfId="0" applyNumberFormat="1" applyFont="1" applyFill="1" applyBorder="1" applyAlignment="1" applyProtection="1">
      <alignment horizontal="center" vertical="center"/>
      <protection locked="0"/>
    </xf>
    <xf numFmtId="1" fontId="15" fillId="0" borderId="17" xfId="0" applyNumberFormat="1" applyFont="1" applyBorder="1" applyAlignment="1" applyProtection="1">
      <alignment horizontal="left" vertical="center"/>
      <protection locked="0"/>
    </xf>
    <xf numFmtId="164" fontId="15" fillId="7" borderId="20" xfId="0" applyNumberFormat="1" applyFont="1" applyFill="1" applyBorder="1" applyAlignment="1" applyProtection="1">
      <alignment horizontal="center" vertical="center"/>
      <protection locked="0"/>
    </xf>
    <xf numFmtId="1" fontId="15" fillId="0" borderId="24" xfId="0" applyNumberFormat="1" applyFont="1" applyBorder="1" applyAlignment="1" applyProtection="1">
      <alignment horizontal="left" vertical="center"/>
      <protection locked="0"/>
    </xf>
    <xf numFmtId="0" fontId="53" fillId="0" borderId="26" xfId="0" applyFont="1" applyBorder="1" applyAlignment="1" applyProtection="1">
      <alignment vertical="center"/>
      <protection locked="0"/>
    </xf>
    <xf numFmtId="1" fontId="15" fillId="0" borderId="0" xfId="0" applyNumberFormat="1" applyFont="1" applyAlignment="1" applyProtection="1">
      <alignment horizontal="left" vertical="center"/>
      <protection locked="0"/>
    </xf>
    <xf numFmtId="1" fontId="15" fillId="0" borderId="21" xfId="0" applyNumberFormat="1" applyFont="1" applyBorder="1" applyAlignment="1" applyProtection="1">
      <alignment horizontal="left" vertical="center"/>
      <protection locked="0"/>
    </xf>
    <xf numFmtId="1" fontId="15" fillId="0" borderId="11" xfId="0" applyNumberFormat="1" applyFont="1" applyBorder="1" applyAlignment="1" applyProtection="1">
      <alignment horizontal="left" vertical="center"/>
      <protection locked="0"/>
    </xf>
    <xf numFmtId="0" fontId="10" fillId="0" borderId="24" xfId="0" applyFont="1" applyBorder="1" applyAlignment="1" applyProtection="1">
      <alignment horizontal="left" vertical="center"/>
      <protection locked="0"/>
    </xf>
    <xf numFmtId="0" fontId="15" fillId="0" borderId="21" xfId="0" applyFont="1" applyBorder="1" applyAlignment="1" applyProtection="1">
      <alignment horizontal="left" vertical="center"/>
      <protection locked="0"/>
    </xf>
    <xf numFmtId="167" fontId="15" fillId="0" borderId="11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9" fillId="0" borderId="63" xfId="0" applyFont="1" applyBorder="1" applyAlignment="1">
      <alignment horizontal="right"/>
    </xf>
    <xf numFmtId="3" fontId="0" fillId="0" borderId="63" xfId="0" applyNumberFormat="1" applyBorder="1"/>
    <xf numFmtId="0" fontId="21" fillId="0" borderId="63" xfId="0" applyFont="1" applyBorder="1"/>
    <xf numFmtId="9" fontId="0" fillId="0" borderId="63" xfId="2" applyFont="1" applyBorder="1"/>
    <xf numFmtId="0" fontId="0" fillId="0" borderId="11" xfId="0" applyBorder="1" applyAlignment="1">
      <alignment horizontal="right"/>
    </xf>
    <xf numFmtId="0" fontId="21" fillId="0" borderId="11" xfId="0" applyFont="1" applyBorder="1"/>
    <xf numFmtId="0" fontId="0" fillId="0" borderId="15" xfId="0" applyBorder="1" applyAlignment="1">
      <alignment horizontal="right"/>
    </xf>
    <xf numFmtId="0" fontId="0" fillId="0" borderId="15" xfId="0" applyBorder="1"/>
    <xf numFmtId="0" fontId="21" fillId="0" borderId="15" xfId="0" applyFont="1" applyBorder="1"/>
    <xf numFmtId="0" fontId="9" fillId="6" borderId="2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/>
    </xf>
    <xf numFmtId="3" fontId="0" fillId="6" borderId="49" xfId="2" applyNumberFormat="1" applyFont="1" applyFill="1" applyBorder="1"/>
    <xf numFmtId="3" fontId="0" fillId="6" borderId="62" xfId="0" applyNumberFormat="1" applyFill="1" applyBorder="1"/>
    <xf numFmtId="3" fontId="0" fillId="6" borderId="50" xfId="0" applyNumberFormat="1" applyFill="1" applyBorder="1"/>
    <xf numFmtId="3" fontId="0" fillId="6" borderId="36" xfId="2" applyNumberFormat="1" applyFont="1" applyFill="1" applyBorder="1"/>
    <xf numFmtId="3" fontId="0" fillId="6" borderId="18" xfId="0" applyNumberFormat="1" applyFill="1" applyBorder="1"/>
    <xf numFmtId="3" fontId="0" fillId="6" borderId="35" xfId="0" applyNumberFormat="1" applyFill="1" applyBorder="1"/>
    <xf numFmtId="3" fontId="0" fillId="6" borderId="37" xfId="2" applyNumberFormat="1" applyFont="1" applyFill="1" applyBorder="1"/>
    <xf numFmtId="3" fontId="0" fillId="6" borderId="38" xfId="0" applyNumberFormat="1" applyFill="1" applyBorder="1"/>
    <xf numFmtId="3" fontId="0" fillId="6" borderId="55" xfId="0" applyNumberFormat="1" applyFill="1" applyBorder="1"/>
    <xf numFmtId="3" fontId="0" fillId="6" borderId="52" xfId="2" applyNumberFormat="1" applyFont="1" applyFill="1" applyBorder="1"/>
    <xf numFmtId="3" fontId="0" fillId="6" borderId="32" xfId="0" applyNumberFormat="1" applyFill="1" applyBorder="1"/>
    <xf numFmtId="3" fontId="0" fillId="6" borderId="33" xfId="0" applyNumberFormat="1" applyFill="1" applyBorder="1"/>
    <xf numFmtId="3" fontId="0" fillId="6" borderId="22" xfId="2" applyNumberFormat="1" applyFont="1" applyFill="1" applyBorder="1"/>
    <xf numFmtId="3" fontId="0" fillId="6" borderId="20" xfId="0" applyNumberFormat="1" applyFill="1" applyBorder="1"/>
    <xf numFmtId="3" fontId="0" fillId="6" borderId="23" xfId="0" applyNumberFormat="1" applyFill="1" applyBorder="1"/>
    <xf numFmtId="3" fontId="0" fillId="6" borderId="34" xfId="2" applyNumberFormat="1" applyFont="1" applyFill="1" applyBorder="1"/>
    <xf numFmtId="3" fontId="0" fillId="6" borderId="34" xfId="0" applyNumberFormat="1" applyFill="1" applyBorder="1"/>
    <xf numFmtId="3" fontId="9" fillId="6" borderId="0" xfId="0" applyNumberFormat="1" applyFont="1" applyFill="1"/>
    <xf numFmtId="166" fontId="9" fillId="6" borderId="0" xfId="0" applyNumberFormat="1" applyFont="1" applyFill="1"/>
    <xf numFmtId="0" fontId="9" fillId="6" borderId="0" xfId="0" applyFont="1" applyFill="1" applyAlignment="1">
      <alignment horizontal="center"/>
    </xf>
    <xf numFmtId="0" fontId="0" fillId="6" borderId="63" xfId="0" applyFill="1" applyBorder="1"/>
    <xf numFmtId="167" fontId="0" fillId="6" borderId="63" xfId="0" applyNumberFormat="1" applyFill="1" applyBorder="1"/>
    <xf numFmtId="0" fontId="0" fillId="6" borderId="11" xfId="0" applyFill="1" applyBorder="1"/>
    <xf numFmtId="167" fontId="0" fillId="6" borderId="11" xfId="0" applyNumberFormat="1" applyFill="1" applyBorder="1"/>
    <xf numFmtId="0" fontId="0" fillId="6" borderId="15" xfId="0" applyFill="1" applyBorder="1"/>
    <xf numFmtId="167" fontId="0" fillId="6" borderId="15" xfId="0" applyNumberFormat="1" applyFill="1" applyBorder="1"/>
    <xf numFmtId="0" fontId="6" fillId="6" borderId="63" xfId="0" applyFont="1" applyFill="1" applyBorder="1"/>
    <xf numFmtId="3" fontId="9" fillId="0" borderId="49" xfId="0" applyNumberFormat="1" applyFont="1" applyBorder="1"/>
    <xf numFmtId="3" fontId="9" fillId="0" borderId="62" xfId="0" applyNumberFormat="1" applyFont="1" applyBorder="1"/>
    <xf numFmtId="3" fontId="9" fillId="0" borderId="50" xfId="0" applyNumberFormat="1" applyFont="1" applyBorder="1"/>
    <xf numFmtId="0" fontId="0" fillId="0" borderId="35" xfId="0" applyBorder="1"/>
    <xf numFmtId="0" fontId="0" fillId="0" borderId="55" xfId="0" applyBorder="1"/>
    <xf numFmtId="3" fontId="9" fillId="0" borderId="22" xfId="0" applyNumberFormat="1" applyFont="1" applyBorder="1"/>
    <xf numFmtId="3" fontId="9" fillId="0" borderId="20" xfId="0" applyNumberFormat="1" applyFont="1" applyBorder="1"/>
    <xf numFmtId="3" fontId="9" fillId="0" borderId="23" xfId="0" applyNumberFormat="1" applyFont="1" applyBorder="1"/>
    <xf numFmtId="3" fontId="8" fillId="0" borderId="18" xfId="0" applyNumberFormat="1" applyFont="1" applyBorder="1"/>
    <xf numFmtId="3" fontId="8" fillId="0" borderId="38" xfId="0" applyNumberFormat="1" applyFont="1" applyBorder="1"/>
    <xf numFmtId="3" fontId="8" fillId="0" borderId="49" xfId="0" applyNumberFormat="1" applyFont="1" applyBorder="1"/>
    <xf numFmtId="1" fontId="14" fillId="0" borderId="24" xfId="0" applyNumberFormat="1" applyFont="1" applyBorder="1" applyAlignment="1" applyProtection="1">
      <alignment horizontal="left" vertical="center"/>
      <protection locked="0"/>
    </xf>
    <xf numFmtId="1" fontId="14" fillId="0" borderId="17" xfId="0" applyNumberFormat="1" applyFont="1" applyBorder="1" applyAlignment="1" applyProtection="1">
      <alignment horizontal="left" vertical="center"/>
      <protection locked="0"/>
    </xf>
    <xf numFmtId="0" fontId="10" fillId="0" borderId="24" xfId="0" applyFont="1" applyBorder="1"/>
    <xf numFmtId="0" fontId="10" fillId="0" borderId="17" xfId="0" applyFont="1" applyBorder="1"/>
    <xf numFmtId="9" fontId="15" fillId="7" borderId="212" xfId="2" applyFont="1" applyFill="1" applyBorder="1" applyAlignment="1" applyProtection="1">
      <alignment horizontal="center" vertical="center"/>
      <protection locked="0"/>
    </xf>
    <xf numFmtId="3" fontId="14" fillId="0" borderId="6" xfId="0" applyNumberFormat="1" applyFont="1" applyBorder="1" applyAlignment="1">
      <alignment horizontal="center" vertical="center"/>
    </xf>
    <xf numFmtId="167" fontId="15" fillId="0" borderId="18" xfId="0" applyNumberFormat="1" applyFont="1" applyBorder="1" applyAlignment="1" applyProtection="1">
      <alignment horizontal="right" vertical="center"/>
      <protection hidden="1"/>
    </xf>
    <xf numFmtId="164" fontId="15" fillId="0" borderId="18" xfId="2" applyNumberFormat="1" applyFont="1" applyBorder="1" applyProtection="1">
      <protection hidden="1"/>
    </xf>
    <xf numFmtId="164" fontId="15" fillId="0" borderId="18" xfId="2" applyNumberFormat="1" applyFont="1" applyBorder="1" applyAlignment="1" applyProtection="1">
      <alignment horizontal="right" vertical="center"/>
      <protection hidden="1"/>
    </xf>
    <xf numFmtId="164" fontId="0" fillId="0" borderId="0" xfId="2" applyNumberFormat="1" applyFont="1"/>
    <xf numFmtId="167" fontId="15" fillId="0" borderId="20" xfId="0" applyNumberFormat="1" applyFont="1" applyBorder="1" applyAlignment="1" applyProtection="1">
      <alignment horizontal="right" vertical="center"/>
      <protection hidden="1"/>
    </xf>
    <xf numFmtId="0" fontId="41" fillId="0" borderId="0" xfId="0" applyFont="1" applyAlignment="1">
      <alignment vertical="center"/>
    </xf>
    <xf numFmtId="3" fontId="15" fillId="0" borderId="113" xfId="0" applyNumberFormat="1" applyFont="1" applyBorder="1" applyAlignment="1" applyProtection="1">
      <alignment horizontal="center" vertical="center"/>
      <protection hidden="1"/>
    </xf>
    <xf numFmtId="0" fontId="9" fillId="14" borderId="0" xfId="0" applyFont="1" applyFill="1" applyAlignment="1">
      <alignment horizontal="center" vertical="center"/>
    </xf>
    <xf numFmtId="0" fontId="7" fillId="14" borderId="0" xfId="0" applyFont="1" applyFill="1" applyAlignment="1">
      <alignment horizontal="center" vertical="center"/>
    </xf>
    <xf numFmtId="0" fontId="14" fillId="14" borderId="0" xfId="0" applyFont="1" applyFill="1" applyAlignment="1">
      <alignment horizontal="center" vertical="center"/>
    </xf>
    <xf numFmtId="0" fontId="14" fillId="8" borderId="159" xfId="0" applyFont="1" applyFill="1" applyBorder="1" applyAlignment="1" applyProtection="1">
      <alignment horizontal="left" vertical="center"/>
      <protection hidden="1"/>
    </xf>
    <xf numFmtId="0" fontId="14" fillId="0" borderId="159" xfId="0" applyFont="1" applyBorder="1" applyAlignment="1" applyProtection="1">
      <alignment vertical="center"/>
      <protection hidden="1"/>
    </xf>
    <xf numFmtId="0" fontId="76" fillId="11" borderId="0" xfId="0" applyFont="1" applyFill="1" applyAlignment="1">
      <alignment horizontal="center" vertical="center"/>
    </xf>
    <xf numFmtId="167" fontId="15" fillId="8" borderId="224" xfId="0" applyNumberFormat="1" applyFont="1" applyFill="1" applyBorder="1" applyAlignment="1" applyProtection="1">
      <alignment horizontal="center" vertical="center"/>
      <protection hidden="1"/>
    </xf>
    <xf numFmtId="167" fontId="15" fillId="8" borderId="225" xfId="0" applyNumberFormat="1" applyFont="1" applyFill="1" applyBorder="1" applyAlignment="1" applyProtection="1">
      <alignment horizontal="center" vertical="center"/>
      <protection hidden="1"/>
    </xf>
    <xf numFmtId="167" fontId="15" fillId="8" borderId="226" xfId="0" applyNumberFormat="1" applyFont="1" applyFill="1" applyBorder="1" applyAlignment="1" applyProtection="1">
      <alignment horizontal="center" vertical="center"/>
      <protection hidden="1"/>
    </xf>
    <xf numFmtId="167" fontId="15" fillId="8" borderId="227" xfId="0" applyNumberFormat="1" applyFont="1" applyFill="1" applyBorder="1" applyAlignment="1" applyProtection="1">
      <alignment horizontal="center" vertical="center"/>
      <protection hidden="1"/>
    </xf>
    <xf numFmtId="167" fontId="15" fillId="8" borderId="228" xfId="0" applyNumberFormat="1" applyFont="1" applyFill="1" applyBorder="1" applyAlignment="1" applyProtection="1">
      <alignment horizontal="center" vertical="center"/>
      <protection hidden="1"/>
    </xf>
    <xf numFmtId="167" fontId="15" fillId="8" borderId="229" xfId="0" applyNumberFormat="1" applyFont="1" applyFill="1" applyBorder="1" applyAlignment="1" applyProtection="1">
      <alignment horizontal="center" vertical="center"/>
      <protection hidden="1"/>
    </xf>
    <xf numFmtId="167" fontId="15" fillId="8" borderId="230" xfId="0" applyNumberFormat="1" applyFont="1" applyFill="1" applyBorder="1" applyAlignment="1" applyProtection="1">
      <alignment horizontal="center" vertical="center"/>
      <protection hidden="1"/>
    </xf>
    <xf numFmtId="167" fontId="15" fillId="8" borderId="231" xfId="0" applyNumberFormat="1" applyFont="1" applyFill="1" applyBorder="1" applyAlignment="1" applyProtection="1">
      <alignment horizontal="center" vertical="center"/>
      <protection hidden="1"/>
    </xf>
    <xf numFmtId="167" fontId="14" fillId="8" borderId="232" xfId="0" applyNumberFormat="1" applyFont="1" applyFill="1" applyBorder="1" applyAlignment="1" applyProtection="1">
      <alignment horizontal="center" vertical="center"/>
      <protection hidden="1"/>
    </xf>
    <xf numFmtId="167" fontId="14" fillId="0" borderId="160" xfId="0" applyNumberFormat="1" applyFont="1" applyBorder="1" applyAlignment="1" applyProtection="1">
      <alignment horizontal="center" vertical="center"/>
      <protection hidden="1"/>
    </xf>
    <xf numFmtId="167" fontId="15" fillId="8" borderId="233" xfId="0" applyNumberFormat="1" applyFont="1" applyFill="1" applyBorder="1" applyAlignment="1" applyProtection="1">
      <alignment horizontal="center" vertical="center"/>
      <protection hidden="1"/>
    </xf>
    <xf numFmtId="167" fontId="15" fillId="0" borderId="160" xfId="0" applyNumberFormat="1" applyFont="1" applyBorder="1" applyAlignment="1" applyProtection="1">
      <alignment horizontal="center" vertical="center"/>
      <protection hidden="1"/>
    </xf>
    <xf numFmtId="0" fontId="15" fillId="0" borderId="180" xfId="0" applyFont="1" applyBorder="1"/>
    <xf numFmtId="0" fontId="15" fillId="0" borderId="186" xfId="0" applyFont="1" applyBorder="1"/>
    <xf numFmtId="0" fontId="76" fillId="11" borderId="103" xfId="0" applyFont="1" applyFill="1" applyBorder="1" applyAlignment="1" applyProtection="1">
      <alignment horizontal="center"/>
      <protection hidden="1"/>
    </xf>
    <xf numFmtId="1" fontId="14" fillId="8" borderId="236" xfId="0" applyNumberFormat="1" applyFont="1" applyFill="1" applyBorder="1" applyAlignment="1" applyProtection="1">
      <alignment horizontal="center" vertical="center"/>
      <protection hidden="1"/>
    </xf>
    <xf numFmtId="166" fontId="15" fillId="8" borderId="143" xfId="0" applyNumberFormat="1" applyFont="1" applyFill="1" applyBorder="1" applyAlignment="1" applyProtection="1">
      <alignment horizontal="center" vertical="center"/>
      <protection hidden="1"/>
    </xf>
    <xf numFmtId="3" fontId="14" fillId="8" borderId="143" xfId="0" applyNumberFormat="1" applyFont="1" applyFill="1" applyBorder="1" applyAlignment="1" applyProtection="1">
      <alignment horizontal="center" vertical="center"/>
      <protection hidden="1"/>
    </xf>
    <xf numFmtId="166" fontId="14" fillId="8" borderId="143" xfId="0" applyNumberFormat="1" applyFont="1" applyFill="1" applyBorder="1" applyAlignment="1" applyProtection="1">
      <alignment horizontal="center" vertical="center"/>
      <protection hidden="1"/>
    </xf>
    <xf numFmtId="166" fontId="14" fillId="8" borderId="237" xfId="0" applyNumberFormat="1" applyFont="1" applyFill="1" applyBorder="1" applyAlignment="1" applyProtection="1">
      <alignment horizontal="center" vertical="center"/>
      <protection hidden="1"/>
    </xf>
    <xf numFmtId="3" fontId="14" fillId="0" borderId="108" xfId="0" applyNumberFormat="1" applyFont="1" applyBorder="1" applyAlignment="1" applyProtection="1">
      <alignment horizontal="center" vertical="center"/>
      <protection hidden="1"/>
    </xf>
    <xf numFmtId="3" fontId="14" fillId="0" borderId="113" xfId="0" applyNumberFormat="1" applyFont="1" applyBorder="1" applyAlignment="1" applyProtection="1">
      <alignment horizontal="center" vertical="center"/>
      <protection hidden="1"/>
    </xf>
    <xf numFmtId="172" fontId="14" fillId="8" borderId="113" xfId="0" applyNumberFormat="1" applyFont="1" applyFill="1" applyBorder="1" applyAlignment="1" applyProtection="1">
      <alignment horizontal="center" vertical="center"/>
      <protection hidden="1"/>
    </xf>
    <xf numFmtId="0" fontId="78" fillId="11" borderId="160" xfId="0" applyFont="1" applyFill="1" applyBorder="1" applyAlignment="1">
      <alignment horizontal="center" vertical="center"/>
    </xf>
    <xf numFmtId="0" fontId="78" fillId="11" borderId="160" xfId="0" applyFont="1" applyFill="1" applyBorder="1" applyAlignment="1" applyProtection="1">
      <alignment horizontal="center" vertical="center"/>
      <protection hidden="1"/>
    </xf>
    <xf numFmtId="0" fontId="14" fillId="0" borderId="160" xfId="0" applyFont="1" applyBorder="1" applyAlignment="1" applyProtection="1">
      <alignment vertical="center"/>
      <protection hidden="1"/>
    </xf>
    <xf numFmtId="166" fontId="15" fillId="8" borderId="224" xfId="0" applyNumberFormat="1" applyFont="1" applyFill="1" applyBorder="1" applyAlignment="1" applyProtection="1">
      <alignment horizontal="center" vertical="center"/>
      <protection hidden="1"/>
    </xf>
    <xf numFmtId="166" fontId="15" fillId="8" borderId="225" xfId="0" applyNumberFormat="1" applyFont="1" applyFill="1" applyBorder="1" applyAlignment="1" applyProtection="1">
      <alignment horizontal="center" vertical="center"/>
      <protection hidden="1"/>
    </xf>
    <xf numFmtId="166" fontId="74" fillId="11" borderId="160" xfId="0" applyNumberFormat="1" applyFont="1" applyFill="1" applyBorder="1" applyAlignment="1" applyProtection="1">
      <alignment horizontal="center" vertical="center"/>
      <protection hidden="1"/>
    </xf>
    <xf numFmtId="166" fontId="15" fillId="8" borderId="226" xfId="0" applyNumberFormat="1" applyFont="1" applyFill="1" applyBorder="1" applyAlignment="1" applyProtection="1">
      <alignment horizontal="center" vertical="center"/>
      <protection hidden="1"/>
    </xf>
    <xf numFmtId="166" fontId="15" fillId="8" borderId="227" xfId="0" applyNumberFormat="1" applyFont="1" applyFill="1" applyBorder="1" applyAlignment="1" applyProtection="1">
      <alignment horizontal="center" vertical="center"/>
      <protection hidden="1"/>
    </xf>
    <xf numFmtId="166" fontId="15" fillId="8" borderId="228" xfId="0" applyNumberFormat="1" applyFont="1" applyFill="1" applyBorder="1" applyAlignment="1" applyProtection="1">
      <alignment horizontal="center" vertical="center"/>
      <protection hidden="1"/>
    </xf>
    <xf numFmtId="166" fontId="15" fillId="8" borderId="229" xfId="0" applyNumberFormat="1" applyFont="1" applyFill="1" applyBorder="1" applyAlignment="1" applyProtection="1">
      <alignment horizontal="center" vertical="center"/>
      <protection hidden="1"/>
    </xf>
    <xf numFmtId="166" fontId="15" fillId="8" borderId="230" xfId="0" applyNumberFormat="1" applyFont="1" applyFill="1" applyBorder="1" applyAlignment="1" applyProtection="1">
      <alignment horizontal="center" vertical="center"/>
      <protection hidden="1"/>
    </xf>
    <xf numFmtId="166" fontId="15" fillId="8" borderId="231" xfId="0" applyNumberFormat="1" applyFont="1" applyFill="1" applyBorder="1" applyAlignment="1" applyProtection="1">
      <alignment horizontal="center" vertical="center"/>
      <protection hidden="1"/>
    </xf>
    <xf numFmtId="164" fontId="14" fillId="6" borderId="232" xfId="0" applyNumberFormat="1" applyFont="1" applyFill="1" applyBorder="1" applyAlignment="1" applyProtection="1">
      <alignment horizontal="center" vertical="center"/>
      <protection hidden="1"/>
    </xf>
    <xf numFmtId="166" fontId="14" fillId="0" borderId="160" xfId="0" applyNumberFormat="1" applyFont="1" applyBorder="1" applyAlignment="1" applyProtection="1">
      <alignment horizontal="center" vertical="center"/>
      <protection hidden="1"/>
    </xf>
    <xf numFmtId="166" fontId="15" fillId="8" borderId="233" xfId="0" applyNumberFormat="1" applyFont="1" applyFill="1" applyBorder="1" applyAlignment="1" applyProtection="1">
      <alignment horizontal="center" vertical="center"/>
      <protection hidden="1"/>
    </xf>
    <xf numFmtId="3" fontId="15" fillId="8" borderId="247" xfId="0" applyNumberFormat="1" applyFont="1" applyFill="1" applyBorder="1" applyAlignment="1" applyProtection="1">
      <alignment horizontal="center" vertical="center"/>
      <protection hidden="1"/>
    </xf>
    <xf numFmtId="3" fontId="15" fillId="8" borderId="248" xfId="0" applyNumberFormat="1" applyFont="1" applyFill="1" applyBorder="1" applyAlignment="1" applyProtection="1">
      <alignment horizontal="center" vertical="center"/>
      <protection hidden="1"/>
    </xf>
    <xf numFmtId="3" fontId="15" fillId="8" borderId="249" xfId="0" applyNumberFormat="1" applyFont="1" applyFill="1" applyBorder="1" applyAlignment="1" applyProtection="1">
      <alignment horizontal="center" vertical="center"/>
      <protection hidden="1"/>
    </xf>
    <xf numFmtId="3" fontId="15" fillId="8" borderId="250" xfId="0" applyNumberFormat="1" applyFont="1" applyFill="1" applyBorder="1" applyAlignment="1" applyProtection="1">
      <alignment horizontal="center" vertical="center"/>
      <protection hidden="1"/>
    </xf>
    <xf numFmtId="3" fontId="15" fillId="8" borderId="251" xfId="0" applyNumberFormat="1" applyFont="1" applyFill="1" applyBorder="1" applyAlignment="1" applyProtection="1">
      <alignment horizontal="center" vertical="center"/>
      <protection hidden="1"/>
    </xf>
    <xf numFmtId="3" fontId="15" fillId="8" borderId="252" xfId="0" applyNumberFormat="1" applyFont="1" applyFill="1" applyBorder="1" applyAlignment="1" applyProtection="1">
      <alignment horizontal="center" vertical="center"/>
      <protection hidden="1"/>
    </xf>
    <xf numFmtId="3" fontId="15" fillId="8" borderId="253" xfId="0" applyNumberFormat="1" applyFont="1" applyFill="1" applyBorder="1" applyAlignment="1" applyProtection="1">
      <alignment horizontal="center" vertical="center"/>
      <protection hidden="1"/>
    </xf>
    <xf numFmtId="3" fontId="14" fillId="8" borderId="254" xfId="0" applyNumberFormat="1" applyFont="1" applyFill="1" applyBorder="1" applyAlignment="1" applyProtection="1">
      <alignment horizontal="center" vertical="center"/>
      <protection hidden="1"/>
    </xf>
    <xf numFmtId="3" fontId="14" fillId="0" borderId="159" xfId="0" applyNumberFormat="1" applyFont="1" applyBorder="1" applyAlignment="1" applyProtection="1">
      <alignment horizontal="center" vertical="center"/>
      <protection hidden="1"/>
    </xf>
    <xf numFmtId="3" fontId="15" fillId="8" borderId="255" xfId="0" applyNumberFormat="1" applyFont="1" applyFill="1" applyBorder="1" applyAlignment="1" applyProtection="1">
      <alignment horizontal="center" vertical="center"/>
      <protection hidden="1"/>
    </xf>
    <xf numFmtId="3" fontId="15" fillId="8" borderId="256" xfId="0" applyNumberFormat="1" applyFont="1" applyFill="1" applyBorder="1" applyAlignment="1" applyProtection="1">
      <alignment horizontal="center" vertical="center"/>
      <protection hidden="1"/>
    </xf>
    <xf numFmtId="3" fontId="14" fillId="6" borderId="113" xfId="0" applyNumberFormat="1" applyFont="1" applyFill="1" applyBorder="1" applyAlignment="1" applyProtection="1">
      <alignment horizontal="center" vertical="center"/>
      <protection hidden="1"/>
    </xf>
    <xf numFmtId="3" fontId="14" fillId="8" borderId="106" xfId="0" applyNumberFormat="1" applyFont="1" applyFill="1" applyBorder="1" applyAlignment="1" applyProtection="1">
      <alignment horizontal="center" vertical="center"/>
      <protection hidden="1"/>
    </xf>
    <xf numFmtId="3" fontId="14" fillId="6" borderId="191" xfId="0" applyNumberFormat="1" applyFont="1" applyFill="1" applyBorder="1" applyAlignment="1" applyProtection="1">
      <alignment horizontal="center" vertical="center"/>
      <protection hidden="1"/>
    </xf>
    <xf numFmtId="3" fontId="15" fillId="6" borderId="113" xfId="0" applyNumberFormat="1" applyFont="1" applyFill="1" applyBorder="1" applyAlignment="1" applyProtection="1">
      <alignment horizontal="center" vertical="center"/>
      <protection hidden="1"/>
    </xf>
    <xf numFmtId="3" fontId="15" fillId="6" borderId="191" xfId="0" applyNumberFormat="1" applyFont="1" applyFill="1" applyBorder="1" applyAlignment="1" applyProtection="1">
      <alignment horizontal="center" vertical="center"/>
      <protection hidden="1"/>
    </xf>
    <xf numFmtId="167" fontId="14" fillId="0" borderId="113" xfId="0" applyNumberFormat="1" applyFont="1" applyBorder="1" applyAlignment="1" applyProtection="1">
      <alignment horizontal="center" vertical="center" shrinkToFit="1"/>
      <protection hidden="1"/>
    </xf>
    <xf numFmtId="0" fontId="12" fillId="0" borderId="8" xfId="0" applyFont="1" applyBorder="1" applyAlignment="1">
      <alignment horizontal="left" vertical="center" indent="1"/>
    </xf>
    <xf numFmtId="0" fontId="14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left" vertical="center" indent="1"/>
    </xf>
    <xf numFmtId="0" fontId="12" fillId="0" borderId="26" xfId="0" applyFont="1" applyBorder="1" applyAlignment="1">
      <alignment horizontal="left" vertical="center" indent="1"/>
    </xf>
    <xf numFmtId="0" fontId="0" fillId="0" borderId="261" xfId="0" applyBorder="1"/>
    <xf numFmtId="0" fontId="22" fillId="0" borderId="261" xfId="0" applyFont="1" applyBorder="1"/>
    <xf numFmtId="0" fontId="22" fillId="0" borderId="263" xfId="0" applyFont="1" applyBorder="1"/>
    <xf numFmtId="0" fontId="12" fillId="0" borderId="0" xfId="0" applyFont="1" applyAlignment="1">
      <alignment horizontal="left" indent="1"/>
    </xf>
    <xf numFmtId="14" fontId="14" fillId="7" borderId="0" xfId="0" applyNumberFormat="1" applyFont="1" applyFill="1" applyAlignment="1" applyProtection="1">
      <alignment horizontal="left" inden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indent="1"/>
    </xf>
    <xf numFmtId="0" fontId="12" fillId="0" borderId="8" xfId="0" applyFont="1" applyBorder="1" applyAlignment="1">
      <alignment horizontal="left"/>
    </xf>
    <xf numFmtId="0" fontId="0" fillId="0" borderId="8" xfId="0" applyBorder="1" applyAlignment="1">
      <alignment horizontal="left" vertical="center" indent="1"/>
    </xf>
    <xf numFmtId="0" fontId="14" fillId="0" borderId="0" xfId="0" applyFont="1" applyAlignment="1" applyProtection="1">
      <alignment vertical="center"/>
      <protection locked="0"/>
    </xf>
    <xf numFmtId="0" fontId="15" fillId="0" borderId="0" xfId="2" applyNumberFormat="1" applyFont="1" applyBorder="1" applyAlignment="1" applyProtection="1">
      <alignment vertical="center"/>
      <protection locked="0"/>
    </xf>
    <xf numFmtId="0" fontId="47" fillId="0" borderId="0" xfId="0" applyFont="1" applyAlignment="1" applyProtection="1">
      <alignment vertical="center"/>
      <protection locked="0"/>
    </xf>
    <xf numFmtId="0" fontId="48" fillId="0" borderId="0" xfId="0" applyFont="1" applyAlignment="1" applyProtection="1">
      <alignment horizontal="left" vertical="center"/>
      <protection hidden="1"/>
    </xf>
    <xf numFmtId="14" fontId="15" fillId="0" borderId="0" xfId="0" applyNumberFormat="1" applyFont="1" applyAlignment="1">
      <alignment horizontal="left"/>
    </xf>
    <xf numFmtId="1" fontId="9" fillId="0" borderId="38" xfId="0" applyNumberFormat="1" applyFont="1" applyBorder="1" applyAlignment="1" applyProtection="1">
      <alignment horizontal="center" vertical="center"/>
      <protection hidden="1"/>
    </xf>
    <xf numFmtId="3" fontId="15" fillId="6" borderId="18" xfId="0" applyNumberFormat="1" applyFont="1" applyFill="1" applyBorder="1" applyAlignment="1">
      <alignment horizontal="right" vertical="center"/>
    </xf>
    <xf numFmtId="166" fontId="14" fillId="0" borderId="77" xfId="0" applyNumberFormat="1" applyFont="1" applyBorder="1" applyAlignment="1">
      <alignment horizontal="right" vertical="center"/>
    </xf>
    <xf numFmtId="166" fontId="15" fillId="0" borderId="44" xfId="0" applyNumberFormat="1" applyFont="1" applyBorder="1" applyAlignment="1">
      <alignment horizontal="right" vertical="center"/>
    </xf>
    <xf numFmtId="166" fontId="15" fillId="0" borderId="31" xfId="0" applyNumberFormat="1" applyFont="1" applyBorder="1" applyAlignment="1">
      <alignment horizontal="right" vertical="center"/>
    </xf>
    <xf numFmtId="3" fontId="14" fillId="6" borderId="18" xfId="0" applyNumberFormat="1" applyFont="1" applyFill="1" applyBorder="1" applyAlignment="1">
      <alignment vertical="center"/>
    </xf>
    <xf numFmtId="17" fontId="31" fillId="0" borderId="46" xfId="0" applyNumberFormat="1" applyFont="1" applyBorder="1" applyAlignment="1">
      <alignment horizontal="center" vertical="center"/>
    </xf>
    <xf numFmtId="0" fontId="8" fillId="8" borderId="25" xfId="0" applyFont="1" applyFill="1" applyBorder="1" applyAlignment="1">
      <alignment horizontal="center" vertical="center"/>
    </xf>
    <xf numFmtId="0" fontId="14" fillId="0" borderId="159" xfId="0" applyFont="1" applyBorder="1" applyAlignment="1" applyProtection="1">
      <alignment horizontal="left" vertical="center" indent="1"/>
      <protection hidden="1"/>
    </xf>
    <xf numFmtId="0" fontId="14" fillId="0" borderId="0" xfId="0" applyFont="1" applyAlignment="1" applyProtection="1">
      <alignment horizontal="left" vertical="center" indent="1"/>
      <protection hidden="1"/>
    </xf>
    <xf numFmtId="3" fontId="15" fillId="0" borderId="9" xfId="0" applyNumberFormat="1" applyFont="1" applyBorder="1" applyAlignment="1">
      <alignment horizontal="right" vertical="center"/>
    </xf>
    <xf numFmtId="0" fontId="47" fillId="0" borderId="0" xfId="2" applyNumberFormat="1" applyFont="1" applyBorder="1" applyAlignment="1" applyProtection="1">
      <alignment vertical="center"/>
      <protection locked="0"/>
    </xf>
    <xf numFmtId="0" fontId="47" fillId="0" borderId="28" xfId="0" applyFont="1" applyBorder="1" applyAlignment="1" applyProtection="1">
      <alignment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0" fontId="0" fillId="0" borderId="26" xfId="0" applyBorder="1" applyProtection="1">
      <protection locked="0"/>
    </xf>
    <xf numFmtId="0" fontId="10" fillId="0" borderId="32" xfId="0" applyFont="1" applyBorder="1" applyAlignment="1" applyProtection="1">
      <alignment horizontal="center" vertical="center" wrapText="1"/>
      <protection hidden="1"/>
    </xf>
    <xf numFmtId="0" fontId="10" fillId="0" borderId="59" xfId="0" applyFont="1" applyBorder="1" applyAlignment="1" applyProtection="1">
      <alignment horizontal="center" vertical="center" wrapText="1"/>
      <protection hidden="1"/>
    </xf>
    <xf numFmtId="0" fontId="10" fillId="0" borderId="59" xfId="0" applyFont="1" applyBorder="1" applyAlignment="1">
      <alignment horizontal="center" vertical="center"/>
    </xf>
    <xf numFmtId="166" fontId="47" fillId="7" borderId="18" xfId="0" applyNumberFormat="1" applyFont="1" applyFill="1" applyBorder="1" applyAlignment="1" applyProtection="1">
      <alignment horizontal="center" vertical="center"/>
      <protection locked="0"/>
    </xf>
    <xf numFmtId="3" fontId="43" fillId="7" borderId="62" xfId="0" applyNumberFormat="1" applyFont="1" applyFill="1" applyBorder="1" applyAlignment="1" applyProtection="1">
      <alignment horizontal="center" vertical="center"/>
      <protection locked="0" hidden="1"/>
    </xf>
    <xf numFmtId="3" fontId="43" fillId="12" borderId="59" xfId="0" applyNumberFormat="1" applyFont="1" applyFill="1" applyBorder="1" applyAlignment="1" applyProtection="1">
      <alignment horizontal="center" vertical="center"/>
      <protection hidden="1"/>
    </xf>
    <xf numFmtId="0" fontId="14" fillId="0" borderId="13" xfId="0" applyFont="1" applyBorder="1"/>
    <xf numFmtId="17" fontId="14" fillId="0" borderId="3" xfId="0" applyNumberFormat="1" applyFont="1" applyBorder="1"/>
    <xf numFmtId="17" fontId="14" fillId="0" borderId="2" xfId="0" applyNumberFormat="1" applyFont="1" applyBorder="1"/>
    <xf numFmtId="0" fontId="14" fillId="0" borderId="27" xfId="0" applyFont="1" applyBorder="1"/>
    <xf numFmtId="1" fontId="14" fillId="0" borderId="28" xfId="0" applyNumberFormat="1" applyFont="1" applyBorder="1"/>
    <xf numFmtId="3" fontId="14" fillId="0" borderId="28" xfId="0" applyNumberFormat="1" applyFont="1" applyBorder="1"/>
    <xf numFmtId="0" fontId="15" fillId="0" borderId="27" xfId="0" applyFont="1" applyBorder="1"/>
    <xf numFmtId="3" fontId="15" fillId="0" borderId="28" xfId="0" applyNumberFormat="1" applyFont="1" applyBorder="1"/>
    <xf numFmtId="0" fontId="0" fillId="0" borderId="14" xfId="0" applyBorder="1"/>
    <xf numFmtId="3" fontId="0" fillId="0" borderId="68" xfId="0" applyNumberFormat="1" applyBorder="1"/>
    <xf numFmtId="3" fontId="15" fillId="12" borderId="18" xfId="0" applyNumberFormat="1" applyFont="1" applyFill="1" applyBorder="1" applyAlignment="1">
      <alignment horizontal="center" vertical="center"/>
    </xf>
    <xf numFmtId="164" fontId="15" fillId="12" borderId="18" xfId="0" applyNumberFormat="1" applyFont="1" applyFill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 applyProtection="1">
      <alignment horizontal="center" vertical="center"/>
      <protection hidden="1"/>
    </xf>
    <xf numFmtId="0" fontId="30" fillId="0" borderId="0" xfId="0" applyFont="1" applyAlignment="1">
      <alignment horizontal="left"/>
    </xf>
    <xf numFmtId="0" fontId="59" fillId="11" borderId="265" xfId="0" applyFont="1" applyFill="1" applyBorder="1" applyAlignment="1">
      <alignment horizontal="center" vertical="center"/>
    </xf>
    <xf numFmtId="0" fontId="75" fillId="11" borderId="56" xfId="0" applyFont="1" applyFill="1" applyBorder="1" applyAlignment="1">
      <alignment horizontal="center" vertical="center"/>
    </xf>
    <xf numFmtId="17" fontId="78" fillId="11" borderId="38" xfId="0" applyNumberFormat="1" applyFont="1" applyFill="1" applyBorder="1" applyAlignment="1">
      <alignment horizontal="center" vertical="center"/>
    </xf>
    <xf numFmtId="0" fontId="70" fillId="11" borderId="38" xfId="0" applyFont="1" applyFill="1" applyBorder="1" applyAlignment="1">
      <alignment horizontal="center" vertical="center"/>
    </xf>
    <xf numFmtId="3" fontId="43" fillId="6" borderId="59" xfId="0" applyNumberFormat="1" applyFont="1" applyFill="1" applyBorder="1" applyAlignment="1" applyProtection="1">
      <alignment horizontal="center" vertical="center"/>
      <protection hidden="1"/>
    </xf>
    <xf numFmtId="0" fontId="43" fillId="0" borderId="18" xfId="0" applyFont="1" applyBorder="1" applyAlignment="1">
      <alignment horizontal="center" vertical="center"/>
    </xf>
    <xf numFmtId="3" fontId="43" fillId="6" borderId="18" xfId="0" applyNumberFormat="1" applyFont="1" applyFill="1" applyBorder="1" applyAlignment="1" applyProtection="1">
      <alignment horizontal="center" vertical="center"/>
      <protection hidden="1"/>
    </xf>
    <xf numFmtId="164" fontId="43" fillId="6" borderId="18" xfId="2" applyNumberFormat="1" applyFont="1" applyFill="1" applyBorder="1" applyAlignment="1" applyProtection="1">
      <alignment horizontal="center" vertical="center"/>
      <protection hidden="1"/>
    </xf>
    <xf numFmtId="0" fontId="43" fillId="0" borderId="266" xfId="0" applyFont="1" applyBorder="1" applyAlignment="1">
      <alignment horizontal="center" vertical="center"/>
    </xf>
    <xf numFmtId="3" fontId="43" fillId="6" borderId="85" xfId="0" applyNumberFormat="1" applyFont="1" applyFill="1" applyBorder="1" applyAlignment="1" applyProtection="1">
      <alignment horizontal="center" vertical="center"/>
      <protection hidden="1"/>
    </xf>
    <xf numFmtId="0" fontId="9" fillId="8" borderId="267" xfId="0" applyFont="1" applyFill="1" applyBorder="1" applyAlignment="1">
      <alignment horizontal="center" vertical="center"/>
    </xf>
    <xf numFmtId="0" fontId="9" fillId="8" borderId="270" xfId="0" applyFont="1" applyFill="1" applyBorder="1" applyAlignment="1" applyProtection="1">
      <alignment horizontal="center" vertical="center"/>
      <protection hidden="1"/>
    </xf>
    <xf numFmtId="3" fontId="6" fillId="8" borderId="267" xfId="0" applyNumberFormat="1" applyFont="1" applyFill="1" applyBorder="1" applyAlignment="1" applyProtection="1">
      <alignment horizontal="center" vertical="center"/>
      <protection hidden="1"/>
    </xf>
    <xf numFmtId="3" fontId="6" fillId="8" borderId="32" xfId="0" applyNumberFormat="1" applyFont="1" applyFill="1" applyBorder="1" applyAlignment="1" applyProtection="1">
      <alignment horizontal="center" vertical="center"/>
      <protection hidden="1"/>
    </xf>
    <xf numFmtId="165" fontId="0" fillId="0" borderId="8" xfId="0" applyNumberForma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167" fontId="45" fillId="0" borderId="0" xfId="0" applyNumberFormat="1" applyFont="1" applyAlignment="1" applyProtection="1">
      <alignment vertical="center"/>
      <protection hidden="1"/>
    </xf>
    <xf numFmtId="0" fontId="78" fillId="11" borderId="38" xfId="0" applyFont="1" applyFill="1" applyBorder="1" applyAlignment="1" applyProtection="1">
      <alignment horizontal="center"/>
      <protection hidden="1"/>
    </xf>
    <xf numFmtId="0" fontId="15" fillId="0" borderId="267" xfId="0" applyFont="1" applyBorder="1" applyAlignment="1" applyProtection="1">
      <alignment horizontal="center" vertical="center"/>
      <protection hidden="1"/>
    </xf>
    <xf numFmtId="0" fontId="14" fillId="0" borderId="268" xfId="0" applyFont="1" applyBorder="1" applyAlignment="1" applyProtection="1">
      <alignment horizontal="left" vertical="center" indent="1"/>
      <protection hidden="1"/>
    </xf>
    <xf numFmtId="0" fontId="9" fillId="0" borderId="269" xfId="0" applyFont="1" applyBorder="1" applyAlignment="1" applyProtection="1">
      <alignment horizontal="left" vertical="center"/>
      <protection hidden="1"/>
    </xf>
    <xf numFmtId="0" fontId="9" fillId="0" borderId="270" xfId="0" applyFont="1" applyBorder="1" applyAlignment="1" applyProtection="1">
      <alignment horizontal="left" vertical="center"/>
      <protection hidden="1"/>
    </xf>
    <xf numFmtId="0" fontId="14" fillId="0" borderId="270" xfId="0" applyFont="1" applyBorder="1" applyAlignment="1" applyProtection="1">
      <alignment horizontal="center" vertical="center"/>
      <protection hidden="1"/>
    </xf>
    <xf numFmtId="3" fontId="14" fillId="8" borderId="32" xfId="0" applyNumberFormat="1" applyFont="1" applyFill="1" applyBorder="1" applyAlignment="1" applyProtection="1">
      <alignment horizontal="center" vertical="center"/>
      <protection hidden="1"/>
    </xf>
    <xf numFmtId="0" fontId="47" fillId="0" borderId="24" xfId="0" applyFont="1" applyBorder="1" applyAlignment="1" applyProtection="1">
      <alignment horizontal="left" vertical="center"/>
      <protection hidden="1"/>
    </xf>
    <xf numFmtId="0" fontId="83" fillId="0" borderId="17" xfId="0" applyFont="1" applyBorder="1" applyAlignment="1" applyProtection="1">
      <alignment horizontal="left" vertical="center"/>
      <protection hidden="1"/>
    </xf>
    <xf numFmtId="0" fontId="83" fillId="0" borderId="58" xfId="0" applyFont="1" applyBorder="1" applyAlignment="1" applyProtection="1">
      <alignment horizontal="left" vertical="center"/>
      <protection hidden="1"/>
    </xf>
    <xf numFmtId="0" fontId="47" fillId="0" borderId="2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9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47" fillId="0" borderId="21" xfId="0" applyFont="1" applyBorder="1" applyAlignment="1">
      <alignment horizontal="center" vertical="center"/>
    </xf>
    <xf numFmtId="0" fontId="47" fillId="0" borderId="11" xfId="0" applyFont="1" applyBorder="1" applyAlignment="1">
      <alignment horizontal="left" vertical="center"/>
    </xf>
    <xf numFmtId="166" fontId="47" fillId="7" borderId="21" xfId="0" applyNumberFormat="1" applyFont="1" applyFill="1" applyBorder="1" applyAlignment="1" applyProtection="1">
      <alignment horizontal="center" vertical="center"/>
      <protection locked="0"/>
    </xf>
    <xf numFmtId="1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47" fillId="0" borderId="43" xfId="0" applyFont="1" applyBorder="1" applyAlignment="1">
      <alignment horizontal="center" vertical="center"/>
    </xf>
    <xf numFmtId="0" fontId="47" fillId="0" borderId="83" xfId="0" applyFont="1" applyBorder="1" applyAlignment="1">
      <alignment horizontal="center" vertical="center"/>
    </xf>
    <xf numFmtId="0" fontId="47" fillId="0" borderId="2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78" fillId="11" borderId="38" xfId="0" applyFont="1" applyFill="1" applyBorder="1" applyAlignment="1">
      <alignment horizontal="center" vertical="center"/>
    </xf>
    <xf numFmtId="0" fontId="74" fillId="11" borderId="56" xfId="0" applyFont="1" applyFill="1" applyBorder="1" applyAlignment="1">
      <alignment horizontal="left" vertical="center" indent="1"/>
    </xf>
    <xf numFmtId="0" fontId="59" fillId="11" borderId="15" xfId="0" applyFont="1" applyFill="1" applyBorder="1" applyAlignment="1">
      <alignment horizontal="left" vertical="center"/>
    </xf>
    <xf numFmtId="0" fontId="59" fillId="11" borderId="87" xfId="0" applyFont="1" applyFill="1" applyBorder="1" applyAlignment="1">
      <alignment horizontal="left" vertical="center"/>
    </xf>
    <xf numFmtId="0" fontId="75" fillId="11" borderId="38" xfId="0" applyFont="1" applyFill="1" applyBorder="1" applyAlignment="1">
      <alignment horizontal="center" vertical="center"/>
    </xf>
    <xf numFmtId="0" fontId="43" fillId="0" borderId="271" xfId="0" applyFont="1" applyBorder="1" applyAlignment="1">
      <alignment horizontal="center" vertical="center"/>
    </xf>
    <xf numFmtId="0" fontId="14" fillId="0" borderId="267" xfId="0" applyFont="1" applyBorder="1" applyAlignment="1" applyProtection="1">
      <alignment horizontal="center" vertical="center"/>
      <protection hidden="1"/>
    </xf>
    <xf numFmtId="3" fontId="15" fillId="0" borderId="267" xfId="0" applyNumberFormat="1" applyFont="1" applyBorder="1" applyAlignment="1" applyProtection="1">
      <alignment horizontal="center" vertical="center"/>
      <protection hidden="1"/>
    </xf>
    <xf numFmtId="3" fontId="15" fillId="8" borderId="267" xfId="0" applyNumberFormat="1" applyFont="1" applyFill="1" applyBorder="1" applyAlignment="1" applyProtection="1">
      <alignment horizontal="center" vertical="center"/>
      <protection hidden="1"/>
    </xf>
    <xf numFmtId="0" fontId="6" fillId="15" borderId="20" xfId="0" applyFont="1" applyFill="1" applyBorder="1" applyAlignment="1" applyProtection="1">
      <alignment horizontal="center" vertical="center"/>
      <protection hidden="1"/>
    </xf>
    <xf numFmtId="3" fontId="6" fillId="15" borderId="18" xfId="0" applyNumberFormat="1" applyFont="1" applyFill="1" applyBorder="1" applyAlignment="1" applyProtection="1">
      <alignment horizontal="center" vertical="center"/>
      <protection hidden="1"/>
    </xf>
    <xf numFmtId="3" fontId="6" fillId="15" borderId="20" xfId="0" applyNumberFormat="1" applyFont="1" applyFill="1" applyBorder="1" applyAlignment="1" applyProtection="1">
      <alignment horizontal="center" vertical="center"/>
      <protection hidden="1"/>
    </xf>
    <xf numFmtId="0" fontId="6" fillId="15" borderId="32" xfId="0" applyFont="1" applyFill="1" applyBorder="1" applyAlignment="1" applyProtection="1">
      <alignment horizontal="center" vertical="center"/>
      <protection hidden="1"/>
    </xf>
    <xf numFmtId="167" fontId="6" fillId="15" borderId="58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>
      <alignment horizontal="center"/>
    </xf>
    <xf numFmtId="20" fontId="38" fillId="0" borderId="13" xfId="0" applyNumberFormat="1" applyFont="1" applyBorder="1"/>
    <xf numFmtId="20" fontId="38" fillId="0" borderId="26" xfId="0" applyNumberFormat="1" applyFont="1" applyBorder="1"/>
    <xf numFmtId="20" fontId="22" fillId="0" borderId="26" xfId="0" applyNumberFormat="1" applyFont="1" applyBorder="1"/>
    <xf numFmtId="3" fontId="43" fillId="6" borderId="92" xfId="0" applyNumberFormat="1" applyFont="1" applyFill="1" applyBorder="1" applyAlignment="1" applyProtection="1">
      <alignment horizontal="center" vertical="center"/>
      <protection hidden="1"/>
    </xf>
    <xf numFmtId="17" fontId="78" fillId="11" borderId="20" xfId="0" applyNumberFormat="1" applyFont="1" applyFill="1" applyBorder="1" applyAlignment="1">
      <alignment horizontal="center" vertical="center"/>
    </xf>
    <xf numFmtId="17" fontId="35" fillId="7" borderId="38" xfId="0" applyNumberFormat="1" applyFont="1" applyFill="1" applyBorder="1" applyAlignment="1" applyProtection="1">
      <alignment horizontal="center" vertical="center"/>
      <protection locked="0"/>
    </xf>
    <xf numFmtId="3" fontId="9" fillId="0" borderId="0" xfId="0" applyNumberFormat="1" applyFont="1" applyAlignment="1">
      <alignment horizontal="center"/>
    </xf>
    <xf numFmtId="3" fontId="9" fillId="0" borderId="19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" fontId="9" fillId="0" borderId="8" xfId="0" applyNumberFormat="1" applyFont="1" applyBorder="1" applyAlignment="1">
      <alignment horizontal="left"/>
    </xf>
    <xf numFmtId="0" fontId="15" fillId="0" borderId="26" xfId="0" applyFont="1" applyBorder="1" applyProtection="1">
      <protection locked="0"/>
    </xf>
    <xf numFmtId="3" fontId="43" fillId="6" borderId="18" xfId="0" applyNumberFormat="1" applyFont="1" applyFill="1" applyBorder="1" applyAlignment="1" applyProtection="1">
      <alignment horizontal="center" vertical="center"/>
      <protection locked="0" hidden="1"/>
    </xf>
    <xf numFmtId="0" fontId="43" fillId="6" borderId="43" xfId="0" applyFont="1" applyFill="1" applyBorder="1" applyAlignment="1">
      <alignment horizontal="center" vertical="center"/>
    </xf>
    <xf numFmtId="0" fontId="43" fillId="6" borderId="271" xfId="0" applyFont="1" applyFill="1" applyBorder="1" applyAlignment="1">
      <alignment horizontal="center" vertical="center"/>
    </xf>
    <xf numFmtId="3" fontId="8" fillId="16" borderId="18" xfId="0" applyNumberFormat="1" applyFont="1" applyFill="1" applyBorder="1" applyAlignment="1" applyProtection="1">
      <alignment horizontal="center" vertical="center"/>
      <protection hidden="1"/>
    </xf>
    <xf numFmtId="0" fontId="9" fillId="8" borderId="0" xfId="0" applyFont="1" applyFill="1" applyAlignment="1">
      <alignment horizontal="right"/>
    </xf>
    <xf numFmtId="0" fontId="9" fillId="8" borderId="0" xfId="0" applyFont="1" applyFill="1"/>
    <xf numFmtId="0" fontId="20" fillId="8" borderId="0" xfId="0" applyFont="1" applyFill="1"/>
    <xf numFmtId="0" fontId="7" fillId="3" borderId="27" xfId="0" applyFont="1" applyFill="1" applyBorder="1" applyAlignment="1">
      <alignment horizontal="center"/>
    </xf>
    <xf numFmtId="3" fontId="14" fillId="0" borderId="52" xfId="0" applyNumberFormat="1" applyFont="1" applyBorder="1" applyAlignment="1" applyProtection="1">
      <alignment horizontal="center" vertical="center"/>
      <protection hidden="1"/>
    </xf>
    <xf numFmtId="3" fontId="15" fillId="7" borderId="62" xfId="0" applyNumberFormat="1" applyFont="1" applyFill="1" applyBorder="1" applyAlignment="1" applyProtection="1">
      <alignment horizontal="center" vertical="center"/>
      <protection locked="0"/>
    </xf>
    <xf numFmtId="164" fontId="15" fillId="0" borderId="9" xfId="0" applyNumberFormat="1" applyFont="1" applyBorder="1" applyAlignment="1">
      <alignment horizontal="right" vertical="center"/>
    </xf>
    <xf numFmtId="3" fontId="15" fillId="7" borderId="274" xfId="0" applyNumberFormat="1" applyFont="1" applyFill="1" applyBorder="1" applyAlignment="1" applyProtection="1">
      <alignment horizontal="center" vertical="center"/>
      <protection locked="0"/>
    </xf>
    <xf numFmtId="0" fontId="15" fillId="0" borderId="276" xfId="0" applyFont="1" applyBorder="1" applyAlignment="1">
      <alignment vertical="center"/>
    </xf>
    <xf numFmtId="3" fontId="15" fillId="0" borderId="277" xfId="0" applyNumberFormat="1" applyFont="1" applyBorder="1" applyAlignment="1">
      <alignment horizontal="right" vertical="center"/>
    </xf>
    <xf numFmtId="3" fontId="15" fillId="7" borderId="278" xfId="0" applyNumberFormat="1" applyFont="1" applyFill="1" applyBorder="1" applyAlignment="1" applyProtection="1">
      <alignment horizontal="center" vertical="center"/>
      <protection locked="0"/>
    </xf>
    <xf numFmtId="0" fontId="15" fillId="0" borderId="279" xfId="0" applyFont="1" applyBorder="1" applyAlignment="1">
      <alignment vertical="center"/>
    </xf>
    <xf numFmtId="0" fontId="0" fillId="0" borderId="279" xfId="0" applyBorder="1"/>
    <xf numFmtId="3" fontId="15" fillId="7" borderId="275" xfId="0" applyNumberFormat="1" applyFont="1" applyFill="1" applyBorder="1" applyAlignment="1" applyProtection="1">
      <alignment horizontal="center" vertical="center"/>
      <protection locked="0"/>
    </xf>
    <xf numFmtId="17" fontId="14" fillId="0" borderId="0" xfId="0" applyNumberFormat="1" applyFont="1" applyAlignment="1">
      <alignment horizontal="center" vertical="center"/>
    </xf>
    <xf numFmtId="0" fontId="9" fillId="17" borderId="0" xfId="0" applyFont="1" applyFill="1" applyAlignment="1">
      <alignment horizontal="center"/>
    </xf>
    <xf numFmtId="1" fontId="9" fillId="17" borderId="0" xfId="0" applyNumberFormat="1" applyFont="1" applyFill="1" applyAlignment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hidden="1"/>
    </xf>
    <xf numFmtId="4" fontId="0" fillId="0" borderId="0" xfId="0" applyNumberFormat="1"/>
    <xf numFmtId="4" fontId="9" fillId="0" borderId="9" xfId="0" applyNumberFormat="1" applyFont="1" applyBorder="1"/>
    <xf numFmtId="4" fontId="0" fillId="0" borderId="58" xfId="0" applyNumberFormat="1" applyBorder="1"/>
    <xf numFmtId="0" fontId="71" fillId="8" borderId="0" xfId="0" applyFont="1" applyFill="1" applyAlignment="1" applyProtection="1">
      <alignment horizontal="left" vertical="center"/>
      <protection hidden="1"/>
    </xf>
    <xf numFmtId="1" fontId="11" fillId="0" borderId="0" xfId="0" applyNumberFormat="1" applyFont="1" applyAlignment="1">
      <alignment horizontal="left" vertical="center"/>
    </xf>
    <xf numFmtId="1" fontId="11" fillId="2" borderId="0" xfId="0" applyNumberFormat="1" applyFont="1" applyFill="1" applyAlignment="1">
      <alignment horizontal="left"/>
    </xf>
    <xf numFmtId="0" fontId="71" fillId="0" borderId="0" xfId="0" applyFont="1" applyAlignment="1" applyProtection="1">
      <alignment horizontal="left" vertical="center"/>
      <protection hidden="1"/>
    </xf>
    <xf numFmtId="3" fontId="14" fillId="7" borderId="6" xfId="0" applyNumberFormat="1" applyFont="1" applyFill="1" applyBorder="1" applyAlignment="1" applyProtection="1">
      <alignment horizontal="center" vertical="center"/>
      <protection locked="0" hidden="1"/>
    </xf>
    <xf numFmtId="3" fontId="43" fillId="8" borderId="18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7" fillId="0" borderId="0" xfId="0" applyFont="1" applyAlignment="1">
      <alignment horizontal="right" vertical="top"/>
    </xf>
    <xf numFmtId="0" fontId="10" fillId="7" borderId="0" xfId="0" applyFont="1" applyFill="1" applyAlignment="1" applyProtection="1">
      <alignment horizontal="left" vertical="center"/>
      <protection locked="0"/>
    </xf>
    <xf numFmtId="0" fontId="10" fillId="7" borderId="105" xfId="0" applyFont="1" applyFill="1" applyBorder="1" applyAlignment="1" applyProtection="1">
      <alignment horizontal="left" vertical="center" indent="1"/>
      <protection locked="0"/>
    </xf>
    <xf numFmtId="164" fontId="10" fillId="7" borderId="0" xfId="0" applyNumberFormat="1" applyFont="1" applyFill="1" applyAlignment="1" applyProtection="1">
      <alignment horizontal="center" vertical="center"/>
      <protection locked="0"/>
    </xf>
    <xf numFmtId="0" fontId="7" fillId="7" borderId="105" xfId="0" applyFont="1" applyFill="1" applyBorder="1" applyAlignment="1" applyProtection="1">
      <alignment horizontal="left" vertical="center" indent="1"/>
      <protection locked="0"/>
    </xf>
    <xf numFmtId="0" fontId="7" fillId="7" borderId="0" xfId="0" applyFont="1" applyFill="1" applyAlignment="1" applyProtection="1">
      <alignment horizontal="center" vertical="center"/>
      <protection locked="0"/>
    </xf>
    <xf numFmtId="167" fontId="15" fillId="0" borderId="106" xfId="0" applyNumberFormat="1" applyFont="1" applyBorder="1" applyAlignment="1" applyProtection="1">
      <alignment horizontal="center" vertical="center"/>
      <protection hidden="1"/>
    </xf>
    <xf numFmtId="0" fontId="14" fillId="11" borderId="160" xfId="0" applyFont="1" applyFill="1" applyBorder="1" applyAlignment="1" applyProtection="1">
      <alignment vertical="center"/>
      <protection hidden="1"/>
    </xf>
    <xf numFmtId="3" fontId="14" fillId="11" borderId="0" xfId="0" applyNumberFormat="1" applyFont="1" applyFill="1" applyAlignment="1" applyProtection="1">
      <alignment horizontal="center" vertical="center"/>
      <protection hidden="1"/>
    </xf>
    <xf numFmtId="1" fontId="14" fillId="11" borderId="0" xfId="0" applyNumberFormat="1" applyFont="1" applyFill="1" applyAlignment="1" applyProtection="1">
      <alignment horizontal="center" vertical="center"/>
      <protection hidden="1"/>
    </xf>
    <xf numFmtId="166" fontId="14" fillId="11" borderId="160" xfId="0" applyNumberFormat="1" applyFont="1" applyFill="1" applyBorder="1" applyAlignment="1" applyProtection="1">
      <alignment horizontal="center" vertical="center"/>
      <protection hidden="1"/>
    </xf>
    <xf numFmtId="167" fontId="15" fillId="6" borderId="106" xfId="0" applyNumberFormat="1" applyFont="1" applyFill="1" applyBorder="1" applyAlignment="1" applyProtection="1">
      <alignment horizontal="center" vertical="center"/>
      <protection hidden="1"/>
    </xf>
    <xf numFmtId="167" fontId="14" fillId="0" borderId="190" xfId="0" applyNumberFormat="1" applyFont="1" applyBorder="1" applyAlignment="1" applyProtection="1">
      <alignment horizontal="center" vertical="center"/>
      <protection hidden="1"/>
    </xf>
    <xf numFmtId="0" fontId="14" fillId="0" borderId="114" xfId="0" applyFont="1" applyBorder="1" applyAlignment="1" applyProtection="1">
      <alignment horizontal="left" vertical="center"/>
      <protection hidden="1"/>
    </xf>
    <xf numFmtId="0" fontId="75" fillId="11" borderId="19" xfId="0" applyFont="1" applyFill="1" applyBorder="1" applyAlignment="1">
      <alignment horizontal="center" vertical="center"/>
    </xf>
    <xf numFmtId="0" fontId="78" fillId="11" borderId="38" xfId="0" applyFont="1" applyFill="1" applyBorder="1" applyAlignment="1" applyProtection="1">
      <alignment horizontal="center" vertical="center"/>
      <protection hidden="1"/>
    </xf>
    <xf numFmtId="17" fontId="78" fillId="11" borderId="38" xfId="0" applyNumberFormat="1" applyFont="1" applyFill="1" applyBorder="1" applyAlignment="1" applyProtection="1">
      <alignment horizontal="center" vertical="center"/>
      <protection hidden="1"/>
    </xf>
    <xf numFmtId="3" fontId="47" fillId="7" borderId="86" xfId="0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left" vertical="top" wrapText="1"/>
      <protection hidden="1"/>
    </xf>
    <xf numFmtId="0" fontId="7" fillId="7" borderId="285" xfId="0" applyFont="1" applyFill="1" applyBorder="1" applyAlignment="1" applyProtection="1">
      <alignment vertical="center"/>
      <protection locked="0"/>
    </xf>
    <xf numFmtId="0" fontId="10" fillId="0" borderId="287" xfId="0" applyFont="1" applyBorder="1" applyAlignment="1">
      <alignment vertical="center"/>
    </xf>
    <xf numFmtId="3" fontId="10" fillId="7" borderId="288" xfId="0" applyNumberFormat="1" applyFont="1" applyFill="1" applyBorder="1" applyAlignment="1" applyProtection="1">
      <alignment horizontal="center" vertical="center"/>
      <protection locked="0"/>
    </xf>
    <xf numFmtId="4" fontId="10" fillId="7" borderId="288" xfId="0" applyNumberFormat="1" applyFont="1" applyFill="1" applyBorder="1" applyAlignment="1" applyProtection="1">
      <alignment horizontal="center" vertical="center"/>
      <protection locked="0"/>
    </xf>
    <xf numFmtId="164" fontId="10" fillId="7" borderId="288" xfId="0" applyNumberFormat="1" applyFont="1" applyFill="1" applyBorder="1" applyAlignment="1" applyProtection="1">
      <alignment horizontal="center" vertical="center"/>
      <protection locked="0"/>
    </xf>
    <xf numFmtId="0" fontId="10" fillId="0" borderId="289" xfId="0" applyFont="1" applyBorder="1" applyAlignment="1">
      <alignment vertical="center"/>
    </xf>
    <xf numFmtId="0" fontId="10" fillId="0" borderId="290" xfId="0" applyFont="1" applyBorder="1" applyAlignment="1">
      <alignment horizontal="center" vertical="center"/>
    </xf>
    <xf numFmtId="0" fontId="10" fillId="0" borderId="291" xfId="0" applyFont="1" applyBorder="1" applyAlignment="1">
      <alignment horizontal="center" vertical="center"/>
    </xf>
    <xf numFmtId="3" fontId="10" fillId="0" borderId="292" xfId="0" applyNumberFormat="1" applyFont="1" applyBorder="1" applyAlignment="1" applyProtection="1">
      <alignment horizontal="center" vertical="center"/>
      <protection hidden="1"/>
    </xf>
    <xf numFmtId="3" fontId="10" fillId="0" borderId="293" xfId="0" applyNumberFormat="1" applyFont="1" applyBorder="1" applyAlignment="1" applyProtection="1">
      <alignment horizontal="center" vertical="center"/>
      <protection hidden="1"/>
    </xf>
    <xf numFmtId="0" fontId="10" fillId="0" borderId="294" xfId="0" applyFont="1" applyBorder="1" applyAlignment="1">
      <alignment horizontal="center" vertical="center"/>
    </xf>
    <xf numFmtId="3" fontId="10" fillId="0" borderId="294" xfId="0" applyNumberFormat="1" applyFont="1" applyBorder="1" applyAlignment="1" applyProtection="1">
      <alignment horizontal="center" vertical="center"/>
      <protection hidden="1"/>
    </xf>
    <xf numFmtId="0" fontId="26" fillId="0" borderId="17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10" fillId="0" borderId="282" xfId="0" applyFont="1" applyBorder="1" applyAlignment="1">
      <alignment vertical="center"/>
    </xf>
    <xf numFmtId="0" fontId="10" fillId="0" borderId="282" xfId="0" applyFont="1" applyBorder="1" applyAlignment="1">
      <alignment horizontal="center" vertical="center"/>
    </xf>
    <xf numFmtId="0" fontId="26" fillId="0" borderId="295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29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0" fillId="0" borderId="296" xfId="0" applyFont="1" applyBorder="1" applyAlignment="1">
      <alignment horizontal="center" vertical="center"/>
    </xf>
    <xf numFmtId="3" fontId="10" fillId="0" borderId="296" xfId="0" applyNumberFormat="1" applyFont="1" applyBorder="1" applyAlignment="1" applyProtection="1">
      <alignment horizontal="center" vertical="center"/>
      <protection hidden="1"/>
    </xf>
    <xf numFmtId="0" fontId="10" fillId="0" borderId="297" xfId="0" applyFont="1" applyBorder="1" applyAlignment="1">
      <alignment horizontal="center" vertical="center"/>
    </xf>
    <xf numFmtId="0" fontId="7" fillId="7" borderId="301" xfId="0" applyFont="1" applyFill="1" applyBorder="1" applyAlignment="1" applyProtection="1">
      <alignment vertical="center"/>
      <protection locked="0"/>
    </xf>
    <xf numFmtId="3" fontId="7" fillId="5" borderId="32" xfId="0" applyNumberFormat="1" applyFont="1" applyFill="1" applyBorder="1" applyAlignment="1" applyProtection="1">
      <alignment horizontal="center" vertical="center"/>
      <protection hidden="1"/>
    </xf>
    <xf numFmtId="3" fontId="7" fillId="5" borderId="286" xfId="0" applyNumberFormat="1" applyFont="1" applyFill="1" applyBorder="1" applyAlignment="1" applyProtection="1">
      <alignment horizontal="center" vertical="center"/>
      <protection hidden="1"/>
    </xf>
    <xf numFmtId="3" fontId="7" fillId="5" borderId="18" xfId="0" applyNumberFormat="1" applyFont="1" applyFill="1" applyBorder="1" applyAlignment="1" applyProtection="1">
      <alignment horizontal="center" vertical="center"/>
      <protection hidden="1"/>
    </xf>
    <xf numFmtId="3" fontId="7" fillId="5" borderId="288" xfId="0" applyNumberFormat="1" applyFont="1" applyFill="1" applyBorder="1" applyAlignment="1" applyProtection="1">
      <alignment horizontal="center" vertical="center"/>
      <protection hidden="1"/>
    </xf>
    <xf numFmtId="3" fontId="7" fillId="5" borderId="303" xfId="0" applyNumberFormat="1" applyFont="1" applyFill="1" applyBorder="1" applyAlignment="1" applyProtection="1">
      <alignment horizontal="center" vertical="center"/>
      <protection hidden="1"/>
    </xf>
    <xf numFmtId="3" fontId="7" fillId="5" borderId="284" xfId="0" applyNumberFormat="1" applyFont="1" applyFill="1" applyBorder="1" applyAlignment="1" applyProtection="1">
      <alignment horizontal="center" vertical="center"/>
      <protection hidden="1"/>
    </xf>
    <xf numFmtId="0" fontId="15" fillId="0" borderId="27" xfId="0" applyFont="1" applyBorder="1" applyAlignment="1" applyProtection="1">
      <alignment horizontal="left" vertical="center" indent="1"/>
      <protection locked="0"/>
    </xf>
    <xf numFmtId="164" fontId="15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vertical="center"/>
      <protection hidden="1"/>
    </xf>
    <xf numFmtId="0" fontId="14" fillId="0" borderId="11" xfId="0" applyFont="1" applyBorder="1"/>
    <xf numFmtId="10" fontId="15" fillId="0" borderId="43" xfId="0" applyNumberFormat="1" applyFont="1" applyBorder="1" applyAlignment="1">
      <alignment horizontal="center"/>
    </xf>
    <xf numFmtId="3" fontId="14" fillId="0" borderId="49" xfId="0" applyNumberFormat="1" applyFont="1" applyBorder="1" applyAlignment="1" applyProtection="1">
      <alignment horizontal="center" vertical="center"/>
      <protection hidden="1"/>
    </xf>
    <xf numFmtId="167" fontId="14" fillId="0" borderId="50" xfId="0" applyNumberFormat="1" applyFont="1" applyBorder="1" applyAlignment="1" applyProtection="1">
      <alignment horizontal="center" vertical="center"/>
      <protection hidden="1"/>
    </xf>
    <xf numFmtId="3" fontId="15" fillId="8" borderId="49" xfId="0" applyNumberFormat="1" applyFont="1" applyFill="1" applyBorder="1" applyAlignment="1" applyProtection="1">
      <alignment horizontal="center" vertical="center"/>
      <protection hidden="1"/>
    </xf>
    <xf numFmtId="0" fontId="14" fillId="0" borderId="11" xfId="0" applyFont="1" applyBorder="1" applyAlignment="1">
      <alignment horizontal="right"/>
    </xf>
    <xf numFmtId="167" fontId="14" fillId="0" borderId="11" xfId="0" applyNumberFormat="1" applyFont="1" applyBorder="1" applyAlignment="1">
      <alignment horizontal="center"/>
    </xf>
    <xf numFmtId="1" fontId="9" fillId="0" borderId="8" xfId="0" applyNumberFormat="1" applyFont="1" applyBorder="1"/>
    <xf numFmtId="1" fontId="0" fillId="0" borderId="17" xfId="0" applyNumberFormat="1" applyBorder="1"/>
    <xf numFmtId="49" fontId="8" fillId="0" borderId="0" xfId="0" applyNumberFormat="1" applyFont="1" applyAlignment="1">
      <alignment horizontal="right"/>
    </xf>
    <xf numFmtId="3" fontId="9" fillId="0" borderId="0" xfId="0" applyNumberFormat="1" applyFont="1" applyAlignment="1" applyProtection="1">
      <alignment horizontal="center"/>
      <protection hidden="1"/>
    </xf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right"/>
    </xf>
    <xf numFmtId="3" fontId="0" fillId="0" borderId="0" xfId="0" applyNumberFormat="1" applyAlignment="1">
      <alignment horizontal="center"/>
    </xf>
    <xf numFmtId="49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4" fontId="8" fillId="0" borderId="0" xfId="0" applyNumberFormat="1" applyFont="1" applyProtection="1"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>
      <alignment horizontal="left" vertical="center" indent="1"/>
    </xf>
    <xf numFmtId="3" fontId="7" fillId="0" borderId="0" xfId="0" applyNumberFormat="1" applyFont="1" applyAlignment="1" applyProtection="1">
      <alignment horizontal="center"/>
      <protection hidden="1"/>
    </xf>
    <xf numFmtId="20" fontId="38" fillId="0" borderId="304" xfId="0" applyNumberFormat="1" applyFont="1" applyBorder="1"/>
    <xf numFmtId="0" fontId="20" fillId="0" borderId="305" xfId="0" applyFont="1" applyBorder="1"/>
    <xf numFmtId="0" fontId="15" fillId="0" borderId="305" xfId="0" applyFont="1" applyBorder="1" applyAlignment="1">
      <alignment horizontal="left" vertical="center"/>
    </xf>
    <xf numFmtId="0" fontId="8" fillId="0" borderId="305" xfId="0" applyFont="1" applyBorder="1" applyAlignment="1">
      <alignment horizontal="left" vertical="center"/>
    </xf>
    <xf numFmtId="0" fontId="15" fillId="0" borderId="305" xfId="0" applyFont="1" applyBorder="1" applyAlignment="1" applyProtection="1">
      <alignment vertical="center"/>
      <protection locked="0"/>
    </xf>
    <xf numFmtId="0" fontId="15" fillId="0" borderId="311" xfId="0" applyFont="1" applyBorder="1" applyAlignment="1" applyProtection="1">
      <alignment vertical="center"/>
      <protection locked="0"/>
    </xf>
    <xf numFmtId="0" fontId="15" fillId="0" borderId="306" xfId="0" applyFont="1" applyBorder="1" applyAlignment="1" applyProtection="1">
      <alignment horizontal="left" vertical="center"/>
      <protection locked="0"/>
    </xf>
    <xf numFmtId="0" fontId="15" fillId="0" borderId="307" xfId="0" applyFont="1" applyBorder="1" applyAlignment="1" applyProtection="1">
      <alignment vertical="center"/>
      <protection locked="0"/>
    </xf>
    <xf numFmtId="1" fontId="14" fillId="0" borderId="306" xfId="0" applyNumberFormat="1" applyFont="1" applyBorder="1" applyAlignment="1">
      <alignment horizontal="center"/>
    </xf>
    <xf numFmtId="0" fontId="15" fillId="0" borderId="0" xfId="1" applyFont="1" applyAlignment="1" applyProtection="1">
      <alignment vertical="center"/>
      <protection locked="0"/>
    </xf>
    <xf numFmtId="0" fontId="15" fillId="0" borderId="0" xfId="0" applyFont="1" applyProtection="1">
      <protection locked="0"/>
    </xf>
    <xf numFmtId="0" fontId="15" fillId="0" borderId="308" xfId="0" applyFont="1" applyBorder="1" applyAlignment="1" applyProtection="1">
      <alignment vertical="center"/>
      <protection locked="0"/>
    </xf>
    <xf numFmtId="0" fontId="15" fillId="0" borderId="309" xfId="0" applyFont="1" applyBorder="1" applyAlignment="1" applyProtection="1">
      <alignment vertical="center"/>
      <protection locked="0"/>
    </xf>
    <xf numFmtId="0" fontId="15" fillId="0" borderId="310" xfId="0" applyFont="1" applyBorder="1" applyAlignment="1" applyProtection="1">
      <alignment vertical="center"/>
      <protection locked="0"/>
    </xf>
    <xf numFmtId="3" fontId="74" fillId="11" borderId="0" xfId="0" applyNumberFormat="1" applyFont="1" applyFill="1" applyAlignment="1" applyProtection="1">
      <alignment horizontal="center" vertical="center"/>
      <protection hidden="1"/>
    </xf>
    <xf numFmtId="0" fontId="74" fillId="11" borderId="0" xfId="0" applyFont="1" applyFill="1" applyAlignment="1" applyProtection="1">
      <alignment horizontal="center" vertical="center"/>
      <protection hidden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15" fillId="7" borderId="5" xfId="0" applyNumberFormat="1" applyFont="1" applyFill="1" applyBorder="1" applyAlignment="1" applyProtection="1">
      <alignment horizontal="center" vertical="center"/>
      <protection locked="0"/>
    </xf>
    <xf numFmtId="3" fontId="14" fillId="0" borderId="312" xfId="0" applyNumberFormat="1" applyFont="1" applyBorder="1" applyAlignment="1" applyProtection="1">
      <alignment horizontal="center" vertical="center"/>
      <protection hidden="1"/>
    </xf>
    <xf numFmtId="0" fontId="15" fillId="7" borderId="49" xfId="0" applyFont="1" applyFill="1" applyBorder="1" applyAlignment="1" applyProtection="1">
      <alignment horizontal="left" vertical="center"/>
      <protection locked="0"/>
    </xf>
    <xf numFmtId="1" fontId="15" fillId="7" borderId="62" xfId="0" applyNumberFormat="1" applyFont="1" applyFill="1" applyBorder="1" applyAlignment="1" applyProtection="1">
      <alignment horizontal="center" vertical="center"/>
      <protection locked="0"/>
    </xf>
    <xf numFmtId="164" fontId="15" fillId="7" borderId="48" xfId="0" applyNumberFormat="1" applyFont="1" applyFill="1" applyBorder="1" applyAlignment="1" applyProtection="1">
      <alignment horizontal="center" vertical="center"/>
      <protection locked="0"/>
    </xf>
    <xf numFmtId="3" fontId="15" fillId="7" borderId="49" xfId="0" applyNumberFormat="1" applyFont="1" applyFill="1" applyBorder="1" applyAlignment="1" applyProtection="1">
      <alignment horizontal="center" vertical="center"/>
      <protection locked="0"/>
    </xf>
    <xf numFmtId="3" fontId="15" fillId="0" borderId="63" xfId="0" applyNumberFormat="1" applyFont="1" applyBorder="1" applyAlignment="1" applyProtection="1">
      <alignment horizontal="center" vertical="center"/>
      <protection hidden="1"/>
    </xf>
    <xf numFmtId="3" fontId="15" fillId="0" borderId="48" xfId="0" applyNumberFormat="1" applyFont="1" applyBorder="1" applyAlignment="1" applyProtection="1">
      <alignment horizontal="center" vertical="center"/>
      <protection hidden="1"/>
    </xf>
    <xf numFmtId="3" fontId="15" fillId="8" borderId="49" xfId="0" applyNumberFormat="1" applyFont="1" applyFill="1" applyBorder="1" applyAlignment="1">
      <alignment horizontal="center" vertical="center"/>
    </xf>
    <xf numFmtId="3" fontId="15" fillId="8" borderId="63" xfId="0" applyNumberFormat="1" applyFont="1" applyFill="1" applyBorder="1" applyAlignment="1" applyProtection="1">
      <alignment horizontal="center" vertical="center"/>
      <protection hidden="1"/>
    </xf>
    <xf numFmtId="3" fontId="15" fillId="8" borderId="50" xfId="0" applyNumberFormat="1" applyFont="1" applyFill="1" applyBorder="1" applyAlignment="1" applyProtection="1">
      <alignment horizontal="center" vertical="center"/>
      <protection hidden="1"/>
    </xf>
    <xf numFmtId="3" fontId="15" fillId="8" borderId="92" xfId="0" applyNumberFormat="1" applyFont="1" applyFill="1" applyBorder="1" applyAlignment="1" applyProtection="1">
      <alignment horizontal="center" vertical="center"/>
      <protection hidden="1"/>
    </xf>
    <xf numFmtId="3" fontId="15" fillId="0" borderId="50" xfId="0" applyNumberFormat="1" applyFont="1" applyBorder="1" applyAlignment="1" applyProtection="1">
      <alignment horizontal="center" vertical="center"/>
      <protection hidden="1"/>
    </xf>
    <xf numFmtId="0" fontId="75" fillId="11" borderId="124" xfId="0" applyFont="1" applyFill="1" applyBorder="1" applyAlignment="1">
      <alignment horizontal="center" vertical="center"/>
    </xf>
    <xf numFmtId="0" fontId="49" fillId="0" borderId="80" xfId="0" applyFont="1" applyBorder="1" applyAlignment="1" applyProtection="1">
      <alignment horizontal="left" vertical="center"/>
      <protection hidden="1"/>
    </xf>
    <xf numFmtId="167" fontId="0" fillId="0" borderId="0" xfId="0" applyNumberFormat="1" applyAlignment="1">
      <alignment horizontal="right"/>
    </xf>
    <xf numFmtId="166" fontId="43" fillId="6" borderId="43" xfId="0" applyNumberFormat="1" applyFont="1" applyFill="1" applyBorder="1" applyAlignment="1" applyProtection="1">
      <alignment horizontal="center" vertical="center"/>
      <protection hidden="1"/>
    </xf>
    <xf numFmtId="49" fontId="14" fillId="0" borderId="7" xfId="0" applyNumberFormat="1" applyFont="1" applyBorder="1" applyAlignment="1">
      <alignment horizontal="left" vertical="center"/>
    </xf>
    <xf numFmtId="49" fontId="14" fillId="0" borderId="6" xfId="0" applyNumberFormat="1" applyFont="1" applyBorder="1" applyAlignment="1" applyProtection="1">
      <alignment horizontal="left" vertical="center"/>
      <protection hidden="1"/>
    </xf>
    <xf numFmtId="49" fontId="14" fillId="7" borderId="24" xfId="0" applyNumberFormat="1" applyFont="1" applyFill="1" applyBorder="1" applyAlignment="1" applyProtection="1">
      <alignment horizontal="left" vertical="center"/>
      <protection locked="0"/>
    </xf>
    <xf numFmtId="0" fontId="9" fillId="0" borderId="47" xfId="0" applyFont="1" applyBorder="1" applyAlignment="1">
      <alignment horizontal="center" vertical="center"/>
    </xf>
    <xf numFmtId="0" fontId="10" fillId="0" borderId="100" xfId="0" applyFont="1" applyBorder="1" applyAlignment="1">
      <alignment vertical="center"/>
    </xf>
    <xf numFmtId="164" fontId="80" fillId="0" borderId="18" xfId="2" applyNumberFormat="1" applyFont="1" applyFill="1" applyBorder="1" applyAlignment="1" applyProtection="1">
      <alignment horizontal="center" vertical="center"/>
    </xf>
    <xf numFmtId="166" fontId="43" fillId="7" borderId="316" xfId="0" applyNumberFormat="1" applyFont="1" applyFill="1" applyBorder="1" applyAlignment="1" applyProtection="1">
      <alignment horizontal="center" vertical="center"/>
      <protection locked="0"/>
    </xf>
    <xf numFmtId="166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15" fillId="12" borderId="36" xfId="0" applyNumberFormat="1" applyFont="1" applyFill="1" applyBorder="1" applyAlignment="1">
      <alignment horizontal="center" vertical="center"/>
    </xf>
    <xf numFmtId="3" fontId="43" fillId="6" borderId="29" xfId="0" applyNumberFormat="1" applyFont="1" applyFill="1" applyBorder="1" applyAlignment="1" applyProtection="1">
      <alignment horizontal="center" vertical="center"/>
      <protection hidden="1"/>
    </xf>
    <xf numFmtId="0" fontId="10" fillId="0" borderId="287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 indent="1"/>
    </xf>
    <xf numFmtId="0" fontId="10" fillId="0" borderId="19" xfId="0" applyFont="1" applyBorder="1" applyAlignment="1">
      <alignment horizontal="left" vertical="center" indent="1"/>
    </xf>
    <xf numFmtId="0" fontId="10" fillId="0" borderId="56" xfId="0" applyFont="1" applyBorder="1" applyAlignment="1">
      <alignment horizontal="left" vertical="center" indent="1"/>
    </xf>
    <xf numFmtId="0" fontId="10" fillId="0" borderId="24" xfId="0" applyFont="1" applyBorder="1" applyAlignment="1">
      <alignment horizontal="left" vertical="center" indent="1"/>
    </xf>
    <xf numFmtId="0" fontId="10" fillId="0" borderId="26" xfId="0" applyFont="1" applyBorder="1" applyAlignment="1">
      <alignment horizontal="left" vertical="center" indent="1"/>
    </xf>
    <xf numFmtId="0" fontId="83" fillId="0" borderId="25" xfId="0" applyFont="1" applyBorder="1" applyAlignment="1" applyProtection="1">
      <alignment vertical="center"/>
      <protection hidden="1"/>
    </xf>
    <xf numFmtId="0" fontId="10" fillId="0" borderId="11" xfId="0" applyFont="1" applyBorder="1" applyAlignment="1">
      <alignment vertical="center"/>
    </xf>
    <xf numFmtId="0" fontId="15" fillId="0" borderId="44" xfId="0" applyFont="1" applyBorder="1" applyAlignment="1">
      <alignment horizontal="left" vertical="center" indent="2"/>
    </xf>
    <xf numFmtId="0" fontId="15" fillId="0" borderId="76" xfId="0" applyFont="1" applyBorder="1" applyAlignment="1">
      <alignment horizontal="left" vertical="center" indent="2"/>
    </xf>
    <xf numFmtId="0" fontId="15" fillId="0" borderId="45" xfId="0" applyFont="1" applyBorder="1" applyAlignment="1">
      <alignment horizontal="left" vertical="center" indent="2"/>
    </xf>
    <xf numFmtId="9" fontId="15" fillId="0" borderId="45" xfId="0" applyNumberFormat="1" applyFont="1" applyBorder="1" applyAlignment="1">
      <alignment horizontal="left" vertical="center" indent="2"/>
    </xf>
    <xf numFmtId="166" fontId="15" fillId="0" borderId="45" xfId="0" applyNumberFormat="1" applyFont="1" applyBorder="1" applyAlignment="1">
      <alignment horizontal="left" vertical="center" indent="2"/>
    </xf>
    <xf numFmtId="0" fontId="15" fillId="0" borderId="17" xfId="0" applyFont="1" applyBorder="1" applyAlignment="1">
      <alignment horizontal="left" vertical="center" indent="2"/>
    </xf>
    <xf numFmtId="0" fontId="15" fillId="0" borderId="127" xfId="0" applyFont="1" applyBorder="1" applyAlignment="1">
      <alignment horizontal="left" vertical="center" indent="2"/>
    </xf>
    <xf numFmtId="0" fontId="64" fillId="0" borderId="317" xfId="0" applyFont="1" applyBorder="1" applyAlignment="1" applyProtection="1">
      <alignment horizontal="left" vertical="center"/>
      <protection hidden="1"/>
    </xf>
    <xf numFmtId="0" fontId="49" fillId="0" borderId="317" xfId="0" applyFont="1" applyBorder="1" applyAlignment="1" applyProtection="1">
      <alignment horizontal="left" vertical="center"/>
      <protection hidden="1"/>
    </xf>
    <xf numFmtId="0" fontId="14" fillId="3" borderId="16" xfId="0" applyFont="1" applyFill="1" applyBorder="1" applyAlignment="1">
      <alignment vertical="center"/>
    </xf>
    <xf numFmtId="49" fontId="14" fillId="3" borderId="16" xfId="0" applyNumberFormat="1" applyFont="1" applyFill="1" applyBorder="1" applyAlignment="1">
      <alignment horizontal="left" vertical="center" wrapText="1"/>
    </xf>
    <xf numFmtId="0" fontId="14" fillId="3" borderId="16" xfId="0" applyFont="1" applyFill="1" applyBorder="1" applyAlignment="1">
      <alignment horizontal="left" vertical="center"/>
    </xf>
    <xf numFmtId="3" fontId="14" fillId="3" borderId="46" xfId="0" applyNumberFormat="1" applyFont="1" applyFill="1" applyBorder="1" applyAlignment="1" applyProtection="1">
      <alignment horizontal="center" vertical="center"/>
      <protection hidden="1"/>
    </xf>
    <xf numFmtId="0" fontId="14" fillId="3" borderId="46" xfId="0" applyFont="1" applyFill="1" applyBorder="1" applyAlignment="1" applyProtection="1">
      <alignment horizontal="center" vertical="center"/>
      <protection hidden="1"/>
    </xf>
    <xf numFmtId="0" fontId="14" fillId="3" borderId="7" xfId="0" applyFont="1" applyFill="1" applyBorder="1" applyAlignment="1" applyProtection="1">
      <alignment horizontal="center" vertical="center"/>
      <protection hidden="1"/>
    </xf>
    <xf numFmtId="3" fontId="14" fillId="3" borderId="4" xfId="0" applyNumberFormat="1" applyFont="1" applyFill="1" applyBorder="1" applyAlignment="1">
      <alignment horizontal="center" vertical="center"/>
    </xf>
    <xf numFmtId="166" fontId="9" fillId="0" borderId="17" xfId="0" applyNumberFormat="1" applyFont="1" applyBorder="1"/>
    <xf numFmtId="167" fontId="9" fillId="8" borderId="0" xfId="0" applyNumberFormat="1" applyFont="1" applyFill="1"/>
    <xf numFmtId="3" fontId="9" fillId="8" borderId="0" xfId="0" applyNumberFormat="1" applyFont="1" applyFill="1"/>
    <xf numFmtId="167" fontId="9" fillId="0" borderId="0" xfId="0" applyNumberFormat="1" applyFont="1"/>
    <xf numFmtId="0" fontId="9" fillId="8" borderId="11" xfId="0" applyFont="1" applyFill="1" applyBorder="1"/>
    <xf numFmtId="167" fontId="9" fillId="8" borderId="11" xfId="0" applyNumberFormat="1" applyFont="1" applyFill="1" applyBorder="1"/>
    <xf numFmtId="166" fontId="9" fillId="8" borderId="0" xfId="0" applyNumberFormat="1" applyFont="1" applyFill="1"/>
    <xf numFmtId="0" fontId="9" fillId="8" borderId="0" xfId="0" applyFont="1" applyFill="1" applyAlignment="1">
      <alignment horizontal="center"/>
    </xf>
    <xf numFmtId="166" fontId="9" fillId="8" borderId="0" xfId="0" applyNumberFormat="1" applyFont="1" applyFill="1" applyAlignment="1">
      <alignment horizontal="center"/>
    </xf>
    <xf numFmtId="0" fontId="78" fillId="11" borderId="159" xfId="0" applyFont="1" applyFill="1" applyBorder="1" applyAlignment="1">
      <alignment horizontal="center" vertical="center"/>
    </xf>
    <xf numFmtId="164" fontId="7" fillId="7" borderId="283" xfId="0" applyNumberFormat="1" applyFont="1" applyFill="1" applyBorder="1" applyAlignment="1" applyProtection="1">
      <alignment horizontal="center" vertical="center"/>
      <protection locked="0"/>
    </xf>
    <xf numFmtId="164" fontId="7" fillId="7" borderId="284" xfId="0" applyNumberFormat="1" applyFont="1" applyFill="1" applyBorder="1" applyAlignment="1" applyProtection="1">
      <alignment horizontal="center" vertical="center"/>
      <protection locked="0"/>
    </xf>
    <xf numFmtId="1" fontId="14" fillId="0" borderId="282" xfId="0" applyNumberFormat="1" applyFont="1" applyBorder="1" applyAlignment="1">
      <alignment horizontal="center" vertical="center"/>
    </xf>
    <xf numFmtId="1" fontId="14" fillId="0" borderId="298" xfId="0" applyNumberFormat="1" applyFont="1" applyBorder="1" applyAlignment="1">
      <alignment horizontal="center" vertical="center"/>
    </xf>
    <xf numFmtId="1" fontId="14" fillId="0" borderId="281" xfId="0" applyNumberFormat="1" applyFont="1" applyBorder="1" applyAlignment="1">
      <alignment horizontal="center" vertical="center"/>
    </xf>
    <xf numFmtId="164" fontId="7" fillId="7" borderId="299" xfId="0" applyNumberFormat="1" applyFont="1" applyFill="1" applyBorder="1" applyAlignment="1" applyProtection="1">
      <alignment horizontal="center" vertical="center"/>
      <protection locked="0"/>
    </xf>
    <xf numFmtId="164" fontId="7" fillId="7" borderId="300" xfId="0" applyNumberFormat="1" applyFont="1" applyFill="1" applyBorder="1" applyAlignment="1" applyProtection="1">
      <alignment horizontal="center" vertical="center"/>
      <protection locked="0"/>
    </xf>
    <xf numFmtId="0" fontId="10" fillId="0" borderId="135" xfId="0" applyFont="1" applyBorder="1" applyAlignment="1" applyProtection="1">
      <alignment horizontal="left" vertical="center" indent="1"/>
      <protection hidden="1"/>
    </xf>
    <xf numFmtId="3" fontId="55" fillId="0" borderId="0" xfId="0" applyNumberFormat="1" applyFont="1" applyAlignment="1" applyProtection="1">
      <alignment horizontal="center"/>
      <protection hidden="1"/>
    </xf>
    <xf numFmtId="3" fontId="55" fillId="0" borderId="0" xfId="0" applyNumberFormat="1" applyFont="1" applyAlignment="1">
      <alignment horizontal="center"/>
    </xf>
    <xf numFmtId="0" fontId="41" fillId="0" borderId="0" xfId="0" applyFont="1" applyAlignment="1" applyProtection="1">
      <alignment horizontal="left"/>
      <protection hidden="1"/>
    </xf>
    <xf numFmtId="0" fontId="70" fillId="0" borderId="0" xfId="0" applyFont="1" applyAlignment="1">
      <alignment horizontal="center" vertical="center"/>
    </xf>
    <xf numFmtId="0" fontId="70" fillId="0" borderId="0" xfId="0" applyFont="1" applyAlignment="1">
      <alignment vertical="center"/>
    </xf>
    <xf numFmtId="3" fontId="70" fillId="0" borderId="0" xfId="0" applyNumberFormat="1" applyFont="1" applyAlignment="1" applyProtection="1">
      <alignment horizontal="center" vertical="center"/>
      <protection locked="0"/>
    </xf>
    <xf numFmtId="167" fontId="70" fillId="0" borderId="0" xfId="0" applyNumberFormat="1" applyFont="1" applyAlignment="1">
      <alignment horizontal="center" vertical="center"/>
    </xf>
    <xf numFmtId="0" fontId="10" fillId="0" borderId="0" xfId="0" applyFont="1" applyAlignment="1" applyProtection="1">
      <alignment vertical="center"/>
      <protection locked="0"/>
    </xf>
    <xf numFmtId="0" fontId="55" fillId="0" borderId="0" xfId="0" applyFont="1" applyAlignment="1" applyProtection="1">
      <alignment vertical="top"/>
      <protection hidden="1"/>
    </xf>
    <xf numFmtId="0" fontId="44" fillId="0" borderId="18" xfId="0" applyFont="1" applyBorder="1" applyAlignment="1">
      <alignment horizontal="center" vertical="center"/>
    </xf>
    <xf numFmtId="3" fontId="83" fillId="0" borderId="267" xfId="0" applyNumberFormat="1" applyFont="1" applyBorder="1" applyAlignment="1" applyProtection="1">
      <alignment horizontal="center" vertical="center"/>
      <protection hidden="1"/>
    </xf>
    <xf numFmtId="3" fontId="78" fillId="5" borderId="18" xfId="0" applyNumberFormat="1" applyFont="1" applyFill="1" applyBorder="1" applyAlignment="1" applyProtection="1">
      <alignment horizontal="center" vertical="center"/>
      <protection hidden="1"/>
    </xf>
    <xf numFmtId="3" fontId="10" fillId="5" borderId="18" xfId="2" applyNumberFormat="1" applyFont="1" applyFill="1" applyBorder="1" applyAlignment="1">
      <alignment horizontal="center" vertical="center"/>
    </xf>
    <xf numFmtId="3" fontId="10" fillId="8" borderId="18" xfId="2" applyNumberFormat="1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165" fontId="9" fillId="0" borderId="43" xfId="0" applyNumberFormat="1" applyFont="1" applyBorder="1" applyAlignment="1">
      <alignment horizontal="center" vertical="center"/>
    </xf>
    <xf numFmtId="0" fontId="0" fillId="8" borderId="0" xfId="0" applyFill="1" applyAlignment="1">
      <alignment vertical="center"/>
    </xf>
    <xf numFmtId="165" fontId="9" fillId="8" borderId="43" xfId="0" applyNumberFormat="1" applyFont="1" applyFill="1" applyBorder="1" applyAlignment="1">
      <alignment horizontal="center" vertical="center"/>
    </xf>
    <xf numFmtId="165" fontId="9" fillId="8" borderId="21" xfId="0" applyNumberFormat="1" applyFont="1" applyFill="1" applyBorder="1" applyAlignment="1">
      <alignment horizontal="center" vertical="center"/>
    </xf>
    <xf numFmtId="3" fontId="45" fillId="8" borderId="11" xfId="0" applyNumberFormat="1" applyFont="1" applyFill="1" applyBorder="1" applyAlignment="1" applyProtection="1">
      <alignment horizontal="center" vertical="center"/>
      <protection hidden="1"/>
    </xf>
    <xf numFmtId="166" fontId="43" fillId="6" borderId="18" xfId="0" applyNumberFormat="1" applyFont="1" applyFill="1" applyBorder="1" applyAlignment="1">
      <alignment horizontal="center" vertical="center"/>
    </xf>
    <xf numFmtId="166" fontId="47" fillId="0" borderId="18" xfId="0" applyNumberFormat="1" applyFont="1" applyBorder="1" applyAlignment="1">
      <alignment horizontal="center" vertical="center"/>
    </xf>
    <xf numFmtId="167" fontId="8" fillId="0" borderId="326" xfId="0" applyNumberFormat="1" applyFont="1" applyBorder="1" applyAlignment="1">
      <alignment horizontal="center" vertical="center"/>
    </xf>
    <xf numFmtId="0" fontId="0" fillId="0" borderId="100" xfId="0" applyBorder="1"/>
    <xf numFmtId="3" fontId="14" fillId="0" borderId="100" xfId="0" applyNumberFormat="1" applyFont="1" applyBorder="1" applyAlignment="1" applyProtection="1">
      <alignment horizontal="center" vertical="center"/>
      <protection hidden="1"/>
    </xf>
    <xf numFmtId="0" fontId="15" fillId="0" borderId="129" xfId="0" applyFont="1" applyBorder="1" applyProtection="1">
      <protection hidden="1"/>
    </xf>
    <xf numFmtId="0" fontId="15" fillId="0" borderId="264" xfId="0" applyFont="1" applyBorder="1" applyProtection="1">
      <protection hidden="1"/>
    </xf>
    <xf numFmtId="0" fontId="14" fillId="0" borderId="103" xfId="0" applyFont="1" applyBorder="1" applyProtection="1">
      <protection hidden="1"/>
    </xf>
    <xf numFmtId="0" fontId="15" fillId="0" borderId="327" xfId="0" applyFont="1" applyBorder="1" applyAlignment="1" applyProtection="1">
      <alignment horizontal="center"/>
      <protection hidden="1"/>
    </xf>
    <xf numFmtId="0" fontId="15" fillId="0" borderId="107" xfId="0" applyFont="1" applyBorder="1" applyAlignment="1" applyProtection="1">
      <alignment horizontal="left" vertical="center"/>
      <protection hidden="1"/>
    </xf>
    <xf numFmtId="0" fontId="14" fillId="0" borderId="113" xfId="0" applyFont="1" applyBorder="1" applyAlignment="1" applyProtection="1">
      <alignment horizontal="left" vertical="center"/>
      <protection hidden="1"/>
    </xf>
    <xf numFmtId="3" fontId="15" fillId="0" borderId="113" xfId="0" applyNumberFormat="1" applyFont="1" applyBorder="1" applyAlignment="1" applyProtection="1">
      <alignment horizontal="left" vertical="center"/>
      <protection hidden="1"/>
    </xf>
    <xf numFmtId="3" fontId="15" fillId="8" borderId="113" xfId="0" applyNumberFormat="1" applyFont="1" applyFill="1" applyBorder="1" applyAlignment="1" applyProtection="1">
      <alignment horizontal="left" vertical="center"/>
      <protection hidden="1"/>
    </xf>
    <xf numFmtId="3" fontId="15" fillId="8" borderId="191" xfId="0" applyNumberFormat="1" applyFont="1" applyFill="1" applyBorder="1" applyAlignment="1" applyProtection="1">
      <alignment horizontal="left" vertical="center"/>
      <protection hidden="1"/>
    </xf>
    <xf numFmtId="0" fontId="15" fillId="0" borderId="135" xfId="0" applyFont="1" applyBorder="1" applyAlignment="1" applyProtection="1">
      <alignment vertical="center"/>
      <protection hidden="1"/>
    </xf>
    <xf numFmtId="0" fontId="14" fillId="0" borderId="135" xfId="0" applyFont="1" applyBorder="1" applyAlignment="1" applyProtection="1">
      <alignment vertical="center"/>
      <protection hidden="1"/>
    </xf>
    <xf numFmtId="0" fontId="48" fillId="0" borderId="135" xfId="0" applyFont="1" applyBorder="1" applyAlignment="1" applyProtection="1">
      <alignment horizontal="right" vertical="center"/>
      <protection hidden="1"/>
    </xf>
    <xf numFmtId="0" fontId="14" fillId="0" borderId="114" xfId="0" applyFont="1" applyBorder="1" applyAlignment="1" applyProtection="1">
      <alignment horizontal="right" vertical="center"/>
      <protection hidden="1"/>
    </xf>
    <xf numFmtId="0" fontId="14" fillId="0" borderId="109" xfId="0" applyFont="1" applyBorder="1" applyAlignment="1" applyProtection="1">
      <alignment horizontal="center" vertical="center"/>
      <protection hidden="1"/>
    </xf>
    <xf numFmtId="0" fontId="15" fillId="0" borderId="109" xfId="0" applyFont="1" applyBorder="1" applyAlignment="1" applyProtection="1">
      <alignment horizontal="center" vertical="center"/>
      <protection hidden="1"/>
    </xf>
    <xf numFmtId="0" fontId="15" fillId="0" borderId="197" xfId="0" applyFont="1" applyBorder="1" applyAlignment="1" applyProtection="1">
      <alignment horizontal="center" vertical="center"/>
      <protection hidden="1"/>
    </xf>
    <xf numFmtId="165" fontId="14" fillId="0" borderId="43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 applyProtection="1">
      <alignment horizontal="center" vertical="center"/>
      <protection hidden="1"/>
    </xf>
    <xf numFmtId="17" fontId="78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3" fontId="46" fillId="0" borderId="0" xfId="0" applyNumberFormat="1" applyFont="1" applyAlignment="1" applyProtection="1">
      <alignment horizontal="center" vertical="center"/>
      <protection hidden="1"/>
    </xf>
    <xf numFmtId="3" fontId="43" fillId="0" borderId="0" xfId="0" applyNumberFormat="1" applyFont="1" applyAlignment="1">
      <alignment horizontal="center" vertical="center"/>
    </xf>
    <xf numFmtId="3" fontId="43" fillId="0" borderId="0" xfId="0" applyNumberFormat="1" applyFont="1" applyAlignment="1" applyProtection="1">
      <alignment horizontal="center" vertical="center"/>
      <protection hidden="1"/>
    </xf>
    <xf numFmtId="3" fontId="73" fillId="0" borderId="0" xfId="2" applyNumberFormat="1" applyFont="1" applyFill="1" applyBorder="1" applyAlignment="1" applyProtection="1">
      <alignment horizontal="center" vertical="center"/>
    </xf>
    <xf numFmtId="17" fontId="35" fillId="0" borderId="0" xfId="0" applyNumberFormat="1" applyFont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left" vertical="center"/>
      <protection hidden="1"/>
    </xf>
    <xf numFmtId="3" fontId="14" fillId="7" borderId="4" xfId="0" applyNumberFormat="1" applyFont="1" applyFill="1" applyBorder="1" applyAlignment="1" applyProtection="1">
      <alignment horizontal="center" vertical="center"/>
      <protection locked="0"/>
    </xf>
    <xf numFmtId="0" fontId="14" fillId="6" borderId="328" xfId="0" applyFont="1" applyFill="1" applyBorder="1" applyAlignment="1">
      <alignment horizontal="left" vertical="center"/>
    </xf>
    <xf numFmtId="3" fontId="15" fillId="8" borderId="18" xfId="0" applyNumberFormat="1" applyFont="1" applyFill="1" applyBorder="1" applyAlignment="1" applyProtection="1">
      <alignment horizontal="center" vertical="center"/>
      <protection locked="0"/>
    </xf>
    <xf numFmtId="0" fontId="14" fillId="0" borderId="53" xfId="0" applyFont="1" applyBorder="1" applyAlignment="1" applyProtection="1">
      <alignment vertical="center"/>
      <protection hidden="1"/>
    </xf>
    <xf numFmtId="3" fontId="15" fillId="0" borderId="18" xfId="0" applyNumberFormat="1" applyFont="1" applyBorder="1" applyAlignment="1">
      <alignment horizontal="center"/>
    </xf>
    <xf numFmtId="0" fontId="74" fillId="11" borderId="16" xfId="0" applyFont="1" applyFill="1" applyBorder="1" applyAlignment="1">
      <alignment vertical="center"/>
    </xf>
    <xf numFmtId="0" fontId="15" fillId="0" borderId="24" xfId="0" applyFont="1" applyBorder="1" applyAlignment="1">
      <alignment horizontal="center" vertical="center"/>
    </xf>
    <xf numFmtId="0" fontId="74" fillId="11" borderId="10" xfId="0" applyFont="1" applyFill="1" applyBorder="1" applyAlignment="1">
      <alignment horizontal="center" vertical="center"/>
    </xf>
    <xf numFmtId="0" fontId="74" fillId="11" borderId="29" xfId="0" applyFont="1" applyFill="1" applyBorder="1" applyAlignment="1">
      <alignment horizontal="center" vertical="center"/>
    </xf>
    <xf numFmtId="0" fontId="74" fillId="11" borderId="54" xfId="0" applyFont="1" applyFill="1" applyBorder="1" applyAlignment="1">
      <alignment horizontal="center" vertical="center"/>
    </xf>
    <xf numFmtId="0" fontId="15" fillId="0" borderId="78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167" fontId="15" fillId="6" borderId="35" xfId="0" applyNumberFormat="1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329" xfId="0" applyFont="1" applyBorder="1" applyAlignment="1">
      <alignment horizontal="center" vertical="center"/>
    </xf>
    <xf numFmtId="0" fontId="15" fillId="0" borderId="330" xfId="0" applyFont="1" applyBorder="1" applyAlignment="1">
      <alignment horizontal="center" vertical="center"/>
    </xf>
    <xf numFmtId="0" fontId="15" fillId="0" borderId="33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3" fontId="9" fillId="0" borderId="87" xfId="0" applyNumberFormat="1" applyFont="1" applyBorder="1" applyAlignment="1" applyProtection="1">
      <alignment vertical="center"/>
      <protection hidden="1"/>
    </xf>
    <xf numFmtId="3" fontId="9" fillId="0" borderId="55" xfId="0" applyNumberFormat="1" applyFont="1" applyBorder="1" applyAlignment="1" applyProtection="1">
      <alignment horizontal="center" vertical="center"/>
      <protection hidden="1"/>
    </xf>
    <xf numFmtId="0" fontId="74" fillId="11" borderId="62" xfId="0" applyFont="1" applyFill="1" applyBorder="1" applyAlignment="1">
      <alignment horizontal="center" vertical="center"/>
    </xf>
    <xf numFmtId="167" fontId="8" fillId="0" borderId="30" xfId="0" applyNumberFormat="1" applyFont="1" applyBorder="1" applyAlignment="1" applyProtection="1">
      <alignment horizontal="right" vertical="center"/>
      <protection hidden="1"/>
    </xf>
    <xf numFmtId="167" fontId="15" fillId="0" borderId="60" xfId="0" applyNumberFormat="1" applyFont="1" applyBorder="1" applyAlignment="1" applyProtection="1">
      <alignment horizontal="center" vertical="center"/>
      <protection hidden="1"/>
    </xf>
    <xf numFmtId="0" fontId="15" fillId="0" borderId="65" xfId="0" applyFont="1" applyBorder="1" applyAlignment="1">
      <alignment horizontal="center" vertical="center"/>
    </xf>
    <xf numFmtId="167" fontId="15" fillId="0" borderId="23" xfId="0" applyNumberFormat="1" applyFont="1" applyBorder="1" applyAlignment="1" applyProtection="1">
      <alignment horizontal="center" vertical="center"/>
      <protection hidden="1"/>
    </xf>
    <xf numFmtId="0" fontId="6" fillId="0" borderId="41" xfId="0" applyFont="1" applyBorder="1" applyAlignment="1">
      <alignment horizontal="center" vertical="center"/>
    </xf>
    <xf numFmtId="3" fontId="9" fillId="0" borderId="87" xfId="0" applyNumberFormat="1" applyFont="1" applyBorder="1" applyAlignment="1" applyProtection="1">
      <alignment horizontal="right" vertical="center"/>
      <protection hidden="1"/>
    </xf>
    <xf numFmtId="3" fontId="9" fillId="8" borderId="38" xfId="0" applyNumberFormat="1" applyFont="1" applyFill="1" applyBorder="1" applyAlignment="1" applyProtection="1">
      <alignment horizontal="center" vertical="center"/>
      <protection hidden="1"/>
    </xf>
    <xf numFmtId="0" fontId="77" fillId="11" borderId="27" xfId="0" applyFont="1" applyFill="1" applyBorder="1" applyAlignment="1">
      <alignment horizontal="center" vertical="center" wrapText="1"/>
    </xf>
    <xf numFmtId="0" fontId="77" fillId="11" borderId="0" xfId="0" applyFont="1" applyFill="1" applyAlignment="1">
      <alignment horizontal="center" vertical="center" wrapText="1"/>
    </xf>
    <xf numFmtId="1" fontId="59" fillId="11" borderId="0" xfId="0" applyNumberFormat="1" applyFont="1" applyFill="1" applyAlignment="1" applyProtection="1">
      <alignment horizontal="right" vertical="center" indent="1"/>
      <protection hidden="1"/>
    </xf>
    <xf numFmtId="0" fontId="7" fillId="0" borderId="78" xfId="0" applyFont="1" applyBorder="1" applyAlignment="1">
      <alignment horizontal="left" vertical="center" indent="1"/>
    </xf>
    <xf numFmtId="3" fontId="7" fillId="0" borderId="50" xfId="0" applyNumberFormat="1" applyFont="1" applyBorder="1" applyAlignment="1" applyProtection="1">
      <alignment horizontal="center"/>
      <protection hidden="1"/>
    </xf>
    <xf numFmtId="0" fontId="7" fillId="0" borderId="65" xfId="0" applyFont="1" applyBorder="1" applyAlignment="1">
      <alignment horizontal="left" vertical="center" indent="1"/>
    </xf>
    <xf numFmtId="3" fontId="7" fillId="0" borderId="35" xfId="0" applyNumberFormat="1" applyFont="1" applyBorder="1" applyAlignment="1" applyProtection="1">
      <alignment horizontal="center"/>
      <protection hidden="1"/>
    </xf>
    <xf numFmtId="164" fontId="7" fillId="0" borderId="35" xfId="2" applyNumberFormat="1" applyFont="1" applyBorder="1" applyAlignment="1" applyProtection="1">
      <alignment horizontal="center"/>
      <protection hidden="1"/>
    </xf>
    <xf numFmtId="0" fontId="7" fillId="0" borderId="12" xfId="0" applyFont="1" applyBorder="1" applyAlignment="1">
      <alignment horizontal="left" vertical="center" indent="1"/>
    </xf>
    <xf numFmtId="0" fontId="7" fillId="0" borderId="41" xfId="0" applyFont="1" applyBorder="1" applyAlignment="1">
      <alignment horizontal="left" vertical="center" indent="1"/>
    </xf>
    <xf numFmtId="0" fontId="10" fillId="0" borderId="8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3" fontId="7" fillId="0" borderId="61" xfId="0" applyNumberFormat="1" applyFont="1" applyBorder="1" applyAlignment="1" applyProtection="1">
      <alignment horizontal="center"/>
      <protection hidden="1"/>
    </xf>
    <xf numFmtId="3" fontId="7" fillId="0" borderId="64" xfId="0" applyNumberFormat="1" applyFont="1" applyBorder="1" applyAlignment="1" applyProtection="1">
      <alignment horizontal="center"/>
      <protection hidden="1"/>
    </xf>
    <xf numFmtId="0" fontId="75" fillId="11" borderId="10" xfId="0" applyFont="1" applyFill="1" applyBorder="1" applyAlignment="1">
      <alignment horizontal="center" vertical="center"/>
    </xf>
    <xf numFmtId="0" fontId="75" fillId="11" borderId="29" xfId="0" applyFont="1" applyFill="1" applyBorder="1" applyAlignment="1">
      <alignment horizontal="center" vertical="center"/>
    </xf>
    <xf numFmtId="0" fontId="75" fillId="11" borderId="30" xfId="0" applyFont="1" applyFill="1" applyBorder="1" applyAlignment="1">
      <alignment horizontal="center" vertical="center"/>
    </xf>
    <xf numFmtId="0" fontId="9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3" fontId="14" fillId="0" borderId="38" xfId="0" applyNumberFormat="1" applyFont="1" applyBorder="1" applyAlignment="1" applyProtection="1">
      <alignment horizontal="center" vertical="center"/>
      <protection hidden="1"/>
    </xf>
    <xf numFmtId="0" fontId="70" fillId="11" borderId="19" xfId="0" applyFont="1" applyFill="1" applyBorder="1" applyAlignment="1">
      <alignment horizontal="center" vertical="center"/>
    </xf>
    <xf numFmtId="0" fontId="70" fillId="11" borderId="8" xfId="0" applyFont="1" applyFill="1" applyBorder="1" applyAlignment="1">
      <alignment vertical="center"/>
    </xf>
    <xf numFmtId="0" fontId="70" fillId="11" borderId="9" xfId="0" applyFont="1" applyFill="1" applyBorder="1" applyAlignment="1">
      <alignment vertical="center"/>
    </xf>
    <xf numFmtId="0" fontId="75" fillId="11" borderId="20" xfId="0" applyFont="1" applyFill="1" applyBorder="1" applyAlignment="1">
      <alignment horizontal="center" vertical="center"/>
    </xf>
    <xf numFmtId="0" fontId="69" fillId="11" borderId="26" xfId="0" applyFont="1" applyFill="1" applyBorder="1" applyAlignment="1">
      <alignment horizontal="left" vertical="center"/>
    </xf>
    <xf numFmtId="0" fontId="77" fillId="11" borderId="24" xfId="0" applyFont="1" applyFill="1" applyBorder="1" applyAlignment="1">
      <alignment horizontal="center" vertical="center"/>
    </xf>
    <xf numFmtId="0" fontId="15" fillId="0" borderId="24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right" vertical="center"/>
      <protection hidden="1"/>
    </xf>
    <xf numFmtId="0" fontId="9" fillId="0" borderId="19" xfId="0" applyFont="1" applyBorder="1" applyAlignment="1">
      <alignment horizontal="left" vertical="center"/>
    </xf>
    <xf numFmtId="0" fontId="9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15" fillId="0" borderId="17" xfId="0" applyFont="1" applyBorder="1" applyAlignment="1" applyProtection="1">
      <alignment vertical="center"/>
      <protection hidden="1"/>
    </xf>
    <xf numFmtId="3" fontId="15" fillId="0" borderId="58" xfId="0" applyNumberFormat="1" applyFont="1" applyBorder="1" applyAlignment="1" applyProtection="1">
      <alignment vertical="center"/>
      <protection hidden="1"/>
    </xf>
    <xf numFmtId="3" fontId="14" fillId="0" borderId="32" xfId="0" applyNumberFormat="1" applyFont="1" applyBorder="1" applyAlignment="1" applyProtection="1">
      <alignment vertical="center"/>
      <protection hidden="1"/>
    </xf>
    <xf numFmtId="0" fontId="14" fillId="0" borderId="17" xfId="0" applyFont="1" applyBorder="1" applyAlignment="1" applyProtection="1">
      <alignment vertical="center"/>
      <protection hidden="1"/>
    </xf>
    <xf numFmtId="0" fontId="75" fillId="11" borderId="8" xfId="0" applyFont="1" applyFill="1" applyBorder="1" applyAlignment="1">
      <alignment horizontal="center" vertical="center"/>
    </xf>
    <xf numFmtId="3" fontId="75" fillId="11" borderId="20" xfId="0" applyNumberFormat="1" applyFont="1" applyFill="1" applyBorder="1" applyAlignment="1">
      <alignment horizontal="center" vertical="center"/>
    </xf>
    <xf numFmtId="3" fontId="75" fillId="11" borderId="20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>
      <alignment horizontal="right" vertical="center"/>
    </xf>
    <xf numFmtId="3" fontId="15" fillId="0" borderId="59" xfId="0" applyNumberFormat="1" applyFont="1" applyBorder="1" applyAlignment="1" applyProtection="1">
      <alignment horizontal="center" vertical="center"/>
      <protection hidden="1"/>
    </xf>
    <xf numFmtId="0" fontId="15" fillId="0" borderId="17" xfId="0" quotePrefix="1" applyFont="1" applyBorder="1" applyAlignment="1">
      <alignment horizontal="right" vertical="center"/>
    </xf>
    <xf numFmtId="3" fontId="15" fillId="0" borderId="58" xfId="0" quotePrefix="1" applyNumberFormat="1" applyFont="1" applyBorder="1" applyAlignment="1">
      <alignment horizontal="center" vertical="center"/>
    </xf>
    <xf numFmtId="3" fontId="15" fillId="6" borderId="18" xfId="0" applyNumberFormat="1" applyFont="1" applyFill="1" applyBorder="1" applyAlignment="1">
      <alignment horizontal="center" vertical="center"/>
    </xf>
    <xf numFmtId="0" fontId="75" fillId="11" borderId="9" xfId="0" applyFont="1" applyFill="1" applyBorder="1" applyAlignment="1" applyProtection="1">
      <alignment horizontal="center" vertical="center"/>
      <protection hidden="1"/>
    </xf>
    <xf numFmtId="0" fontId="75" fillId="11" borderId="20" xfId="0" applyFont="1" applyFill="1" applyBorder="1" applyAlignment="1" applyProtection="1">
      <alignment horizontal="center" vertical="center"/>
      <protection hidden="1"/>
    </xf>
    <xf numFmtId="0" fontId="9" fillId="0" borderId="19" xfId="0" applyFont="1" applyBorder="1" applyAlignment="1" applyProtection="1">
      <alignment horizontal="left" vertical="center"/>
      <protection hidden="1"/>
    </xf>
    <xf numFmtId="0" fontId="6" fillId="0" borderId="8" xfId="0" applyFont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/>
      <protection hidden="1"/>
    </xf>
    <xf numFmtId="0" fontId="15" fillId="0" borderId="333" xfId="0" applyFont="1" applyBorder="1" applyAlignment="1" applyProtection="1">
      <alignment horizontal="left" vertical="center"/>
      <protection hidden="1"/>
    </xf>
    <xf numFmtId="0" fontId="15" fillId="0" borderId="317" xfId="0" applyFont="1" applyBorder="1" applyAlignment="1" applyProtection="1">
      <alignment horizontal="left" vertical="center"/>
      <protection hidden="1"/>
    </xf>
    <xf numFmtId="0" fontId="9" fillId="0" borderId="26" xfId="0" applyFont="1" applyBorder="1" applyAlignment="1" applyProtection="1">
      <alignment horizontal="left" vertical="center"/>
      <protection hidden="1"/>
    </xf>
    <xf numFmtId="0" fontId="6" fillId="0" borderId="59" xfId="0" applyFont="1" applyBorder="1" applyAlignment="1" applyProtection="1">
      <alignment horizontal="left" vertical="center"/>
      <protection hidden="1"/>
    </xf>
    <xf numFmtId="0" fontId="15" fillId="0" borderId="26" xfId="0" applyFont="1" applyBorder="1" applyAlignment="1" applyProtection="1">
      <alignment horizontal="left" vertical="center"/>
      <protection hidden="1"/>
    </xf>
    <xf numFmtId="0" fontId="0" fillId="0" borderId="26" xfId="0" applyBorder="1"/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0" fontId="15" fillId="0" borderId="317" xfId="0" applyFont="1" applyBorder="1"/>
    <xf numFmtId="0" fontId="0" fillId="0" borderId="317" xfId="0" applyBorder="1"/>
    <xf numFmtId="0" fontId="6" fillId="0" borderId="59" xfId="0" applyFont="1" applyBorder="1" applyAlignment="1" applyProtection="1">
      <alignment horizontal="center" vertical="center"/>
      <protection hidden="1"/>
    </xf>
    <xf numFmtId="0" fontId="15" fillId="0" borderId="334" xfId="0" applyFont="1" applyBorder="1" applyAlignment="1" applyProtection="1">
      <alignment horizontal="left" vertical="center"/>
      <protection hidden="1"/>
    </xf>
    <xf numFmtId="0" fontId="0" fillId="0" borderId="317" xfId="0" applyBorder="1" applyAlignment="1">
      <alignment horizontal="left"/>
    </xf>
    <xf numFmtId="0" fontId="9" fillId="0" borderId="26" xfId="0" applyFont="1" applyBorder="1" applyAlignment="1" applyProtection="1">
      <alignment vertical="center"/>
      <protection hidden="1"/>
    </xf>
    <xf numFmtId="0" fontId="9" fillId="0" borderId="26" xfId="0" applyFont="1" applyBorder="1" applyProtection="1">
      <protection hidden="1"/>
    </xf>
    <xf numFmtId="1" fontId="74" fillId="11" borderId="32" xfId="0" applyNumberFormat="1" applyFont="1" applyFill="1" applyBorder="1" applyAlignment="1" applyProtection="1">
      <alignment horizontal="center" vertical="center"/>
      <protection hidden="1"/>
    </xf>
    <xf numFmtId="0" fontId="15" fillId="0" borderId="338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47" fillId="7" borderId="26" xfId="0" applyFont="1" applyFill="1" applyBorder="1" applyAlignment="1" applyProtection="1">
      <alignment vertical="center"/>
      <protection locked="0"/>
    </xf>
    <xf numFmtId="0" fontId="47" fillId="7" borderId="0" xfId="0" applyFont="1" applyFill="1" applyAlignment="1" applyProtection="1">
      <alignment vertical="center"/>
      <protection locked="0"/>
    </xf>
    <xf numFmtId="0" fontId="47" fillId="7" borderId="31" xfId="0" applyFont="1" applyFill="1" applyBorder="1" applyAlignment="1" applyProtection="1">
      <alignment vertical="center"/>
      <protection locked="0"/>
    </xf>
    <xf numFmtId="0" fontId="47" fillId="7" borderId="24" xfId="0" applyFont="1" applyFill="1" applyBorder="1" applyAlignment="1" applyProtection="1">
      <alignment vertical="center"/>
      <protection locked="0"/>
    </xf>
    <xf numFmtId="0" fontId="47" fillId="7" borderId="17" xfId="0" applyFont="1" applyFill="1" applyBorder="1" applyAlignment="1" applyProtection="1">
      <alignment vertical="center"/>
      <protection locked="0"/>
    </xf>
    <xf numFmtId="0" fontId="47" fillId="7" borderId="58" xfId="0" applyFont="1" applyFill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horizontal="left" vertical="center"/>
      <protection hidden="1"/>
    </xf>
    <xf numFmtId="0" fontId="9" fillId="0" borderId="13" xfId="0" applyFont="1" applyBorder="1" applyAlignment="1">
      <alignment horizontal="center" vertical="center"/>
    </xf>
    <xf numFmtId="0" fontId="9" fillId="0" borderId="339" xfId="0" applyFont="1" applyBorder="1" applyAlignment="1">
      <alignment vertical="center"/>
    </xf>
    <xf numFmtId="0" fontId="0" fillId="0" borderId="340" xfId="0" applyBorder="1" applyAlignment="1">
      <alignment vertical="center"/>
    </xf>
    <xf numFmtId="3" fontId="9" fillId="6" borderId="341" xfId="0" applyNumberFormat="1" applyFont="1" applyFill="1" applyBorder="1" applyAlignment="1" applyProtection="1">
      <alignment vertical="center"/>
      <protection hidden="1"/>
    </xf>
    <xf numFmtId="3" fontId="9" fillId="0" borderId="341" xfId="0" applyNumberFormat="1" applyFont="1" applyBorder="1" applyAlignment="1" applyProtection="1">
      <alignment horizontal="center" vertical="center"/>
      <protection hidden="1"/>
    </xf>
    <xf numFmtId="3" fontId="9" fillId="0" borderId="342" xfId="0" applyNumberFormat="1" applyFont="1" applyBorder="1" applyAlignment="1" applyProtection="1">
      <alignment horizontal="center" vertical="center"/>
      <protection hidden="1"/>
    </xf>
    <xf numFmtId="0" fontId="14" fillId="0" borderId="27" xfId="0" applyFont="1" applyBorder="1" applyAlignment="1">
      <alignment horizontal="center" vertical="center"/>
    </xf>
    <xf numFmtId="3" fontId="14" fillId="0" borderId="33" xfId="0" applyNumberFormat="1" applyFont="1" applyBorder="1" applyAlignment="1" applyProtection="1">
      <alignment horizontal="center" vertical="center"/>
      <protection hidden="1"/>
    </xf>
    <xf numFmtId="3" fontId="15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7" borderId="35" xfId="0" applyNumberFormat="1" applyFont="1" applyFill="1" applyBorder="1" applyAlignment="1" applyProtection="1">
      <alignment horizontal="center" vertical="center"/>
      <protection locked="0" hidden="1"/>
    </xf>
    <xf numFmtId="3" fontId="14" fillId="0" borderId="60" xfId="0" applyNumberFormat="1" applyFont="1" applyBorder="1" applyAlignment="1" applyProtection="1">
      <alignment horizontal="center" vertical="center"/>
      <protection hidden="1"/>
    </xf>
    <xf numFmtId="3" fontId="14" fillId="0" borderId="23" xfId="0" applyNumberFormat="1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>
      <alignment horizontal="center" vertical="center"/>
    </xf>
    <xf numFmtId="0" fontId="15" fillId="0" borderId="343" xfId="0" applyFont="1" applyBorder="1" applyAlignment="1">
      <alignment horizontal="left" vertical="center" indent="2"/>
    </xf>
    <xf numFmtId="0" fontId="15" fillId="0" borderId="343" xfId="0" applyFont="1" applyBorder="1" applyAlignment="1">
      <alignment vertical="center"/>
    </xf>
    <xf numFmtId="0" fontId="9" fillId="0" borderId="344" xfId="0" applyFont="1" applyBorder="1" applyAlignment="1">
      <alignment horizontal="right" vertical="center"/>
    </xf>
    <xf numFmtId="3" fontId="14" fillId="6" borderId="61" xfId="0" applyNumberFormat="1" applyFont="1" applyFill="1" applyBorder="1" applyAlignment="1" applyProtection="1">
      <alignment vertical="center"/>
      <protection hidden="1"/>
    </xf>
    <xf numFmtId="3" fontId="15" fillId="0" borderId="38" xfId="0" applyNumberFormat="1" applyFont="1" applyBorder="1" applyAlignment="1">
      <alignment horizontal="center" vertical="center"/>
    </xf>
    <xf numFmtId="3" fontId="15" fillId="7" borderId="38" xfId="0" applyNumberFormat="1" applyFont="1" applyFill="1" applyBorder="1" applyAlignment="1" applyProtection="1">
      <alignment horizontal="center" vertical="center"/>
      <protection locked="0" hidden="1"/>
    </xf>
    <xf numFmtId="3" fontId="15" fillId="7" borderId="55" xfId="0" applyNumberFormat="1" applyFont="1" applyFill="1" applyBorder="1" applyAlignment="1" applyProtection="1">
      <alignment horizontal="center" vertical="center"/>
      <protection locked="0" hidden="1"/>
    </xf>
    <xf numFmtId="0" fontId="9" fillId="0" borderId="3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9" fillId="6" borderId="62" xfId="0" applyNumberFormat="1" applyFont="1" applyFill="1" applyBorder="1" applyAlignment="1" applyProtection="1">
      <alignment vertical="center"/>
      <protection hidden="1"/>
    </xf>
    <xf numFmtId="3" fontId="9" fillId="0" borderId="62" xfId="0" applyNumberFormat="1" applyFont="1" applyBorder="1" applyAlignment="1" applyProtection="1">
      <alignment horizontal="center" vertical="center"/>
      <protection hidden="1"/>
    </xf>
    <xf numFmtId="3" fontId="9" fillId="0" borderId="50" xfId="0" applyNumberFormat="1" applyFont="1" applyBorder="1" applyAlignment="1" applyProtection="1">
      <alignment horizontal="center" vertical="center"/>
      <protection hidden="1"/>
    </xf>
    <xf numFmtId="164" fontId="54" fillId="0" borderId="35" xfId="0" applyNumberFormat="1" applyFont="1" applyBorder="1" applyAlignment="1" applyProtection="1">
      <alignment horizontal="center" vertical="center"/>
      <protection hidden="1"/>
    </xf>
    <xf numFmtId="167" fontId="48" fillId="0" borderId="35" xfId="0" applyNumberFormat="1" applyFont="1" applyBorder="1" applyAlignment="1" applyProtection="1">
      <alignment horizontal="center" vertical="center"/>
      <protection hidden="1"/>
    </xf>
    <xf numFmtId="164" fontId="48" fillId="0" borderId="35" xfId="0" applyNumberFormat="1" applyFont="1" applyBorder="1" applyAlignment="1" applyProtection="1">
      <alignment horizontal="center" vertical="center"/>
      <protection hidden="1"/>
    </xf>
    <xf numFmtId="3" fontId="14" fillId="7" borderId="35" xfId="0" applyNumberFormat="1" applyFont="1" applyFill="1" applyBorder="1" applyAlignment="1" applyProtection="1">
      <alignment horizontal="center" vertical="center"/>
      <protection locked="0"/>
    </xf>
    <xf numFmtId="0" fontId="14" fillId="0" borderId="42" xfId="0" applyFont="1" applyBorder="1" applyAlignment="1">
      <alignment horizontal="right" vertical="center"/>
    </xf>
    <xf numFmtId="3" fontId="14" fillId="6" borderId="38" xfId="0" applyNumberFormat="1" applyFont="1" applyFill="1" applyBorder="1" applyAlignment="1">
      <alignment vertical="center"/>
    </xf>
    <xf numFmtId="3" fontId="14" fillId="0" borderId="55" xfId="0" applyNumberFormat="1" applyFont="1" applyBorder="1" applyAlignment="1" applyProtection="1">
      <alignment horizontal="center" vertical="center"/>
      <protection hidden="1"/>
    </xf>
    <xf numFmtId="0" fontId="9" fillId="0" borderId="10" xfId="0" applyFont="1" applyBorder="1" applyAlignment="1">
      <alignment vertical="center"/>
    </xf>
    <xf numFmtId="0" fontId="8" fillId="0" borderId="27" xfId="0" applyFont="1" applyBorder="1" applyAlignment="1">
      <alignment horizontal="left" vertical="center"/>
    </xf>
    <xf numFmtId="3" fontId="15" fillId="9" borderId="33" xfId="0" applyNumberFormat="1" applyFont="1" applyFill="1" applyBorder="1" applyAlignment="1" applyProtection="1">
      <alignment horizontal="center" vertical="center"/>
      <protection hidden="1"/>
    </xf>
    <xf numFmtId="0" fontId="9" fillId="0" borderId="27" xfId="0" applyFont="1" applyBorder="1" applyAlignment="1">
      <alignment horizontal="center" vertical="center"/>
    </xf>
    <xf numFmtId="3" fontId="9" fillId="0" borderId="35" xfId="0" applyNumberFormat="1" applyFont="1" applyBorder="1" applyAlignment="1" applyProtection="1">
      <alignment horizontal="center" vertical="center"/>
      <protection hidden="1"/>
    </xf>
    <xf numFmtId="0" fontId="0" fillId="0" borderId="27" xfId="0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164" fontId="18" fillId="7" borderId="35" xfId="2" applyNumberFormat="1" applyFont="1" applyFill="1" applyBorder="1" applyAlignment="1" applyProtection="1">
      <alignment horizontal="center" vertical="center"/>
      <protection locked="0"/>
    </xf>
    <xf numFmtId="3" fontId="9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6" borderId="0" xfId="0" applyNumberFormat="1" applyFont="1" applyFill="1" applyProtection="1">
      <protection hidden="1"/>
    </xf>
    <xf numFmtId="3" fontId="15" fillId="0" borderId="35" xfId="0" applyNumberFormat="1" applyFont="1" applyBorder="1" applyAlignment="1">
      <alignment horizontal="center"/>
    </xf>
    <xf numFmtId="3" fontId="15" fillId="0" borderId="35" xfId="0" applyNumberFormat="1" applyFont="1" applyBorder="1" applyAlignment="1" applyProtection="1">
      <alignment horizontal="center"/>
      <protection hidden="1"/>
    </xf>
    <xf numFmtId="3" fontId="15" fillId="8" borderId="35" xfId="0" applyNumberFormat="1" applyFont="1" applyFill="1" applyBorder="1" applyAlignment="1" applyProtection="1">
      <alignment horizontal="center" vertical="center"/>
      <protection locked="0"/>
    </xf>
    <xf numFmtId="164" fontId="54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7" borderId="33" xfId="0" applyNumberFormat="1" applyFont="1" applyFill="1" applyBorder="1" applyAlignment="1" applyProtection="1">
      <alignment horizontal="center" vertical="center"/>
      <protection locked="0"/>
    </xf>
    <xf numFmtId="3" fontId="15" fillId="8" borderId="35" xfId="0" applyNumberFormat="1" applyFont="1" applyFill="1" applyBorder="1" applyAlignment="1" applyProtection="1">
      <alignment horizontal="center" vertical="center"/>
      <protection hidden="1"/>
    </xf>
    <xf numFmtId="10" fontId="54" fillId="7" borderId="35" xfId="0" applyNumberFormat="1" applyFont="1" applyFill="1" applyBorder="1" applyAlignment="1" applyProtection="1">
      <alignment horizontal="center" vertical="center"/>
      <protection locked="0"/>
    </xf>
    <xf numFmtId="164" fontId="48" fillId="0" borderId="33" xfId="0" applyNumberFormat="1" applyFont="1" applyBorder="1" applyAlignment="1" applyProtection="1">
      <alignment horizontal="center" vertical="center"/>
      <protection hidden="1"/>
    </xf>
    <xf numFmtId="0" fontId="15" fillId="0" borderId="14" xfId="0" applyFont="1" applyBorder="1" applyAlignment="1">
      <alignment horizontal="center" vertical="center"/>
    </xf>
    <xf numFmtId="0" fontId="18" fillId="0" borderId="34" xfId="0" applyFont="1" applyBorder="1" applyAlignment="1" applyProtection="1">
      <alignment horizontal="right" vertical="center"/>
      <protection hidden="1"/>
    </xf>
    <xf numFmtId="169" fontId="15" fillId="0" borderId="34" xfId="0" applyNumberFormat="1" applyFont="1" applyBorder="1" applyAlignment="1" applyProtection="1">
      <alignment vertical="center"/>
      <protection hidden="1"/>
    </xf>
    <xf numFmtId="167" fontId="48" fillId="0" borderId="34" xfId="0" applyNumberFormat="1" applyFont="1" applyBorder="1" applyAlignment="1" applyProtection="1">
      <alignment horizontal="center" vertical="center"/>
      <protection hidden="1"/>
    </xf>
    <xf numFmtId="167" fontId="48" fillId="0" borderId="68" xfId="0" applyNumberFormat="1" applyFont="1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3" fontId="15" fillId="6" borderId="46" xfId="0" applyNumberFormat="1" applyFont="1" applyFill="1" applyBorder="1" applyAlignment="1" applyProtection="1">
      <alignment vertical="center"/>
      <protection hidden="1"/>
    </xf>
    <xf numFmtId="3" fontId="9" fillId="0" borderId="46" xfId="0" applyNumberFormat="1" applyFont="1" applyBorder="1" applyAlignment="1" applyProtection="1">
      <alignment horizontal="center" vertical="center"/>
      <protection hidden="1"/>
    </xf>
    <xf numFmtId="3" fontId="9" fillId="0" borderId="7" xfId="0" applyNumberFormat="1" applyFont="1" applyBorder="1" applyAlignment="1" applyProtection="1">
      <alignment horizontal="center" vertical="center"/>
      <protection hidden="1"/>
    </xf>
    <xf numFmtId="0" fontId="69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75" fillId="0" borderId="0" xfId="0" applyFont="1" applyAlignment="1">
      <alignment horizontal="center"/>
    </xf>
    <xf numFmtId="0" fontId="85" fillId="0" borderId="0" xfId="0" applyFont="1" applyAlignment="1">
      <alignment horizontal="center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28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9" fillId="7" borderId="17" xfId="0" applyFont="1" applyFill="1" applyBorder="1" applyAlignment="1" applyProtection="1">
      <alignment horizontal="left" vertical="center"/>
      <protection locked="0"/>
    </xf>
    <xf numFmtId="0" fontId="9" fillId="7" borderId="262" xfId="0" applyFont="1" applyFill="1" applyBorder="1" applyAlignment="1" applyProtection="1">
      <alignment horizontal="left" vertical="center"/>
      <protection locked="0"/>
    </xf>
    <xf numFmtId="0" fontId="69" fillId="11" borderId="13" xfId="0" applyFont="1" applyFill="1" applyBorder="1" applyAlignment="1">
      <alignment horizontal="left" vertical="center" indent="2"/>
    </xf>
    <xf numFmtId="0" fontId="69" fillId="11" borderId="3" xfId="0" applyFont="1" applyFill="1" applyBorder="1" applyAlignment="1">
      <alignment horizontal="left" vertical="center" indent="2"/>
    </xf>
    <xf numFmtId="0" fontId="69" fillId="11" borderId="14" xfId="0" applyFont="1" applyFill="1" applyBorder="1" applyAlignment="1">
      <alignment horizontal="left" vertical="center" indent="2"/>
    </xf>
    <xf numFmtId="0" fontId="69" fillId="11" borderId="34" xfId="0" applyFont="1" applyFill="1" applyBorder="1" applyAlignment="1">
      <alignment horizontal="left" vertical="center" indent="2"/>
    </xf>
    <xf numFmtId="0" fontId="15" fillId="0" borderId="272" xfId="0" applyFont="1" applyBorder="1" applyAlignment="1">
      <alignment horizontal="left" vertical="center"/>
    </xf>
    <xf numFmtId="0" fontId="15" fillId="0" borderId="27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43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6" fillId="7" borderId="34" xfId="0" applyNumberFormat="1" applyFont="1" applyFill="1" applyBorder="1" applyAlignment="1" applyProtection="1">
      <alignment horizontal="left" vertical="center" indent="1"/>
      <protection locked="0"/>
    </xf>
    <xf numFmtId="49" fontId="8" fillId="7" borderId="34" xfId="0" applyNumberFormat="1" applyFont="1" applyFill="1" applyBorder="1" applyAlignment="1" applyProtection="1">
      <alignment horizontal="left" vertical="center" indent="1"/>
      <protection locked="0"/>
    </xf>
    <xf numFmtId="0" fontId="56" fillId="0" borderId="0" xfId="0" applyFont="1" applyAlignment="1">
      <alignment horizontal="center" vertical="center"/>
    </xf>
    <xf numFmtId="6" fontId="74" fillId="11" borderId="30" xfId="0" applyNumberFormat="1" applyFont="1" applyFill="1" applyBorder="1" applyAlignment="1">
      <alignment horizontal="center" vertical="center"/>
    </xf>
    <xf numFmtId="6" fontId="74" fillId="11" borderId="64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2" fillId="0" borderId="8" xfId="0" applyFont="1" applyBorder="1" applyAlignment="1">
      <alignment horizontal="left" vertical="center" indent="1"/>
    </xf>
    <xf numFmtId="0" fontId="6" fillId="7" borderId="0" xfId="0" applyFont="1" applyFill="1" applyAlignment="1" applyProtection="1">
      <alignment horizontal="left" vertical="center" indent="1"/>
      <protection locked="0"/>
    </xf>
    <xf numFmtId="0" fontId="8" fillId="7" borderId="0" xfId="0" applyFont="1" applyFill="1" applyAlignment="1" applyProtection="1">
      <alignment horizontal="left" vertical="center" indent="1"/>
      <protection locked="0"/>
    </xf>
    <xf numFmtId="0" fontId="8" fillId="7" borderId="17" xfId="0" applyFont="1" applyFill="1" applyBorder="1" applyAlignment="1" applyProtection="1">
      <alignment horizontal="left" vertical="center" indent="1"/>
      <protection locked="0"/>
    </xf>
    <xf numFmtId="49" fontId="6" fillId="7" borderId="17" xfId="0" applyNumberFormat="1" applyFont="1" applyFill="1" applyBorder="1" applyAlignment="1" applyProtection="1">
      <alignment horizontal="left" vertical="center" indent="1"/>
      <protection locked="0"/>
    </xf>
    <xf numFmtId="49" fontId="8" fillId="7" borderId="17" xfId="0" applyNumberFormat="1" applyFont="1" applyFill="1" applyBorder="1" applyAlignment="1" applyProtection="1">
      <alignment horizontal="left" vertical="center" indent="1"/>
      <protection locked="0"/>
    </xf>
    <xf numFmtId="0" fontId="6" fillId="7" borderId="0" xfId="0" applyFont="1" applyFill="1" applyAlignment="1" applyProtection="1">
      <alignment horizontal="left" vertical="top"/>
      <protection locked="0"/>
    </xf>
    <xf numFmtId="0" fontId="6" fillId="7" borderId="261" xfId="0" applyFont="1" applyFill="1" applyBorder="1" applyAlignment="1" applyProtection="1">
      <alignment horizontal="left" vertical="top"/>
      <protection locked="0"/>
    </xf>
    <xf numFmtId="0" fontId="6" fillId="7" borderId="34" xfId="0" applyFont="1" applyFill="1" applyBorder="1" applyAlignment="1" applyProtection="1">
      <alignment horizontal="left" vertical="top"/>
      <protection locked="0"/>
    </xf>
    <xf numFmtId="0" fontId="6" fillId="7" borderId="260" xfId="0" applyFont="1" applyFill="1" applyBorder="1" applyAlignment="1" applyProtection="1">
      <alignment horizontal="left" vertical="top"/>
      <protection locked="0"/>
    </xf>
    <xf numFmtId="0" fontId="74" fillId="11" borderId="0" xfId="0" applyFont="1" applyFill="1" applyAlignment="1">
      <alignment horizontal="center" vertical="center"/>
    </xf>
    <xf numFmtId="0" fontId="74" fillId="11" borderId="28" xfId="0" applyFont="1" applyFill="1" applyBorder="1" applyAlignment="1">
      <alignment horizontal="center" vertical="center"/>
    </xf>
    <xf numFmtId="0" fontId="74" fillId="11" borderId="27" xfId="0" applyFont="1" applyFill="1" applyBorder="1" applyAlignment="1">
      <alignment horizontal="center" vertical="center"/>
    </xf>
    <xf numFmtId="0" fontId="74" fillId="11" borderId="29" xfId="0" applyFont="1" applyFill="1" applyBorder="1" applyAlignment="1">
      <alignment horizontal="center" vertical="center" wrapText="1"/>
    </xf>
    <xf numFmtId="0" fontId="74" fillId="11" borderId="59" xfId="0" applyFont="1" applyFill="1" applyBorder="1" applyAlignment="1">
      <alignment horizontal="center" vertical="center" wrapText="1"/>
    </xf>
    <xf numFmtId="0" fontId="74" fillId="11" borderId="61" xfId="0" applyFont="1" applyFill="1" applyBorder="1" applyAlignment="1">
      <alignment horizontal="center" vertical="center" wrapText="1"/>
    </xf>
    <xf numFmtId="0" fontId="78" fillId="11" borderId="29" xfId="0" applyFont="1" applyFill="1" applyBorder="1" applyAlignment="1">
      <alignment horizontal="center" vertical="center" wrapText="1"/>
    </xf>
    <xf numFmtId="0" fontId="78" fillId="11" borderId="59" xfId="0" applyFont="1" applyFill="1" applyBorder="1" applyAlignment="1">
      <alignment horizontal="center" vertical="center" wrapText="1"/>
    </xf>
    <xf numFmtId="0" fontId="78" fillId="11" borderId="61" xfId="0" applyFont="1" applyFill="1" applyBorder="1" applyAlignment="1">
      <alignment horizontal="center" vertical="center" wrapText="1"/>
    </xf>
    <xf numFmtId="0" fontId="74" fillId="11" borderId="30" xfId="0" applyFont="1" applyFill="1" applyBorder="1" applyAlignment="1">
      <alignment horizontal="center" vertical="center" wrapText="1"/>
    </xf>
    <xf numFmtId="0" fontId="74" fillId="11" borderId="60" xfId="0" applyFont="1" applyFill="1" applyBorder="1" applyAlignment="1">
      <alignment horizontal="center" vertical="center" wrapText="1"/>
    </xf>
    <xf numFmtId="0" fontId="74" fillId="11" borderId="64" xfId="0" applyFont="1" applyFill="1" applyBorder="1" applyAlignment="1">
      <alignment horizontal="center" vertical="center" wrapText="1"/>
    </xf>
    <xf numFmtId="0" fontId="75" fillId="11" borderId="13" xfId="0" applyFont="1" applyFill="1" applyBorder="1" applyAlignment="1">
      <alignment horizontal="center" vertical="center"/>
    </xf>
    <xf numFmtId="0" fontId="75" fillId="11" borderId="3" xfId="0" applyFont="1" applyFill="1" applyBorder="1" applyAlignment="1">
      <alignment horizontal="center" vertical="center"/>
    </xf>
    <xf numFmtId="0" fontId="75" fillId="11" borderId="2" xfId="0" applyFont="1" applyFill="1" applyBorder="1" applyAlignment="1">
      <alignment horizontal="center" vertical="center"/>
    </xf>
    <xf numFmtId="0" fontId="59" fillId="11" borderId="47" xfId="0" applyFont="1" applyFill="1" applyBorder="1" applyAlignment="1">
      <alignment horizontal="center" vertical="center" wrapText="1"/>
    </xf>
    <xf numFmtId="0" fontId="59" fillId="11" borderId="51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" fontId="74" fillId="11" borderId="27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left" vertical="center"/>
    </xf>
    <xf numFmtId="1" fontId="59" fillId="11" borderId="40" xfId="0" applyNumberFormat="1" applyFont="1" applyFill="1" applyBorder="1" applyAlignment="1">
      <alignment horizontal="center" vertical="center"/>
    </xf>
    <xf numFmtId="1" fontId="59" fillId="11" borderId="67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74" fillId="11" borderId="13" xfId="0" applyFont="1" applyFill="1" applyBorder="1" applyAlignment="1">
      <alignment horizontal="center" vertical="center" wrapText="1"/>
    </xf>
    <xf numFmtId="0" fontId="74" fillId="11" borderId="2" xfId="0" applyFont="1" applyFill="1" applyBorder="1" applyAlignment="1">
      <alignment horizontal="center" vertical="center" wrapText="1"/>
    </xf>
    <xf numFmtId="0" fontId="76" fillId="11" borderId="27" xfId="0" applyFont="1" applyFill="1" applyBorder="1" applyAlignment="1">
      <alignment horizontal="left" vertical="center" wrapText="1" indent="1"/>
    </xf>
    <xf numFmtId="0" fontId="76" fillId="11" borderId="28" xfId="0" applyFont="1" applyFill="1" applyBorder="1" applyAlignment="1">
      <alignment horizontal="left" vertical="center" wrapText="1" indent="1"/>
    </xf>
    <xf numFmtId="0" fontId="76" fillId="11" borderId="40" xfId="0" applyFont="1" applyFill="1" applyBorder="1" applyAlignment="1">
      <alignment horizontal="left" vertical="center" wrapText="1" indent="1"/>
    </xf>
    <xf numFmtId="0" fontId="76" fillId="11" borderId="67" xfId="0" applyFont="1" applyFill="1" applyBorder="1" applyAlignment="1">
      <alignment horizontal="left" vertical="center" wrapText="1" indent="1"/>
    </xf>
    <xf numFmtId="0" fontId="15" fillId="0" borderId="24" xfId="0" applyFont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59" fillId="11" borderId="13" xfId="0" applyFont="1" applyFill="1" applyBorder="1" applyAlignment="1" applyProtection="1">
      <alignment horizontal="center" vertical="center"/>
      <protection hidden="1"/>
    </xf>
    <xf numFmtId="0" fontId="59" fillId="11" borderId="2" xfId="0" applyFont="1" applyFill="1" applyBorder="1" applyAlignment="1" applyProtection="1">
      <alignment horizontal="center" vertical="center"/>
      <protection hidden="1"/>
    </xf>
    <xf numFmtId="0" fontId="14" fillId="0" borderId="41" xfId="0" applyFont="1" applyBorder="1" applyAlignment="1">
      <alignment horizontal="center"/>
    </xf>
    <xf numFmtId="0" fontId="14" fillId="0" borderId="123" xfId="0" applyFont="1" applyBorder="1" applyAlignment="1">
      <alignment horizontal="center"/>
    </xf>
    <xf numFmtId="9" fontId="15" fillId="0" borderId="306" xfId="0" applyNumberFormat="1" applyFont="1" applyBorder="1" applyAlignment="1">
      <alignment horizontal="left" vertical="center"/>
    </xf>
    <xf numFmtId="9" fontId="15" fillId="0" borderId="0" xfId="0" applyNumberFormat="1" applyFont="1" applyAlignment="1">
      <alignment horizontal="left" vertical="center"/>
    </xf>
    <xf numFmtId="0" fontId="14" fillId="0" borderId="306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7" fillId="5" borderId="21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69" fillId="11" borderId="13" xfId="0" applyFont="1" applyFill="1" applyBorder="1" applyAlignment="1">
      <alignment horizontal="center" vertical="center" wrapText="1"/>
    </xf>
    <xf numFmtId="0" fontId="77" fillId="11" borderId="3" xfId="0" applyFont="1" applyFill="1" applyBorder="1" applyAlignment="1">
      <alignment horizontal="center" vertical="center" wrapText="1"/>
    </xf>
    <xf numFmtId="0" fontId="77" fillId="11" borderId="40" xfId="0" applyFont="1" applyFill="1" applyBorder="1" applyAlignment="1">
      <alignment horizontal="center" vertical="center" wrapText="1"/>
    </xf>
    <xf numFmtId="0" fontId="77" fillId="11" borderId="17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/>
    </xf>
    <xf numFmtId="0" fontId="7" fillId="5" borderId="283" xfId="0" applyFont="1" applyFill="1" applyBorder="1" applyAlignment="1">
      <alignment horizontal="center" vertical="center"/>
    </xf>
    <xf numFmtId="0" fontId="7" fillId="5" borderId="302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right" vertical="top" wrapText="1"/>
      <protection hidden="1"/>
    </xf>
    <xf numFmtId="0" fontId="15" fillId="0" borderId="334" xfId="0" applyFont="1" applyBorder="1" applyAlignment="1" applyProtection="1">
      <alignment horizontal="left" vertical="center"/>
      <protection hidden="1"/>
    </xf>
    <xf numFmtId="0" fontId="15" fillId="0" borderId="81" xfId="0" applyFont="1" applyBorder="1" applyAlignment="1" applyProtection="1">
      <alignment horizontal="left" vertical="center"/>
      <protection hidden="1"/>
    </xf>
    <xf numFmtId="0" fontId="15" fillId="0" borderId="82" xfId="0" applyFont="1" applyBorder="1" applyAlignment="1" applyProtection="1">
      <alignment horizontal="left" vertical="center"/>
      <protection hidden="1"/>
    </xf>
    <xf numFmtId="0" fontId="15" fillId="0" borderId="26" xfId="0" applyFont="1" applyBorder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5" fillId="0" borderId="31" xfId="0" applyFont="1" applyBorder="1" applyAlignment="1" applyProtection="1">
      <alignment horizontal="left" vertical="center"/>
      <protection hidden="1"/>
    </xf>
    <xf numFmtId="0" fontId="15" fillId="0" borderId="335" xfId="0" applyFont="1" applyBorder="1" applyAlignment="1" applyProtection="1">
      <alignment horizontal="left" vertical="center"/>
      <protection hidden="1"/>
    </xf>
    <xf numFmtId="0" fontId="15" fillId="0" borderId="313" xfId="0" applyFont="1" applyBorder="1" applyAlignment="1" applyProtection="1">
      <alignment horizontal="left" vertical="center"/>
      <protection hidden="1"/>
    </xf>
    <xf numFmtId="0" fontId="15" fillId="0" borderId="314" xfId="0" applyFont="1" applyBorder="1" applyAlignment="1" applyProtection="1">
      <alignment horizontal="left" vertical="center"/>
      <protection hidden="1"/>
    </xf>
    <xf numFmtId="0" fontId="47" fillId="7" borderId="26" xfId="0" applyFont="1" applyFill="1" applyBorder="1" applyAlignment="1" applyProtection="1">
      <alignment horizontal="left" vertical="center"/>
      <protection locked="0"/>
    </xf>
    <xf numFmtId="0" fontId="47" fillId="7" borderId="0" xfId="0" applyFont="1" applyFill="1" applyAlignment="1" applyProtection="1">
      <alignment horizontal="left" vertical="center"/>
      <protection locked="0"/>
    </xf>
    <xf numFmtId="0" fontId="47" fillId="7" borderId="31" xfId="0" applyFont="1" applyFill="1" applyBorder="1" applyAlignment="1" applyProtection="1">
      <alignment horizontal="left" vertical="center"/>
      <protection locked="0"/>
    </xf>
    <xf numFmtId="0" fontId="15" fillId="0" borderId="336" xfId="0" applyFont="1" applyBorder="1" applyAlignment="1" applyProtection="1">
      <alignment horizontal="left" vertical="center"/>
      <protection hidden="1"/>
    </xf>
    <xf numFmtId="0" fontId="0" fillId="0" borderId="318" xfId="0" applyBorder="1" applyAlignment="1">
      <alignment horizontal="left" vertical="center"/>
    </xf>
    <xf numFmtId="0" fontId="0" fillId="0" borderId="319" xfId="0" applyBorder="1" applyAlignment="1">
      <alignment horizontal="left" vertical="center"/>
    </xf>
    <xf numFmtId="0" fontId="15" fillId="0" borderId="333" xfId="0" applyFont="1" applyBorder="1" applyAlignment="1" applyProtection="1">
      <alignment horizontal="left" vertical="center"/>
      <protection hidden="1"/>
    </xf>
    <xf numFmtId="0" fontId="15" fillId="0" borderId="70" xfId="0" applyFont="1" applyBorder="1" applyAlignment="1" applyProtection="1">
      <alignment horizontal="left" vertical="center"/>
      <protection hidden="1"/>
    </xf>
    <xf numFmtId="0" fontId="15" fillId="0" borderId="79" xfId="0" applyFont="1" applyBorder="1" applyAlignment="1" applyProtection="1">
      <alignment horizontal="left" vertical="center"/>
      <protection hidden="1"/>
    </xf>
    <xf numFmtId="0" fontId="15" fillId="0" borderId="317" xfId="0" applyFont="1" applyBorder="1" applyAlignment="1" applyProtection="1">
      <alignment horizontal="left" vertical="center"/>
      <protection hidden="1"/>
    </xf>
    <xf numFmtId="0" fontId="15" fillId="0" borderId="72" xfId="0" applyFont="1" applyBorder="1" applyAlignment="1" applyProtection="1">
      <alignment horizontal="left" vertical="center"/>
      <protection hidden="1"/>
    </xf>
    <xf numFmtId="0" fontId="15" fillId="0" borderId="80" xfId="0" applyFont="1" applyBorder="1" applyAlignment="1" applyProtection="1">
      <alignment horizontal="left" vertical="center"/>
      <protection hidden="1"/>
    </xf>
    <xf numFmtId="0" fontId="15" fillId="0" borderId="153" xfId="0" applyFont="1" applyBorder="1" applyAlignment="1">
      <alignment horizontal="right"/>
    </xf>
    <xf numFmtId="0" fontId="82" fillId="0" borderId="119" xfId="0" applyFont="1" applyBorder="1" applyAlignment="1" applyProtection="1">
      <alignment horizontal="right" vertical="center"/>
      <protection hidden="1"/>
    </xf>
    <xf numFmtId="0" fontId="80" fillId="0" borderId="337" xfId="0" applyFont="1" applyBorder="1" applyAlignment="1" applyProtection="1">
      <alignment horizontal="right" vertical="center"/>
      <protection hidden="1"/>
    </xf>
    <xf numFmtId="0" fontId="80" fillId="0" borderId="135" xfId="0" applyFont="1" applyBorder="1" applyAlignment="1" applyProtection="1">
      <alignment horizontal="right" vertical="center"/>
      <protection hidden="1"/>
    </xf>
    <xf numFmtId="0" fontId="80" fillId="0" borderId="149" xfId="0" applyFont="1" applyBorder="1" applyAlignment="1" applyProtection="1">
      <alignment horizontal="right" vertical="center"/>
      <protection hidden="1"/>
    </xf>
    <xf numFmtId="0" fontId="15" fillId="0" borderId="119" xfId="0" quotePrefix="1" applyFont="1" applyBorder="1" applyAlignment="1">
      <alignment horizontal="left" vertical="center"/>
    </xf>
    <xf numFmtId="0" fontId="82" fillId="0" borderId="332" xfId="0" applyFont="1" applyBorder="1" applyAlignment="1" applyProtection="1">
      <alignment horizontal="right" vertical="center"/>
      <protection hidden="1"/>
    </xf>
    <xf numFmtId="0" fontId="69" fillId="11" borderId="19" xfId="0" applyFont="1" applyFill="1" applyBorder="1" applyAlignment="1" applyProtection="1">
      <alignment horizontal="center" vertical="center"/>
      <protection hidden="1"/>
    </xf>
    <xf numFmtId="0" fontId="69" fillId="11" borderId="8" xfId="0" applyFont="1" applyFill="1" applyBorder="1" applyAlignment="1" applyProtection="1">
      <alignment horizontal="center" vertical="center"/>
      <protection hidden="1"/>
    </xf>
    <xf numFmtId="0" fontId="69" fillId="11" borderId="24" xfId="0" applyFont="1" applyFill="1" applyBorder="1" applyAlignment="1" applyProtection="1">
      <alignment horizontal="center" vertical="center"/>
      <protection hidden="1"/>
    </xf>
    <xf numFmtId="0" fontId="69" fillId="11" borderId="17" xfId="0" applyFont="1" applyFill="1" applyBorder="1" applyAlignment="1" applyProtection="1">
      <alignment horizontal="center" vertical="center"/>
      <protection hidden="1"/>
    </xf>
    <xf numFmtId="0" fontId="9" fillId="0" borderId="26" xfId="0" applyFont="1" applyBorder="1" applyAlignment="1">
      <alignment horizontal="left" vertical="center"/>
    </xf>
    <xf numFmtId="0" fontId="15" fillId="0" borderId="317" xfId="0" applyFont="1" applyBorder="1" applyAlignment="1" applyProtection="1">
      <alignment vertical="center"/>
      <protection hidden="1"/>
    </xf>
    <xf numFmtId="0" fontId="15" fillId="0" borderId="72" xfId="0" applyFont="1" applyBorder="1" applyAlignment="1" applyProtection="1">
      <alignment vertical="center"/>
      <protection hidden="1"/>
    </xf>
    <xf numFmtId="0" fontId="15" fillId="0" borderId="80" xfId="0" applyFont="1" applyBorder="1" applyAlignment="1" applyProtection="1">
      <alignment vertical="center"/>
      <protection hidden="1"/>
    </xf>
    <xf numFmtId="0" fontId="15" fillId="0" borderId="44" xfId="0" applyFont="1" applyBorder="1" applyAlignment="1">
      <alignment horizontal="left" vertical="center"/>
    </xf>
    <xf numFmtId="0" fontId="6" fillId="0" borderId="0" xfId="0" applyFont="1" applyAlignment="1" applyProtection="1">
      <alignment horizontal="center"/>
      <protection hidden="1"/>
    </xf>
    <xf numFmtId="0" fontId="15" fillId="0" borderId="125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119" xfId="0" applyFont="1" applyBorder="1" applyAlignment="1">
      <alignment horizontal="left" vertical="center"/>
    </xf>
    <xf numFmtId="0" fontId="69" fillId="11" borderId="19" xfId="0" applyFont="1" applyFill="1" applyBorder="1" applyAlignment="1">
      <alignment horizontal="left" vertical="center"/>
    </xf>
    <xf numFmtId="0" fontId="69" fillId="11" borderId="8" xfId="0" applyFont="1" applyFill="1" applyBorder="1" applyAlignment="1">
      <alignment horizontal="left" vertical="center"/>
    </xf>
    <xf numFmtId="0" fontId="69" fillId="11" borderId="24" xfId="0" applyFont="1" applyFill="1" applyBorder="1" applyAlignment="1">
      <alignment horizontal="left" vertical="center"/>
    </xf>
    <xf numFmtId="0" fontId="69" fillId="11" borderId="17" xfId="0" applyFont="1" applyFill="1" applyBorder="1" applyAlignment="1">
      <alignment horizontal="left" vertical="center"/>
    </xf>
    <xf numFmtId="0" fontId="12" fillId="0" borderId="0" xfId="0" applyFont="1" applyAlignment="1" applyProtection="1">
      <alignment horizontal="left" vertical="center"/>
      <protection hidden="1"/>
    </xf>
    <xf numFmtId="2" fontId="9" fillId="0" borderId="17" xfId="0" applyNumberFormat="1" applyFont="1" applyBorder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0" fontId="9" fillId="0" borderId="17" xfId="0" applyFont="1" applyBorder="1" applyAlignment="1" applyProtection="1">
      <alignment horizontal="left" vertical="center"/>
      <protection hidden="1"/>
    </xf>
    <xf numFmtId="1" fontId="6" fillId="0" borderId="0" xfId="0" applyNumberFormat="1" applyFont="1" applyAlignment="1" applyProtection="1">
      <alignment horizontal="left" vertical="center"/>
      <protection hidden="1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18" fillId="0" borderId="44" xfId="0" applyFont="1" applyBorder="1" applyAlignment="1" applyProtection="1">
      <alignment horizontal="left" vertical="center" indent="2"/>
      <protection hidden="1"/>
    </xf>
    <xf numFmtId="0" fontId="18" fillId="0" borderId="45" xfId="0" applyFont="1" applyBorder="1" applyAlignment="1" applyProtection="1">
      <alignment horizontal="left" vertical="center" indent="2"/>
      <protection hidden="1"/>
    </xf>
    <xf numFmtId="0" fontId="15" fillId="0" borderId="44" xfId="0" applyFont="1" applyBorder="1" applyAlignment="1">
      <alignment horizontal="left" vertical="center" indent="2"/>
    </xf>
    <xf numFmtId="0" fontId="18" fillId="0" borderId="44" xfId="0" applyFont="1" applyBorder="1" applyAlignment="1">
      <alignment horizontal="left" vertical="center" indent="2"/>
    </xf>
    <xf numFmtId="0" fontId="18" fillId="0" borderId="45" xfId="0" applyFont="1" applyBorder="1" applyAlignment="1">
      <alignment horizontal="left" vertical="center" indent="2"/>
    </xf>
    <xf numFmtId="0" fontId="14" fillId="0" borderId="44" xfId="0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0" fontId="15" fillId="0" borderId="45" xfId="0" applyFont="1" applyBorder="1" applyAlignment="1">
      <alignment horizontal="left" vertical="center"/>
    </xf>
    <xf numFmtId="0" fontId="59" fillId="11" borderId="26" xfId="0" applyFont="1" applyFill="1" applyBorder="1" applyAlignment="1">
      <alignment horizontal="center" vertical="center"/>
    </xf>
    <xf numFmtId="0" fontId="59" fillId="11" borderId="0" xfId="0" applyFont="1" applyFill="1" applyAlignment="1">
      <alignment horizontal="center" vertical="center"/>
    </xf>
    <xf numFmtId="0" fontId="59" fillId="11" borderId="31" xfId="0" applyFont="1" applyFill="1" applyBorder="1" applyAlignment="1">
      <alignment horizontal="center" vertical="center"/>
    </xf>
    <xf numFmtId="0" fontId="59" fillId="11" borderId="57" xfId="0" applyFont="1" applyFill="1" applyBorder="1" applyAlignment="1">
      <alignment horizontal="center" vertical="center"/>
    </xf>
    <xf numFmtId="0" fontId="59" fillId="11" borderId="34" xfId="0" applyFont="1" applyFill="1" applyBorder="1" applyAlignment="1">
      <alignment horizontal="center" vertical="center"/>
    </xf>
    <xf numFmtId="0" fontId="59" fillId="11" borderId="4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0" borderId="76" xfId="0" applyFont="1" applyBorder="1" applyAlignment="1">
      <alignment horizontal="left" vertical="center"/>
    </xf>
    <xf numFmtId="0" fontId="14" fillId="0" borderId="77" xfId="0" applyFont="1" applyBorder="1" applyAlignment="1">
      <alignment horizontal="left" vertical="center"/>
    </xf>
    <xf numFmtId="2" fontId="8" fillId="0" borderId="0" xfId="0" applyNumberFormat="1" applyFont="1" applyAlignment="1">
      <alignment horizontal="left" vertical="center"/>
    </xf>
    <xf numFmtId="0" fontId="9" fillId="0" borderId="5" xfId="0" applyFont="1" applyBorder="1" applyAlignment="1" applyProtection="1">
      <alignment horizontal="right" vertical="center" indent="1"/>
      <protection hidden="1"/>
    </xf>
    <xf numFmtId="0" fontId="9" fillId="0" borderId="14" xfId="0" applyFont="1" applyBorder="1" applyAlignment="1">
      <alignment horizontal="right" vertical="center" indent="1"/>
    </xf>
    <xf numFmtId="0" fontId="9" fillId="0" borderId="34" xfId="0" applyFont="1" applyBorder="1" applyAlignment="1">
      <alignment horizontal="right" vertical="center" indent="1"/>
    </xf>
    <xf numFmtId="0" fontId="9" fillId="0" borderId="42" xfId="0" applyFont="1" applyBorder="1" applyAlignment="1">
      <alignment horizontal="right" vertical="center" indent="1"/>
    </xf>
    <xf numFmtId="0" fontId="71" fillId="11" borderId="27" xfId="0" applyFont="1" applyFill="1" applyBorder="1" applyAlignment="1">
      <alignment horizontal="center" vertical="center"/>
    </xf>
    <xf numFmtId="0" fontId="71" fillId="11" borderId="0" xfId="0" applyFont="1" applyFill="1" applyAlignment="1">
      <alignment horizontal="center" vertical="center"/>
    </xf>
    <xf numFmtId="0" fontId="71" fillId="11" borderId="31" xfId="0" applyFont="1" applyFill="1" applyBorder="1" applyAlignment="1">
      <alignment horizontal="center" vertical="center"/>
    </xf>
    <xf numFmtId="0" fontId="15" fillId="0" borderId="76" xfId="0" applyFont="1" applyBorder="1" applyAlignment="1">
      <alignment horizontal="left" vertical="center" indent="2"/>
    </xf>
    <xf numFmtId="0" fontId="18" fillId="0" borderId="44" xfId="0" applyFont="1" applyBorder="1" applyAlignment="1">
      <alignment horizontal="left" vertical="center" indent="3"/>
    </xf>
    <xf numFmtId="0" fontId="18" fillId="0" borderId="45" xfId="0" applyFont="1" applyBorder="1" applyAlignment="1">
      <alignment horizontal="left" vertical="center" indent="3"/>
    </xf>
    <xf numFmtId="0" fontId="18" fillId="0" borderId="44" xfId="0" applyFont="1" applyBorder="1" applyAlignment="1" applyProtection="1">
      <alignment horizontal="left" vertical="center" indent="3"/>
      <protection hidden="1"/>
    </xf>
    <xf numFmtId="0" fontId="18" fillId="0" borderId="45" xfId="0" applyFont="1" applyBorder="1" applyAlignment="1" applyProtection="1">
      <alignment horizontal="left" vertical="center" indent="3"/>
      <protection hidden="1"/>
    </xf>
    <xf numFmtId="164" fontId="0" fillId="0" borderId="0" xfId="0" applyNumberFormat="1" applyAlignment="1" applyProtection="1">
      <alignment horizontal="right"/>
      <protection hidden="1"/>
    </xf>
    <xf numFmtId="3" fontId="0" fillId="0" borderId="0" xfId="0" applyNumberFormat="1" applyAlignment="1" applyProtection="1">
      <alignment horizontal="right"/>
      <protection hidden="1"/>
    </xf>
    <xf numFmtId="49" fontId="8" fillId="0" borderId="0" xfId="0" applyNumberFormat="1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3" fontId="0" fillId="0" borderId="0" xfId="0" applyNumberFormat="1" applyAlignment="1" applyProtection="1">
      <alignment horizontal="center"/>
      <protection hidden="1"/>
    </xf>
    <xf numFmtId="0" fontId="14" fillId="0" borderId="40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left" vertical="center"/>
    </xf>
    <xf numFmtId="49" fontId="74" fillId="11" borderId="40" xfId="0" applyNumberFormat="1" applyFont="1" applyFill="1" applyBorder="1" applyAlignment="1" applyProtection="1">
      <alignment horizontal="center"/>
      <protection hidden="1"/>
    </xf>
    <xf numFmtId="0" fontId="74" fillId="11" borderId="67" xfId="0" applyFont="1" applyFill="1" applyBorder="1" applyAlignment="1" applyProtection="1">
      <alignment horizontal="center"/>
      <protection hidden="1"/>
    </xf>
    <xf numFmtId="1" fontId="14" fillId="0" borderId="0" xfId="0" applyNumberFormat="1" applyFont="1" applyAlignment="1" applyProtection="1">
      <alignment horizontal="center"/>
      <protection hidden="1"/>
    </xf>
    <xf numFmtId="0" fontId="74" fillId="11" borderId="13" xfId="0" applyFont="1" applyFill="1" applyBorder="1" applyAlignment="1" applyProtection="1">
      <alignment horizontal="center"/>
      <protection hidden="1"/>
    </xf>
    <xf numFmtId="0" fontId="74" fillId="11" borderId="2" xfId="0" applyFont="1" applyFill="1" applyBorder="1" applyAlignment="1" applyProtection="1">
      <alignment horizontal="center"/>
      <protection hidden="1"/>
    </xf>
    <xf numFmtId="167" fontId="15" fillId="7" borderId="16" xfId="0" applyNumberFormat="1" applyFont="1" applyFill="1" applyBorder="1" applyAlignment="1" applyProtection="1">
      <alignment horizontal="center" vertical="center"/>
      <protection locked="0"/>
    </xf>
    <xf numFmtId="167" fontId="15" fillId="7" borderId="25" xfId="0" applyNumberFormat="1" applyFont="1" applyFill="1" applyBorder="1" applyAlignment="1" applyProtection="1">
      <alignment horizontal="center" vertical="center"/>
      <protection locked="0"/>
    </xf>
    <xf numFmtId="3" fontId="15" fillId="0" borderId="0" xfId="0" applyNumberFormat="1" applyFont="1" applyAlignment="1" applyProtection="1">
      <alignment horizontal="right" vertic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left"/>
      <protection hidden="1"/>
    </xf>
    <xf numFmtId="0" fontId="74" fillId="11" borderId="13" xfId="0" applyFont="1" applyFill="1" applyBorder="1" applyAlignment="1" applyProtection="1">
      <alignment horizontal="center" vertical="center"/>
      <protection hidden="1"/>
    </xf>
    <xf numFmtId="0" fontId="78" fillId="11" borderId="3" xfId="0" applyFont="1" applyFill="1" applyBorder="1" applyAlignment="1">
      <alignment horizontal="center" vertical="center"/>
    </xf>
    <xf numFmtId="0" fontId="78" fillId="11" borderId="2" xfId="0" applyFont="1" applyFill="1" applyBorder="1" applyAlignment="1">
      <alignment horizontal="center" vertical="center"/>
    </xf>
    <xf numFmtId="0" fontId="78" fillId="11" borderId="27" xfId="0" applyFont="1" applyFill="1" applyBorder="1" applyAlignment="1">
      <alignment horizontal="center" vertical="center"/>
    </xf>
    <xf numFmtId="0" fontId="78" fillId="11" borderId="0" xfId="0" applyFont="1" applyFill="1" applyAlignment="1">
      <alignment horizontal="center" vertical="center"/>
    </xf>
    <xf numFmtId="0" fontId="78" fillId="11" borderId="28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left"/>
      <protection hidden="1"/>
    </xf>
    <xf numFmtId="49" fontId="0" fillId="0" borderId="0" xfId="0" applyNumberFormat="1" applyAlignment="1" applyProtection="1">
      <alignment horizontal="center"/>
      <protection hidden="1"/>
    </xf>
    <xf numFmtId="1" fontId="15" fillId="0" borderId="0" xfId="0" applyNumberFormat="1" applyFont="1" applyAlignment="1" applyProtection="1">
      <alignment horizontal="right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3" fontId="15" fillId="0" borderId="0" xfId="0" applyNumberFormat="1" applyFont="1" applyAlignment="1" applyProtection="1">
      <alignment horizontal="right"/>
      <protection hidden="1"/>
    </xf>
    <xf numFmtId="0" fontId="14" fillId="0" borderId="44" xfId="0" applyFont="1" applyBorder="1" applyAlignment="1" applyProtection="1">
      <alignment horizontal="left" vertical="center" wrapText="1"/>
      <protection hidden="1"/>
    </xf>
    <xf numFmtId="0" fontId="14" fillId="0" borderId="74" xfId="0" applyFont="1" applyBorder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/>
      <protection hidden="1"/>
    </xf>
    <xf numFmtId="14" fontId="8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14" borderId="28" xfId="0" applyFont="1" applyFill="1" applyBorder="1" applyAlignment="1" applyProtection="1">
      <alignment horizontal="center" vertical="center"/>
      <protection locked="0"/>
    </xf>
    <xf numFmtId="0" fontId="0" fillId="14" borderId="28" xfId="0" applyFill="1" applyBorder="1" applyAlignment="1" applyProtection="1">
      <alignment horizontal="center" vertical="center"/>
      <protection locked="0"/>
    </xf>
    <xf numFmtId="1" fontId="8" fillId="0" borderId="0" xfId="0" applyNumberFormat="1" applyFont="1" applyAlignment="1">
      <alignment horizontal="left" vertical="center"/>
    </xf>
    <xf numFmtId="49" fontId="74" fillId="11" borderId="27" xfId="0" applyNumberFormat="1" applyFont="1" applyFill="1" applyBorder="1" applyAlignment="1" applyProtection="1">
      <alignment horizontal="center"/>
      <protection hidden="1"/>
    </xf>
    <xf numFmtId="0" fontId="74" fillId="11" borderId="28" xfId="0" applyFont="1" applyFill="1" applyBorder="1" applyAlignment="1" applyProtection="1">
      <alignment horizontal="center"/>
      <protection hidden="1"/>
    </xf>
    <xf numFmtId="167" fontId="15" fillId="6" borderId="9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12" xfId="0" applyFont="1" applyBorder="1" applyAlignment="1">
      <alignment horizontal="center" vertical="center"/>
    </xf>
    <xf numFmtId="0" fontId="10" fillId="0" borderId="3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3" fontId="15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horizontal="left" vertical="center"/>
    </xf>
    <xf numFmtId="0" fontId="10" fillId="0" borderId="21" xfId="0" applyFont="1" applyBorder="1" applyAlignment="1" applyProtection="1">
      <alignment horizontal="center" vertical="center"/>
      <protection hidden="1"/>
    </xf>
    <xf numFmtId="0" fontId="10" fillId="0" borderId="66" xfId="0" applyFont="1" applyBorder="1" applyAlignment="1" applyProtection="1">
      <alignment horizontal="center" vertical="center"/>
      <protection hidden="1"/>
    </xf>
    <xf numFmtId="10" fontId="7" fillId="5" borderId="65" xfId="2" applyNumberFormat="1" applyFont="1" applyFill="1" applyBorder="1" applyAlignment="1" applyProtection="1">
      <alignment horizontal="right" vertical="center"/>
      <protection hidden="1"/>
    </xf>
    <xf numFmtId="10" fontId="7" fillId="5" borderId="43" xfId="2" applyNumberFormat="1" applyFont="1" applyFill="1" applyBorder="1" applyAlignment="1" applyProtection="1">
      <alignment horizontal="right" vertical="center"/>
      <protection hidden="1"/>
    </xf>
    <xf numFmtId="0" fontId="10" fillId="0" borderId="20" xfId="0" applyFont="1" applyBorder="1" applyAlignment="1" applyProtection="1">
      <alignment horizontal="center" vertical="center" wrapText="1"/>
      <protection hidden="1"/>
    </xf>
    <xf numFmtId="0" fontId="10" fillId="0" borderId="32" xfId="0" applyFont="1" applyBorder="1" applyAlignment="1" applyProtection="1">
      <alignment horizontal="center" vertical="center" wrapText="1"/>
      <protection hidden="1"/>
    </xf>
    <xf numFmtId="0" fontId="71" fillId="2" borderId="0" xfId="0" applyFont="1" applyFill="1" applyAlignment="1" applyProtection="1">
      <alignment horizontal="left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14" fillId="0" borderId="11" xfId="0" applyFont="1" applyBorder="1" applyAlignment="1" applyProtection="1">
      <alignment horizontal="center" vertical="center"/>
      <protection hidden="1"/>
    </xf>
    <xf numFmtId="0" fontId="14" fillId="0" borderId="43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47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47" fillId="0" borderId="11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0" fontId="83" fillId="8" borderId="48" xfId="0" applyFont="1" applyFill="1" applyBorder="1" applyAlignment="1" applyProtection="1">
      <alignment horizontal="left" vertical="center"/>
      <protection hidden="1"/>
    </xf>
    <xf numFmtId="0" fontId="83" fillId="8" borderId="63" xfId="0" applyFont="1" applyFill="1" applyBorder="1" applyAlignment="1" applyProtection="1">
      <alignment horizontal="left" vertical="center"/>
      <protection hidden="1"/>
    </xf>
    <xf numFmtId="0" fontId="43" fillId="0" borderId="29" xfId="0" applyFont="1" applyBorder="1" applyAlignment="1" applyProtection="1">
      <alignment horizontal="center" vertical="center"/>
      <protection hidden="1"/>
    </xf>
    <xf numFmtId="0" fontId="43" fillId="0" borderId="32" xfId="0" applyFont="1" applyBorder="1" applyAlignment="1" applyProtection="1">
      <alignment horizontal="center" vertical="center"/>
      <protection hidden="1"/>
    </xf>
    <xf numFmtId="0" fontId="43" fillId="0" borderId="20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43" fillId="0" borderId="29" xfId="0" applyFont="1" applyBorder="1" applyAlignment="1">
      <alignment horizontal="center" vertical="center"/>
    </xf>
    <xf numFmtId="0" fontId="47" fillId="0" borderId="48" xfId="0" applyFont="1" applyBorder="1" applyAlignment="1">
      <alignment horizontal="left" vertical="center"/>
    </xf>
    <xf numFmtId="0" fontId="5" fillId="0" borderId="63" xfId="0" applyFont="1" applyBorder="1" applyAlignment="1">
      <alignment horizontal="left" vertical="center"/>
    </xf>
    <xf numFmtId="0" fontId="5" fillId="0" borderId="92" xfId="0" applyFont="1" applyBorder="1" applyAlignment="1">
      <alignment horizontal="left" vertical="center"/>
    </xf>
    <xf numFmtId="0" fontId="47" fillId="0" borderId="89" xfId="0" applyFont="1" applyBorder="1" applyAlignment="1">
      <alignment horizontal="left" vertical="center"/>
    </xf>
    <xf numFmtId="0" fontId="5" fillId="0" borderId="90" xfId="0" applyFont="1" applyBorder="1" applyAlignment="1">
      <alignment horizontal="left" vertical="center"/>
    </xf>
    <xf numFmtId="0" fontId="5" fillId="0" borderId="93" xfId="0" applyFont="1" applyBorder="1" applyAlignment="1">
      <alignment horizontal="left" vertical="center"/>
    </xf>
    <xf numFmtId="0" fontId="14" fillId="8" borderId="268" xfId="0" applyFont="1" applyFill="1" applyBorder="1" applyAlignment="1">
      <alignment horizontal="left" vertical="center" indent="1"/>
    </xf>
    <xf numFmtId="0" fontId="14" fillId="8" borderId="269" xfId="0" applyFont="1" applyFill="1" applyBorder="1" applyAlignment="1">
      <alignment horizontal="left" vertical="center" indent="1"/>
    </xf>
    <xf numFmtId="0" fontId="14" fillId="8" borderId="270" xfId="0" applyFont="1" applyFill="1" applyBorder="1" applyAlignment="1">
      <alignment horizontal="left" vertical="center" indent="1"/>
    </xf>
    <xf numFmtId="0" fontId="59" fillId="11" borderId="15" xfId="0" applyFont="1" applyFill="1" applyBorder="1" applyAlignment="1">
      <alignment horizontal="left" vertical="center" indent="1"/>
    </xf>
    <xf numFmtId="0" fontId="59" fillId="11" borderId="87" xfId="0" applyFont="1" applyFill="1" applyBorder="1" applyAlignment="1">
      <alignment horizontal="left" vertical="center" indent="1"/>
    </xf>
    <xf numFmtId="0" fontId="47" fillId="7" borderId="21" xfId="0" applyFont="1" applyFill="1" applyBorder="1" applyAlignment="1" applyProtection="1">
      <alignment horizontal="left" vertical="center"/>
      <protection locked="0"/>
    </xf>
    <xf numFmtId="0" fontId="47" fillId="7" borderId="11" xfId="0" applyFont="1" applyFill="1" applyBorder="1" applyAlignment="1" applyProtection="1">
      <alignment horizontal="left" vertical="center"/>
      <protection locked="0"/>
    </xf>
    <xf numFmtId="0" fontId="47" fillId="7" borderId="43" xfId="0" applyFont="1" applyFill="1" applyBorder="1" applyAlignment="1" applyProtection="1">
      <alignment horizontal="left" vertical="center"/>
      <protection locked="0"/>
    </xf>
    <xf numFmtId="16" fontId="47" fillId="0" borderId="21" xfId="0" quotePrefix="1" applyNumberFormat="1" applyFont="1" applyBorder="1" applyAlignment="1">
      <alignment horizontal="left" vertical="center"/>
    </xf>
    <xf numFmtId="16" fontId="47" fillId="0" borderId="11" xfId="0" quotePrefix="1" applyNumberFormat="1" applyFont="1" applyBorder="1" applyAlignment="1">
      <alignment horizontal="left" vertical="center"/>
    </xf>
    <xf numFmtId="16" fontId="47" fillId="0" borderId="43" xfId="0" quotePrefix="1" applyNumberFormat="1" applyFont="1" applyBorder="1" applyAlignment="1">
      <alignment horizontal="left" vertical="center"/>
    </xf>
    <xf numFmtId="0" fontId="9" fillId="6" borderId="24" xfId="0" applyFont="1" applyFill="1" applyBorder="1" applyAlignment="1" applyProtection="1">
      <alignment horizontal="left" vertical="center"/>
      <protection hidden="1"/>
    </xf>
    <xf numFmtId="0" fontId="9" fillId="6" borderId="17" xfId="0" applyFont="1" applyFill="1" applyBorder="1" applyAlignment="1" applyProtection="1">
      <alignment horizontal="left" vertical="center"/>
      <protection hidden="1"/>
    </xf>
    <xf numFmtId="0" fontId="9" fillId="6" borderId="58" xfId="0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left"/>
    </xf>
    <xf numFmtId="0" fontId="9" fillId="15" borderId="24" xfId="0" applyFont="1" applyFill="1" applyBorder="1" applyAlignment="1" applyProtection="1">
      <alignment horizontal="left" vertical="center"/>
      <protection hidden="1"/>
    </xf>
    <xf numFmtId="0" fontId="9" fillId="15" borderId="17" xfId="0" applyFont="1" applyFill="1" applyBorder="1" applyAlignment="1" applyProtection="1">
      <alignment horizontal="left" vertical="center"/>
      <protection hidden="1"/>
    </xf>
    <xf numFmtId="0" fontId="9" fillId="15" borderId="58" xfId="0" applyFont="1" applyFill="1" applyBorder="1" applyAlignment="1" applyProtection="1">
      <alignment horizontal="left" vertical="center"/>
      <protection hidden="1"/>
    </xf>
    <xf numFmtId="0" fontId="11" fillId="0" borderId="0" xfId="0" applyFont="1" applyAlignment="1">
      <alignment horizontal="left"/>
    </xf>
    <xf numFmtId="0" fontId="9" fillId="0" borderId="34" xfId="0" applyFont="1" applyBorder="1" applyAlignment="1">
      <alignment horizontal="center" vertical="center"/>
    </xf>
    <xf numFmtId="0" fontId="9" fillId="6" borderId="19" xfId="0" applyFont="1" applyFill="1" applyBorder="1" applyAlignment="1" applyProtection="1">
      <alignment horizontal="left" vertical="center"/>
      <protection hidden="1"/>
    </xf>
    <xf numFmtId="0" fontId="9" fillId="6" borderId="8" xfId="0" applyFont="1" applyFill="1" applyBorder="1" applyAlignment="1" applyProtection="1">
      <alignment horizontal="left" vertical="center"/>
      <protection hidden="1"/>
    </xf>
    <xf numFmtId="0" fontId="9" fillId="6" borderId="9" xfId="0" applyFont="1" applyFill="1" applyBorder="1" applyAlignment="1" applyProtection="1">
      <alignment horizontal="left" vertical="center"/>
      <protection hidden="1"/>
    </xf>
    <xf numFmtId="0" fontId="14" fillId="0" borderId="268" xfId="0" applyFont="1" applyBorder="1" applyProtection="1">
      <protection hidden="1"/>
    </xf>
    <xf numFmtId="0" fontId="14" fillId="0" borderId="269" xfId="0" applyFont="1" applyBorder="1" applyProtection="1">
      <protection hidden="1"/>
    </xf>
    <xf numFmtId="0" fontId="14" fillId="0" borderId="270" xfId="0" applyFont="1" applyBorder="1" applyProtection="1">
      <protection hidden="1"/>
    </xf>
    <xf numFmtId="0" fontId="9" fillId="15" borderId="19" xfId="0" applyFont="1" applyFill="1" applyBorder="1" applyAlignment="1" applyProtection="1">
      <alignment horizontal="left" vertical="center"/>
      <protection hidden="1"/>
    </xf>
    <xf numFmtId="0" fontId="9" fillId="15" borderId="8" xfId="0" applyFont="1" applyFill="1" applyBorder="1" applyAlignment="1" applyProtection="1">
      <alignment horizontal="left" vertical="center"/>
      <protection hidden="1"/>
    </xf>
    <xf numFmtId="0" fontId="9" fillId="15" borderId="9" xfId="0" applyFont="1" applyFill="1" applyBorder="1" applyAlignment="1" applyProtection="1">
      <alignment horizontal="left" vertical="center"/>
      <protection hidden="1"/>
    </xf>
    <xf numFmtId="0" fontId="2" fillId="0" borderId="11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74" fillId="11" borderId="39" xfId="0" applyFont="1" applyFill="1" applyBorder="1" applyAlignment="1">
      <alignment horizontal="center" vertical="center"/>
    </xf>
    <xf numFmtId="0" fontId="74" fillId="11" borderId="151" xfId="0" applyFont="1" applyFill="1" applyBorder="1" applyAlignment="1">
      <alignment horizontal="center" vertical="center"/>
    </xf>
    <xf numFmtId="0" fontId="47" fillId="0" borderId="2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47" fillId="6" borderId="21" xfId="0" applyFont="1" applyFill="1" applyBorder="1" applyAlignment="1">
      <alignment horizontal="left" vertical="center"/>
    </xf>
    <xf numFmtId="0" fontId="5" fillId="6" borderId="11" xfId="0" applyFont="1" applyFill="1" applyBorder="1" applyAlignment="1">
      <alignment horizontal="left" vertical="center"/>
    </xf>
    <xf numFmtId="0" fontId="5" fillId="6" borderId="43" xfId="0" applyFont="1" applyFill="1" applyBorder="1" applyAlignment="1">
      <alignment horizontal="left" vertical="center"/>
    </xf>
    <xf numFmtId="0" fontId="47" fillId="6" borderId="11" xfId="0" applyFont="1" applyFill="1" applyBorder="1" applyAlignment="1">
      <alignment horizontal="left" vertical="center"/>
    </xf>
    <xf numFmtId="0" fontId="47" fillId="6" borderId="43" xfId="0" applyFont="1" applyFill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9" fillId="14" borderId="0" xfId="0" applyFont="1" applyFill="1" applyAlignment="1">
      <alignment horizontal="center" vertical="center"/>
    </xf>
    <xf numFmtId="0" fontId="11" fillId="7" borderId="0" xfId="0" applyFont="1" applyFill="1" applyAlignment="1" applyProtection="1">
      <alignment horizontal="left" vertical="center"/>
      <protection locked="0"/>
    </xf>
    <xf numFmtId="0" fontId="2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83" fillId="4" borderId="48" xfId="0" applyFont="1" applyFill="1" applyBorder="1" applyAlignment="1" applyProtection="1">
      <alignment horizontal="left" vertical="center"/>
      <protection hidden="1"/>
    </xf>
    <xf numFmtId="0" fontId="83" fillId="4" borderId="63" xfId="0" applyFont="1" applyFill="1" applyBorder="1" applyAlignment="1" applyProtection="1">
      <alignment horizontal="left" vertical="center"/>
      <protection hidden="1"/>
    </xf>
    <xf numFmtId="0" fontId="83" fillId="4" borderId="92" xfId="0" applyFont="1" applyFill="1" applyBorder="1" applyAlignment="1" applyProtection="1">
      <alignment horizontal="left" vertical="center"/>
      <protection hidden="1"/>
    </xf>
    <xf numFmtId="0" fontId="11" fillId="2" borderId="0" xfId="0" applyFont="1" applyFill="1" applyAlignment="1">
      <alignment horizontal="right" vertical="center"/>
    </xf>
    <xf numFmtId="0" fontId="14" fillId="3" borderId="13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center" vertical="center"/>
    </xf>
    <xf numFmtId="167" fontId="15" fillId="0" borderId="21" xfId="0" applyNumberFormat="1" applyFont="1" applyBorder="1" applyAlignment="1">
      <alignment horizontal="center"/>
    </xf>
    <xf numFmtId="167" fontId="15" fillId="0" borderId="58" xfId="0" applyNumberFormat="1" applyFont="1" applyBorder="1" applyAlignment="1">
      <alignment horizontal="center"/>
    </xf>
    <xf numFmtId="167" fontId="15" fillId="0" borderId="24" xfId="0" applyNumberFormat="1" applyFont="1" applyBorder="1" applyAlignment="1">
      <alignment horizontal="center"/>
    </xf>
    <xf numFmtId="0" fontId="9" fillId="3" borderId="47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1" fontId="9" fillId="0" borderId="0" xfId="0" applyNumberFormat="1" applyFont="1" applyAlignment="1" applyProtection="1">
      <alignment horizontal="right"/>
      <protection hidden="1"/>
    </xf>
    <xf numFmtId="0" fontId="9" fillId="6" borderId="40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67" xfId="0" applyFont="1" applyFill="1" applyBorder="1" applyAlignment="1">
      <alignment horizontal="center" vertical="center"/>
    </xf>
    <xf numFmtId="3" fontId="9" fillId="6" borderId="13" xfId="0" applyNumberFormat="1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3" fontId="15" fillId="0" borderId="24" xfId="0" applyNumberFormat="1" applyFont="1" applyBorder="1" applyAlignment="1" applyProtection="1">
      <alignment horizontal="center" vertical="center"/>
      <protection hidden="1"/>
    </xf>
    <xf numFmtId="3" fontId="15" fillId="0" borderId="58" xfId="0" applyNumberFormat="1" applyFont="1" applyBorder="1" applyAlignment="1" applyProtection="1">
      <alignment horizontal="center" vertical="center"/>
      <protection hidden="1"/>
    </xf>
    <xf numFmtId="167" fontId="14" fillId="0" borderId="21" xfId="0" applyNumberFormat="1" applyFont="1" applyBorder="1" applyAlignment="1">
      <alignment horizontal="center"/>
    </xf>
    <xf numFmtId="167" fontId="14" fillId="0" borderId="43" xfId="0" applyNumberFormat="1" applyFont="1" applyBorder="1" applyAlignment="1">
      <alignment horizontal="center"/>
    </xf>
    <xf numFmtId="0" fontId="9" fillId="6" borderId="2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69" fillId="18" borderId="21" xfId="0" applyFont="1" applyFill="1" applyBorder="1" applyAlignment="1">
      <alignment horizontal="center" vertical="center"/>
    </xf>
    <xf numFmtId="0" fontId="69" fillId="18" borderId="11" xfId="0" applyFont="1" applyFill="1" applyBorder="1" applyAlignment="1">
      <alignment horizontal="center" vertical="center"/>
    </xf>
    <xf numFmtId="0" fontId="69" fillId="18" borderId="43" xfId="0" applyFont="1" applyFill="1" applyBorder="1" applyAlignment="1">
      <alignment horizontal="center" vertical="center"/>
    </xf>
    <xf numFmtId="167" fontId="15" fillId="0" borderId="43" xfId="0" applyNumberFormat="1" applyFont="1" applyBorder="1" applyAlignment="1">
      <alignment horizontal="center"/>
    </xf>
    <xf numFmtId="0" fontId="9" fillId="0" borderId="0" xfId="0" applyFont="1" applyAlignment="1" applyProtection="1">
      <alignment horizontal="center" vertical="center"/>
      <protection hidden="1"/>
    </xf>
    <xf numFmtId="1" fontId="9" fillId="0" borderId="0" xfId="0" applyNumberFormat="1" applyFont="1" applyAlignment="1">
      <alignment horizontal="center"/>
    </xf>
    <xf numFmtId="164" fontId="15" fillId="6" borderId="21" xfId="2" applyNumberFormat="1" applyFont="1" applyFill="1" applyBorder="1" applyAlignment="1">
      <alignment horizontal="center"/>
    </xf>
    <xf numFmtId="164" fontId="15" fillId="6" borderId="43" xfId="2" applyNumberFormat="1" applyFont="1" applyFill="1" applyBorder="1" applyAlignment="1">
      <alignment horizontal="center"/>
    </xf>
    <xf numFmtId="167" fontId="15" fillId="6" borderId="21" xfId="0" applyNumberFormat="1" applyFont="1" applyFill="1" applyBorder="1" applyAlignment="1">
      <alignment horizontal="center"/>
    </xf>
    <xf numFmtId="167" fontId="15" fillId="6" borderId="43" xfId="0" applyNumberFormat="1" applyFont="1" applyFill="1" applyBorder="1" applyAlignment="1">
      <alignment horizontal="center"/>
    </xf>
    <xf numFmtId="0" fontId="14" fillId="0" borderId="11" xfId="0" applyFont="1" applyBorder="1" applyAlignment="1">
      <alignment horizontal="right"/>
    </xf>
    <xf numFmtId="0" fontId="14" fillId="0" borderId="43" xfId="0" applyFont="1" applyBorder="1" applyAlignment="1">
      <alignment horizontal="right"/>
    </xf>
    <xf numFmtId="0" fontId="14" fillId="6" borderId="11" xfId="0" applyFont="1" applyFill="1" applyBorder="1" applyAlignment="1">
      <alignment horizontal="right"/>
    </xf>
    <xf numFmtId="0" fontId="14" fillId="6" borderId="43" xfId="0" applyFont="1" applyFill="1" applyBorder="1" applyAlignment="1">
      <alignment horizontal="right"/>
    </xf>
    <xf numFmtId="0" fontId="83" fillId="0" borderId="21" xfId="0" applyFont="1" applyBorder="1" applyAlignment="1">
      <alignment horizontal="left" vertical="center"/>
    </xf>
    <xf numFmtId="0" fontId="90" fillId="0" borderId="11" xfId="0" applyFont="1" applyBorder="1" applyAlignment="1">
      <alignment horizontal="left" vertical="center"/>
    </xf>
    <xf numFmtId="0" fontId="90" fillId="0" borderId="43" xfId="0" applyFont="1" applyBorder="1" applyAlignment="1">
      <alignment horizontal="left" vertical="center"/>
    </xf>
    <xf numFmtId="3" fontId="15" fillId="7" borderId="325" xfId="0" applyNumberFormat="1" applyFont="1" applyFill="1" applyBorder="1" applyAlignment="1" applyProtection="1">
      <alignment horizontal="center" vertical="center"/>
      <protection locked="0"/>
    </xf>
    <xf numFmtId="3" fontId="15" fillId="7" borderId="322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/>
    </xf>
    <xf numFmtId="0" fontId="25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>
      <alignment horizontal="left" vertical="center"/>
    </xf>
    <xf numFmtId="2" fontId="14" fillId="0" borderId="17" xfId="0" applyNumberFormat="1" applyFont="1" applyBorder="1" applyAlignment="1" applyProtection="1">
      <alignment horizontal="left" vertical="center"/>
      <protection hidden="1"/>
    </xf>
    <xf numFmtId="0" fontId="59" fillId="11" borderId="175" xfId="0" applyFont="1" applyFill="1" applyBorder="1" applyAlignment="1" applyProtection="1">
      <alignment horizontal="left" vertical="center" indent="1"/>
      <protection hidden="1"/>
    </xf>
    <xf numFmtId="0" fontId="59" fillId="11" borderId="100" xfId="0" applyFont="1" applyFill="1" applyBorder="1" applyAlignment="1" applyProtection="1">
      <alignment horizontal="left" vertical="center" indent="1"/>
      <protection hidden="1"/>
    </xf>
    <xf numFmtId="0" fontId="59" fillId="11" borderId="105" xfId="0" applyFont="1" applyFill="1" applyBorder="1" applyAlignment="1" applyProtection="1">
      <alignment horizontal="left" vertical="center" indent="1"/>
      <protection hidden="1"/>
    </xf>
    <xf numFmtId="0" fontId="59" fillId="11" borderId="0" xfId="0" applyFont="1" applyFill="1" applyAlignment="1" applyProtection="1">
      <alignment horizontal="left" vertical="center" indent="1"/>
      <protection hidden="1"/>
    </xf>
    <xf numFmtId="0" fontId="59" fillId="11" borderId="104" xfId="0" applyFont="1" applyFill="1" applyBorder="1" applyAlignment="1" applyProtection="1">
      <alignment horizontal="left" vertical="center" indent="1"/>
      <protection hidden="1"/>
    </xf>
    <xf numFmtId="0" fontId="59" fillId="11" borderId="102" xfId="0" applyFont="1" applyFill="1" applyBorder="1" applyAlignment="1" applyProtection="1">
      <alignment horizontal="left" vertical="center" indent="1"/>
      <protection hidden="1"/>
    </xf>
    <xf numFmtId="0" fontId="14" fillId="8" borderId="223" xfId="0" applyFont="1" applyFill="1" applyBorder="1" applyAlignment="1" applyProtection="1">
      <alignment horizontal="left" vertical="center" indent="1"/>
      <protection hidden="1"/>
    </xf>
    <xf numFmtId="0" fontId="14" fillId="8" borderId="102" xfId="0" applyFont="1" applyFill="1" applyBorder="1" applyAlignment="1" applyProtection="1">
      <alignment horizontal="left" vertical="center" indent="1"/>
      <protection hidden="1"/>
    </xf>
    <xf numFmtId="0" fontId="14" fillId="8" borderId="259" xfId="0" applyFont="1" applyFill="1" applyBorder="1" applyAlignment="1" applyProtection="1">
      <alignment horizontal="left" vertical="center" indent="1"/>
      <protection hidden="1"/>
    </xf>
    <xf numFmtId="0" fontId="80" fillId="0" borderId="112" xfId="0" applyFont="1" applyBorder="1" applyAlignment="1" applyProtection="1">
      <alignment horizontal="left" vertical="center"/>
      <protection hidden="1"/>
    </xf>
    <xf numFmtId="0" fontId="80" fillId="0" borderId="143" xfId="0" applyFont="1" applyBorder="1" applyAlignment="1" applyProtection="1">
      <alignment horizontal="left" vertical="center"/>
      <protection hidden="1"/>
    </xf>
    <xf numFmtId="1" fontId="74" fillId="11" borderId="156" xfId="0" applyNumberFormat="1" applyFont="1" applyFill="1" applyBorder="1" applyAlignment="1">
      <alignment horizontal="center" vertical="top"/>
    </xf>
    <xf numFmtId="0" fontId="74" fillId="11" borderId="210" xfId="0" applyFont="1" applyFill="1" applyBorder="1" applyAlignment="1">
      <alignment horizontal="center" vertical="top"/>
    </xf>
    <xf numFmtId="0" fontId="74" fillId="11" borderId="157" xfId="0" applyFont="1" applyFill="1" applyBorder="1" applyAlignment="1">
      <alignment horizontal="center" vertical="top"/>
    </xf>
    <xf numFmtId="3" fontId="15" fillId="0" borderId="113" xfId="0" applyNumberFormat="1" applyFont="1" applyBorder="1" applyAlignment="1" applyProtection="1">
      <alignment horizontal="center" vertical="center"/>
      <protection hidden="1"/>
    </xf>
    <xf numFmtId="167" fontId="14" fillId="0" borderId="112" xfId="0" applyNumberFormat="1" applyFont="1" applyBorder="1" applyAlignment="1" applyProtection="1">
      <alignment horizontal="center"/>
      <protection hidden="1"/>
    </xf>
    <xf numFmtId="167" fontId="14" fillId="0" borderId="117" xfId="0" applyNumberFormat="1" applyFont="1" applyBorder="1" applyAlignment="1" applyProtection="1">
      <alignment horizontal="center" vertical="center"/>
      <protection hidden="1"/>
    </xf>
    <xf numFmtId="167" fontId="14" fillId="0" borderId="109" xfId="0" applyNumberFormat="1" applyFont="1" applyBorder="1" applyAlignment="1" applyProtection="1">
      <alignment horizontal="center" vertical="center"/>
      <protection hidden="1"/>
    </xf>
    <xf numFmtId="167" fontId="15" fillId="0" borderId="135" xfId="0" applyNumberFormat="1" applyFont="1" applyBorder="1" applyAlignment="1" applyProtection="1">
      <alignment horizontal="center" vertical="center"/>
      <protection hidden="1"/>
    </xf>
    <xf numFmtId="167" fontId="14" fillId="0" borderId="135" xfId="0" applyNumberFormat="1" applyFont="1" applyBorder="1" applyAlignment="1" applyProtection="1">
      <alignment horizontal="center" vertical="center"/>
      <protection hidden="1"/>
    </xf>
    <xf numFmtId="167" fontId="15" fillId="0" borderId="112" xfId="0" applyNumberFormat="1" applyFont="1" applyBorder="1" applyAlignment="1" applyProtection="1">
      <alignment horizontal="center" vertical="center"/>
      <protection hidden="1"/>
    </xf>
    <xf numFmtId="0" fontId="74" fillId="11" borderId="158" xfId="0" applyFont="1" applyFill="1" applyBorder="1" applyAlignment="1">
      <alignment horizontal="center"/>
    </xf>
    <xf numFmtId="0" fontId="74" fillId="11" borderId="155" xfId="0" applyFont="1" applyFill="1" applyBorder="1" applyAlignment="1">
      <alignment horizontal="center"/>
    </xf>
    <xf numFmtId="0" fontId="74" fillId="11" borderId="0" xfId="0" applyFont="1" applyFill="1" applyAlignment="1">
      <alignment horizontal="center"/>
    </xf>
    <xf numFmtId="0" fontId="74" fillId="11" borderId="160" xfId="0" applyFont="1" applyFill="1" applyBorder="1" applyAlignment="1">
      <alignment horizontal="center"/>
    </xf>
    <xf numFmtId="3" fontId="15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02" xfId="0" applyNumberFormat="1" applyFont="1" applyBorder="1" applyAlignment="1" applyProtection="1">
      <alignment horizontal="center" vertical="center"/>
      <protection hidden="1"/>
    </xf>
    <xf numFmtId="167" fontId="15" fillId="8" borderId="102" xfId="0" applyNumberFormat="1" applyFont="1" applyFill="1" applyBorder="1" applyAlignment="1" applyProtection="1">
      <alignment horizontal="center" vertical="center"/>
      <protection hidden="1"/>
    </xf>
    <xf numFmtId="167" fontId="15" fillId="8" borderId="103" xfId="0" applyNumberFormat="1" applyFont="1" applyFill="1" applyBorder="1" applyAlignment="1" applyProtection="1">
      <alignment horizontal="center" vertical="center"/>
      <protection hidden="1"/>
    </xf>
    <xf numFmtId="167" fontId="15" fillId="0" borderId="110" xfId="0" applyNumberFormat="1" applyFont="1" applyBorder="1" applyAlignment="1" applyProtection="1">
      <alignment horizontal="center" vertical="center"/>
      <protection hidden="1"/>
    </xf>
    <xf numFmtId="167" fontId="15" fillId="0" borderId="103" xfId="0" applyNumberFormat="1" applyFont="1" applyBorder="1" applyAlignment="1" applyProtection="1">
      <alignment horizontal="center" vertical="center"/>
      <protection hidden="1"/>
    </xf>
    <xf numFmtId="3" fontId="15" fillId="8" borderId="113" xfId="0" applyNumberFormat="1" applyFont="1" applyFill="1" applyBorder="1" applyAlignment="1" applyProtection="1">
      <alignment horizontal="center" vertical="center"/>
      <protection hidden="1"/>
    </xf>
    <xf numFmtId="3" fontId="15" fillId="8" borderId="191" xfId="0" applyNumberFormat="1" applyFont="1" applyFill="1" applyBorder="1" applyAlignment="1" applyProtection="1">
      <alignment horizontal="center" vertical="center"/>
      <protection hidden="1"/>
    </xf>
    <xf numFmtId="14" fontId="14" fillId="0" borderId="0" xfId="0" applyNumberFormat="1" applyFont="1" applyAlignment="1" applyProtection="1">
      <alignment horizontal="left" vertical="center"/>
      <protection hidden="1"/>
    </xf>
    <xf numFmtId="0" fontId="75" fillId="11" borderId="195" xfId="0" applyFont="1" applyFill="1" applyBorder="1" applyAlignment="1" applyProtection="1">
      <alignment horizontal="center" vertical="center"/>
      <protection hidden="1"/>
    </xf>
    <xf numFmtId="0" fontId="75" fillId="11" borderId="193" xfId="0" applyFont="1" applyFill="1" applyBorder="1" applyAlignment="1" applyProtection="1">
      <alignment horizontal="center" vertical="center"/>
      <protection hidden="1"/>
    </xf>
    <xf numFmtId="0" fontId="74" fillId="11" borderId="152" xfId="0" applyFont="1" applyFill="1" applyBorder="1" applyAlignment="1" applyProtection="1">
      <alignment horizontal="center" vertical="center"/>
      <protection hidden="1"/>
    </xf>
    <xf numFmtId="167" fontId="15" fillId="0" borderId="143" xfId="0" applyNumberFormat="1" applyFont="1" applyBorder="1" applyAlignment="1" applyProtection="1">
      <alignment horizontal="center" vertical="center"/>
      <protection hidden="1"/>
    </xf>
    <xf numFmtId="167" fontId="15" fillId="0" borderId="144" xfId="0" applyNumberFormat="1" applyFont="1" applyBorder="1" applyAlignment="1" applyProtection="1">
      <alignment horizontal="center" vertical="center"/>
      <protection hidden="1"/>
    </xf>
    <xf numFmtId="167" fontId="15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39" xfId="0" applyNumberFormat="1" applyFont="1" applyBorder="1" applyAlignment="1" applyProtection="1">
      <alignment horizontal="center" vertical="center"/>
      <protection hidden="1"/>
    </xf>
    <xf numFmtId="0" fontId="59" fillId="11" borderId="175" xfId="0" applyFont="1" applyFill="1" applyBorder="1" applyAlignment="1" applyProtection="1">
      <alignment horizontal="left" vertical="center" wrapText="1" indent="1"/>
      <protection hidden="1"/>
    </xf>
    <xf numFmtId="0" fontId="59" fillId="11" borderId="100" xfId="0" applyFont="1" applyFill="1" applyBorder="1" applyAlignment="1" applyProtection="1">
      <alignment horizontal="left" vertical="center" wrapText="1" indent="1"/>
      <protection hidden="1"/>
    </xf>
    <xf numFmtId="0" fontId="59" fillId="11" borderId="104" xfId="0" applyFont="1" applyFill="1" applyBorder="1" applyAlignment="1" applyProtection="1">
      <alignment horizontal="left" vertical="center" wrapText="1" indent="1"/>
      <protection hidden="1"/>
    </xf>
    <xf numFmtId="0" fontId="59" fillId="11" borderId="102" xfId="0" applyFont="1" applyFill="1" applyBorder="1" applyAlignment="1" applyProtection="1">
      <alignment horizontal="left" vertical="center" wrapText="1" indent="1"/>
      <protection hidden="1"/>
    </xf>
    <xf numFmtId="167" fontId="15" fillId="0" borderId="112" xfId="0" applyNumberFormat="1" applyFont="1" applyBorder="1" applyAlignment="1" applyProtection="1">
      <alignment horizontal="center"/>
      <protection hidden="1"/>
    </xf>
    <xf numFmtId="0" fontId="59" fillId="11" borderId="193" xfId="0" applyFont="1" applyFill="1" applyBorder="1" applyAlignment="1" applyProtection="1">
      <alignment horizontal="left" vertical="center"/>
      <protection hidden="1"/>
    </xf>
    <xf numFmtId="0" fontId="59" fillId="11" borderId="194" xfId="0" applyFont="1" applyFill="1" applyBorder="1" applyAlignment="1" applyProtection="1">
      <alignment horizontal="left" vertical="center"/>
      <protection hidden="1"/>
    </xf>
    <xf numFmtId="0" fontId="59" fillId="11" borderId="197" xfId="0" applyFont="1" applyFill="1" applyBorder="1" applyAlignment="1" applyProtection="1">
      <alignment horizontal="left" vertical="center"/>
      <protection hidden="1"/>
    </xf>
    <xf numFmtId="0" fontId="59" fillId="11" borderId="114" xfId="0" applyFont="1" applyFill="1" applyBorder="1" applyAlignment="1" applyProtection="1">
      <alignment horizontal="left" vertical="center"/>
      <protection hidden="1"/>
    </xf>
    <xf numFmtId="167" fontId="48" fillId="0" borderId="143" xfId="0" applyNumberFormat="1" applyFont="1" applyBorder="1" applyAlignment="1" applyProtection="1">
      <alignment horizontal="left" vertical="center"/>
      <protection hidden="1"/>
    </xf>
    <xf numFmtId="167" fontId="48" fillId="0" borderId="144" xfId="0" applyNumberFormat="1" applyFont="1" applyBorder="1" applyAlignment="1" applyProtection="1">
      <alignment horizontal="left" vertical="center"/>
      <protection hidden="1"/>
    </xf>
    <xf numFmtId="167" fontId="68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43" xfId="0" applyNumberFormat="1" applyFont="1" applyBorder="1" applyAlignment="1" applyProtection="1">
      <alignment horizontal="center"/>
      <protection hidden="1"/>
    </xf>
    <xf numFmtId="167" fontId="15" fillId="0" borderId="144" xfId="0" applyNumberFormat="1" applyFont="1" applyBorder="1" applyAlignment="1" applyProtection="1">
      <alignment horizontal="center"/>
      <protection hidden="1"/>
    </xf>
    <xf numFmtId="167" fontId="14" fillId="8" borderId="117" xfId="0" applyNumberFormat="1" applyFont="1" applyFill="1" applyBorder="1" applyAlignment="1" applyProtection="1">
      <alignment horizontal="center" vertical="center"/>
      <protection hidden="1"/>
    </xf>
    <xf numFmtId="167" fontId="14" fillId="8" borderId="121" xfId="0" applyNumberFormat="1" applyFont="1" applyFill="1" applyBorder="1" applyAlignment="1" applyProtection="1">
      <alignment horizontal="center" vertical="center"/>
      <protection hidden="1"/>
    </xf>
    <xf numFmtId="167" fontId="14" fillId="0" borderId="121" xfId="0" applyNumberFormat="1" applyFont="1" applyBorder="1" applyAlignment="1" applyProtection="1">
      <alignment horizontal="center" vertical="center"/>
      <protection hidden="1"/>
    </xf>
    <xf numFmtId="167" fontId="15" fillId="8" borderId="122" xfId="0" applyNumberFormat="1" applyFont="1" applyFill="1" applyBorder="1" applyAlignment="1" applyProtection="1">
      <alignment horizontal="center" vertical="center"/>
      <protection hidden="1"/>
    </xf>
    <xf numFmtId="167" fontId="15" fillId="8" borderId="146" xfId="0" applyNumberFormat="1" applyFont="1" applyFill="1" applyBorder="1" applyAlignment="1" applyProtection="1">
      <alignment horizontal="center" vertical="center"/>
      <protection hidden="1"/>
    </xf>
    <xf numFmtId="167" fontId="15" fillId="0" borderId="128" xfId="0" applyNumberFormat="1" applyFont="1" applyBorder="1" applyAlignment="1" applyProtection="1">
      <alignment horizontal="center" vertical="center"/>
      <protection hidden="1"/>
    </xf>
    <xf numFmtId="167" fontId="14" fillId="8" borderId="122" xfId="0" applyNumberFormat="1" applyFont="1" applyFill="1" applyBorder="1" applyAlignment="1" applyProtection="1">
      <alignment horizontal="center" vertical="center"/>
      <protection hidden="1"/>
    </xf>
    <xf numFmtId="167" fontId="14" fillId="8" borderId="146" xfId="0" applyNumberFormat="1" applyFont="1" applyFill="1" applyBorder="1" applyAlignment="1" applyProtection="1">
      <alignment horizontal="center" vertical="center"/>
      <protection hidden="1"/>
    </xf>
    <xf numFmtId="167" fontId="14" fillId="0" borderId="128" xfId="0" applyNumberFormat="1" applyFont="1" applyBorder="1" applyAlignment="1" applyProtection="1">
      <alignment horizontal="center" vertical="center"/>
      <protection hidden="1"/>
    </xf>
    <xf numFmtId="167" fontId="14" fillId="0" borderId="106" xfId="0" applyNumberFormat="1" applyFont="1" applyBorder="1" applyAlignment="1" applyProtection="1">
      <alignment horizontal="center" vertical="center"/>
      <protection hidden="1"/>
    </xf>
    <xf numFmtId="167" fontId="68" fillId="0" borderId="139" xfId="0" applyNumberFormat="1" applyFont="1" applyBorder="1" applyAlignment="1" applyProtection="1">
      <alignment horizontal="center" vertical="center"/>
      <protection hidden="1"/>
    </xf>
    <xf numFmtId="167" fontId="48" fillId="0" borderId="112" xfId="0" applyNumberFormat="1" applyFont="1" applyBorder="1" applyAlignment="1" applyProtection="1">
      <alignment horizontal="left" vertical="center"/>
      <protection hidden="1"/>
    </xf>
    <xf numFmtId="167" fontId="14" fillId="0" borderId="143" xfId="0" applyNumberFormat="1" applyFont="1" applyBorder="1" applyAlignment="1" applyProtection="1">
      <alignment horizontal="center"/>
      <protection hidden="1"/>
    </xf>
    <xf numFmtId="167" fontId="14" fillId="0" borderId="144" xfId="0" applyNumberFormat="1" applyFont="1" applyBorder="1" applyAlignment="1" applyProtection="1">
      <alignment horizontal="center"/>
      <protection hidden="1"/>
    </xf>
    <xf numFmtId="167" fontId="14" fillId="0" borderId="139" xfId="0" applyNumberFormat="1" applyFont="1" applyBorder="1" applyAlignment="1" applyProtection="1">
      <alignment horizontal="center" vertical="center"/>
      <protection hidden="1"/>
    </xf>
    <xf numFmtId="0" fontId="15" fillId="0" borderId="112" xfId="0" applyFont="1" applyBorder="1" applyAlignment="1" applyProtection="1">
      <alignment horizontal="left" vertical="center"/>
      <protection hidden="1"/>
    </xf>
    <xf numFmtId="0" fontId="49" fillId="0" borderId="211" xfId="0" applyFont="1" applyBorder="1" applyAlignment="1" applyProtection="1">
      <alignment horizontal="left" vertical="center"/>
      <protection hidden="1"/>
    </xf>
    <xf numFmtId="0" fontId="64" fillId="0" borderId="112" xfId="0" applyFont="1" applyBorder="1" applyAlignment="1" applyProtection="1">
      <alignment horizontal="left" vertical="center"/>
      <protection hidden="1"/>
    </xf>
    <xf numFmtId="0" fontId="15" fillId="0" borderId="112" xfId="0" applyFont="1" applyBorder="1" applyAlignment="1" applyProtection="1">
      <alignment horizontal="left" vertical="center" wrapText="1"/>
      <protection hidden="1"/>
    </xf>
    <xf numFmtId="0" fontId="80" fillId="0" borderId="112" xfId="0" applyFont="1" applyBorder="1" applyAlignment="1" applyProtection="1">
      <alignment horizontal="left" vertical="center" indent="1"/>
      <protection hidden="1"/>
    </xf>
    <xf numFmtId="0" fontId="80" fillId="0" borderId="148" xfId="0" applyFont="1" applyBorder="1" applyAlignment="1" applyProtection="1">
      <alignment horizontal="left" vertical="center" indent="1"/>
      <protection hidden="1"/>
    </xf>
    <xf numFmtId="0" fontId="14" fillId="8" borderId="223" xfId="0" applyFont="1" applyFill="1" applyBorder="1" applyAlignment="1" applyProtection="1">
      <alignment horizontal="left" vertical="top" wrapText="1" indent="1"/>
      <protection hidden="1"/>
    </xf>
    <xf numFmtId="0" fontId="14" fillId="8" borderId="259" xfId="0" applyFont="1" applyFill="1" applyBorder="1" applyAlignment="1" applyProtection="1">
      <alignment horizontal="left" vertical="top" wrapText="1" indent="1"/>
      <protection hidden="1"/>
    </xf>
    <xf numFmtId="0" fontId="15" fillId="0" borderId="0" xfId="0" applyFont="1" applyAlignment="1" applyProtection="1">
      <alignment horizontal="center"/>
      <protection hidden="1"/>
    </xf>
    <xf numFmtId="0" fontId="14" fillId="8" borderId="221" xfId="0" applyFont="1" applyFill="1" applyBorder="1" applyAlignment="1" applyProtection="1">
      <alignment horizontal="left" vertical="center" indent="3"/>
      <protection hidden="1"/>
    </xf>
    <xf numFmtId="0" fontId="14" fillId="8" borderId="245" xfId="0" applyFont="1" applyFill="1" applyBorder="1" applyAlignment="1" applyProtection="1">
      <alignment horizontal="left" vertical="center" indent="3"/>
      <protection hidden="1"/>
    </xf>
    <xf numFmtId="2" fontId="14" fillId="8" borderId="221" xfId="0" applyNumberFormat="1" applyFont="1" applyFill="1" applyBorder="1" applyAlignment="1" applyProtection="1">
      <alignment horizontal="left" vertical="center" indent="2"/>
      <protection hidden="1"/>
    </xf>
    <xf numFmtId="2" fontId="14" fillId="8" borderId="245" xfId="0" applyNumberFormat="1" applyFont="1" applyFill="1" applyBorder="1" applyAlignment="1" applyProtection="1">
      <alignment horizontal="left" vertical="center" indent="2"/>
      <protection hidden="1"/>
    </xf>
    <xf numFmtId="0" fontId="74" fillId="11" borderId="154" xfId="0" applyFont="1" applyFill="1" applyBorder="1" applyAlignment="1">
      <alignment horizontal="left" vertical="center" wrapText="1" indent="2"/>
    </xf>
    <xf numFmtId="0" fontId="74" fillId="11" borderId="155" xfId="0" applyFont="1" applyFill="1" applyBorder="1" applyAlignment="1">
      <alignment horizontal="left" vertical="center" wrapText="1" indent="2"/>
    </xf>
    <xf numFmtId="0" fontId="74" fillId="11" borderId="159" xfId="0" applyFont="1" applyFill="1" applyBorder="1" applyAlignment="1">
      <alignment horizontal="left" vertical="center" wrapText="1" indent="2"/>
    </xf>
    <xf numFmtId="0" fontId="74" fillId="11" borderId="160" xfId="0" applyFont="1" applyFill="1" applyBorder="1" applyAlignment="1">
      <alignment horizontal="left" vertical="center" wrapText="1" indent="2"/>
    </xf>
    <xf numFmtId="0" fontId="15" fillId="8" borderId="218" xfId="0" applyFont="1" applyFill="1" applyBorder="1" applyAlignment="1" applyProtection="1">
      <alignment horizontal="left" vertical="center"/>
      <protection hidden="1"/>
    </xf>
    <xf numFmtId="0" fontId="15" fillId="8" borderId="242" xfId="0" applyFont="1" applyFill="1" applyBorder="1" applyAlignment="1" applyProtection="1">
      <alignment horizontal="left" vertical="center"/>
      <protection hidden="1"/>
    </xf>
    <xf numFmtId="0" fontId="15" fillId="8" borderId="219" xfId="0" applyFont="1" applyFill="1" applyBorder="1" applyAlignment="1" applyProtection="1">
      <alignment horizontal="left" vertical="center"/>
      <protection hidden="1"/>
    </xf>
    <xf numFmtId="0" fontId="15" fillId="8" borderId="243" xfId="0" applyFont="1" applyFill="1" applyBorder="1" applyAlignment="1" applyProtection="1">
      <alignment horizontal="left" vertical="center"/>
      <protection hidden="1"/>
    </xf>
    <xf numFmtId="167" fontId="15" fillId="0" borderId="147" xfId="0" applyNumberFormat="1" applyFont="1" applyBorder="1" applyAlignment="1" applyProtection="1">
      <alignment horizontal="center" vertical="center"/>
      <protection hidden="1"/>
    </xf>
    <xf numFmtId="167" fontId="67" fillId="0" borderId="213" xfId="0" applyNumberFormat="1" applyFont="1" applyBorder="1" applyAlignment="1" applyProtection="1">
      <alignment horizontal="center" vertical="center"/>
      <protection hidden="1"/>
    </xf>
    <xf numFmtId="0" fontId="72" fillId="0" borderId="106" xfId="0" applyFont="1" applyBorder="1" applyAlignment="1" applyProtection="1">
      <alignment horizontal="center" vertical="center"/>
      <protection hidden="1"/>
    </xf>
    <xf numFmtId="164" fontId="15" fillId="0" borderId="152" xfId="2" applyNumberFormat="1" applyFont="1" applyBorder="1" applyAlignment="1" applyProtection="1">
      <alignment horizontal="center" vertical="center"/>
      <protection hidden="1"/>
    </xf>
    <xf numFmtId="167" fontId="67" fillId="0" borderId="147" xfId="0" applyNumberFormat="1" applyFont="1" applyBorder="1" applyAlignment="1" applyProtection="1">
      <alignment horizontal="center" vertical="center"/>
      <protection hidden="1"/>
    </xf>
    <xf numFmtId="167" fontId="7" fillId="0" borderId="0" xfId="0" applyNumberFormat="1" applyFont="1" applyAlignment="1" applyProtection="1">
      <alignment horizontal="center"/>
      <protection hidden="1"/>
    </xf>
    <xf numFmtId="0" fontId="14" fillId="8" borderId="159" xfId="0" applyFont="1" applyFill="1" applyBorder="1" applyAlignment="1" applyProtection="1">
      <alignment horizontal="left" vertical="center" wrapText="1" indent="1"/>
      <protection hidden="1"/>
    </xf>
    <xf numFmtId="0" fontId="14" fillId="8" borderId="160" xfId="0" applyFont="1" applyFill="1" applyBorder="1" applyAlignment="1" applyProtection="1">
      <alignment horizontal="left" vertical="center" wrapText="1" indent="1"/>
      <protection hidden="1"/>
    </xf>
    <xf numFmtId="0" fontId="14" fillId="8" borderId="223" xfId="0" applyFont="1" applyFill="1" applyBorder="1" applyAlignment="1" applyProtection="1">
      <alignment horizontal="left" vertical="center" wrapText="1" indent="1"/>
      <protection hidden="1"/>
    </xf>
    <xf numFmtId="0" fontId="14" fillId="8" borderId="259" xfId="0" applyFont="1" applyFill="1" applyBorder="1" applyAlignment="1" applyProtection="1">
      <alignment horizontal="left" vertical="center" wrapText="1" indent="1"/>
      <protection hidden="1"/>
    </xf>
    <xf numFmtId="3" fontId="14" fillId="8" borderId="101" xfId="0" applyNumberFormat="1" applyFont="1" applyFill="1" applyBorder="1" applyAlignment="1" applyProtection="1">
      <alignment horizontal="center" vertical="center"/>
      <protection hidden="1"/>
    </xf>
    <xf numFmtId="3" fontId="14" fillId="8" borderId="103" xfId="0" applyNumberFormat="1" applyFont="1" applyFill="1" applyBorder="1" applyAlignment="1" applyProtection="1">
      <alignment horizontal="center" vertical="center"/>
      <protection hidden="1"/>
    </xf>
    <xf numFmtId="1" fontId="14" fillId="6" borderId="100" xfId="0" applyNumberFormat="1" applyFont="1" applyFill="1" applyBorder="1" applyAlignment="1" applyProtection="1">
      <alignment horizontal="center" vertical="center"/>
      <protection hidden="1"/>
    </xf>
    <xf numFmtId="1" fontId="14" fillId="6" borderId="102" xfId="0" applyNumberFormat="1" applyFont="1" applyFill="1" applyBorder="1" applyAlignment="1" applyProtection="1">
      <alignment horizontal="center" vertical="center"/>
      <protection hidden="1"/>
    </xf>
    <xf numFmtId="166" fontId="14" fillId="8" borderId="190" xfId="0" applyNumberFormat="1" applyFont="1" applyFill="1" applyBorder="1" applyAlignment="1" applyProtection="1">
      <alignment horizontal="center" vertical="center"/>
      <protection hidden="1"/>
    </xf>
    <xf numFmtId="166" fontId="14" fillId="8" borderId="110" xfId="0" applyNumberFormat="1" applyFont="1" applyFill="1" applyBorder="1" applyAlignment="1" applyProtection="1">
      <alignment horizontal="center" vertical="center"/>
      <protection hidden="1"/>
    </xf>
    <xf numFmtId="3" fontId="14" fillId="6" borderId="100" xfId="0" applyNumberFormat="1" applyFont="1" applyFill="1" applyBorder="1" applyAlignment="1" applyProtection="1">
      <alignment horizontal="center" vertical="center"/>
      <protection hidden="1"/>
    </xf>
    <xf numFmtId="3" fontId="14" fillId="6" borderId="102" xfId="0" applyNumberFormat="1" applyFont="1" applyFill="1" applyBorder="1" applyAlignment="1" applyProtection="1">
      <alignment horizontal="center" vertical="center"/>
      <protection hidden="1"/>
    </xf>
    <xf numFmtId="1" fontId="14" fillId="6" borderId="190" xfId="0" applyNumberFormat="1" applyFont="1" applyFill="1" applyBorder="1" applyAlignment="1" applyProtection="1">
      <alignment horizontal="center" vertical="center"/>
      <protection hidden="1"/>
    </xf>
    <xf numFmtId="1" fontId="14" fillId="6" borderId="110" xfId="0" applyNumberFormat="1" applyFont="1" applyFill="1" applyBorder="1" applyAlignment="1" applyProtection="1">
      <alignment horizontal="center" vertical="center"/>
      <protection hidden="1"/>
    </xf>
    <xf numFmtId="167" fontId="14" fillId="8" borderId="190" xfId="0" applyNumberFormat="1" applyFont="1" applyFill="1" applyBorder="1" applyAlignment="1" applyProtection="1">
      <alignment horizontal="center" vertical="center"/>
      <protection hidden="1"/>
    </xf>
    <xf numFmtId="167" fontId="14" fillId="8" borderId="110" xfId="0" applyNumberFormat="1" applyFont="1" applyFill="1" applyBorder="1" applyAlignment="1" applyProtection="1">
      <alignment horizontal="center" vertical="center"/>
      <protection hidden="1"/>
    </xf>
    <xf numFmtId="167" fontId="14" fillId="8" borderId="234" xfId="0" applyNumberFormat="1" applyFont="1" applyFill="1" applyBorder="1" applyAlignment="1" applyProtection="1">
      <alignment horizontal="center" vertical="center"/>
      <protection hidden="1"/>
    </xf>
    <xf numFmtId="167" fontId="14" fillId="8" borderId="235" xfId="0" applyNumberFormat="1" applyFont="1" applyFill="1" applyBorder="1" applyAlignment="1" applyProtection="1">
      <alignment horizontal="center" vertical="center"/>
      <protection hidden="1"/>
    </xf>
    <xf numFmtId="0" fontId="49" fillId="0" borderId="112" xfId="0" applyFont="1" applyBorder="1" applyAlignment="1" applyProtection="1">
      <alignment horizontal="left" vertical="center"/>
      <protection hidden="1"/>
    </xf>
    <xf numFmtId="0" fontId="64" fillId="0" borderId="211" xfId="0" applyFont="1" applyBorder="1" applyAlignment="1" applyProtection="1">
      <alignment horizontal="left" vertical="center"/>
      <protection hidden="1"/>
    </xf>
    <xf numFmtId="0" fontId="7" fillId="6" borderId="113" xfId="0" applyFont="1" applyFill="1" applyBorder="1" applyAlignment="1" applyProtection="1">
      <alignment horizontal="center" vertical="center"/>
      <protection hidden="1"/>
    </xf>
    <xf numFmtId="0" fontId="7" fillId="6" borderId="191" xfId="0" applyFont="1" applyFill="1" applyBorder="1" applyAlignment="1" applyProtection="1">
      <alignment horizontal="center" vertical="center"/>
      <protection hidden="1"/>
    </xf>
    <xf numFmtId="0" fontId="7" fillId="6" borderId="107" xfId="0" applyFont="1" applyFill="1" applyBorder="1" applyAlignment="1" applyProtection="1">
      <alignment horizontal="center" vertical="center"/>
      <protection hidden="1"/>
    </xf>
    <xf numFmtId="0" fontId="75" fillId="11" borderId="198" xfId="0" applyFont="1" applyFill="1" applyBorder="1" applyAlignment="1" applyProtection="1">
      <alignment horizontal="center" vertical="center"/>
      <protection hidden="1"/>
    </xf>
    <xf numFmtId="0" fontId="75" fillId="11" borderId="197" xfId="0" applyFont="1" applyFill="1" applyBorder="1" applyAlignment="1" applyProtection="1">
      <alignment horizontal="center" vertical="center"/>
      <protection hidden="1"/>
    </xf>
    <xf numFmtId="1" fontId="74" fillId="11" borderId="110" xfId="0" applyNumberFormat="1" applyFont="1" applyFill="1" applyBorder="1" applyAlignment="1" applyProtection="1">
      <alignment horizontal="center" vertical="center"/>
      <protection hidden="1"/>
    </xf>
    <xf numFmtId="0" fontId="74" fillId="11" borderId="110" xfId="0" applyFont="1" applyFill="1" applyBorder="1" applyAlignment="1" applyProtection="1">
      <alignment horizontal="center" vertical="center"/>
      <protection hidden="1"/>
    </xf>
    <xf numFmtId="0" fontId="75" fillId="11" borderId="105" xfId="0" applyFont="1" applyFill="1" applyBorder="1" applyAlignment="1" applyProtection="1">
      <alignment horizontal="center"/>
      <protection hidden="1"/>
    </xf>
    <xf numFmtId="0" fontId="75" fillId="11" borderId="99" xfId="0" applyFont="1" applyFill="1" applyBorder="1" applyAlignment="1" applyProtection="1">
      <alignment horizontal="center"/>
      <protection hidden="1"/>
    </xf>
    <xf numFmtId="0" fontId="15" fillId="0" borderId="323" xfId="0" applyFont="1" applyBorder="1" applyAlignment="1">
      <alignment horizontal="left" vertical="center"/>
    </xf>
    <xf numFmtId="0" fontId="15" fillId="0" borderId="320" xfId="0" applyFont="1" applyBorder="1" applyAlignment="1">
      <alignment horizontal="left" vertical="center"/>
    </xf>
    <xf numFmtId="0" fontId="15" fillId="0" borderId="324" xfId="0" applyFont="1" applyBorder="1" applyAlignment="1">
      <alignment horizontal="left" vertical="center"/>
    </xf>
    <xf numFmtId="3" fontId="15" fillId="7" borderId="315" xfId="0" applyNumberFormat="1" applyFont="1" applyFill="1" applyBorder="1" applyAlignment="1" applyProtection="1">
      <alignment horizontal="center" vertical="center"/>
      <protection locked="0"/>
    </xf>
    <xf numFmtId="49" fontId="75" fillId="11" borderId="0" xfId="0" applyNumberFormat="1" applyFont="1" applyFill="1" applyAlignment="1" applyProtection="1">
      <alignment horizontal="center"/>
      <protection hidden="1"/>
    </xf>
    <xf numFmtId="0" fontId="15" fillId="0" borderId="135" xfId="0" applyFont="1" applyBorder="1" applyAlignment="1" applyProtection="1">
      <alignment horizontal="left" vertical="center"/>
      <protection hidden="1"/>
    </xf>
    <xf numFmtId="0" fontId="15" fillId="0" borderId="134" xfId="0" applyFont="1" applyBorder="1" applyAlignment="1" applyProtection="1">
      <alignment horizontal="left" vertical="center"/>
      <protection hidden="1"/>
    </xf>
    <xf numFmtId="0" fontId="10" fillId="0" borderId="135" xfId="0" applyFont="1" applyBorder="1" applyAlignment="1" applyProtection="1">
      <alignment horizontal="left" vertical="center" indent="1"/>
      <protection hidden="1"/>
    </xf>
    <xf numFmtId="0" fontId="10" fillId="0" borderId="134" xfId="0" applyFont="1" applyBorder="1" applyAlignment="1" applyProtection="1">
      <alignment horizontal="left" vertical="center" indent="1"/>
      <protection hidden="1"/>
    </xf>
    <xf numFmtId="6" fontId="75" fillId="11" borderId="190" xfId="0" applyNumberFormat="1" applyFont="1" applyFill="1" applyBorder="1" applyAlignment="1" applyProtection="1">
      <alignment horizontal="center" vertical="center"/>
      <protection hidden="1"/>
    </xf>
    <xf numFmtId="6" fontId="75" fillId="11" borderId="110" xfId="0" applyNumberFormat="1" applyFont="1" applyFill="1" applyBorder="1" applyAlignment="1" applyProtection="1">
      <alignment horizontal="center" vertical="center"/>
      <protection hidden="1"/>
    </xf>
    <xf numFmtId="0" fontId="75" fillId="11" borderId="100" xfId="0" applyFont="1" applyFill="1" applyBorder="1" applyAlignment="1" applyProtection="1">
      <alignment horizontal="left" vertical="center" wrapText="1" indent="1"/>
      <protection hidden="1"/>
    </xf>
    <xf numFmtId="0" fontId="75" fillId="11" borderId="101" xfId="0" applyFont="1" applyFill="1" applyBorder="1" applyAlignment="1" applyProtection="1">
      <alignment horizontal="left" vertical="center" wrapText="1" indent="1"/>
      <protection hidden="1"/>
    </xf>
    <xf numFmtId="0" fontId="75" fillId="11" borderId="102" xfId="0" applyFont="1" applyFill="1" applyBorder="1" applyAlignment="1" applyProtection="1">
      <alignment horizontal="left" vertical="center" wrapText="1" indent="1"/>
      <protection hidden="1"/>
    </xf>
    <xf numFmtId="0" fontId="75" fillId="11" borderId="103" xfId="0" applyFont="1" applyFill="1" applyBorder="1" applyAlignment="1" applyProtection="1">
      <alignment horizontal="left" vertical="center" wrapText="1" indent="1"/>
      <protection hidden="1"/>
    </xf>
    <xf numFmtId="0" fontId="10" fillId="7" borderId="105" xfId="0" applyFont="1" applyFill="1" applyBorder="1" applyAlignment="1" applyProtection="1">
      <alignment horizontal="left" vertical="center" indent="1"/>
      <protection locked="0"/>
    </xf>
    <xf numFmtId="0" fontId="10" fillId="7" borderId="0" xfId="0" applyFont="1" applyFill="1" applyAlignment="1" applyProtection="1">
      <alignment horizontal="left" vertical="center" indent="1"/>
      <protection locked="0"/>
    </xf>
    <xf numFmtId="0" fontId="7" fillId="7" borderId="105" xfId="0" applyFont="1" applyFill="1" applyBorder="1" applyAlignment="1" applyProtection="1">
      <alignment horizontal="left" vertical="center" indent="1"/>
      <protection locked="0"/>
    </xf>
    <xf numFmtId="0" fontId="7" fillId="7" borderId="0" xfId="0" applyFont="1" applyFill="1" applyAlignment="1" applyProtection="1">
      <alignment horizontal="left" vertical="center" indent="1"/>
      <protection locked="0"/>
    </xf>
    <xf numFmtId="0" fontId="15" fillId="0" borderId="129" xfId="0" applyFont="1" applyBorder="1" applyAlignment="1" applyProtection="1">
      <alignment horizontal="left" vertical="center"/>
      <protection hidden="1"/>
    </xf>
    <xf numFmtId="0" fontId="15" fillId="0" borderId="264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99" xfId="0" applyFont="1" applyBorder="1" applyAlignment="1" applyProtection="1">
      <alignment horizontal="left" vertical="center"/>
      <protection hidden="1"/>
    </xf>
    <xf numFmtId="0" fontId="82" fillId="0" borderId="0" xfId="0" applyFont="1" applyAlignment="1" applyProtection="1">
      <alignment horizontal="left" vertical="center"/>
      <protection hidden="1"/>
    </xf>
    <xf numFmtId="1" fontId="15" fillId="0" borderId="17" xfId="0" applyNumberFormat="1" applyFont="1" applyBorder="1" applyAlignment="1" applyProtection="1">
      <alignment horizontal="left" vertical="center"/>
      <protection hidden="1"/>
    </xf>
    <xf numFmtId="0" fontId="15" fillId="0" borderId="17" xfId="0" applyFont="1" applyBorder="1" applyAlignment="1" applyProtection="1">
      <alignment horizontal="left" vertical="center"/>
      <protection hidden="1"/>
    </xf>
    <xf numFmtId="170" fontId="15" fillId="0" borderId="17" xfId="0" applyNumberFormat="1" applyFont="1" applyBorder="1" applyAlignment="1" applyProtection="1">
      <alignment horizontal="left" vertical="center"/>
      <protection hidden="1"/>
    </xf>
    <xf numFmtId="167" fontId="14" fillId="0" borderId="117" xfId="0" applyNumberFormat="1" applyFont="1" applyBorder="1" applyAlignment="1" applyProtection="1">
      <alignment horizontal="center"/>
      <protection hidden="1"/>
    </xf>
    <xf numFmtId="167" fontId="14" fillId="0" borderId="109" xfId="0" applyNumberFormat="1" applyFont="1" applyBorder="1" applyAlignment="1" applyProtection="1">
      <alignment horizontal="center"/>
      <protection hidden="1"/>
    </xf>
    <xf numFmtId="167" fontId="14" fillId="0" borderId="121" xfId="0" applyNumberFormat="1" applyFont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left" vertical="center" shrinkToFit="1"/>
      <protection hidden="1"/>
    </xf>
    <xf numFmtId="0" fontId="0" fillId="0" borderId="0" xfId="0" applyAlignment="1">
      <alignment shrinkToFit="1"/>
    </xf>
    <xf numFmtId="0" fontId="74" fillId="11" borderId="203" xfId="0" applyFont="1" applyFill="1" applyBorder="1" applyAlignment="1" applyProtection="1">
      <alignment horizontal="center" vertical="center"/>
      <protection hidden="1"/>
    </xf>
    <xf numFmtId="0" fontId="74" fillId="11" borderId="204" xfId="0" applyFont="1" applyFill="1" applyBorder="1" applyAlignment="1" applyProtection="1">
      <alignment horizontal="center" vertical="center"/>
      <protection hidden="1"/>
    </xf>
    <xf numFmtId="0" fontId="74" fillId="11" borderId="196" xfId="0" applyFont="1" applyFill="1" applyBorder="1" applyAlignment="1" applyProtection="1">
      <alignment horizontal="center" vertical="center"/>
      <protection hidden="1"/>
    </xf>
    <xf numFmtId="0" fontId="74" fillId="11" borderId="175" xfId="0" applyFont="1" applyFill="1" applyBorder="1" applyAlignment="1" applyProtection="1">
      <alignment horizontal="center"/>
      <protection hidden="1"/>
    </xf>
    <xf numFmtId="0" fontId="74" fillId="11" borderId="101" xfId="0" applyFont="1" applyFill="1" applyBorder="1" applyAlignment="1" applyProtection="1">
      <alignment horizontal="center"/>
      <protection hidden="1"/>
    </xf>
    <xf numFmtId="0" fontId="74" fillId="11" borderId="100" xfId="0" applyFont="1" applyFill="1" applyBorder="1" applyAlignment="1" applyProtection="1">
      <alignment horizontal="center"/>
      <protection hidden="1"/>
    </xf>
    <xf numFmtId="0" fontId="75" fillId="11" borderId="0" xfId="0" applyFont="1" applyFill="1" applyAlignment="1" applyProtection="1">
      <alignment horizontal="center"/>
      <protection hidden="1"/>
    </xf>
    <xf numFmtId="14" fontId="14" fillId="0" borderId="17" xfId="0" applyNumberFormat="1" applyFont="1" applyBorder="1" applyAlignment="1" applyProtection="1">
      <alignment horizontal="left"/>
      <protection hidden="1"/>
    </xf>
    <xf numFmtId="14" fontId="7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4" fillId="0" borderId="105" xfId="0" applyFont="1" applyBorder="1" applyAlignment="1" applyProtection="1">
      <alignment horizontal="left" vertical="center"/>
      <protection hidden="1"/>
    </xf>
    <xf numFmtId="0" fontId="14" fillId="0" borderId="105" xfId="0" applyFont="1" applyBorder="1" applyAlignment="1" applyProtection="1">
      <alignment horizontal="left"/>
      <protection hidden="1"/>
    </xf>
    <xf numFmtId="0" fontId="14" fillId="0" borderId="0" xfId="0" applyFont="1" applyAlignment="1" applyProtection="1">
      <alignment horizontal="left"/>
      <protection hidden="1"/>
    </xf>
    <xf numFmtId="0" fontId="75" fillId="11" borderId="100" xfId="0" applyFont="1" applyFill="1" applyBorder="1" applyAlignment="1" applyProtection="1">
      <alignment horizontal="center"/>
      <protection hidden="1"/>
    </xf>
    <xf numFmtId="0" fontId="75" fillId="11" borderId="101" xfId="0" applyFont="1" applyFill="1" applyBorder="1" applyAlignment="1" applyProtection="1">
      <alignment horizontal="center"/>
      <protection hidden="1"/>
    </xf>
    <xf numFmtId="6" fontId="74" fillId="11" borderId="190" xfId="0" applyNumberFormat="1" applyFont="1" applyFill="1" applyBorder="1" applyAlignment="1" applyProtection="1">
      <alignment horizontal="center" vertical="center"/>
      <protection hidden="1"/>
    </xf>
    <xf numFmtId="6" fontId="74" fillId="11" borderId="110" xfId="0" applyNumberFormat="1" applyFont="1" applyFill="1" applyBorder="1" applyAlignment="1" applyProtection="1">
      <alignment horizontal="center" vertical="center"/>
      <protection hidden="1"/>
    </xf>
    <xf numFmtId="0" fontId="75" fillId="11" borderId="100" xfId="0" applyFont="1" applyFill="1" applyBorder="1" applyAlignment="1" applyProtection="1">
      <alignment horizontal="left" vertical="center" indent="1"/>
      <protection hidden="1"/>
    </xf>
    <xf numFmtId="0" fontId="75" fillId="11" borderId="101" xfId="0" applyFont="1" applyFill="1" applyBorder="1" applyAlignment="1" applyProtection="1">
      <alignment horizontal="left" vertical="center" indent="1"/>
      <protection hidden="1"/>
    </xf>
    <xf numFmtId="0" fontId="75" fillId="11" borderId="102" xfId="0" applyFont="1" applyFill="1" applyBorder="1" applyAlignment="1" applyProtection="1">
      <alignment horizontal="left" vertical="center" indent="1"/>
      <protection hidden="1"/>
    </xf>
    <xf numFmtId="0" fontId="75" fillId="11" borderId="103" xfId="0" applyFont="1" applyFill="1" applyBorder="1" applyAlignment="1" applyProtection="1">
      <alignment horizontal="left" vertical="center" indent="1"/>
      <protection hidden="1"/>
    </xf>
    <xf numFmtId="0" fontId="59" fillId="11" borderId="175" xfId="0" applyFont="1" applyFill="1" applyBorder="1" applyAlignment="1" applyProtection="1">
      <alignment horizontal="left" vertical="center"/>
      <protection hidden="1"/>
    </xf>
    <xf numFmtId="0" fontId="59" fillId="11" borderId="100" xfId="0" applyFont="1" applyFill="1" applyBorder="1" applyAlignment="1" applyProtection="1">
      <alignment horizontal="left" vertical="center"/>
      <protection hidden="1"/>
    </xf>
    <xf numFmtId="0" fontId="59" fillId="11" borderId="101" xfId="0" applyFont="1" applyFill="1" applyBorder="1" applyAlignment="1" applyProtection="1">
      <alignment horizontal="left" vertical="center"/>
      <protection hidden="1"/>
    </xf>
    <xf numFmtId="0" fontId="59" fillId="11" borderId="104" xfId="0" applyFont="1" applyFill="1" applyBorder="1" applyAlignment="1" applyProtection="1">
      <alignment horizontal="left" vertical="center"/>
      <protection hidden="1"/>
    </xf>
    <xf numFmtId="0" fontId="59" fillId="11" borderId="102" xfId="0" applyFont="1" applyFill="1" applyBorder="1" applyAlignment="1" applyProtection="1">
      <alignment horizontal="left" vertical="center"/>
      <protection hidden="1"/>
    </xf>
    <xf numFmtId="0" fontId="59" fillId="11" borderId="103" xfId="0" applyFont="1" applyFill="1" applyBorder="1" applyAlignment="1" applyProtection="1">
      <alignment horizontal="left" vertical="center"/>
      <protection hidden="1"/>
    </xf>
    <xf numFmtId="0" fontId="15" fillId="0" borderId="99" xfId="0" applyFont="1" applyBorder="1" applyAlignment="1" applyProtection="1">
      <alignment horizontal="left" vertical="center"/>
      <protection hidden="1"/>
    </xf>
    <xf numFmtId="0" fontId="10" fillId="7" borderId="0" xfId="0" applyFont="1" applyFill="1" applyAlignment="1" applyProtection="1">
      <alignment horizontal="center" vertical="center"/>
      <protection locked="0"/>
    </xf>
    <xf numFmtId="0" fontId="7" fillId="7" borderId="0" xfId="0" applyFont="1" applyFill="1" applyAlignment="1" applyProtection="1">
      <alignment horizontal="center" vertical="center"/>
      <protection locked="0"/>
    </xf>
    <xf numFmtId="1" fontId="74" fillId="11" borderId="104" xfId="0" applyNumberFormat="1" applyFont="1" applyFill="1" applyBorder="1" applyAlignment="1" applyProtection="1">
      <alignment horizontal="center" vertical="center"/>
      <protection hidden="1"/>
    </xf>
    <xf numFmtId="0" fontId="74" fillId="11" borderId="103" xfId="0" applyFont="1" applyFill="1" applyBorder="1" applyAlignment="1" applyProtection="1">
      <alignment horizontal="center" vertical="center"/>
      <protection hidden="1"/>
    </xf>
    <xf numFmtId="1" fontId="74" fillId="11" borderId="199" xfId="0" applyNumberFormat="1" applyFont="1" applyFill="1" applyBorder="1" applyAlignment="1" applyProtection="1">
      <alignment horizontal="center" vertical="center"/>
      <protection hidden="1"/>
    </xf>
    <xf numFmtId="0" fontId="74" fillId="11" borderId="200" xfId="0" applyFont="1" applyFill="1" applyBorder="1" applyAlignment="1" applyProtection="1">
      <alignment horizontal="center" vertical="center"/>
      <protection hidden="1"/>
    </xf>
    <xf numFmtId="164" fontId="48" fillId="0" borderId="106" xfId="0" applyNumberFormat="1" applyFont="1" applyBorder="1" applyAlignment="1" applyProtection="1">
      <alignment horizontal="center" vertical="center"/>
      <protection hidden="1"/>
    </xf>
    <xf numFmtId="164" fontId="48" fillId="0" borderId="139" xfId="0" applyNumberFormat="1" applyFont="1" applyBorder="1" applyAlignment="1" applyProtection="1">
      <alignment horizontal="center" vertical="center"/>
      <protection hidden="1"/>
    </xf>
    <xf numFmtId="167" fontId="14" fillId="0" borderId="205" xfId="0" applyNumberFormat="1" applyFont="1" applyBorder="1" applyAlignment="1" applyProtection="1">
      <alignment horizontal="center" vertical="center"/>
      <protection hidden="1"/>
    </xf>
    <xf numFmtId="0" fontId="74" fillId="11" borderId="194" xfId="0" applyFont="1" applyFill="1" applyBorder="1" applyAlignment="1" applyProtection="1">
      <alignment horizontal="center" vertical="center"/>
      <protection hidden="1"/>
    </xf>
    <xf numFmtId="0" fontId="74" fillId="11" borderId="193" xfId="0" applyFont="1" applyFill="1" applyBorder="1" applyAlignment="1" applyProtection="1">
      <alignment horizontal="center" vertical="center"/>
      <protection hidden="1"/>
    </xf>
    <xf numFmtId="0" fontId="74" fillId="11" borderId="195" xfId="0" applyFont="1" applyFill="1" applyBorder="1" applyAlignment="1" applyProtection="1">
      <alignment horizontal="center" vertical="center"/>
      <protection hidden="1"/>
    </xf>
    <xf numFmtId="0" fontId="74" fillId="11" borderId="114" xfId="0" applyFont="1" applyFill="1" applyBorder="1" applyAlignment="1" applyProtection="1">
      <alignment horizontal="center" vertical="center"/>
      <protection hidden="1"/>
    </xf>
    <xf numFmtId="167" fontId="14" fillId="0" borderId="198" xfId="0" applyNumberFormat="1" applyFont="1" applyBorder="1" applyAlignment="1" applyProtection="1">
      <alignment horizontal="center"/>
      <protection hidden="1"/>
    </xf>
    <xf numFmtId="167" fontId="14" fillId="0" borderId="197" xfId="0" applyNumberFormat="1" applyFont="1" applyBorder="1" applyAlignment="1" applyProtection="1">
      <alignment horizontal="center"/>
      <protection hidden="1"/>
    </xf>
    <xf numFmtId="167" fontId="14" fillId="0" borderId="205" xfId="0" applyNumberFormat="1" applyFont="1" applyBorder="1" applyAlignment="1" applyProtection="1">
      <alignment horizontal="center"/>
      <protection hidden="1"/>
    </xf>
    <xf numFmtId="0" fontId="74" fillId="11" borderId="197" xfId="0" applyFont="1" applyFill="1" applyBorder="1" applyAlignment="1" applyProtection="1">
      <alignment horizontal="center" vertical="center"/>
      <protection hidden="1"/>
    </xf>
    <xf numFmtId="0" fontId="74" fillId="11" borderId="198" xfId="0" applyFont="1" applyFill="1" applyBorder="1" applyAlignment="1" applyProtection="1">
      <alignment horizontal="center" vertical="center"/>
      <protection hidden="1"/>
    </xf>
    <xf numFmtId="167" fontId="15" fillId="0" borderId="138" xfId="0" applyNumberFormat="1" applyFont="1" applyBorder="1" applyAlignment="1" applyProtection="1">
      <alignment horizontal="center" vertical="center"/>
      <protection hidden="1"/>
    </xf>
    <xf numFmtId="167" fontId="15" fillId="0" borderId="145" xfId="0" applyNumberFormat="1" applyFont="1" applyBorder="1" applyAlignment="1" applyProtection="1">
      <alignment horizontal="center" vertical="center"/>
      <protection hidden="1"/>
    </xf>
    <xf numFmtId="167" fontId="48" fillId="0" borderId="138" xfId="0" applyNumberFormat="1" applyFont="1" applyBorder="1" applyAlignment="1" applyProtection="1">
      <alignment vertical="center"/>
      <protection hidden="1"/>
    </xf>
    <xf numFmtId="167" fontId="48" fillId="0" borderId="145" xfId="0" applyNumberFormat="1" applyFont="1" applyBorder="1" applyAlignment="1" applyProtection="1">
      <alignment vertical="center"/>
      <protection hidden="1"/>
    </xf>
    <xf numFmtId="167" fontId="48" fillId="8" borderId="122" xfId="0" applyNumberFormat="1" applyFont="1" applyFill="1" applyBorder="1" applyAlignment="1" applyProtection="1">
      <alignment horizontal="left" vertical="center"/>
      <protection hidden="1"/>
    </xf>
    <xf numFmtId="167" fontId="48" fillId="8" borderId="146" xfId="0" applyNumberFormat="1" applyFont="1" applyFill="1" applyBorder="1" applyAlignment="1" applyProtection="1">
      <alignment horizontal="left" vertical="center"/>
      <protection hidden="1"/>
    </xf>
    <xf numFmtId="167" fontId="48" fillId="0" borderId="128" xfId="0" applyNumberFormat="1" applyFont="1" applyBorder="1" applyAlignment="1" applyProtection="1">
      <alignment horizontal="center" vertical="center"/>
      <protection hidden="1"/>
    </xf>
    <xf numFmtId="167" fontId="48" fillId="0" borderId="106" xfId="0" applyNumberFormat="1" applyFont="1" applyBorder="1" applyAlignment="1" applyProtection="1">
      <alignment horizontal="center" vertical="center"/>
      <protection hidden="1"/>
    </xf>
    <xf numFmtId="167" fontId="48" fillId="0" borderId="139" xfId="0" applyNumberFormat="1" applyFont="1" applyBorder="1" applyAlignment="1" applyProtection="1">
      <alignment horizontal="center" vertical="center"/>
      <protection hidden="1"/>
    </xf>
    <xf numFmtId="0" fontId="75" fillId="11" borderId="109" xfId="0" applyFont="1" applyFill="1" applyBorder="1" applyAlignment="1" applyProtection="1">
      <alignment horizontal="center" vertical="center"/>
      <protection hidden="1"/>
    </xf>
    <xf numFmtId="0" fontId="75" fillId="11" borderId="117" xfId="0" applyFont="1" applyFill="1" applyBorder="1" applyAlignment="1" applyProtection="1">
      <alignment horizontal="center" vertical="center"/>
      <protection hidden="1"/>
    </xf>
    <xf numFmtId="167" fontId="14" fillId="0" borderId="198" xfId="0" applyNumberFormat="1" applyFont="1" applyBorder="1" applyAlignment="1" applyProtection="1">
      <alignment horizontal="center" vertical="center"/>
      <protection hidden="1"/>
    </xf>
    <xf numFmtId="167" fontId="14" fillId="0" borderId="197" xfId="0" applyNumberFormat="1" applyFont="1" applyBorder="1" applyAlignment="1" applyProtection="1">
      <alignment horizontal="center" vertical="center"/>
      <protection hidden="1"/>
    </xf>
    <xf numFmtId="167" fontId="14" fillId="8" borderId="198" xfId="0" applyNumberFormat="1" applyFont="1" applyFill="1" applyBorder="1" applyAlignment="1" applyProtection="1">
      <alignment horizontal="center" vertical="center"/>
      <protection hidden="1"/>
    </xf>
    <xf numFmtId="167" fontId="14" fillId="8" borderId="205" xfId="0" applyNumberFormat="1" applyFont="1" applyFill="1" applyBorder="1" applyAlignment="1" applyProtection="1">
      <alignment horizontal="center" vertical="center"/>
      <protection hidden="1"/>
    </xf>
    <xf numFmtId="167" fontId="14" fillId="0" borderId="206" xfId="0" applyNumberFormat="1" applyFont="1" applyBorder="1" applyAlignment="1" applyProtection="1">
      <alignment horizontal="center" vertical="center"/>
      <protection hidden="1"/>
    </xf>
    <xf numFmtId="0" fontId="15" fillId="6" borderId="209" xfId="0" applyFont="1" applyFill="1" applyBorder="1" applyAlignment="1" applyProtection="1">
      <alignment horizontal="center"/>
      <protection hidden="1"/>
    </xf>
    <xf numFmtId="0" fontId="15" fillId="6" borderId="111" xfId="0" applyFont="1" applyFill="1" applyBorder="1" applyAlignment="1" applyProtection="1">
      <alignment horizontal="center"/>
      <protection hidden="1"/>
    </xf>
    <xf numFmtId="0" fontId="15" fillId="6" borderId="128" xfId="0" applyFont="1" applyFill="1" applyBorder="1" applyAlignment="1" applyProtection="1">
      <alignment horizontal="center"/>
      <protection hidden="1"/>
    </xf>
    <xf numFmtId="167" fontId="15" fillId="0" borderId="111" xfId="0" applyNumberFormat="1" applyFont="1" applyBorder="1" applyAlignment="1" applyProtection="1">
      <alignment horizontal="center" vertical="center"/>
      <protection hidden="1"/>
    </xf>
    <xf numFmtId="0" fontId="15" fillId="0" borderId="122" xfId="0" applyFont="1" applyBorder="1" applyAlignment="1" applyProtection="1">
      <alignment horizontal="left" vertical="center" wrapText="1"/>
      <protection hidden="1"/>
    </xf>
    <xf numFmtId="167" fontId="14" fillId="0" borderId="111" xfId="0" applyNumberFormat="1" applyFont="1" applyBorder="1" applyAlignment="1" applyProtection="1">
      <alignment horizontal="center" vertical="center"/>
      <protection hidden="1"/>
    </xf>
    <xf numFmtId="167" fontId="15" fillId="0" borderId="116" xfId="0" applyNumberFormat="1" applyFont="1" applyBorder="1" applyAlignment="1" applyProtection="1">
      <alignment horizontal="center" vertical="center"/>
      <protection hidden="1"/>
    </xf>
    <xf numFmtId="167" fontId="15" fillId="0" borderId="115" xfId="0" applyNumberFormat="1" applyFont="1" applyBorder="1" applyAlignment="1" applyProtection="1">
      <alignment horizontal="center" vertical="center"/>
      <protection hidden="1"/>
    </xf>
    <xf numFmtId="167" fontId="15" fillId="0" borderId="191" xfId="0" applyNumberFormat="1" applyFont="1" applyBorder="1" applyAlignment="1" applyProtection="1">
      <alignment horizontal="center" vertical="center"/>
      <protection hidden="1"/>
    </xf>
    <xf numFmtId="167" fontId="15" fillId="6" borderId="116" xfId="0" applyNumberFormat="1" applyFont="1" applyFill="1" applyBorder="1" applyAlignment="1" applyProtection="1">
      <alignment horizontal="center" vertical="center"/>
      <protection hidden="1"/>
    </xf>
    <xf numFmtId="167" fontId="15" fillId="6" borderId="115" xfId="0" applyNumberFormat="1" applyFont="1" applyFill="1" applyBorder="1" applyAlignment="1" applyProtection="1">
      <alignment horizontal="center" vertical="center"/>
      <protection hidden="1"/>
    </xf>
    <xf numFmtId="0" fontId="74" fillId="11" borderId="175" xfId="0" applyFont="1" applyFill="1" applyBorder="1" applyAlignment="1" applyProtection="1">
      <alignment horizontal="center" vertical="center"/>
      <protection hidden="1"/>
    </xf>
    <xf numFmtId="0" fontId="74" fillId="11" borderId="101" xfId="0" applyFont="1" applyFill="1" applyBorder="1" applyAlignment="1" applyProtection="1">
      <alignment horizontal="center" vertical="center"/>
      <protection hidden="1"/>
    </xf>
    <xf numFmtId="167" fontId="15" fillId="0" borderId="169" xfId="0" applyNumberFormat="1" applyFont="1" applyBorder="1" applyAlignment="1">
      <alignment horizontal="center" vertical="center" shrinkToFit="1"/>
    </xf>
    <xf numFmtId="167" fontId="15" fillId="0" borderId="170" xfId="0" applyNumberFormat="1" applyFont="1" applyBorder="1" applyAlignment="1">
      <alignment horizontal="center" vertical="center" shrinkToFit="1"/>
    </xf>
    <xf numFmtId="0" fontId="74" fillId="11" borderId="154" xfId="0" applyFont="1" applyFill="1" applyBorder="1" applyAlignment="1" applyProtection="1">
      <alignment horizontal="center" vertical="center"/>
      <protection hidden="1"/>
    </xf>
    <xf numFmtId="0" fontId="74" fillId="11" borderId="155" xfId="0" applyFont="1" applyFill="1" applyBorder="1" applyAlignment="1" applyProtection="1">
      <alignment horizontal="center" vertical="center"/>
      <protection hidden="1"/>
    </xf>
    <xf numFmtId="166" fontId="15" fillId="0" borderId="106" xfId="2" applyNumberFormat="1" applyFont="1" applyBorder="1" applyAlignment="1" applyProtection="1">
      <alignment horizontal="center" vertical="center"/>
      <protection hidden="1"/>
    </xf>
    <xf numFmtId="0" fontId="74" fillId="11" borderId="156" xfId="0" applyFont="1" applyFill="1" applyBorder="1" applyAlignment="1" applyProtection="1">
      <alignment horizontal="center" vertical="center"/>
      <protection hidden="1"/>
    </xf>
    <xf numFmtId="0" fontId="74" fillId="11" borderId="157" xfId="0" applyFont="1" applyFill="1" applyBorder="1" applyAlignment="1" applyProtection="1">
      <alignment horizontal="center" vertical="center"/>
      <protection hidden="1"/>
    </xf>
    <xf numFmtId="167" fontId="14" fillId="0" borderId="116" xfId="0" applyNumberFormat="1" applyFont="1" applyBorder="1" applyAlignment="1" applyProtection="1">
      <alignment horizontal="center" vertical="center"/>
      <protection hidden="1"/>
    </xf>
    <xf numFmtId="167" fontId="14" fillId="0" borderId="115" xfId="0" applyNumberFormat="1" applyFont="1" applyBorder="1" applyAlignment="1" applyProtection="1">
      <alignment horizontal="center" vertical="center"/>
      <protection hidden="1"/>
    </xf>
    <xf numFmtId="167" fontId="15" fillId="13" borderId="173" xfId="0" applyNumberFormat="1" applyFont="1" applyFill="1" applyBorder="1" applyAlignment="1">
      <alignment horizontal="center" vertical="center" shrinkToFit="1"/>
    </xf>
    <xf numFmtId="167" fontId="15" fillId="13" borderId="174" xfId="0" applyNumberFormat="1" applyFont="1" applyFill="1" applyBorder="1" applyAlignment="1">
      <alignment horizontal="center" vertical="center" shrinkToFit="1"/>
    </xf>
    <xf numFmtId="167" fontId="15" fillId="0" borderId="173" xfId="0" applyNumberFormat="1" applyFont="1" applyBorder="1" applyAlignment="1">
      <alignment horizontal="center" vertical="center" shrinkToFit="1"/>
    </xf>
    <xf numFmtId="167" fontId="15" fillId="0" borderId="174" xfId="0" applyNumberFormat="1" applyFont="1" applyBorder="1" applyAlignment="1">
      <alignment horizontal="center" vertical="center" shrinkToFit="1"/>
    </xf>
    <xf numFmtId="164" fontId="48" fillId="0" borderId="169" xfId="0" applyNumberFormat="1" applyFont="1" applyBorder="1" applyAlignment="1">
      <alignment horizontal="center" vertical="center" shrinkToFit="1"/>
    </xf>
    <xf numFmtId="164" fontId="48" fillId="0" borderId="170" xfId="0" applyNumberFormat="1" applyFont="1" applyBorder="1" applyAlignment="1">
      <alignment horizontal="center" vertical="center" shrinkToFit="1"/>
    </xf>
    <xf numFmtId="167" fontId="15" fillId="0" borderId="201" xfId="0" applyNumberFormat="1" applyFont="1" applyBorder="1" applyAlignment="1">
      <alignment horizontal="center" vertical="center" shrinkToFit="1"/>
    </xf>
    <xf numFmtId="167" fontId="15" fillId="0" borderId="202" xfId="0" applyNumberFormat="1" applyFont="1" applyBorder="1" applyAlignment="1">
      <alignment horizontal="center" vertical="center" shrinkToFit="1"/>
    </xf>
    <xf numFmtId="0" fontId="12" fillId="0" borderId="0" xfId="0" applyFont="1" applyAlignment="1" applyProtection="1">
      <alignment horizontal="left" shrinkToFit="1"/>
      <protection hidden="1"/>
    </xf>
    <xf numFmtId="0" fontId="0" fillId="0" borderId="0" xfId="0" applyAlignment="1">
      <alignment horizontal="left" shrinkToFit="1"/>
    </xf>
    <xf numFmtId="0" fontId="78" fillId="11" borderId="161" xfId="0" applyFont="1" applyFill="1" applyBorder="1" applyAlignment="1">
      <alignment horizontal="center" wrapText="1"/>
    </xf>
    <xf numFmtId="0" fontId="78" fillId="11" borderId="162" xfId="0" applyFont="1" applyFill="1" applyBorder="1" applyAlignment="1">
      <alignment horizontal="center" wrapText="1"/>
    </xf>
    <xf numFmtId="0" fontId="74" fillId="11" borderId="161" xfId="0" applyFont="1" applyFill="1" applyBorder="1" applyAlignment="1">
      <alignment horizontal="center" vertical="center" wrapText="1"/>
    </xf>
    <xf numFmtId="0" fontId="74" fillId="11" borderId="162" xfId="0" applyFont="1" applyFill="1" applyBorder="1" applyAlignment="1">
      <alignment horizontal="center" vertical="center" wrapText="1"/>
    </xf>
    <xf numFmtId="166" fontId="48" fillId="0" borderId="169" xfId="0" applyNumberFormat="1" applyFont="1" applyBorder="1" applyAlignment="1">
      <alignment horizontal="center" vertical="center" shrinkToFit="1"/>
    </xf>
    <xf numFmtId="166" fontId="48" fillId="0" borderId="170" xfId="0" applyNumberFormat="1" applyFont="1" applyBorder="1" applyAlignment="1">
      <alignment horizontal="center" vertical="center" shrinkToFit="1"/>
    </xf>
    <xf numFmtId="166" fontId="15" fillId="0" borderId="169" xfId="2" applyNumberFormat="1" applyFont="1" applyBorder="1" applyAlignment="1">
      <alignment horizontal="center" vertical="center" shrinkToFit="1"/>
    </xf>
    <xf numFmtId="166" fontId="15" fillId="0" borderId="170" xfId="2" applyNumberFormat="1" applyFont="1" applyBorder="1" applyAlignment="1">
      <alignment horizontal="center" vertical="center" shrinkToFit="1"/>
    </xf>
    <xf numFmtId="0" fontId="74" fillId="11" borderId="104" xfId="0" applyFont="1" applyFill="1" applyBorder="1" applyAlignment="1" applyProtection="1">
      <alignment horizontal="center" vertical="center"/>
      <protection hidden="1"/>
    </xf>
    <xf numFmtId="167" fontId="14" fillId="0" borderId="191" xfId="0" applyNumberFormat="1" applyFont="1" applyBorder="1" applyAlignment="1" applyProtection="1">
      <alignment horizontal="center" vertical="center"/>
      <protection hidden="1"/>
    </xf>
    <xf numFmtId="166" fontId="48" fillId="0" borderId="171" xfId="0" applyNumberFormat="1" applyFont="1" applyBorder="1" applyAlignment="1">
      <alignment horizontal="center" vertical="center" shrinkToFit="1"/>
    </xf>
    <xf numFmtId="166" fontId="48" fillId="0" borderId="172" xfId="0" applyNumberFormat="1" applyFont="1" applyBorder="1" applyAlignment="1">
      <alignment horizontal="center" vertical="center" shrinkToFit="1"/>
    </xf>
    <xf numFmtId="1" fontId="74" fillId="11" borderId="210" xfId="0" applyNumberFormat="1" applyFont="1" applyFill="1" applyBorder="1" applyAlignment="1">
      <alignment horizontal="center" vertical="top"/>
    </xf>
    <xf numFmtId="14" fontId="14" fillId="0" borderId="0" xfId="0" applyNumberFormat="1" applyFont="1" applyAlignment="1">
      <alignment horizontal="left" shrinkToFit="1"/>
    </xf>
    <xf numFmtId="0" fontId="15" fillId="8" borderId="214" xfId="0" applyFont="1" applyFill="1" applyBorder="1" applyAlignment="1" applyProtection="1">
      <alignment horizontal="left" vertical="center"/>
      <protection hidden="1"/>
    </xf>
    <xf numFmtId="0" fontId="15" fillId="8" borderId="238" xfId="0" applyFont="1" applyFill="1" applyBorder="1" applyAlignment="1" applyProtection="1">
      <alignment horizontal="left" vertical="center"/>
      <protection hidden="1"/>
    </xf>
    <xf numFmtId="0" fontId="15" fillId="8" borderId="215" xfId="0" applyFont="1" applyFill="1" applyBorder="1" applyAlignment="1" applyProtection="1">
      <alignment horizontal="left" vertical="center"/>
      <protection hidden="1"/>
    </xf>
    <xf numFmtId="0" fontId="15" fillId="8" borderId="239" xfId="0" applyFont="1" applyFill="1" applyBorder="1" applyAlignment="1" applyProtection="1">
      <alignment horizontal="left" vertical="center"/>
      <protection hidden="1"/>
    </xf>
    <xf numFmtId="0" fontId="15" fillId="8" borderId="216" xfId="0" applyFont="1" applyFill="1" applyBorder="1" applyAlignment="1" applyProtection="1">
      <alignment horizontal="left" vertical="center"/>
      <protection hidden="1"/>
    </xf>
    <xf numFmtId="0" fontId="15" fillId="8" borderId="240" xfId="0" applyFont="1" applyFill="1" applyBorder="1" applyAlignment="1" applyProtection="1">
      <alignment horizontal="left" vertical="center"/>
      <protection hidden="1"/>
    </xf>
    <xf numFmtId="0" fontId="15" fillId="8" borderId="217" xfId="0" applyFont="1" applyFill="1" applyBorder="1" applyAlignment="1" applyProtection="1">
      <alignment horizontal="left" vertical="center"/>
      <protection hidden="1"/>
    </xf>
    <xf numFmtId="0" fontId="15" fillId="8" borderId="241" xfId="0" applyFont="1" applyFill="1" applyBorder="1" applyAlignment="1" applyProtection="1">
      <alignment horizontal="left" vertical="center"/>
      <protection hidden="1"/>
    </xf>
    <xf numFmtId="0" fontId="74" fillId="11" borderId="155" xfId="0" applyFont="1" applyFill="1" applyBorder="1" applyAlignment="1">
      <alignment horizontal="center" vertical="center" wrapText="1"/>
    </xf>
    <xf numFmtId="0" fontId="74" fillId="11" borderId="160" xfId="0" applyFont="1" applyFill="1" applyBorder="1" applyAlignment="1">
      <alignment horizontal="center" vertical="center" wrapText="1"/>
    </xf>
    <xf numFmtId="0" fontId="74" fillId="11" borderId="154" xfId="0" applyFont="1" applyFill="1" applyBorder="1" applyAlignment="1">
      <alignment horizontal="center" shrinkToFit="1"/>
    </xf>
    <xf numFmtId="0" fontId="74" fillId="11" borderId="158" xfId="0" applyFont="1" applyFill="1" applyBorder="1" applyAlignment="1">
      <alignment horizontal="center" shrinkToFit="1"/>
    </xf>
    <xf numFmtId="0" fontId="74" fillId="11" borderId="155" xfId="0" applyFont="1" applyFill="1" applyBorder="1" applyAlignment="1">
      <alignment horizontal="center" shrinkToFit="1"/>
    </xf>
    <xf numFmtId="0" fontId="74" fillId="11" borderId="159" xfId="0" applyFont="1" applyFill="1" applyBorder="1" applyAlignment="1">
      <alignment horizontal="center" shrinkToFit="1"/>
    </xf>
    <xf numFmtId="0" fontId="74" fillId="11" borderId="0" xfId="0" applyFont="1" applyFill="1" applyAlignment="1">
      <alignment horizontal="center" shrinkToFit="1"/>
    </xf>
    <xf numFmtId="0" fontId="74" fillId="11" borderId="160" xfId="0" applyFont="1" applyFill="1" applyBorder="1" applyAlignment="1">
      <alignment horizontal="center" shrinkToFit="1"/>
    </xf>
    <xf numFmtId="0" fontId="74" fillId="11" borderId="154" xfId="0" applyFont="1" applyFill="1" applyBorder="1" applyAlignment="1">
      <alignment horizontal="center"/>
    </xf>
    <xf numFmtId="0" fontId="74" fillId="11" borderId="159" xfId="0" applyFont="1" applyFill="1" applyBorder="1" applyAlignment="1">
      <alignment horizontal="center"/>
    </xf>
    <xf numFmtId="0" fontId="74" fillId="11" borderId="257" xfId="0" applyFont="1" applyFill="1" applyBorder="1" applyAlignment="1">
      <alignment horizontal="center" shrinkToFit="1"/>
    </xf>
    <xf numFmtId="0" fontId="74" fillId="11" borderId="100" xfId="0" applyFont="1" applyFill="1" applyBorder="1" applyAlignment="1">
      <alignment horizontal="center" shrinkToFit="1"/>
    </xf>
    <xf numFmtId="0" fontId="74" fillId="11" borderId="258" xfId="0" applyFont="1" applyFill="1" applyBorder="1" applyAlignment="1">
      <alignment horizontal="center" shrinkToFit="1"/>
    </xf>
    <xf numFmtId="0" fontId="15" fillId="8" borderId="220" xfId="0" applyFont="1" applyFill="1" applyBorder="1" applyAlignment="1" applyProtection="1">
      <alignment horizontal="left" vertical="center"/>
      <protection hidden="1"/>
    </xf>
    <xf numFmtId="0" fontId="15" fillId="8" borderId="244" xfId="0" applyFont="1" applyFill="1" applyBorder="1" applyAlignment="1" applyProtection="1">
      <alignment horizontal="left" vertical="center"/>
      <protection hidden="1"/>
    </xf>
    <xf numFmtId="0" fontId="15" fillId="8" borderId="222" xfId="0" applyFont="1" applyFill="1" applyBorder="1" applyAlignment="1" applyProtection="1">
      <alignment horizontal="left" vertical="center"/>
      <protection hidden="1"/>
    </xf>
    <xf numFmtId="0" fontId="15" fillId="8" borderId="246" xfId="0" applyFont="1" applyFill="1" applyBorder="1" applyAlignment="1" applyProtection="1">
      <alignment horizontal="left" vertical="center"/>
      <protection hidden="1"/>
    </xf>
    <xf numFmtId="0" fontId="10" fillId="7" borderId="0" xfId="0" applyFont="1" applyFill="1" applyAlignment="1" applyProtection="1">
      <alignment horizontal="left" vertical="center"/>
      <protection locked="0"/>
    </xf>
    <xf numFmtId="0" fontId="10" fillId="7" borderId="17" xfId="0" applyFont="1" applyFill="1" applyBorder="1" applyAlignment="1" applyProtection="1">
      <alignment horizontal="left" vertical="center"/>
      <protection locked="0"/>
    </xf>
    <xf numFmtId="0" fontId="80" fillId="0" borderId="135" xfId="0" applyFont="1" applyBorder="1" applyAlignment="1" applyProtection="1">
      <alignment horizontal="left" vertical="center"/>
      <protection hidden="1"/>
    </xf>
    <xf numFmtId="0" fontId="59" fillId="11" borderId="193" xfId="0" applyFont="1" applyFill="1" applyBorder="1" applyAlignment="1" applyProtection="1">
      <alignment horizontal="left" vertical="center" indent="1"/>
      <protection hidden="1"/>
    </xf>
    <xf numFmtId="0" fontId="59" fillId="11" borderId="194" xfId="0" applyFont="1" applyFill="1" applyBorder="1" applyAlignment="1" applyProtection="1">
      <alignment horizontal="left" vertical="center" indent="1"/>
      <protection hidden="1"/>
    </xf>
    <xf numFmtId="0" fontId="59" fillId="11" borderId="109" xfId="0" applyFont="1" applyFill="1" applyBorder="1" applyAlignment="1" applyProtection="1">
      <alignment horizontal="left" vertical="center" indent="1"/>
      <protection hidden="1"/>
    </xf>
    <xf numFmtId="0" fontId="14" fillId="0" borderId="112" xfId="0" applyFont="1" applyBorder="1" applyAlignment="1" applyProtection="1">
      <alignment horizontal="left" vertical="center"/>
      <protection hidden="1"/>
    </xf>
    <xf numFmtId="2" fontId="15" fillId="0" borderId="106" xfId="2" applyNumberFormat="1" applyFont="1" applyBorder="1" applyAlignment="1" applyProtection="1">
      <alignment horizontal="center" vertical="center"/>
      <protection hidden="1"/>
    </xf>
    <xf numFmtId="0" fontId="83" fillId="0" borderId="112" xfId="0" applyFont="1" applyBorder="1" applyAlignment="1" applyProtection="1">
      <alignment horizontal="left" vertical="center"/>
      <protection hidden="1"/>
    </xf>
    <xf numFmtId="0" fontId="53" fillId="0" borderId="112" xfId="0" applyFont="1" applyBorder="1" applyAlignment="1" applyProtection="1">
      <alignment horizontal="left" vertical="center"/>
      <protection hidden="1"/>
    </xf>
    <xf numFmtId="4" fontId="15" fillId="0" borderId="147" xfId="0" applyNumberFormat="1" applyFont="1" applyBorder="1" applyAlignment="1" applyProtection="1">
      <alignment horizontal="center" vertical="center"/>
      <protection hidden="1"/>
    </xf>
    <xf numFmtId="2" fontId="14" fillId="8" borderId="221" xfId="0" applyNumberFormat="1" applyFont="1" applyFill="1" applyBorder="1" applyAlignment="1" applyProtection="1">
      <alignment horizontal="right" vertical="center" indent="1"/>
      <protection hidden="1"/>
    </xf>
    <xf numFmtId="2" fontId="14" fillId="8" borderId="245" xfId="0" applyNumberFormat="1" applyFont="1" applyFill="1" applyBorder="1" applyAlignment="1" applyProtection="1">
      <alignment horizontal="right" vertical="center" indent="1"/>
      <protection hidden="1"/>
    </xf>
    <xf numFmtId="0" fontId="14" fillId="8" borderId="221" xfId="0" applyFont="1" applyFill="1" applyBorder="1" applyAlignment="1" applyProtection="1">
      <alignment horizontal="right" vertical="center" indent="1"/>
      <protection hidden="1"/>
    </xf>
    <xf numFmtId="0" fontId="14" fillId="8" borderId="245" xfId="0" applyFont="1" applyFill="1" applyBorder="1" applyAlignment="1" applyProtection="1">
      <alignment horizontal="right" vertical="center" indent="1"/>
      <protection hidden="1"/>
    </xf>
    <xf numFmtId="0" fontId="75" fillId="11" borderId="155" xfId="0" applyFont="1" applyFill="1" applyBorder="1" applyAlignment="1">
      <alignment horizontal="center" vertical="center" wrapText="1"/>
    </xf>
    <xf numFmtId="0" fontId="75" fillId="11" borderId="160" xfId="0" applyFont="1" applyFill="1" applyBorder="1" applyAlignment="1">
      <alignment horizontal="center" vertical="center" wrapText="1"/>
    </xf>
    <xf numFmtId="0" fontId="76" fillId="11" borderId="161" xfId="0" applyFont="1" applyFill="1" applyBorder="1" applyAlignment="1">
      <alignment horizontal="center" vertical="center" wrapText="1"/>
    </xf>
    <xf numFmtId="0" fontId="76" fillId="11" borderId="162" xfId="0" applyFont="1" applyFill="1" applyBorder="1" applyAlignment="1">
      <alignment horizontal="center" vertical="center" wrapText="1"/>
    </xf>
    <xf numFmtId="0" fontId="75" fillId="11" borderId="161" xfId="0" applyFont="1" applyFill="1" applyBorder="1" applyAlignment="1">
      <alignment horizontal="center" vertical="center" wrapText="1"/>
    </xf>
    <xf numFmtId="0" fontId="75" fillId="11" borderId="162" xfId="0" applyFont="1" applyFill="1" applyBorder="1" applyAlignment="1">
      <alignment horizontal="center" vertical="center" wrapText="1"/>
    </xf>
    <xf numFmtId="0" fontId="74" fillId="11" borderId="154" xfId="0" applyFont="1" applyFill="1" applyBorder="1" applyAlignment="1">
      <alignment horizontal="center" vertical="center" shrinkToFit="1"/>
    </xf>
    <xf numFmtId="0" fontId="74" fillId="11" borderId="158" xfId="0" applyFont="1" applyFill="1" applyBorder="1" applyAlignment="1">
      <alignment horizontal="center" vertical="center" shrinkToFit="1"/>
    </xf>
    <xf numFmtId="0" fontId="74" fillId="11" borderId="155" xfId="0" applyFont="1" applyFill="1" applyBorder="1" applyAlignment="1">
      <alignment horizontal="center" vertical="center" shrinkToFit="1"/>
    </xf>
    <xf numFmtId="0" fontId="74" fillId="11" borderId="159" xfId="0" applyFont="1" applyFill="1" applyBorder="1" applyAlignment="1">
      <alignment horizontal="center" vertical="center" shrinkToFit="1"/>
    </xf>
    <xf numFmtId="0" fontId="74" fillId="11" borderId="0" xfId="0" applyFont="1" applyFill="1" applyAlignment="1">
      <alignment horizontal="center" vertical="center" shrinkToFit="1"/>
    </xf>
    <xf numFmtId="0" fontId="74" fillId="11" borderId="160" xfId="0" applyFont="1" applyFill="1" applyBorder="1" applyAlignment="1">
      <alignment horizontal="center" vertical="center" shrinkToFit="1"/>
    </xf>
    <xf numFmtId="0" fontId="74" fillId="11" borderId="154" xfId="0" applyFont="1" applyFill="1" applyBorder="1" applyAlignment="1">
      <alignment horizontal="center" vertical="center"/>
    </xf>
    <xf numFmtId="0" fontId="74" fillId="11" borderId="158" xfId="0" applyFont="1" applyFill="1" applyBorder="1" applyAlignment="1">
      <alignment horizontal="center" vertical="center"/>
    </xf>
    <xf numFmtId="0" fontId="74" fillId="11" borderId="155" xfId="0" applyFont="1" applyFill="1" applyBorder="1" applyAlignment="1">
      <alignment horizontal="center" vertical="center"/>
    </xf>
    <xf numFmtId="0" fontId="74" fillId="11" borderId="159" xfId="0" applyFont="1" applyFill="1" applyBorder="1" applyAlignment="1">
      <alignment horizontal="center" vertical="center"/>
    </xf>
    <xf numFmtId="0" fontId="74" fillId="11" borderId="160" xfId="0" applyFont="1" applyFill="1" applyBorder="1" applyAlignment="1">
      <alignment horizontal="center" vertical="center"/>
    </xf>
    <xf numFmtId="0" fontId="74" fillId="11" borderId="257" xfId="0" applyFont="1" applyFill="1" applyBorder="1" applyAlignment="1">
      <alignment horizontal="center" vertical="center" shrinkToFit="1"/>
    </xf>
    <xf numFmtId="0" fontId="74" fillId="11" borderId="100" xfId="0" applyFont="1" applyFill="1" applyBorder="1" applyAlignment="1">
      <alignment horizontal="center" vertical="center" shrinkToFit="1"/>
    </xf>
    <xf numFmtId="0" fontId="74" fillId="11" borderId="258" xfId="0" applyFont="1" applyFill="1" applyBorder="1" applyAlignment="1">
      <alignment horizontal="center" vertical="center" shrinkToFit="1"/>
    </xf>
    <xf numFmtId="0" fontId="59" fillId="11" borderId="175" xfId="0" applyFont="1" applyFill="1" applyBorder="1" applyAlignment="1" applyProtection="1">
      <alignment horizontal="left" vertical="center" wrapText="1" indent="2"/>
      <protection hidden="1"/>
    </xf>
    <xf numFmtId="0" fontId="59" fillId="11" borderId="100" xfId="0" applyFont="1" applyFill="1" applyBorder="1" applyAlignment="1" applyProtection="1">
      <alignment horizontal="left" vertical="center" wrapText="1" indent="2"/>
      <protection hidden="1"/>
    </xf>
    <xf numFmtId="0" fontId="59" fillId="11" borderId="101" xfId="0" applyFont="1" applyFill="1" applyBorder="1" applyAlignment="1" applyProtection="1">
      <alignment horizontal="left" vertical="center" wrapText="1" indent="2"/>
      <protection hidden="1"/>
    </xf>
    <xf numFmtId="0" fontId="59" fillId="11" borderId="104" xfId="0" applyFont="1" applyFill="1" applyBorder="1" applyAlignment="1" applyProtection="1">
      <alignment horizontal="left" vertical="center" wrapText="1" indent="2"/>
      <protection hidden="1"/>
    </xf>
    <xf numFmtId="0" fontId="59" fillId="11" borderId="102" xfId="0" applyFont="1" applyFill="1" applyBorder="1" applyAlignment="1" applyProtection="1">
      <alignment horizontal="left" vertical="center" wrapText="1" indent="2"/>
      <protection hidden="1"/>
    </xf>
    <xf numFmtId="0" fontId="59" fillId="11" borderId="103" xfId="0" applyFont="1" applyFill="1" applyBorder="1" applyAlignment="1" applyProtection="1">
      <alignment horizontal="left" vertical="center" wrapText="1" indent="2"/>
      <protection hidden="1"/>
    </xf>
    <xf numFmtId="0" fontId="59" fillId="11" borderId="193" xfId="0" applyFont="1" applyFill="1" applyBorder="1" applyAlignment="1" applyProtection="1">
      <alignment horizontal="left" vertical="center" indent="2"/>
      <protection hidden="1"/>
    </xf>
    <xf numFmtId="0" fontId="59" fillId="11" borderId="194" xfId="0" applyFont="1" applyFill="1" applyBorder="1" applyAlignment="1" applyProtection="1">
      <alignment horizontal="left" vertical="center" indent="2"/>
      <protection hidden="1"/>
    </xf>
    <xf numFmtId="0" fontId="59" fillId="11" borderId="109" xfId="0" applyFont="1" applyFill="1" applyBorder="1" applyAlignment="1" applyProtection="1">
      <alignment horizontal="left" vertical="center" indent="2"/>
      <protection hidden="1"/>
    </xf>
    <xf numFmtId="0" fontId="59" fillId="11" borderId="0" xfId="0" applyFont="1" applyFill="1" applyAlignment="1" applyProtection="1">
      <alignment horizontal="left" vertical="center" indent="2"/>
      <protection hidden="1"/>
    </xf>
    <xf numFmtId="167" fontId="14" fillId="8" borderId="198" xfId="0" applyNumberFormat="1" applyFont="1" applyFill="1" applyBorder="1" applyAlignment="1" applyProtection="1">
      <alignment horizontal="center"/>
      <protection hidden="1"/>
    </xf>
    <xf numFmtId="167" fontId="14" fillId="8" borderId="205" xfId="0" applyNumberFormat="1" applyFont="1" applyFill="1" applyBorder="1" applyAlignment="1" applyProtection="1">
      <alignment horizontal="center"/>
      <protection hidden="1"/>
    </xf>
    <xf numFmtId="167" fontId="15" fillId="0" borderId="138" xfId="0" applyNumberFormat="1" applyFont="1" applyBorder="1" applyAlignment="1" applyProtection="1">
      <alignment horizontal="center"/>
      <protection hidden="1"/>
    </xf>
    <xf numFmtId="167" fontId="15" fillId="0" borderId="145" xfId="0" applyNumberFormat="1" applyFont="1" applyBorder="1" applyAlignment="1" applyProtection="1">
      <alignment horizontal="center"/>
      <protection hidden="1"/>
    </xf>
    <xf numFmtId="167" fontId="15" fillId="8" borderId="122" xfId="0" applyNumberFormat="1" applyFont="1" applyFill="1" applyBorder="1" applyAlignment="1" applyProtection="1">
      <alignment horizontal="center"/>
      <protection hidden="1"/>
    </xf>
    <xf numFmtId="167" fontId="15" fillId="8" borderId="146" xfId="0" applyNumberFormat="1" applyFont="1" applyFill="1" applyBorder="1" applyAlignment="1" applyProtection="1">
      <alignment horizontal="center"/>
      <protection hidden="1"/>
    </xf>
    <xf numFmtId="0" fontId="80" fillId="0" borderId="135" xfId="0" applyFont="1" applyBorder="1" applyAlignment="1" applyProtection="1">
      <alignment horizontal="left" vertical="center" indent="1"/>
      <protection hidden="1"/>
    </xf>
    <xf numFmtId="0" fontId="89" fillId="0" borderId="135" xfId="0" applyFont="1" applyBorder="1" applyAlignment="1" applyProtection="1">
      <alignment horizontal="left" vertical="center" indent="1"/>
      <protection hidden="1"/>
    </xf>
    <xf numFmtId="167" fontId="48" fillId="0" borderId="138" xfId="0" applyNumberFormat="1" applyFont="1" applyBorder="1" applyProtection="1">
      <protection hidden="1"/>
    </xf>
    <xf numFmtId="167" fontId="48" fillId="0" borderId="145" xfId="0" applyNumberFormat="1" applyFont="1" applyBorder="1" applyProtection="1">
      <protection hidden="1"/>
    </xf>
    <xf numFmtId="167" fontId="48" fillId="8" borderId="122" xfId="0" applyNumberFormat="1" applyFont="1" applyFill="1" applyBorder="1" applyAlignment="1" applyProtection="1">
      <alignment horizontal="left"/>
      <protection hidden="1"/>
    </xf>
    <xf numFmtId="167" fontId="48" fillId="8" borderId="146" xfId="0" applyNumberFormat="1" applyFont="1" applyFill="1" applyBorder="1" applyAlignment="1" applyProtection="1">
      <alignment horizontal="left"/>
      <protection hidden="1"/>
    </xf>
    <xf numFmtId="167" fontId="15" fillId="0" borderId="135" xfId="0" applyNumberFormat="1" applyFont="1" applyBorder="1" applyAlignment="1" applyProtection="1">
      <alignment horizontal="center"/>
      <protection hidden="1"/>
    </xf>
    <xf numFmtId="167" fontId="14" fillId="0" borderId="135" xfId="0" applyNumberFormat="1" applyFont="1" applyBorder="1" applyAlignment="1" applyProtection="1">
      <alignment horizontal="center"/>
      <protection hidden="1"/>
    </xf>
    <xf numFmtId="167" fontId="14" fillId="8" borderId="122" xfId="0" applyNumberFormat="1" applyFont="1" applyFill="1" applyBorder="1" applyAlignment="1" applyProtection="1">
      <alignment horizontal="center"/>
      <protection hidden="1"/>
    </xf>
    <xf numFmtId="167" fontId="14" fillId="8" borderId="146" xfId="0" applyNumberFormat="1" applyFont="1" applyFill="1" applyBorder="1" applyAlignment="1" applyProtection="1">
      <alignment horizontal="center"/>
      <protection hidden="1"/>
    </xf>
    <xf numFmtId="167" fontId="14" fillId="8" borderId="117" xfId="0" applyNumberFormat="1" applyFont="1" applyFill="1" applyBorder="1" applyAlignment="1" applyProtection="1">
      <alignment horizontal="center"/>
      <protection hidden="1"/>
    </xf>
    <xf numFmtId="167" fontId="14" fillId="8" borderId="121" xfId="0" applyNumberFormat="1" applyFont="1" applyFill="1" applyBorder="1" applyAlignment="1" applyProtection="1">
      <alignment horizontal="center"/>
      <protection hidden="1"/>
    </xf>
    <xf numFmtId="0" fontId="59" fillId="11" borderId="195" xfId="0" applyFont="1" applyFill="1" applyBorder="1" applyAlignment="1" applyProtection="1">
      <alignment horizontal="left" vertical="center" indent="2"/>
      <protection hidden="1"/>
    </xf>
    <xf numFmtId="0" fontId="59" fillId="11" borderId="197" xfId="0" applyFont="1" applyFill="1" applyBorder="1" applyAlignment="1" applyProtection="1">
      <alignment horizontal="left" vertical="center" indent="2"/>
      <protection hidden="1"/>
    </xf>
    <xf numFmtId="0" fontId="59" fillId="11" borderId="114" xfId="0" applyFont="1" applyFill="1" applyBorder="1" applyAlignment="1" applyProtection="1">
      <alignment horizontal="left" vertical="center" indent="2"/>
      <protection hidden="1"/>
    </xf>
    <xf numFmtId="0" fontId="59" fillId="11" borderId="198" xfId="0" applyFont="1" applyFill="1" applyBorder="1" applyAlignment="1" applyProtection="1">
      <alignment horizontal="left" vertical="center" indent="2"/>
      <protection hidden="1"/>
    </xf>
    <xf numFmtId="0" fontId="47" fillId="0" borderId="112" xfId="0" applyFont="1" applyBorder="1" applyAlignment="1" applyProtection="1">
      <alignment horizontal="left"/>
      <protection hidden="1"/>
    </xf>
    <xf numFmtId="0" fontId="47" fillId="0" borderId="143" xfId="0" applyFont="1" applyBorder="1" applyAlignment="1" applyProtection="1">
      <alignment horizontal="left"/>
      <protection hidden="1"/>
    </xf>
    <xf numFmtId="0" fontId="59" fillId="11" borderId="204" xfId="0" applyFont="1" applyFill="1" applyBorder="1" applyAlignment="1" applyProtection="1">
      <alignment horizontal="left" vertical="center" indent="2"/>
      <protection hidden="1"/>
    </xf>
    <xf numFmtId="0" fontId="59" fillId="11" borderId="280" xfId="0" applyFont="1" applyFill="1" applyBorder="1" applyAlignment="1" applyProtection="1">
      <alignment horizontal="left" vertical="center" indent="2"/>
      <protection hidden="1"/>
    </xf>
    <xf numFmtId="3" fontId="15" fillId="0" borderId="190" xfId="0" applyNumberFormat="1" applyFont="1" applyBorder="1" applyAlignment="1" applyProtection="1">
      <alignment horizontal="center" vertical="center"/>
      <protection hidden="1"/>
    </xf>
    <xf numFmtId="0" fontId="15" fillId="0" borderId="129" xfId="0" applyFont="1" applyBorder="1" applyAlignment="1" applyProtection="1">
      <alignment horizontal="left" vertical="center" wrapText="1"/>
      <protection hidden="1"/>
    </xf>
    <xf numFmtId="0" fontId="59" fillId="11" borderId="175" xfId="0" applyFont="1" applyFill="1" applyBorder="1" applyAlignment="1" applyProtection="1">
      <alignment horizontal="left" vertical="center" indent="2"/>
      <protection hidden="1"/>
    </xf>
    <xf numFmtId="0" fontId="59" fillId="11" borderId="100" xfId="0" applyFont="1" applyFill="1" applyBorder="1" applyAlignment="1" applyProtection="1">
      <alignment horizontal="left" vertical="center" indent="2"/>
      <protection hidden="1"/>
    </xf>
    <xf numFmtId="0" fontId="59" fillId="11" borderId="101" xfId="0" applyFont="1" applyFill="1" applyBorder="1" applyAlignment="1" applyProtection="1">
      <alignment horizontal="left" vertical="center" indent="2"/>
      <protection hidden="1"/>
    </xf>
    <xf numFmtId="0" fontId="59" fillId="11" borderId="104" xfId="0" applyFont="1" applyFill="1" applyBorder="1" applyAlignment="1" applyProtection="1">
      <alignment horizontal="left" vertical="center" indent="2"/>
      <protection hidden="1"/>
    </xf>
    <xf numFmtId="0" fontId="59" fillId="11" borderId="102" xfId="0" applyFont="1" applyFill="1" applyBorder="1" applyAlignment="1" applyProtection="1">
      <alignment horizontal="left" vertical="center" indent="2"/>
      <protection hidden="1"/>
    </xf>
    <xf numFmtId="0" fontId="59" fillId="11" borderId="103" xfId="0" applyFont="1" applyFill="1" applyBorder="1" applyAlignment="1" applyProtection="1">
      <alignment horizontal="left" vertical="center" indent="2"/>
      <protection hidden="1"/>
    </xf>
    <xf numFmtId="6" fontId="74" fillId="11" borderId="190" xfId="0" applyNumberFormat="1" applyFont="1" applyFill="1" applyBorder="1" applyAlignment="1" applyProtection="1">
      <alignment horizontal="center" vertical="center" wrapText="1"/>
      <protection hidden="1"/>
    </xf>
    <xf numFmtId="6" fontId="74" fillId="11" borderId="110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17" xfId="0" applyFont="1" applyBorder="1" applyAlignment="1" applyProtection="1">
      <alignment horizontal="left" vertical="center"/>
      <protection hidden="1"/>
    </xf>
    <xf numFmtId="49" fontId="10" fillId="7" borderId="0" xfId="0" applyNumberFormat="1" applyFont="1" applyFill="1" applyAlignment="1" applyProtection="1">
      <alignment horizontal="left" vertical="center"/>
      <protection locked="0"/>
    </xf>
  </cellXfs>
  <cellStyles count="3">
    <cellStyle name="Normaali" xfId="0" builtinId="0"/>
    <cellStyle name="Normaali 13" xfId="1" xr:uid="{00000000-0005-0000-0000-000001000000}"/>
    <cellStyle name="Prosenttia" xfId="2" builtinId="5"/>
  </cellStyles>
  <dxfs count="7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FFFFCC"/>
      <color rgb="FF0152A1"/>
      <color rgb="FFE1E1E1"/>
      <color rgb="FF000066"/>
      <color rgb="FF000080"/>
      <color rgb="FF1F497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48299861393731E-2"/>
          <c:y val="0.14765094021209452"/>
          <c:w val="0.91052680212726222"/>
          <c:h val="0.7798486375932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'8. T5 KASSABUDJETTI'!$C$57</c:f>
              <c:strCache>
                <c:ptCount val="1"/>
                <c:pt idx="0">
                  <c:v> TULOT - MENOT</c:v>
                </c:pt>
              </c:strCache>
            </c:strRef>
          </c:tx>
          <c:invertIfNegative val="0"/>
          <c:cat>
            <c:numRef>
              <c:f>'8. T5 KASSABUDJETTI'!$G$10:$R$10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46450</c:v>
                </c:pt>
                <c:pt idx="3">
                  <c:v>46481</c:v>
                </c:pt>
                <c:pt idx="4">
                  <c:v>46512</c:v>
                </c:pt>
                <c:pt idx="5">
                  <c:v>46543</c:v>
                </c:pt>
                <c:pt idx="6">
                  <c:v>46574</c:v>
                </c:pt>
                <c:pt idx="7">
                  <c:v>46605</c:v>
                </c:pt>
                <c:pt idx="8">
                  <c:v>46636</c:v>
                </c:pt>
                <c:pt idx="9">
                  <c:v>46667</c:v>
                </c:pt>
                <c:pt idx="10">
                  <c:v>46698</c:v>
                </c:pt>
                <c:pt idx="11">
                  <c:v>46729</c:v>
                </c:pt>
              </c:numCache>
            </c:numRef>
          </c:cat>
          <c:val>
            <c:numRef>
              <c:f>'8. T5 KASSABUDJETTI'!$G$57:$R$57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51-4E76-BB66-E7DE2E75DE2B}"/>
            </c:ext>
          </c:extLst>
        </c:ser>
        <c:ser>
          <c:idx val="3"/>
          <c:order val="1"/>
          <c:tx>
            <c:strRef>
              <c:f>'8. T5 KASSABUDJETTI'!$C$58</c:f>
              <c:strCache>
                <c:ptCount val="1"/>
                <c:pt idx="0">
                  <c:v> KUMULATIIVINEN KASSA KUUKAUDEN LOPUSSA</c:v>
                </c:pt>
              </c:strCache>
            </c:strRef>
          </c:tx>
          <c:invertIfNegative val="0"/>
          <c:cat>
            <c:numRef>
              <c:f>'8. T5 KASSABUDJETTI'!$G$10:$R$10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46450</c:v>
                </c:pt>
                <c:pt idx="3">
                  <c:v>46481</c:v>
                </c:pt>
                <c:pt idx="4">
                  <c:v>46512</c:v>
                </c:pt>
                <c:pt idx="5">
                  <c:v>46543</c:v>
                </c:pt>
                <c:pt idx="6">
                  <c:v>46574</c:v>
                </c:pt>
                <c:pt idx="7">
                  <c:v>46605</c:v>
                </c:pt>
                <c:pt idx="8">
                  <c:v>46636</c:v>
                </c:pt>
                <c:pt idx="9">
                  <c:v>46667</c:v>
                </c:pt>
                <c:pt idx="10">
                  <c:v>46698</c:v>
                </c:pt>
                <c:pt idx="11">
                  <c:v>46729</c:v>
                </c:pt>
              </c:numCache>
            </c:numRef>
          </c:cat>
          <c:val>
            <c:numRef>
              <c:f>'8. T5 KASSABUDJETTI'!$G$58:$R$58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51-4E76-BB66-E7DE2E75DE2B}"/>
            </c:ext>
          </c:extLst>
        </c:ser>
        <c:ser>
          <c:idx val="0"/>
          <c:order val="2"/>
          <c:tx>
            <c:v>TULOT - MENOT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KASSABUDJETTI'!$G$113:$R$113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51-4E76-BB66-E7DE2E75DE2B}"/>
            </c:ext>
          </c:extLst>
        </c:ser>
        <c:ser>
          <c:idx val="1"/>
          <c:order val="3"/>
          <c:tx>
            <c:v>Kumulatiivinen kassa</c:v>
          </c:tx>
          <c:invertIfNegative val="0"/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KASSABUDJETTI'!$G$114:$R$114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51-4E76-BB66-E7DE2E75D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386195232"/>
        <c:axId val="-1386188704"/>
      </c:barChart>
      <c:dateAx>
        <c:axId val="-13861952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88704"/>
        <c:crosses val="autoZero"/>
        <c:auto val="1"/>
        <c:lblOffset val="100"/>
        <c:baseTimeUnit val="months"/>
      </c:dateAx>
      <c:valAx>
        <c:axId val="-13861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95232"/>
        <c:crosses val="autoZero"/>
        <c:crossBetween val="between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endParaRPr lang="fi-FI"/>
          </a:p>
        </c:txPr>
      </c:legendEntry>
      <c:legendEntry>
        <c:idx val="3"/>
        <c:txPr>
          <a:bodyPr/>
          <a:lstStyle/>
          <a:p>
            <a:pPr>
              <a:defRPr sz="1200" b="0" i="0" u="none" strike="noStrike" cap="all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fi-FI"/>
          </a:p>
        </c:txPr>
      </c:legendEntry>
      <c:layout>
        <c:manualLayout>
          <c:xMode val="edge"/>
          <c:yMode val="edge"/>
          <c:x val="0.26136682189426946"/>
          <c:y val="3.2804971593479795E-2"/>
          <c:w val="0.46989453339163639"/>
          <c:h val="9.3551328456251956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</a:t>
            </a:r>
            <a:r>
              <a:rPr lang="fi-FI" baseline="0"/>
              <a:t> kannattavuus </a:t>
            </a: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C-40D6-821C-685436C17CF5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C-40D6-821C-685436C17CF5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9C-40D6-821C-685436C17CF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75814559"/>
        <c:axId val="1996122223"/>
      </c:line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60-4C93-9508-80A3514FE627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60-4C93-9508-80A3514FE627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60-4C93-9508-80A3514FE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48299861393731E-2"/>
          <c:y val="0.14765094021209452"/>
          <c:w val="0.91052680212726222"/>
          <c:h val="0.779848637593206"/>
        </c:manualLayout>
      </c:layout>
      <c:barChart>
        <c:barDir val="col"/>
        <c:grouping val="clustered"/>
        <c:varyColors val="0"/>
        <c:ser>
          <c:idx val="0"/>
          <c:order val="0"/>
          <c:tx>
            <c:v>TULOT - MENOT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KASSABUDJETTI'!$G$113:$R$113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CB-4E6E-9490-8D973BA091DD}"/>
            </c:ext>
          </c:extLst>
        </c:ser>
        <c:ser>
          <c:idx val="1"/>
          <c:order val="1"/>
          <c:tx>
            <c:v>Kumulatiivinen kassa</c:v>
          </c:tx>
          <c:invertIfNegative val="0"/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KASSABUDJETTI'!$G$114:$R$114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CB-4E6E-9490-8D973BA09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386195232"/>
        <c:axId val="-1386188704"/>
      </c:barChart>
      <c:dateAx>
        <c:axId val="-13861952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88704"/>
        <c:crosses val="autoZero"/>
        <c:auto val="1"/>
        <c:lblOffset val="100"/>
        <c:baseTimeUnit val="months"/>
      </c:dateAx>
      <c:valAx>
        <c:axId val="-13861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9523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endParaRPr lang="fi-FI"/>
          </a:p>
        </c:txPr>
      </c:legendEntry>
      <c:legendEntry>
        <c:idx val="1"/>
        <c:txPr>
          <a:bodyPr/>
          <a:lstStyle/>
          <a:p>
            <a:pPr>
              <a:defRPr sz="1200" b="0" i="0" u="none" strike="noStrike" cap="all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fi-FI"/>
          </a:p>
        </c:txPr>
      </c:legendEntry>
      <c:layout>
        <c:manualLayout>
          <c:xMode val="edge"/>
          <c:yMode val="edge"/>
          <c:x val="0.24784808115819246"/>
          <c:y val="3.5751599011288646E-2"/>
          <c:w val="0.50917215428033868"/>
          <c:h val="9.3551328456251956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laajuus 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9261871407178396E-2"/>
          <c:y val="0.160146804835924"/>
          <c:w val="0.91758256444938247"/>
          <c:h val="0.66592754273591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E-4F38-B924-D74A530538C3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3E-4F38-B924-D74A530538C3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3E-4F38-B924-D74A530538C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2531983"/>
        <c:axId val="1688287663"/>
      </c:bar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kannattavuus </a:t>
            </a:r>
          </a:p>
        </c:rich>
      </c:tx>
      <c:layout>
        <c:manualLayout>
          <c:xMode val="edge"/>
          <c:yMode val="edge"/>
          <c:x val="0.3041551124044277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5719047389015026E-2"/>
          <c:y val="0.14511832309170963"/>
          <c:w val="0.90108883628810188"/>
          <c:h val="0.6712505583073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2-4369-91DA-E962B9CF0AC3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2-4369-91DA-E962B9CF0AC3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F2-4369-91DA-E962B9CF0AC3}"/>
            </c:ext>
          </c:extLst>
        </c:ser>
        <c:ser>
          <c:idx val="3"/>
          <c:order val="3"/>
          <c:tx>
            <c:strRef>
              <c:f>Kaaviot!$B$30</c:f>
              <c:strCache>
                <c:ptCount val="1"/>
                <c:pt idx="0">
                  <c:v>Liiketulos EBIT-%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Kaaviot!$C$30:$F$30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57-46C1-86B7-3F88E558EF5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5814559"/>
        <c:axId val="1996122223"/>
      </c:bar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Nettovarallisuus 1000 € </a:t>
            </a:r>
          </a:p>
        </c:rich>
      </c:tx>
      <c:layout>
        <c:manualLayout>
          <c:xMode val="edge"/>
          <c:yMode val="edge"/>
          <c:x val="0.34202230925035249"/>
          <c:y val="2.77778334859897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2815291664959227E-2"/>
          <c:y val="0.15650934063754784"/>
          <c:w val="0.92315773173008109"/>
          <c:h val="0.66269511472356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FD-4B93-B063-567837B737A9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FD-4B93-B063-567837B737A9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FD-4B93-B063-567837B737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Business Scope</a:t>
            </a:r>
            <a:r>
              <a:rPr lang="fi-FI" baseline="0"/>
              <a:t> </a:t>
            </a:r>
            <a:r>
              <a:rPr lang="fi-FI"/>
              <a:t>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0782261261968749E-2"/>
          <c:y val="0.15050834097107557"/>
          <c:w val="0.91758256444938247"/>
          <c:h val="0.66592754273591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14-469E-B410-661315458CE2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14-469E-B410-661315458CE2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14-469E-B410-661315458CE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2531983"/>
        <c:axId val="1688287663"/>
      </c:bar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600" b="1" i="0" u="none" strike="noStrike" baseline="0"/>
              <a:t>Business profitability</a:t>
            </a:r>
            <a:endParaRPr lang="fi-FI"/>
          </a:p>
        </c:rich>
      </c:tx>
      <c:layout>
        <c:manualLayout>
          <c:xMode val="edge"/>
          <c:yMode val="edge"/>
          <c:x val="0.38887536744739648"/>
          <c:y val="1.50554071583719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5719047389015026E-2"/>
          <c:y val="0.14511832309170963"/>
          <c:w val="0.90108883628810188"/>
          <c:h val="0.6712505583073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2B-44E3-B7E5-0D8A077A2B1C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2B-44E3-B7E5-0D8A077A2B1C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2B-44E3-B7E5-0D8A077A2B1C}"/>
            </c:ext>
          </c:extLst>
        </c:ser>
        <c:ser>
          <c:idx val="3"/>
          <c:order val="3"/>
          <c:tx>
            <c:strRef>
              <c:f>Kaaviot!$B$30</c:f>
              <c:strCache>
                <c:ptCount val="1"/>
                <c:pt idx="0">
                  <c:v>Liiketulos EBIT-%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Kaaviot!$C$30:$F$30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2B-44E3-B7E5-0D8A077A2B1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5814559"/>
        <c:axId val="1996122223"/>
      </c:bar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aseline="0"/>
              <a:t>ASSETS</a:t>
            </a:r>
            <a:r>
              <a:rPr lang="fi-FI"/>
              <a:t> 1000 € </a:t>
            </a:r>
          </a:p>
        </c:rich>
      </c:tx>
      <c:layout>
        <c:manualLayout>
          <c:xMode val="edge"/>
          <c:yMode val="edge"/>
          <c:x val="0.42721937240505148"/>
          <c:y val="3.1492410456016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2815291664959227E-2"/>
          <c:y val="0.15650934063754784"/>
          <c:w val="0.92315773173008109"/>
          <c:h val="0.66269511472356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82-4048-B610-E93D9836A218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82-4048-B610-E93D9836A218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82-4048-B610-E93D9836A2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laajuus 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9-4762-AF1A-3944E50AA0D6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9-4762-AF1A-3944E50AA0D6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F9-4762-AF1A-3944E50AA0D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72531983"/>
        <c:axId val="1688287663"/>
      </c:line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#'4. E2 LIIKEVAIHTO'!A1"/><Relationship Id="rId18" Type="http://schemas.openxmlformats.org/officeDocument/2006/relationships/image" Target="../media/image10.png"/><Relationship Id="rId3" Type="http://schemas.openxmlformats.org/officeDocument/2006/relationships/hyperlink" Target="#'1. T1 INVESTOINTISUUN.'!A1"/><Relationship Id="rId21" Type="http://schemas.openxmlformats.org/officeDocument/2006/relationships/image" Target="../media/image12.png"/><Relationship Id="rId7" Type="http://schemas.openxmlformats.org/officeDocument/2006/relationships/hyperlink" Target="#'5. T4 RAHOITUSSUUN.'!A1"/><Relationship Id="rId12" Type="http://schemas.openxmlformats.org/officeDocument/2006/relationships/image" Target="../media/image7.png"/><Relationship Id="rId17" Type="http://schemas.openxmlformats.org/officeDocument/2006/relationships/hyperlink" Target="#Tulostussivu!A1"/><Relationship Id="rId2" Type="http://schemas.openxmlformats.org/officeDocument/2006/relationships/image" Target="../media/image2.png"/><Relationship Id="rId16" Type="http://schemas.openxmlformats.org/officeDocument/2006/relationships/image" Target="../media/image9.png"/><Relationship Id="rId20" Type="http://schemas.openxmlformats.org/officeDocument/2006/relationships/hyperlink" Target="#'8. T5 KASSABUDJETTI'!A1"/><Relationship Id="rId1" Type="http://schemas.openxmlformats.org/officeDocument/2006/relationships/image" Target="../media/image1.jpg"/><Relationship Id="rId6" Type="http://schemas.openxmlformats.org/officeDocument/2006/relationships/image" Target="../media/image4.png"/><Relationship Id="rId11" Type="http://schemas.openxmlformats.org/officeDocument/2006/relationships/hyperlink" Target="#'7. T2 TULOSSUUN.'!A1"/><Relationship Id="rId5" Type="http://schemas.openxmlformats.org/officeDocument/2006/relationships/hyperlink" Target="#'3. E1 KUSTANNUKSET'!A1"/><Relationship Id="rId15" Type="http://schemas.openxmlformats.org/officeDocument/2006/relationships/hyperlink" Target="#'2. T7 LAINAT'!A1"/><Relationship Id="rId23" Type="http://schemas.openxmlformats.org/officeDocument/2006/relationships/image" Target="../media/image14.jpeg"/><Relationship Id="rId10" Type="http://schemas.openxmlformats.org/officeDocument/2006/relationships/image" Target="../media/image6.png"/><Relationship Id="rId19" Type="http://schemas.openxmlformats.org/officeDocument/2006/relationships/image" Target="../media/image11.svg"/><Relationship Id="rId4" Type="http://schemas.openxmlformats.org/officeDocument/2006/relationships/image" Target="../media/image3.png"/><Relationship Id="rId9" Type="http://schemas.openxmlformats.org/officeDocument/2006/relationships/hyperlink" Target="#'6. T3 TASE'!A1"/><Relationship Id="rId14" Type="http://schemas.openxmlformats.org/officeDocument/2006/relationships/image" Target="../media/image8.png"/><Relationship Id="rId22" Type="http://schemas.openxmlformats.org/officeDocument/2006/relationships/image" Target="../media/image13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20.png"/><Relationship Id="rId18" Type="http://schemas.openxmlformats.org/officeDocument/2006/relationships/hyperlink" Target="#'8. T5 KASSABUDJETTI'!A1"/><Relationship Id="rId26" Type="http://schemas.openxmlformats.org/officeDocument/2006/relationships/image" Target="../media/image83.png"/><Relationship Id="rId3" Type="http://schemas.openxmlformats.org/officeDocument/2006/relationships/chart" Target="../charts/chart5.xml"/><Relationship Id="rId21" Type="http://schemas.openxmlformats.org/officeDocument/2006/relationships/image" Target="../media/image81.svg"/><Relationship Id="rId7" Type="http://schemas.openxmlformats.org/officeDocument/2006/relationships/image" Target="../media/image55.png"/><Relationship Id="rId12" Type="http://schemas.openxmlformats.org/officeDocument/2006/relationships/hyperlink" Target="#'4. E2 LIIKEVAIHTO'!A1"/><Relationship Id="rId17" Type="http://schemas.openxmlformats.org/officeDocument/2006/relationships/image" Target="../media/image78.png"/><Relationship Id="rId25" Type="http://schemas.openxmlformats.org/officeDocument/2006/relationships/image" Target="../media/image34.png"/><Relationship Id="rId2" Type="http://schemas.openxmlformats.org/officeDocument/2006/relationships/chart" Target="../charts/chart4.xml"/><Relationship Id="rId16" Type="http://schemas.openxmlformats.org/officeDocument/2006/relationships/hyperlink" Target="#'1. T1 INVESTOINTISUUN.'!A1"/><Relationship Id="rId20" Type="http://schemas.openxmlformats.org/officeDocument/2006/relationships/image" Target="../media/image80.png"/><Relationship Id="rId29" Type="http://schemas.openxmlformats.org/officeDocument/2006/relationships/image" Target="../media/image86.svg"/><Relationship Id="rId1" Type="http://schemas.openxmlformats.org/officeDocument/2006/relationships/chart" Target="../charts/chart3.xml"/><Relationship Id="rId6" Type="http://schemas.openxmlformats.org/officeDocument/2006/relationships/hyperlink" Target="#'3. E1 KUSTANNUKSET'!A1"/><Relationship Id="rId11" Type="http://schemas.openxmlformats.org/officeDocument/2006/relationships/image" Target="../media/image5.png"/><Relationship Id="rId24" Type="http://schemas.openxmlformats.org/officeDocument/2006/relationships/image" Target="../media/image61.png"/><Relationship Id="rId5" Type="http://schemas.openxmlformats.org/officeDocument/2006/relationships/image" Target="../media/image75.png"/><Relationship Id="rId15" Type="http://schemas.openxmlformats.org/officeDocument/2006/relationships/image" Target="../media/image77.png"/><Relationship Id="rId23" Type="http://schemas.openxmlformats.org/officeDocument/2006/relationships/image" Target="../media/image9.png"/><Relationship Id="rId28" Type="http://schemas.openxmlformats.org/officeDocument/2006/relationships/image" Target="../media/image85.png"/><Relationship Id="rId10" Type="http://schemas.openxmlformats.org/officeDocument/2006/relationships/hyperlink" Target="#'5. T4 RAHOITUSSUUN.'!A1"/><Relationship Id="rId19" Type="http://schemas.openxmlformats.org/officeDocument/2006/relationships/image" Target="../media/image79.png"/><Relationship Id="rId4" Type="http://schemas.openxmlformats.org/officeDocument/2006/relationships/hyperlink" Target="#'2. T7 LAINAT'!A1"/><Relationship Id="rId9" Type="http://schemas.openxmlformats.org/officeDocument/2006/relationships/image" Target="../media/image76.png"/><Relationship Id="rId14" Type="http://schemas.openxmlformats.org/officeDocument/2006/relationships/hyperlink" Target="#'6. T3 TASE'!A1"/><Relationship Id="rId22" Type="http://schemas.openxmlformats.org/officeDocument/2006/relationships/image" Target="../media/image82.jpeg"/><Relationship Id="rId27" Type="http://schemas.openxmlformats.org/officeDocument/2006/relationships/image" Target="../media/image8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7" Type="http://schemas.openxmlformats.org/officeDocument/2006/relationships/image" Target="../media/image90.png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image" Target="../media/image89.png"/><Relationship Id="rId5" Type="http://schemas.openxmlformats.org/officeDocument/2006/relationships/image" Target="../media/image88.png"/><Relationship Id="rId4" Type="http://schemas.openxmlformats.org/officeDocument/2006/relationships/image" Target="../media/image87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20.png"/><Relationship Id="rId18" Type="http://schemas.openxmlformats.org/officeDocument/2006/relationships/image" Target="../media/image11.svg"/><Relationship Id="rId3" Type="http://schemas.openxmlformats.org/officeDocument/2006/relationships/image" Target="../media/image16.png"/><Relationship Id="rId7" Type="http://schemas.openxmlformats.org/officeDocument/2006/relationships/image" Target="../media/image18.png"/><Relationship Id="rId12" Type="http://schemas.openxmlformats.org/officeDocument/2006/relationships/hyperlink" Target="#'4. E2 LIIKEVAIHTO'!A1"/><Relationship Id="rId17" Type="http://schemas.openxmlformats.org/officeDocument/2006/relationships/image" Target="../media/image10.png"/><Relationship Id="rId2" Type="http://schemas.openxmlformats.org/officeDocument/2006/relationships/hyperlink" Target="#'2. T7 LAINAT'!A1"/><Relationship Id="rId16" Type="http://schemas.openxmlformats.org/officeDocument/2006/relationships/hyperlink" Target="#Tulostussivu!A1"/><Relationship Id="rId1" Type="http://schemas.openxmlformats.org/officeDocument/2006/relationships/image" Target="../media/image15.png"/><Relationship Id="rId6" Type="http://schemas.openxmlformats.org/officeDocument/2006/relationships/hyperlink" Target="#'8. T5 KASSABUDJETTI'!A1"/><Relationship Id="rId11" Type="http://schemas.openxmlformats.org/officeDocument/2006/relationships/image" Target="../media/image5.png"/><Relationship Id="rId5" Type="http://schemas.openxmlformats.org/officeDocument/2006/relationships/image" Target="../media/image17.png"/><Relationship Id="rId15" Type="http://schemas.openxmlformats.org/officeDocument/2006/relationships/image" Target="../media/image21.png"/><Relationship Id="rId10" Type="http://schemas.openxmlformats.org/officeDocument/2006/relationships/hyperlink" Target="#'5. T4 RAHOITUSSUUN.'!A1"/><Relationship Id="rId19" Type="http://schemas.openxmlformats.org/officeDocument/2006/relationships/image" Target="../media/image22.jpeg"/><Relationship Id="rId4" Type="http://schemas.openxmlformats.org/officeDocument/2006/relationships/hyperlink" Target="#'3. E1 KUSTANNUKSET'!A1"/><Relationship Id="rId9" Type="http://schemas.openxmlformats.org/officeDocument/2006/relationships/image" Target="../media/image19.png"/><Relationship Id="rId14" Type="http://schemas.openxmlformats.org/officeDocument/2006/relationships/hyperlink" Target="#'6. T3 TASE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13" Type="http://schemas.openxmlformats.org/officeDocument/2006/relationships/hyperlink" Target="#'1. T1 INVESTOINTISUUN.'!A1"/><Relationship Id="rId18" Type="http://schemas.openxmlformats.org/officeDocument/2006/relationships/image" Target="../media/image11.svg"/><Relationship Id="rId3" Type="http://schemas.openxmlformats.org/officeDocument/2006/relationships/hyperlink" Target="#'3. E1 KUSTANNUKSET'!A1"/><Relationship Id="rId7" Type="http://schemas.openxmlformats.org/officeDocument/2006/relationships/hyperlink" Target="#'5. T4 RAHOITUSSUUN.'!A1"/><Relationship Id="rId12" Type="http://schemas.openxmlformats.org/officeDocument/2006/relationships/image" Target="../media/image28.png"/><Relationship Id="rId17" Type="http://schemas.openxmlformats.org/officeDocument/2006/relationships/image" Target="../media/image10.png"/><Relationship Id="rId2" Type="http://schemas.openxmlformats.org/officeDocument/2006/relationships/image" Target="../media/image23.png"/><Relationship Id="rId16" Type="http://schemas.openxmlformats.org/officeDocument/2006/relationships/hyperlink" Target="#Tulostussivu!A1"/><Relationship Id="rId1" Type="http://schemas.openxmlformats.org/officeDocument/2006/relationships/hyperlink" Target="#'8. T5 KASSABUDJETTI'!A1"/><Relationship Id="rId6" Type="http://schemas.openxmlformats.org/officeDocument/2006/relationships/image" Target="../media/image25.png"/><Relationship Id="rId11" Type="http://schemas.openxmlformats.org/officeDocument/2006/relationships/hyperlink" Target="#'6. T3 TASE'!A1"/><Relationship Id="rId5" Type="http://schemas.openxmlformats.org/officeDocument/2006/relationships/hyperlink" Target="#'7. T2 TULOSSUUN.'!A1"/><Relationship Id="rId15" Type="http://schemas.openxmlformats.org/officeDocument/2006/relationships/image" Target="../media/image30.png"/><Relationship Id="rId10" Type="http://schemas.openxmlformats.org/officeDocument/2006/relationships/image" Target="../media/image27.png"/><Relationship Id="rId19" Type="http://schemas.openxmlformats.org/officeDocument/2006/relationships/image" Target="../media/image31.jpeg"/><Relationship Id="rId4" Type="http://schemas.openxmlformats.org/officeDocument/2006/relationships/image" Target="../media/image24.png"/><Relationship Id="rId9" Type="http://schemas.openxmlformats.org/officeDocument/2006/relationships/hyperlink" Target="#'4. E2 LIIKEVAIHTO'!A1"/><Relationship Id="rId14" Type="http://schemas.openxmlformats.org/officeDocument/2006/relationships/image" Target="../media/image2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png"/><Relationship Id="rId13" Type="http://schemas.openxmlformats.org/officeDocument/2006/relationships/hyperlink" Target="#'1. T1 INVESTOINTISUUN.'!A1"/><Relationship Id="rId18" Type="http://schemas.openxmlformats.org/officeDocument/2006/relationships/image" Target="../media/image11.svg"/><Relationship Id="rId3" Type="http://schemas.openxmlformats.org/officeDocument/2006/relationships/hyperlink" Target="#'8. T5 KASSABUDJETTI'!A1"/><Relationship Id="rId21" Type="http://schemas.openxmlformats.org/officeDocument/2006/relationships/image" Target="../media/image39.png"/><Relationship Id="rId7" Type="http://schemas.openxmlformats.org/officeDocument/2006/relationships/hyperlink" Target="#'5. T4 RAHOITUSSUUN.'!A1"/><Relationship Id="rId12" Type="http://schemas.openxmlformats.org/officeDocument/2006/relationships/image" Target="../media/image21.png"/><Relationship Id="rId17" Type="http://schemas.openxmlformats.org/officeDocument/2006/relationships/image" Target="../media/image10.png"/><Relationship Id="rId2" Type="http://schemas.openxmlformats.org/officeDocument/2006/relationships/image" Target="../media/image9.png"/><Relationship Id="rId16" Type="http://schemas.openxmlformats.org/officeDocument/2006/relationships/hyperlink" Target="#Tulostussivu!A1"/><Relationship Id="rId20" Type="http://schemas.openxmlformats.org/officeDocument/2006/relationships/image" Target="../media/image38.png"/><Relationship Id="rId1" Type="http://schemas.openxmlformats.org/officeDocument/2006/relationships/hyperlink" Target="#'2. T7 LAINAT'!A1"/><Relationship Id="rId6" Type="http://schemas.openxmlformats.org/officeDocument/2006/relationships/image" Target="../media/image19.png"/><Relationship Id="rId11" Type="http://schemas.openxmlformats.org/officeDocument/2006/relationships/hyperlink" Target="#'6. T3 TASE'!A1"/><Relationship Id="rId24" Type="http://schemas.openxmlformats.org/officeDocument/2006/relationships/image" Target="../media/image42.jpeg"/><Relationship Id="rId5" Type="http://schemas.openxmlformats.org/officeDocument/2006/relationships/hyperlink" Target="#'7. T2 TULOSSUUN.'!A1"/><Relationship Id="rId15" Type="http://schemas.openxmlformats.org/officeDocument/2006/relationships/image" Target="../media/image36.png"/><Relationship Id="rId23" Type="http://schemas.openxmlformats.org/officeDocument/2006/relationships/image" Target="../media/image41.png"/><Relationship Id="rId10" Type="http://schemas.openxmlformats.org/officeDocument/2006/relationships/image" Target="../media/image34.png"/><Relationship Id="rId19" Type="http://schemas.openxmlformats.org/officeDocument/2006/relationships/image" Target="../media/image37.png"/><Relationship Id="rId4" Type="http://schemas.openxmlformats.org/officeDocument/2006/relationships/image" Target="../media/image32.png"/><Relationship Id="rId9" Type="http://schemas.openxmlformats.org/officeDocument/2006/relationships/hyperlink" Target="#'4. E2 LIIKEVAIHTO'!A1"/><Relationship Id="rId14" Type="http://schemas.openxmlformats.org/officeDocument/2006/relationships/image" Target="../media/image35.png"/><Relationship Id="rId22" Type="http://schemas.openxmlformats.org/officeDocument/2006/relationships/image" Target="../media/image4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image" Target="../media/image44.png"/><Relationship Id="rId18" Type="http://schemas.openxmlformats.org/officeDocument/2006/relationships/image" Target="../media/image11.svg"/><Relationship Id="rId3" Type="http://schemas.openxmlformats.org/officeDocument/2006/relationships/hyperlink" Target="#'3. E1 KUSTANNUKSET'!A1"/><Relationship Id="rId7" Type="http://schemas.openxmlformats.org/officeDocument/2006/relationships/hyperlink" Target="#'7. T2 TULOSSUUN.'!A1"/><Relationship Id="rId12" Type="http://schemas.openxmlformats.org/officeDocument/2006/relationships/image" Target="../media/image21.png"/><Relationship Id="rId17" Type="http://schemas.openxmlformats.org/officeDocument/2006/relationships/image" Target="../media/image10.png"/><Relationship Id="rId2" Type="http://schemas.openxmlformats.org/officeDocument/2006/relationships/image" Target="../media/image9.png"/><Relationship Id="rId16" Type="http://schemas.openxmlformats.org/officeDocument/2006/relationships/hyperlink" Target="#Tulostussivu!A1"/><Relationship Id="rId1" Type="http://schemas.openxmlformats.org/officeDocument/2006/relationships/hyperlink" Target="#'2. T7 LAINAT'!A1"/><Relationship Id="rId6" Type="http://schemas.openxmlformats.org/officeDocument/2006/relationships/image" Target="../media/image32.png"/><Relationship Id="rId11" Type="http://schemas.openxmlformats.org/officeDocument/2006/relationships/hyperlink" Target="#'6. T3 TASE'!A1"/><Relationship Id="rId5" Type="http://schemas.openxmlformats.org/officeDocument/2006/relationships/hyperlink" Target="#'8. T5 KASSABUDJETTI'!A1"/><Relationship Id="rId15" Type="http://schemas.openxmlformats.org/officeDocument/2006/relationships/image" Target="../media/image45.png"/><Relationship Id="rId10" Type="http://schemas.openxmlformats.org/officeDocument/2006/relationships/image" Target="../media/image39.png"/><Relationship Id="rId19" Type="http://schemas.openxmlformats.org/officeDocument/2006/relationships/image" Target="../media/image46.jpeg"/><Relationship Id="rId4" Type="http://schemas.openxmlformats.org/officeDocument/2006/relationships/image" Target="../media/image43.png"/><Relationship Id="rId9" Type="http://schemas.openxmlformats.org/officeDocument/2006/relationships/hyperlink" Target="#'5. T4 RAHOITUSSUUN.'!A1"/><Relationship Id="rId14" Type="http://schemas.openxmlformats.org/officeDocument/2006/relationships/hyperlink" Target="#'1. T1 INVESTOINTISUUN.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hyperlink" Target="#Tulostussivu!A1"/><Relationship Id="rId18" Type="http://schemas.openxmlformats.org/officeDocument/2006/relationships/image" Target="../media/image21.png"/><Relationship Id="rId3" Type="http://schemas.openxmlformats.org/officeDocument/2006/relationships/hyperlink" Target="#'3. E1 KUSTANNUKSET'!A1"/><Relationship Id="rId7" Type="http://schemas.openxmlformats.org/officeDocument/2006/relationships/hyperlink" Target="#'7. T2 TULOSSUUN.'!A1"/><Relationship Id="rId12" Type="http://schemas.openxmlformats.org/officeDocument/2006/relationships/image" Target="../media/image49.png"/><Relationship Id="rId17" Type="http://schemas.openxmlformats.org/officeDocument/2006/relationships/hyperlink" Target="#'6. T3 TASE'!A1"/><Relationship Id="rId2" Type="http://schemas.openxmlformats.org/officeDocument/2006/relationships/image" Target="../media/image37.png"/><Relationship Id="rId16" Type="http://schemas.openxmlformats.org/officeDocument/2006/relationships/image" Target="../media/image50.png"/><Relationship Id="rId20" Type="http://schemas.openxmlformats.org/officeDocument/2006/relationships/image" Target="../media/image52.jpeg"/><Relationship Id="rId1" Type="http://schemas.openxmlformats.org/officeDocument/2006/relationships/hyperlink" Target="#'2. T7 LAINAT'!A1"/><Relationship Id="rId6" Type="http://schemas.openxmlformats.org/officeDocument/2006/relationships/image" Target="../media/image48.png"/><Relationship Id="rId11" Type="http://schemas.openxmlformats.org/officeDocument/2006/relationships/hyperlink" Target="#'1. T1 INVESTOINTISUUN.'!A1"/><Relationship Id="rId5" Type="http://schemas.openxmlformats.org/officeDocument/2006/relationships/hyperlink" Target="#'8. T5 KASSABUDJETTI'!A1"/><Relationship Id="rId15" Type="http://schemas.openxmlformats.org/officeDocument/2006/relationships/image" Target="../media/image11.svg"/><Relationship Id="rId10" Type="http://schemas.openxmlformats.org/officeDocument/2006/relationships/image" Target="../media/image20.png"/><Relationship Id="rId19" Type="http://schemas.openxmlformats.org/officeDocument/2006/relationships/image" Target="../media/image51.jpeg"/><Relationship Id="rId4" Type="http://schemas.openxmlformats.org/officeDocument/2006/relationships/image" Target="../media/image47.png"/><Relationship Id="rId9" Type="http://schemas.openxmlformats.org/officeDocument/2006/relationships/hyperlink" Target="#'4. E2 LIIKEVAIHTO'!A1"/><Relationship Id="rId1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58.png"/><Relationship Id="rId18" Type="http://schemas.openxmlformats.org/officeDocument/2006/relationships/image" Target="../media/image5.png"/><Relationship Id="rId26" Type="http://schemas.openxmlformats.org/officeDocument/2006/relationships/image" Target="../media/image63.png"/><Relationship Id="rId3" Type="http://schemas.openxmlformats.org/officeDocument/2006/relationships/image" Target="../media/image54.png"/><Relationship Id="rId21" Type="http://schemas.openxmlformats.org/officeDocument/2006/relationships/image" Target="../media/image61.png"/><Relationship Id="rId7" Type="http://schemas.openxmlformats.org/officeDocument/2006/relationships/image" Target="../media/image56.png"/><Relationship Id="rId12" Type="http://schemas.openxmlformats.org/officeDocument/2006/relationships/hyperlink" Target="#'T1 INVESTOINTISUUN.'!A1"/><Relationship Id="rId17" Type="http://schemas.openxmlformats.org/officeDocument/2006/relationships/hyperlink" Target="#'5. T4 RAHOITUSSUUN.'!A1"/><Relationship Id="rId25" Type="http://schemas.openxmlformats.org/officeDocument/2006/relationships/image" Target="../media/image62.png"/><Relationship Id="rId2" Type="http://schemas.openxmlformats.org/officeDocument/2006/relationships/hyperlink" Target="#'2. T7 LAINAT'!A1"/><Relationship Id="rId16" Type="http://schemas.openxmlformats.org/officeDocument/2006/relationships/image" Target="../media/image11.svg"/><Relationship Id="rId20" Type="http://schemas.openxmlformats.org/officeDocument/2006/relationships/image" Target="../media/image60.png"/><Relationship Id="rId1" Type="http://schemas.openxmlformats.org/officeDocument/2006/relationships/image" Target="../media/image53.jpeg"/><Relationship Id="rId6" Type="http://schemas.openxmlformats.org/officeDocument/2006/relationships/hyperlink" Target="#'8. T5 KASSABUDJETTI'!A1"/><Relationship Id="rId11" Type="http://schemas.openxmlformats.org/officeDocument/2006/relationships/image" Target="../media/image57.png"/><Relationship Id="rId24" Type="http://schemas.openxmlformats.org/officeDocument/2006/relationships/hyperlink" Target="#'1. T1 INVESTOINTISUUN.'!A1"/><Relationship Id="rId5" Type="http://schemas.openxmlformats.org/officeDocument/2006/relationships/image" Target="../media/image55.png"/><Relationship Id="rId15" Type="http://schemas.openxmlformats.org/officeDocument/2006/relationships/image" Target="../media/image10.png"/><Relationship Id="rId23" Type="http://schemas.openxmlformats.org/officeDocument/2006/relationships/image" Target="../media/image34.png"/><Relationship Id="rId10" Type="http://schemas.openxmlformats.org/officeDocument/2006/relationships/hyperlink" Target="#'4. E2 LIIKEVAIHTO'!A1"/><Relationship Id="rId19" Type="http://schemas.openxmlformats.org/officeDocument/2006/relationships/image" Target="../media/image59.png"/><Relationship Id="rId4" Type="http://schemas.openxmlformats.org/officeDocument/2006/relationships/hyperlink" Target="#'3. E1 KUSTANNUKSET'!A1"/><Relationship Id="rId9" Type="http://schemas.openxmlformats.org/officeDocument/2006/relationships/image" Target="../media/image19.png"/><Relationship Id="rId14" Type="http://schemas.openxmlformats.org/officeDocument/2006/relationships/hyperlink" Target="#Tulostussivu!A1"/><Relationship Id="rId22" Type="http://schemas.openxmlformats.org/officeDocument/2006/relationships/image" Target="../media/image32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5. T4 RAHOITUSSUUN.'!A1"/><Relationship Id="rId13" Type="http://schemas.openxmlformats.org/officeDocument/2006/relationships/image" Target="../media/image21.png"/><Relationship Id="rId18" Type="http://schemas.openxmlformats.org/officeDocument/2006/relationships/image" Target="../media/image10.png"/><Relationship Id="rId3" Type="http://schemas.openxmlformats.org/officeDocument/2006/relationships/image" Target="../media/image9.png"/><Relationship Id="rId7" Type="http://schemas.openxmlformats.org/officeDocument/2006/relationships/image" Target="../media/image32.png"/><Relationship Id="rId12" Type="http://schemas.openxmlformats.org/officeDocument/2006/relationships/hyperlink" Target="#'6. T3 TASE'!A1"/><Relationship Id="rId17" Type="http://schemas.openxmlformats.org/officeDocument/2006/relationships/hyperlink" Target="#Tulostussivu!A1"/><Relationship Id="rId2" Type="http://schemas.openxmlformats.org/officeDocument/2006/relationships/hyperlink" Target="#'2. T7 LAINAT'!A1"/><Relationship Id="rId16" Type="http://schemas.openxmlformats.org/officeDocument/2006/relationships/image" Target="../media/image66.png"/><Relationship Id="rId20" Type="http://schemas.openxmlformats.org/officeDocument/2006/relationships/image" Target="../media/image67.jpeg"/><Relationship Id="rId1" Type="http://schemas.openxmlformats.org/officeDocument/2006/relationships/image" Target="../media/image64.jpeg"/><Relationship Id="rId6" Type="http://schemas.openxmlformats.org/officeDocument/2006/relationships/hyperlink" Target="#'8. T5 KASSABUDJETTI'!A1"/><Relationship Id="rId11" Type="http://schemas.openxmlformats.org/officeDocument/2006/relationships/image" Target="../media/image34.png"/><Relationship Id="rId5" Type="http://schemas.openxmlformats.org/officeDocument/2006/relationships/image" Target="../media/image61.png"/><Relationship Id="rId15" Type="http://schemas.openxmlformats.org/officeDocument/2006/relationships/hyperlink" Target="#'1. T1 INVESTOINTISUUN.'!A1"/><Relationship Id="rId10" Type="http://schemas.openxmlformats.org/officeDocument/2006/relationships/hyperlink" Target="#'4. E2 LIIKEVAIHTO'!A1"/><Relationship Id="rId19" Type="http://schemas.openxmlformats.org/officeDocument/2006/relationships/image" Target="../media/image11.svg"/><Relationship Id="rId4" Type="http://schemas.openxmlformats.org/officeDocument/2006/relationships/hyperlink" Target="#'3. E1 KUSTANNUKSET'!A1"/><Relationship Id="rId9" Type="http://schemas.openxmlformats.org/officeDocument/2006/relationships/image" Target="../media/image33.png"/><Relationship Id="rId14" Type="http://schemas.openxmlformats.org/officeDocument/2006/relationships/image" Target="../media/image65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8.png"/><Relationship Id="rId13" Type="http://schemas.openxmlformats.org/officeDocument/2006/relationships/hyperlink" Target="#'4. E2 LIIKEVAIHTO'!A1"/><Relationship Id="rId18" Type="http://schemas.openxmlformats.org/officeDocument/2006/relationships/image" Target="../media/image70.png"/><Relationship Id="rId3" Type="http://schemas.openxmlformats.org/officeDocument/2006/relationships/image" Target="../media/image10.png"/><Relationship Id="rId21" Type="http://schemas.openxmlformats.org/officeDocument/2006/relationships/chart" Target="../charts/chart2.xml"/><Relationship Id="rId7" Type="http://schemas.openxmlformats.org/officeDocument/2006/relationships/hyperlink" Target="#'3. E1 KUSTANNUKSET'!A1"/><Relationship Id="rId12" Type="http://schemas.openxmlformats.org/officeDocument/2006/relationships/image" Target="../media/image39.png"/><Relationship Id="rId17" Type="http://schemas.openxmlformats.org/officeDocument/2006/relationships/hyperlink" Target="#'1. T1 INVESTOINTISUUN.'!A1"/><Relationship Id="rId2" Type="http://schemas.openxmlformats.org/officeDocument/2006/relationships/hyperlink" Target="#Tulostussivu!A1"/><Relationship Id="rId16" Type="http://schemas.openxmlformats.org/officeDocument/2006/relationships/image" Target="../media/image21.png"/><Relationship Id="rId20" Type="http://schemas.openxmlformats.org/officeDocument/2006/relationships/image" Target="../media/image72.jpeg"/><Relationship Id="rId1" Type="http://schemas.openxmlformats.org/officeDocument/2006/relationships/chart" Target="../charts/chart1.xml"/><Relationship Id="rId6" Type="http://schemas.openxmlformats.org/officeDocument/2006/relationships/image" Target="../media/image37.png"/><Relationship Id="rId11" Type="http://schemas.openxmlformats.org/officeDocument/2006/relationships/hyperlink" Target="#'5. T4 RAHOITUSSUUN.'!A1"/><Relationship Id="rId5" Type="http://schemas.openxmlformats.org/officeDocument/2006/relationships/hyperlink" Target="#'2. T7 LAINAT'!A1"/><Relationship Id="rId15" Type="http://schemas.openxmlformats.org/officeDocument/2006/relationships/hyperlink" Target="#'6. T3 TASE'!A1"/><Relationship Id="rId23" Type="http://schemas.openxmlformats.org/officeDocument/2006/relationships/image" Target="../media/image74.jpeg"/><Relationship Id="rId10" Type="http://schemas.openxmlformats.org/officeDocument/2006/relationships/image" Target="../media/image19.png"/><Relationship Id="rId19" Type="http://schemas.openxmlformats.org/officeDocument/2006/relationships/image" Target="../media/image71.png"/><Relationship Id="rId4" Type="http://schemas.openxmlformats.org/officeDocument/2006/relationships/image" Target="../media/image11.svg"/><Relationship Id="rId9" Type="http://schemas.openxmlformats.org/officeDocument/2006/relationships/hyperlink" Target="#'7. T2 TULOSSUUN.'!A1"/><Relationship Id="rId14" Type="http://schemas.openxmlformats.org/officeDocument/2006/relationships/image" Target="../media/image69.png"/><Relationship Id="rId22" Type="http://schemas.openxmlformats.org/officeDocument/2006/relationships/image" Target="../media/image7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13</xdr:row>
      <xdr:rowOff>276937</xdr:rowOff>
    </xdr:from>
    <xdr:to>
      <xdr:col>6</xdr:col>
      <xdr:colOff>2378709</xdr:colOff>
      <xdr:row>30</xdr:row>
      <xdr:rowOff>74221</xdr:rowOff>
    </xdr:to>
    <xdr:pic>
      <xdr:nvPicPr>
        <xdr:cNvPr id="44" name="Kuva 43">
          <a:extLst>
            <a:ext uri="{FF2B5EF4-FFF2-40B4-BE49-F238E27FC236}">
              <a16:creationId xmlns:a16="http://schemas.microsoft.com/office/drawing/2014/main" id="{E62FF7DE-5A1B-44A5-94A9-A13F69C2C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001087"/>
          <a:ext cx="9867899" cy="3616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2392045</xdr:colOff>
      <xdr:row>5</xdr:row>
      <xdr:rowOff>28394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D6903AA1-EA78-412D-A809-E9D4CF7B2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915525" cy="606879"/>
        </a:xfrm>
        <a:prstGeom prst="rect">
          <a:avLst/>
        </a:prstGeom>
        <a:effectLst/>
      </xdr:spPr>
    </xdr:pic>
    <xdr:clientData/>
  </xdr:twoCellAnchor>
  <xdr:twoCellAnchor editAs="oneCell">
    <xdr:from>
      <xdr:col>1</xdr:col>
      <xdr:colOff>162354</xdr:colOff>
      <xdr:row>5</xdr:row>
      <xdr:rowOff>257351</xdr:rowOff>
    </xdr:from>
    <xdr:to>
      <xdr:col>2</xdr:col>
      <xdr:colOff>28184</xdr:colOff>
      <xdr:row>7</xdr:row>
      <xdr:rowOff>142811</xdr:rowOff>
    </xdr:to>
    <xdr:pic>
      <xdr:nvPicPr>
        <xdr:cNvPr id="10" name="Kuva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DE59754-C351-4DCD-B20C-FB0C59991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127" y="846169"/>
          <a:ext cx="401423" cy="40373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185805</xdr:colOff>
      <xdr:row>9</xdr:row>
      <xdr:rowOff>264634</xdr:rowOff>
    </xdr:from>
    <xdr:to>
      <xdr:col>2</xdr:col>
      <xdr:colOff>28809</xdr:colOff>
      <xdr:row>11</xdr:row>
      <xdr:rowOff>116205</xdr:rowOff>
    </xdr:to>
    <xdr:pic>
      <xdr:nvPicPr>
        <xdr:cNvPr id="14" name="Kuv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41E2632-FD4F-4ADE-B6F9-4F9D64AC3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030" y="1902934"/>
          <a:ext cx="406703" cy="39449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184671</xdr:colOff>
      <xdr:row>14</xdr:row>
      <xdr:rowOff>51803</xdr:rowOff>
    </xdr:from>
    <xdr:to>
      <xdr:col>2</xdr:col>
      <xdr:colOff>28944</xdr:colOff>
      <xdr:row>15</xdr:row>
      <xdr:rowOff>295857</xdr:rowOff>
    </xdr:to>
    <xdr:pic>
      <xdr:nvPicPr>
        <xdr:cNvPr id="16" name="Kuva 1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DBF8A1F-27F1-4C10-9443-787F07C9E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896" y="3156953"/>
          <a:ext cx="406702" cy="39473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184149</xdr:colOff>
      <xdr:row>17</xdr:row>
      <xdr:rowOff>101231</xdr:rowOff>
    </xdr:from>
    <xdr:to>
      <xdr:col>2</xdr:col>
      <xdr:colOff>28422</xdr:colOff>
      <xdr:row>18</xdr:row>
      <xdr:rowOff>142318</xdr:rowOff>
    </xdr:to>
    <xdr:pic>
      <xdr:nvPicPr>
        <xdr:cNvPr id="18" name="Kuva 1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77C068D-579E-4EFB-BEF7-FF8F63471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4" y="3911231"/>
          <a:ext cx="406702" cy="40512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176117</xdr:colOff>
      <xdr:row>19</xdr:row>
      <xdr:rowOff>281727</xdr:rowOff>
    </xdr:from>
    <xdr:to>
      <xdr:col>2</xdr:col>
      <xdr:colOff>27648</xdr:colOff>
      <xdr:row>21</xdr:row>
      <xdr:rowOff>120917</xdr:rowOff>
    </xdr:to>
    <xdr:pic>
      <xdr:nvPicPr>
        <xdr:cNvPr id="45" name="Kuva 4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B819CB9-5861-4440-BD42-C9370655E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342" y="4634652"/>
          <a:ext cx="411782" cy="38284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181693</xdr:colOff>
      <xdr:row>11</xdr:row>
      <xdr:rowOff>267566</xdr:rowOff>
    </xdr:from>
    <xdr:to>
      <xdr:col>2</xdr:col>
      <xdr:colOff>28144</xdr:colOff>
      <xdr:row>13</xdr:row>
      <xdr:rowOff>118411</xdr:rowOff>
    </xdr:to>
    <xdr:pic>
      <xdr:nvPicPr>
        <xdr:cNvPr id="61" name="Kuva 6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C12E3AF-1DD7-4B11-A067-929D09284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918" y="2448791"/>
          <a:ext cx="406702" cy="39449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176488</xdr:colOff>
      <xdr:row>7</xdr:row>
      <xdr:rowOff>249121</xdr:rowOff>
    </xdr:from>
    <xdr:to>
      <xdr:col>2</xdr:col>
      <xdr:colOff>26749</xdr:colOff>
      <xdr:row>9</xdr:row>
      <xdr:rowOff>115932</xdr:rowOff>
    </xdr:to>
    <xdr:pic>
      <xdr:nvPicPr>
        <xdr:cNvPr id="63" name="Kuva 6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2EDF2BE8-CA04-474B-8016-1B4A4040F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713" y="1344496"/>
          <a:ext cx="410512" cy="40973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226028</xdr:colOff>
      <xdr:row>25</xdr:row>
      <xdr:rowOff>158677</xdr:rowOff>
    </xdr:from>
    <xdr:to>
      <xdr:col>2</xdr:col>
      <xdr:colOff>23100</xdr:colOff>
      <xdr:row>28</xdr:row>
      <xdr:rowOff>32981</xdr:rowOff>
    </xdr:to>
    <xdr:pic>
      <xdr:nvPicPr>
        <xdr:cNvPr id="6" name="Kuva 5" descr="Tulostin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B042DC7C-637A-4E4E-A272-A6ED6EDD5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9"/>
            </a:ext>
          </a:extLst>
        </a:blip>
        <a:stretch>
          <a:fillRect/>
        </a:stretch>
      </xdr:blipFill>
      <xdr:spPr>
        <a:xfrm>
          <a:off x="485801" y="5925632"/>
          <a:ext cx="331395" cy="366602"/>
        </a:xfrm>
        <a:prstGeom prst="rect">
          <a:avLst/>
        </a:prstGeom>
      </xdr:spPr>
    </xdr:pic>
    <xdr:clientData/>
  </xdr:twoCellAnchor>
  <xdr:twoCellAnchor>
    <xdr:from>
      <xdr:col>3</xdr:col>
      <xdr:colOff>113347</xdr:colOff>
      <xdr:row>1</xdr:row>
      <xdr:rowOff>31433</xdr:rowOff>
    </xdr:from>
    <xdr:to>
      <xdr:col>6</xdr:col>
      <xdr:colOff>945832</xdr:colOff>
      <xdr:row>4</xdr:row>
      <xdr:rowOff>212408</xdr:rowOff>
    </xdr:to>
    <xdr:sp macro="" textlink="">
      <xdr:nvSpPr>
        <xdr:cNvPr id="13" name="Tekstiruutu 12">
          <a:extLst>
            <a:ext uri="{FF2B5EF4-FFF2-40B4-BE49-F238E27FC236}">
              <a16:creationId xmlns:a16="http://schemas.microsoft.com/office/drawing/2014/main" id="{A0B61EDB-C99F-4313-8AE6-77A37BE8857B}"/>
            </a:ext>
          </a:extLst>
        </xdr:cNvPr>
        <xdr:cNvSpPr txBox="1"/>
      </xdr:nvSpPr>
      <xdr:spPr>
        <a:xfrm>
          <a:off x="2237422" y="126683"/>
          <a:ext cx="623316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i-FI" sz="1600" b="0" i="0">
              <a:solidFill>
                <a:schemeClr val="bg1"/>
              </a:solidFill>
              <a:latin typeface="Arial Black" panose="020B0A04020102020204" pitchFamily="34" charset="0"/>
            </a:rPr>
            <a:t>YT6 ALOITTAVAN YRITYKSEN TULOSSUUNNITELMA</a:t>
          </a:r>
        </a:p>
      </xdr:txBody>
    </xdr:sp>
    <xdr:clientData/>
  </xdr:twoCellAnchor>
  <xdr:twoCellAnchor>
    <xdr:from>
      <xdr:col>2</xdr:col>
      <xdr:colOff>100964</xdr:colOff>
      <xdr:row>5</xdr:row>
      <xdr:rowOff>204788</xdr:rowOff>
    </xdr:from>
    <xdr:to>
      <xdr:col>4</xdr:col>
      <xdr:colOff>952004</xdr:colOff>
      <xdr:row>7</xdr:row>
      <xdr:rowOff>181841</xdr:rowOff>
    </xdr:to>
    <xdr:sp macro="" textlink="">
      <xdr:nvSpPr>
        <xdr:cNvPr id="3" name="Suorakulmio: Pyöristetyt kulmat 2">
          <a:extLst>
            <a:ext uri="{FF2B5EF4-FFF2-40B4-BE49-F238E27FC236}">
              <a16:creationId xmlns:a16="http://schemas.microsoft.com/office/drawing/2014/main" id="{01BD8536-CFD9-4E26-87A7-3448D7F19778}"/>
            </a:ext>
          </a:extLst>
        </xdr:cNvPr>
        <xdr:cNvSpPr/>
      </xdr:nvSpPr>
      <xdr:spPr>
        <a:xfrm>
          <a:off x="897600" y="793606"/>
          <a:ext cx="3751836" cy="496599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T1</a:t>
          </a:r>
          <a:r>
            <a:rPr lang="fi-FI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INVESTOINTISUUNNITELMA</a:t>
          </a:r>
          <a:br>
            <a:rPr lang="fi-FI" sz="12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Hankkeen perustiedot, investoinnit ja rahoitussuunnitelma.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96052</xdr:colOff>
      <xdr:row>7</xdr:row>
      <xdr:rowOff>282189</xdr:rowOff>
    </xdr:from>
    <xdr:to>
      <xdr:col>4</xdr:col>
      <xdr:colOff>942329</xdr:colOff>
      <xdr:row>9</xdr:row>
      <xdr:rowOff>213142</xdr:rowOff>
    </xdr:to>
    <xdr:sp macro="" textlink="">
      <xdr:nvSpPr>
        <xdr:cNvPr id="26" name="Suorakulmio: Pyöristetyt kulmat 25">
          <a:extLst>
            <a:ext uri="{FF2B5EF4-FFF2-40B4-BE49-F238E27FC236}">
              <a16:creationId xmlns:a16="http://schemas.microsoft.com/office/drawing/2014/main" id="{B0E72D77-D801-45BE-B174-36FADC420F01}"/>
            </a:ext>
          </a:extLst>
        </xdr:cNvPr>
        <xdr:cNvSpPr/>
      </xdr:nvSpPr>
      <xdr:spPr>
        <a:xfrm>
          <a:off x="888532" y="1379469"/>
          <a:ext cx="3749497" cy="471973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T7 LAINAT</a:t>
          </a:r>
          <a:br>
            <a:rPr lang="fi-FI" sz="12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 nostettavat lainat ja osamaksut nostovuosittain.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88429</xdr:colOff>
      <xdr:row>9</xdr:row>
      <xdr:rowOff>306016</xdr:rowOff>
    </xdr:from>
    <xdr:to>
      <xdr:col>4</xdr:col>
      <xdr:colOff>941374</xdr:colOff>
      <xdr:row>11</xdr:row>
      <xdr:rowOff>229346</xdr:rowOff>
    </xdr:to>
    <xdr:sp macro="" textlink="">
      <xdr:nvSpPr>
        <xdr:cNvPr id="27" name="Suorakulmio: Pyöristetyt kulmat 26">
          <a:extLst>
            <a:ext uri="{FF2B5EF4-FFF2-40B4-BE49-F238E27FC236}">
              <a16:creationId xmlns:a16="http://schemas.microsoft.com/office/drawing/2014/main" id="{DBF4EC3A-86B8-496D-8E26-8B6A97361E20}"/>
            </a:ext>
          </a:extLst>
        </xdr:cNvPr>
        <xdr:cNvSpPr/>
      </xdr:nvSpPr>
      <xdr:spPr>
        <a:xfrm>
          <a:off x="880909" y="1944316"/>
          <a:ext cx="3756165" cy="464350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E1 TOIMINTAKUSTANNUKSET</a:t>
          </a:r>
          <a:br>
            <a:rPr lang="fi-FI" sz="105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toimintakustannukset.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95643</xdr:colOff>
      <xdr:row>11</xdr:row>
      <xdr:rowOff>304259</xdr:rowOff>
    </xdr:from>
    <xdr:to>
      <xdr:col>4</xdr:col>
      <xdr:colOff>941920</xdr:colOff>
      <xdr:row>13</xdr:row>
      <xdr:rowOff>229495</xdr:rowOff>
    </xdr:to>
    <xdr:sp macro="" textlink="">
      <xdr:nvSpPr>
        <xdr:cNvPr id="28" name="Suorakulmio: Pyöristetyt kulmat 27">
          <a:extLst>
            <a:ext uri="{FF2B5EF4-FFF2-40B4-BE49-F238E27FC236}">
              <a16:creationId xmlns:a16="http://schemas.microsoft.com/office/drawing/2014/main" id="{BC7AFCBF-0058-492D-AF36-F0BE67D9E6E5}"/>
            </a:ext>
          </a:extLst>
        </xdr:cNvPr>
        <xdr:cNvSpPr/>
      </xdr:nvSpPr>
      <xdr:spPr>
        <a:xfrm>
          <a:off x="888123" y="2483579"/>
          <a:ext cx="3749497" cy="466256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E2 LIIKEVAIHTO</a:t>
          </a:r>
          <a:br>
            <a:rPr lang="fi-FI" sz="105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Tehdään tuotekohtainen myyntisuunnitelma.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97179</xdr:colOff>
      <xdr:row>13</xdr:row>
      <xdr:rowOff>319745</xdr:rowOff>
    </xdr:from>
    <xdr:to>
      <xdr:col>4</xdr:col>
      <xdr:colOff>940599</xdr:colOff>
      <xdr:row>16</xdr:row>
      <xdr:rowOff>154136</xdr:rowOff>
    </xdr:to>
    <xdr:sp macro="" textlink="">
      <xdr:nvSpPr>
        <xdr:cNvPr id="35" name="Suorakulmio: Pyöristetyt kulmat 34">
          <a:extLst>
            <a:ext uri="{FF2B5EF4-FFF2-40B4-BE49-F238E27FC236}">
              <a16:creationId xmlns:a16="http://schemas.microsoft.com/office/drawing/2014/main" id="{239947AD-21FB-40DA-8E81-A361AACC1F88}"/>
            </a:ext>
          </a:extLst>
        </xdr:cNvPr>
        <xdr:cNvSpPr/>
      </xdr:nvSpPr>
      <xdr:spPr>
        <a:xfrm>
          <a:off x="889659" y="3040085"/>
          <a:ext cx="3746640" cy="756411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T4 RAHOITUSSUUNNITELMA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Asetetaan vaihto-omaisuuden,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ostovelkojen ja myyntisaatavien kiertonopeudet oikeiksi. S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uunnittele osingonjako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/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yksityisotot. Tarkista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vielä OHJEen kohdat.</a:t>
          </a:r>
          <a:endParaRPr lang="fi-FI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91458</xdr:colOff>
      <xdr:row>19</xdr:row>
      <xdr:rowOff>245124</xdr:rowOff>
    </xdr:from>
    <xdr:to>
      <xdr:col>4</xdr:col>
      <xdr:colOff>942498</xdr:colOff>
      <xdr:row>21</xdr:row>
      <xdr:rowOff>314409</xdr:rowOff>
    </xdr:to>
    <xdr:sp macro="" textlink="">
      <xdr:nvSpPr>
        <xdr:cNvPr id="36" name="Suorakulmio: Pyöristetyt kulmat 35">
          <a:extLst>
            <a:ext uri="{FF2B5EF4-FFF2-40B4-BE49-F238E27FC236}">
              <a16:creationId xmlns:a16="http://schemas.microsoft.com/office/drawing/2014/main" id="{ECEA007D-AE4C-411E-93D8-4D7FEF5F27E7}"/>
            </a:ext>
          </a:extLst>
        </xdr:cNvPr>
        <xdr:cNvSpPr/>
      </xdr:nvSpPr>
      <xdr:spPr>
        <a:xfrm>
          <a:off x="883938" y="4588524"/>
          <a:ext cx="3754260" cy="61030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T2 TULOSSUUNNITELMA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 tulossuunnitelmaan liiketoiminnan muut tuotot ja satunnaiset erät.</a:t>
          </a:r>
        </a:p>
      </xdr:txBody>
    </xdr:sp>
    <xdr:clientData/>
  </xdr:twoCellAnchor>
  <xdr:twoCellAnchor>
    <xdr:from>
      <xdr:col>2</xdr:col>
      <xdr:colOff>91404</xdr:colOff>
      <xdr:row>22</xdr:row>
      <xdr:rowOff>14990</xdr:rowOff>
    </xdr:from>
    <xdr:to>
      <xdr:col>4</xdr:col>
      <xdr:colOff>942444</xdr:colOff>
      <xdr:row>25</xdr:row>
      <xdr:rowOff>32485</xdr:rowOff>
    </xdr:to>
    <xdr:sp macro="" textlink="">
      <xdr:nvSpPr>
        <xdr:cNvPr id="38" name="Suorakulmio: Pyöristetyt kulmat 37">
          <a:extLst>
            <a:ext uri="{FF2B5EF4-FFF2-40B4-BE49-F238E27FC236}">
              <a16:creationId xmlns:a16="http://schemas.microsoft.com/office/drawing/2014/main" id="{711EF7E8-2A2F-4499-8340-DA02896AB1BD}"/>
            </a:ext>
          </a:extLst>
        </xdr:cNvPr>
        <xdr:cNvSpPr/>
      </xdr:nvSpPr>
      <xdr:spPr>
        <a:xfrm>
          <a:off x="883884" y="5280410"/>
          <a:ext cx="3754260" cy="47469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T5 KASSABUDJETTI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Tulojen ja menojen ennuste 1. tai 2. ennustekaudelle. </a:t>
          </a:r>
        </a:p>
      </xdr:txBody>
    </xdr:sp>
    <xdr:clientData/>
  </xdr:twoCellAnchor>
  <xdr:twoCellAnchor>
    <xdr:from>
      <xdr:col>2</xdr:col>
      <xdr:colOff>98203</xdr:colOff>
      <xdr:row>25</xdr:row>
      <xdr:rowOff>116038</xdr:rowOff>
    </xdr:from>
    <xdr:to>
      <xdr:col>4</xdr:col>
      <xdr:colOff>941623</xdr:colOff>
      <xdr:row>28</xdr:row>
      <xdr:rowOff>102234</xdr:rowOff>
    </xdr:to>
    <xdr:sp macro="" textlink="">
      <xdr:nvSpPr>
        <xdr:cNvPr id="39" name="Suorakulmio: Pyöristetyt kulmat 38">
          <a:extLst>
            <a:ext uri="{FF2B5EF4-FFF2-40B4-BE49-F238E27FC236}">
              <a16:creationId xmlns:a16="http://schemas.microsoft.com/office/drawing/2014/main" id="{DF71DAFF-E431-481A-8214-151BEB6C7764}"/>
            </a:ext>
          </a:extLst>
        </xdr:cNvPr>
        <xdr:cNvSpPr/>
      </xdr:nvSpPr>
      <xdr:spPr>
        <a:xfrm>
          <a:off x="890683" y="5838658"/>
          <a:ext cx="3746640" cy="466256"/>
        </a:xfrm>
        <a:prstGeom prst="roundRect">
          <a:avLst/>
        </a:prstGeom>
        <a:solidFill>
          <a:schemeClr val="bg1">
            <a:lumMod val="95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TULOSTUSSIVU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Kooste laskennasta. Tulosta tai tallenna pdf-muodossa.</a:t>
          </a:r>
        </a:p>
      </xdr:txBody>
    </xdr:sp>
    <xdr:clientData/>
  </xdr:twoCellAnchor>
  <xdr:twoCellAnchor>
    <xdr:from>
      <xdr:col>2</xdr:col>
      <xdr:colOff>94464</xdr:colOff>
      <xdr:row>17</xdr:row>
      <xdr:rowOff>76342</xdr:rowOff>
    </xdr:from>
    <xdr:to>
      <xdr:col>4</xdr:col>
      <xdr:colOff>939789</xdr:colOff>
      <xdr:row>19</xdr:row>
      <xdr:rowOff>145627</xdr:rowOff>
    </xdr:to>
    <xdr:sp macro="" textlink="">
      <xdr:nvSpPr>
        <xdr:cNvPr id="24" name="Suorakulmio: Pyöristetyt kulmat 23">
          <a:extLst>
            <a:ext uri="{FF2B5EF4-FFF2-40B4-BE49-F238E27FC236}">
              <a16:creationId xmlns:a16="http://schemas.microsoft.com/office/drawing/2014/main" id="{D676BCAA-BF8F-4D59-9960-F2F3CEDF23A9}"/>
            </a:ext>
          </a:extLst>
        </xdr:cNvPr>
        <xdr:cNvSpPr/>
      </xdr:nvSpPr>
      <xdr:spPr>
        <a:xfrm>
          <a:off x="886944" y="3878722"/>
          <a:ext cx="3748545" cy="61030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T3 TASE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Tarkista OHJEen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mukaiset kohdat ja,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että taseen VASTAAVAA ja VASTATTAVAA-loppusummat täsmäävät.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endParaRPr lang="fi-FI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194088</xdr:colOff>
      <xdr:row>22</xdr:row>
      <xdr:rowOff>72569</xdr:rowOff>
    </xdr:from>
    <xdr:to>
      <xdr:col>2</xdr:col>
      <xdr:colOff>35822</xdr:colOff>
      <xdr:row>25</xdr:row>
      <xdr:rowOff>11020</xdr:rowOff>
    </xdr:to>
    <xdr:pic>
      <xdr:nvPicPr>
        <xdr:cNvPr id="4" name="Kuva 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9A746FE-40BE-4751-8512-5921D023C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861" y="5380592"/>
          <a:ext cx="378597" cy="399923"/>
        </a:xfrm>
        <a:prstGeom prst="rect">
          <a:avLst/>
        </a:prstGeom>
      </xdr:spPr>
    </xdr:pic>
    <xdr:clientData/>
  </xdr:twoCellAnchor>
  <xdr:twoCellAnchor>
    <xdr:from>
      <xdr:col>4</xdr:col>
      <xdr:colOff>1162986</xdr:colOff>
      <xdr:row>9</xdr:row>
      <xdr:rowOff>344142</xdr:rowOff>
    </xdr:from>
    <xdr:to>
      <xdr:col>6</xdr:col>
      <xdr:colOff>2164775</xdr:colOff>
      <xdr:row>20</xdr:row>
      <xdr:rowOff>112569</xdr:rowOff>
    </xdr:to>
    <xdr:sp macro="" textlink="">
      <xdr:nvSpPr>
        <xdr:cNvPr id="42" name="Tekstiruutu 41">
          <a:extLst>
            <a:ext uri="{FF2B5EF4-FFF2-40B4-BE49-F238E27FC236}">
              <a16:creationId xmlns:a16="http://schemas.microsoft.com/office/drawing/2014/main" id="{6612E85D-8A3B-4640-BF73-94B635DF9DED}"/>
            </a:ext>
          </a:extLst>
        </xdr:cNvPr>
        <xdr:cNvSpPr txBox="1"/>
      </xdr:nvSpPr>
      <xdr:spPr>
        <a:xfrm>
          <a:off x="6020736" y="1998028"/>
          <a:ext cx="3677448" cy="2877041"/>
        </a:xfrm>
        <a:prstGeom prst="rect">
          <a:avLst/>
        </a:prstGeom>
        <a:solidFill>
          <a:srgbClr val="FFC000">
            <a:alpha val="95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rtlCol="0" anchor="t"/>
        <a:lstStyle/>
        <a:p>
          <a:pPr rtl="0" eaLnBrk="1" fontAlgn="auto" latinLnBrk="0" hangingPunct="1">
            <a:lnSpc>
              <a:spcPts val="1500"/>
            </a:lnSpc>
            <a:spcBef>
              <a:spcPts val="0"/>
            </a:spcBef>
          </a:pPr>
          <a:r>
            <a:rPr lang="fi-FI" sz="1100" b="1" i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OHJE</a:t>
          </a:r>
          <a:br>
            <a:rPr lang="fi-FI" sz="1100" b="1" i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fi-FI" sz="1050" b="1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Käyttötarkoitus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Aloittavan yrityksen talouden ja investointien kokonaissuunnitteluun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Toimivien yritysten liiketoimintakauppojen suunnitteluun</a:t>
          </a: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Rahoitushakemuksen liitteiden laatimiseen rahoittajille</a:t>
          </a:r>
          <a:br>
            <a:rPr lang="fi-FI" sz="1050" b="1" i="1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rtl="0" eaLnBrk="1" fontAlgn="auto" latinLnBrk="0" hangingPunct="1">
            <a:lnSpc>
              <a:spcPts val="1500"/>
            </a:lnSpc>
            <a:spcBef>
              <a:spcPts val="0"/>
            </a:spcBef>
          </a:pPr>
          <a:r>
            <a:rPr lang="fi-FI" sz="1050" b="1" i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Täyttöohje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Laskelma täytetään vasemmalla olevien numeroiden mukaisesti numerojärjestyksessä. Aloita kohdasta</a:t>
          </a:r>
          <a:b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1. T1 INVESTOINTISUUNNITELMA. 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Lisää ohjeita yritysTULKISTA  </a:t>
          </a:r>
          <a:endParaRPr lang="fi-FI" sz="1050">
            <a:ln>
              <a:noFill/>
            </a:ln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103415</xdr:colOff>
      <xdr:row>1</xdr:row>
      <xdr:rowOff>36314</xdr:rowOff>
    </xdr:from>
    <xdr:to>
      <xdr:col>3</xdr:col>
      <xdr:colOff>79739</xdr:colOff>
      <xdr:row>4</xdr:row>
      <xdr:rowOff>199566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73C37DAD-3ADA-62A3-DE3A-63E5A6F10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640" y="131564"/>
          <a:ext cx="681174" cy="299142"/>
        </a:xfrm>
        <a:prstGeom prst="rect">
          <a:avLst/>
        </a:prstGeom>
      </xdr:spPr>
    </xdr:pic>
    <xdr:clientData/>
  </xdr:twoCellAnchor>
  <xdr:twoCellAnchor editAs="oneCell">
    <xdr:from>
      <xdr:col>5</xdr:col>
      <xdr:colOff>900545</xdr:colOff>
      <xdr:row>6</xdr:row>
      <xdr:rowOff>11372</xdr:rowOff>
    </xdr:from>
    <xdr:to>
      <xdr:col>6</xdr:col>
      <xdr:colOff>1194954</xdr:colOff>
      <xdr:row>9</xdr:row>
      <xdr:rowOff>71870</xdr:rowOff>
    </xdr:to>
    <xdr:pic>
      <xdr:nvPicPr>
        <xdr:cNvPr id="135" name="Kuva 134">
          <a:extLst>
            <a:ext uri="{FF2B5EF4-FFF2-40B4-BE49-F238E27FC236}">
              <a16:creationId xmlns:a16="http://schemas.microsoft.com/office/drawing/2014/main" id="{1B3AF80A-76BD-95A2-8B69-929559453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1568" y="955213"/>
          <a:ext cx="1376795" cy="77054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</xdr:colOff>
      <xdr:row>259</xdr:row>
      <xdr:rowOff>17063</xdr:rowOff>
    </xdr:from>
    <xdr:to>
      <xdr:col>17</xdr:col>
      <xdr:colOff>175259</xdr:colOff>
      <xdr:row>279</xdr:row>
      <xdr:rowOff>114300</xdr:rowOff>
    </xdr:to>
    <xdr:graphicFrame macro="">
      <xdr:nvGraphicFramePr>
        <xdr:cNvPr id="10" name="Kaavio 9">
          <a:extLst>
            <a:ext uri="{FF2B5EF4-FFF2-40B4-BE49-F238E27FC236}">
              <a16:creationId xmlns:a16="http://schemas.microsoft.com/office/drawing/2014/main" id="{B42A2A97-49E8-4DAB-8869-3AD91EED44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68580</xdr:colOff>
      <xdr:row>282</xdr:row>
      <xdr:rowOff>119216</xdr:rowOff>
    </xdr:from>
    <xdr:to>
      <xdr:col>17</xdr:col>
      <xdr:colOff>190500</xdr:colOff>
      <xdr:row>302</xdr:row>
      <xdr:rowOff>78026</xdr:rowOff>
    </xdr:to>
    <xdr:graphicFrame macro="">
      <xdr:nvGraphicFramePr>
        <xdr:cNvPr id="11" name="Kaavio 10">
          <a:extLst>
            <a:ext uri="{FF2B5EF4-FFF2-40B4-BE49-F238E27FC236}">
              <a16:creationId xmlns:a16="http://schemas.microsoft.com/office/drawing/2014/main" id="{70607819-A0D0-412E-A0E3-A69B265783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34834</xdr:colOff>
      <xdr:row>305</xdr:row>
      <xdr:rowOff>68292</xdr:rowOff>
    </xdr:from>
    <xdr:to>
      <xdr:col>17</xdr:col>
      <xdr:colOff>141513</xdr:colOff>
      <xdr:row>321</xdr:row>
      <xdr:rowOff>757262</xdr:rowOff>
    </xdr:to>
    <xdr:graphicFrame macro="">
      <xdr:nvGraphicFramePr>
        <xdr:cNvPr id="12" name="Kaavio 11">
          <a:extLst>
            <a:ext uri="{FF2B5EF4-FFF2-40B4-BE49-F238E27FC236}">
              <a16:creationId xmlns:a16="http://schemas.microsoft.com/office/drawing/2014/main" id="{1B7AFD0A-97C0-42BD-BE19-8A395E832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169971</xdr:colOff>
      <xdr:row>145</xdr:row>
      <xdr:rowOff>35548</xdr:rowOff>
    </xdr:from>
    <xdr:to>
      <xdr:col>0</xdr:col>
      <xdr:colOff>591914</xdr:colOff>
      <xdr:row>147</xdr:row>
      <xdr:rowOff>129972</xdr:rowOff>
    </xdr:to>
    <xdr:pic>
      <xdr:nvPicPr>
        <xdr:cNvPr id="26" name="Kuva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C8953F7-9713-4EBA-8ED4-B02E104B5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71" y="21611034"/>
          <a:ext cx="421943" cy="399224"/>
        </a:xfrm>
        <a:prstGeom prst="rect">
          <a:avLst/>
        </a:prstGeom>
      </xdr:spPr>
    </xdr:pic>
    <xdr:clientData/>
  </xdr:twoCellAnchor>
  <xdr:twoCellAnchor editAs="oneCell">
    <xdr:from>
      <xdr:col>0</xdr:col>
      <xdr:colOff>168611</xdr:colOff>
      <xdr:row>147</xdr:row>
      <xdr:rowOff>149535</xdr:rowOff>
    </xdr:from>
    <xdr:to>
      <xdr:col>0</xdr:col>
      <xdr:colOff>590554</xdr:colOff>
      <xdr:row>150</xdr:row>
      <xdr:rowOff>75000</xdr:rowOff>
    </xdr:to>
    <xdr:pic>
      <xdr:nvPicPr>
        <xdr:cNvPr id="27" name="Kuva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14ABC3D-0BD7-4B68-A634-D44EDA90C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611" y="22029821"/>
          <a:ext cx="421943" cy="382665"/>
        </a:xfrm>
        <a:prstGeom prst="rect">
          <a:avLst/>
        </a:prstGeom>
      </xdr:spPr>
    </xdr:pic>
    <xdr:clientData/>
  </xdr:twoCellAnchor>
  <xdr:twoCellAnchor editAs="oneCell">
    <xdr:from>
      <xdr:col>0</xdr:col>
      <xdr:colOff>174558</xdr:colOff>
      <xdr:row>159</xdr:row>
      <xdr:rowOff>28066</xdr:rowOff>
    </xdr:from>
    <xdr:to>
      <xdr:col>0</xdr:col>
      <xdr:colOff>581260</xdr:colOff>
      <xdr:row>161</xdr:row>
      <xdr:rowOff>60898</xdr:rowOff>
    </xdr:to>
    <xdr:pic>
      <xdr:nvPicPr>
        <xdr:cNvPr id="28" name="Kuva 2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D1DEF6D-AA65-4561-940A-3FB049BC6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558" y="24160569"/>
          <a:ext cx="406702" cy="377268"/>
        </a:xfrm>
        <a:prstGeom prst="rect">
          <a:avLst/>
        </a:prstGeom>
      </xdr:spPr>
    </xdr:pic>
    <xdr:clientData/>
  </xdr:twoCellAnchor>
  <xdr:twoCellAnchor editAs="oneCell">
    <xdr:from>
      <xdr:col>0</xdr:col>
      <xdr:colOff>169760</xdr:colOff>
      <xdr:row>153</xdr:row>
      <xdr:rowOff>97873</xdr:rowOff>
    </xdr:from>
    <xdr:to>
      <xdr:col>0</xdr:col>
      <xdr:colOff>566938</xdr:colOff>
      <xdr:row>156</xdr:row>
      <xdr:rowOff>30481</xdr:rowOff>
    </xdr:to>
    <xdr:pic>
      <xdr:nvPicPr>
        <xdr:cNvPr id="29" name="Kuva 2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9246B02-C4D6-4212-A0D9-99B5DD91B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760" y="23306967"/>
          <a:ext cx="397178" cy="394313"/>
        </a:xfrm>
        <a:prstGeom prst="rect">
          <a:avLst/>
        </a:prstGeom>
      </xdr:spPr>
    </xdr:pic>
    <xdr:clientData/>
  </xdr:twoCellAnchor>
  <xdr:twoCellAnchor editAs="oneCell">
    <xdr:from>
      <xdr:col>0</xdr:col>
      <xdr:colOff>167589</xdr:colOff>
      <xdr:row>150</xdr:row>
      <xdr:rowOff>128252</xdr:rowOff>
    </xdr:from>
    <xdr:to>
      <xdr:col>0</xdr:col>
      <xdr:colOff>574292</xdr:colOff>
      <xdr:row>153</xdr:row>
      <xdr:rowOff>55623</xdr:rowOff>
    </xdr:to>
    <xdr:pic>
      <xdr:nvPicPr>
        <xdr:cNvPr id="30" name="Kuva 2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73708891-7E74-471B-8511-BD1495D6A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589" y="22465738"/>
          <a:ext cx="406703" cy="384570"/>
        </a:xfrm>
        <a:prstGeom prst="rect">
          <a:avLst/>
        </a:prstGeom>
      </xdr:spPr>
    </xdr:pic>
    <xdr:clientData/>
  </xdr:twoCellAnchor>
  <xdr:twoCellAnchor editAs="oneCell">
    <xdr:from>
      <xdr:col>0</xdr:col>
      <xdr:colOff>177660</xdr:colOff>
      <xdr:row>156</xdr:row>
      <xdr:rowOff>61898</xdr:rowOff>
    </xdr:from>
    <xdr:to>
      <xdr:col>0</xdr:col>
      <xdr:colOff>584363</xdr:colOff>
      <xdr:row>158</xdr:row>
      <xdr:rowOff>146174</xdr:rowOff>
    </xdr:to>
    <xdr:pic>
      <xdr:nvPicPr>
        <xdr:cNvPr id="49" name="Kuva 4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AE754DE2-618F-4FC2-88D6-C94543DDC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660" y="23732696"/>
          <a:ext cx="406703" cy="392078"/>
        </a:xfrm>
        <a:prstGeom prst="rect">
          <a:avLst/>
        </a:prstGeom>
      </xdr:spPr>
    </xdr:pic>
    <xdr:clientData/>
  </xdr:twoCellAnchor>
  <xdr:twoCellAnchor editAs="oneCell">
    <xdr:from>
      <xdr:col>0</xdr:col>
      <xdr:colOff>173373</xdr:colOff>
      <xdr:row>142</xdr:row>
      <xdr:rowOff>102577</xdr:rowOff>
    </xdr:from>
    <xdr:to>
      <xdr:col>0</xdr:col>
      <xdr:colOff>593481</xdr:colOff>
      <xdr:row>144</xdr:row>
      <xdr:rowOff>174086</xdr:rowOff>
    </xdr:to>
    <xdr:pic>
      <xdr:nvPicPr>
        <xdr:cNvPr id="50" name="Kuva 4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315B4D3F-4CF0-4A14-A60E-C8EE353317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73" y="22032058"/>
          <a:ext cx="420108" cy="415874"/>
        </a:xfrm>
        <a:prstGeom prst="rect">
          <a:avLst/>
        </a:prstGeom>
      </xdr:spPr>
    </xdr:pic>
    <xdr:clientData/>
  </xdr:twoCellAnchor>
  <xdr:twoCellAnchor editAs="oneCell">
    <xdr:from>
      <xdr:col>0</xdr:col>
      <xdr:colOff>155891</xdr:colOff>
      <xdr:row>161</xdr:row>
      <xdr:rowOff>130075</xdr:rowOff>
    </xdr:from>
    <xdr:to>
      <xdr:col>0</xdr:col>
      <xdr:colOff>573686</xdr:colOff>
      <xdr:row>164</xdr:row>
      <xdr:rowOff>59386</xdr:rowOff>
    </xdr:to>
    <xdr:pic>
      <xdr:nvPicPr>
        <xdr:cNvPr id="4" name="Kuva 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5C2F4E6-5963-4EEE-A202-87B4E3748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91" y="24570381"/>
          <a:ext cx="417795" cy="405670"/>
        </a:xfrm>
        <a:prstGeom prst="rect">
          <a:avLst/>
        </a:prstGeom>
      </xdr:spPr>
    </xdr:pic>
    <xdr:clientData/>
  </xdr:twoCellAnchor>
  <xdr:twoCellAnchor editAs="oneCell">
    <xdr:from>
      <xdr:col>0</xdr:col>
      <xdr:colOff>113442</xdr:colOff>
      <xdr:row>164</xdr:row>
      <xdr:rowOff>48898</xdr:rowOff>
    </xdr:from>
    <xdr:to>
      <xdr:col>0</xdr:col>
      <xdr:colOff>563608</xdr:colOff>
      <xdr:row>167</xdr:row>
      <xdr:rowOff>70044</xdr:rowOff>
    </xdr:to>
    <xdr:pic>
      <xdr:nvPicPr>
        <xdr:cNvPr id="8" name="Kuva 7" descr="Tulostin">
          <a:extLst>
            <a:ext uri="{FF2B5EF4-FFF2-40B4-BE49-F238E27FC236}">
              <a16:creationId xmlns:a16="http://schemas.microsoft.com/office/drawing/2014/main" id="{A15F584A-722C-4269-ADF1-C66C1E3D9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1"/>
            </a:ext>
          </a:extLst>
        </a:blip>
        <a:stretch>
          <a:fillRect/>
        </a:stretch>
      </xdr:blipFill>
      <xdr:spPr>
        <a:xfrm>
          <a:off x="113442" y="25546590"/>
          <a:ext cx="450166" cy="490069"/>
        </a:xfrm>
        <a:prstGeom prst="rect">
          <a:avLst/>
        </a:prstGeom>
      </xdr:spPr>
    </xdr:pic>
    <xdr:clientData/>
  </xdr:twoCellAnchor>
  <xdr:twoCellAnchor editAs="oneCell">
    <xdr:from>
      <xdr:col>15</xdr:col>
      <xdr:colOff>257325</xdr:colOff>
      <xdr:row>83</xdr:row>
      <xdr:rowOff>70338</xdr:rowOff>
    </xdr:from>
    <xdr:to>
      <xdr:col>17</xdr:col>
      <xdr:colOff>244507</xdr:colOff>
      <xdr:row>85</xdr:row>
      <xdr:rowOff>59058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9E5A2C20-A9EC-4501-A192-A1BAD0219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325" y="12294995"/>
          <a:ext cx="934239" cy="304406"/>
        </a:xfrm>
        <a:prstGeom prst="rect">
          <a:avLst/>
        </a:prstGeom>
      </xdr:spPr>
    </xdr:pic>
    <xdr:clientData/>
  </xdr:twoCellAnchor>
  <xdr:twoCellAnchor editAs="oneCell">
    <xdr:from>
      <xdr:col>15</xdr:col>
      <xdr:colOff>277447</xdr:colOff>
      <xdr:row>253</xdr:row>
      <xdr:rowOff>64770</xdr:rowOff>
    </xdr:from>
    <xdr:to>
      <xdr:col>17</xdr:col>
      <xdr:colOff>241442</xdr:colOff>
      <xdr:row>255</xdr:row>
      <xdr:rowOff>76350</xdr:rowOff>
    </xdr:to>
    <xdr:pic>
      <xdr:nvPicPr>
        <xdr:cNvPr id="51" name="Kuva 50">
          <a:extLst>
            <a:ext uri="{FF2B5EF4-FFF2-40B4-BE49-F238E27FC236}">
              <a16:creationId xmlns:a16="http://schemas.microsoft.com/office/drawing/2014/main" id="{B24E9A9A-0280-4C9D-982B-ED7C545D9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7447" y="37527956"/>
          <a:ext cx="911052" cy="332708"/>
        </a:xfrm>
        <a:prstGeom prst="rect">
          <a:avLst/>
        </a:prstGeom>
      </xdr:spPr>
    </xdr:pic>
    <xdr:clientData/>
  </xdr:twoCellAnchor>
  <xdr:twoCellAnchor editAs="oneCell">
    <xdr:from>
      <xdr:col>15</xdr:col>
      <xdr:colOff>363697</xdr:colOff>
      <xdr:row>1</xdr:row>
      <xdr:rowOff>29501</xdr:rowOff>
    </xdr:from>
    <xdr:to>
      <xdr:col>17</xdr:col>
      <xdr:colOff>377154</xdr:colOff>
      <xdr:row>3</xdr:row>
      <xdr:rowOff>25841</xdr:rowOff>
    </xdr:to>
    <xdr:pic>
      <xdr:nvPicPr>
        <xdr:cNvPr id="52" name="Kuva 51">
          <a:extLst>
            <a:ext uri="{FF2B5EF4-FFF2-40B4-BE49-F238E27FC236}">
              <a16:creationId xmlns:a16="http://schemas.microsoft.com/office/drawing/2014/main" id="{DAAE5EE0-11B6-421C-A94C-5784F7456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6840" y="187156"/>
          <a:ext cx="959388" cy="330419"/>
        </a:xfrm>
        <a:prstGeom prst="rect">
          <a:avLst/>
        </a:prstGeom>
      </xdr:spPr>
    </xdr:pic>
    <xdr:clientData/>
  </xdr:twoCellAnchor>
  <xdr:twoCellAnchor editAs="oneCell">
    <xdr:from>
      <xdr:col>15</xdr:col>
      <xdr:colOff>304800</xdr:colOff>
      <xdr:row>166</xdr:row>
      <xdr:rowOff>91440</xdr:rowOff>
    </xdr:from>
    <xdr:to>
      <xdr:col>17</xdr:col>
      <xdr:colOff>295737</xdr:colOff>
      <xdr:row>169</xdr:row>
      <xdr:rowOff>150</xdr:rowOff>
    </xdr:to>
    <xdr:pic>
      <xdr:nvPicPr>
        <xdr:cNvPr id="17" name="Kuva 16">
          <a:extLst>
            <a:ext uri="{FF2B5EF4-FFF2-40B4-BE49-F238E27FC236}">
              <a16:creationId xmlns:a16="http://schemas.microsoft.com/office/drawing/2014/main" id="{CF982E4A-71B5-48CA-B7D3-5926C9B5C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24872769"/>
          <a:ext cx="937994" cy="344138"/>
        </a:xfrm>
        <a:prstGeom prst="rect">
          <a:avLst/>
        </a:prstGeom>
      </xdr:spPr>
    </xdr:pic>
    <xdr:clientData/>
  </xdr:twoCellAnchor>
  <xdr:twoCellAnchor>
    <xdr:from>
      <xdr:col>0</xdr:col>
      <xdr:colOff>64048</xdr:colOff>
      <xdr:row>19</xdr:row>
      <xdr:rowOff>29121</xdr:rowOff>
    </xdr:from>
    <xdr:to>
      <xdr:col>0</xdr:col>
      <xdr:colOff>525644</xdr:colOff>
      <xdr:row>43</xdr:row>
      <xdr:rowOff>115336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169A18D6-5F44-DBC6-8381-D0392613C248}"/>
            </a:ext>
          </a:extLst>
        </xdr:cNvPr>
        <xdr:cNvGrpSpPr/>
      </xdr:nvGrpSpPr>
      <xdr:grpSpPr>
        <a:xfrm>
          <a:off x="64048" y="2836925"/>
          <a:ext cx="461596" cy="3689150"/>
          <a:chOff x="129738" y="4594552"/>
          <a:chExt cx="461596" cy="3738560"/>
        </a:xfrm>
      </xdr:grpSpPr>
      <xdr:pic>
        <xdr:nvPicPr>
          <xdr:cNvPr id="18" name="Kuva 1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39E1DDE-1505-4E50-B446-96C1766408E4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170" y="4985938"/>
            <a:ext cx="396000" cy="401129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7C660B7F-AB4C-48FF-96C3-455B9B62F150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275" y="5409073"/>
            <a:ext cx="396000" cy="396000"/>
          </a:xfrm>
          <a:prstGeom prst="rect">
            <a:avLst/>
          </a:prstGeom>
        </xdr:spPr>
      </xdr:pic>
      <xdr:pic>
        <xdr:nvPicPr>
          <xdr:cNvPr id="20" name="Kuva 1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93A32DEE-055A-4AB7-A223-37C5774E02DB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5485" y="7022486"/>
            <a:ext cx="396000" cy="396000"/>
          </a:xfrm>
          <a:prstGeom prst="rect">
            <a:avLst/>
          </a:prstGeom>
        </xdr:spPr>
      </xdr:pic>
      <xdr:pic>
        <xdr:nvPicPr>
          <xdr:cNvPr id="21" name="Kuva 2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29C3C514-BFAC-4111-95C9-CC25AF56CDFB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2164" y="6228063"/>
            <a:ext cx="396000" cy="396000"/>
          </a:xfrm>
          <a:prstGeom prst="rect">
            <a:avLst/>
          </a:prstGeom>
        </xdr:spPr>
      </xdr:pic>
      <xdr:pic>
        <xdr:nvPicPr>
          <xdr:cNvPr id="22" name="Kuva 2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C934381-7046-4D5A-BB76-013978BEDF58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521" y="5822484"/>
            <a:ext cx="396000" cy="396000"/>
          </a:xfrm>
          <a:prstGeom prst="rect">
            <a:avLst/>
          </a:prstGeom>
        </xdr:spPr>
      </xdr:pic>
      <xdr:pic>
        <xdr:nvPicPr>
          <xdr:cNvPr id="23" name="Kuva 22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9E13A4CC-D7C7-4B1E-B91F-D7DA119112ED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5865" y="6626415"/>
            <a:ext cx="396000" cy="396000"/>
          </a:xfrm>
          <a:prstGeom prst="rect">
            <a:avLst/>
          </a:prstGeom>
        </xdr:spPr>
      </xdr:pic>
      <xdr:pic>
        <xdr:nvPicPr>
          <xdr:cNvPr id="24" name="Kuva 23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F2EAD9B2-7FCF-4ED8-9CAF-A21C9C56FAE9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7573" y="4594552"/>
            <a:ext cx="396000" cy="396000"/>
          </a:xfrm>
          <a:prstGeom prst="rect">
            <a:avLst/>
          </a:prstGeom>
        </xdr:spPr>
      </xdr:pic>
      <xdr:pic>
        <xdr:nvPicPr>
          <xdr:cNvPr id="25" name="Kuva 2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75483E71-FABD-4BF8-82D5-3C225B15B792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9684" y="7433466"/>
            <a:ext cx="396000" cy="396000"/>
          </a:xfrm>
          <a:prstGeom prst="rect">
            <a:avLst/>
          </a:prstGeom>
        </xdr:spPr>
      </xdr:pic>
      <xdr:pic>
        <xdr:nvPicPr>
          <xdr:cNvPr id="31" name="Kuva 30" descr="Tulostin">
            <a:extLst>
              <a:ext uri="{FF2B5EF4-FFF2-40B4-BE49-F238E27FC236}">
                <a16:creationId xmlns:a16="http://schemas.microsoft.com/office/drawing/2014/main" id="{224FDD31-D432-47DC-A71F-07675C9094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9"/>
              </a:ext>
            </a:extLst>
          </a:blip>
          <a:stretch>
            <a:fillRect/>
          </a:stretch>
        </xdr:blipFill>
        <xdr:spPr>
          <a:xfrm>
            <a:off x="129738" y="7863842"/>
            <a:ext cx="461596" cy="469270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</xdr:colOff>
      <xdr:row>255</xdr:row>
      <xdr:rowOff>97073</xdr:rowOff>
    </xdr:from>
    <xdr:to>
      <xdr:col>17</xdr:col>
      <xdr:colOff>137794</xdr:colOff>
      <xdr:row>279</xdr:row>
      <xdr:rowOff>25400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45A9D3F7-23C9-4332-A348-AB03B0A88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45720</xdr:colOff>
      <xdr:row>282</xdr:row>
      <xdr:rowOff>88191</xdr:rowOff>
    </xdr:from>
    <xdr:to>
      <xdr:col>17</xdr:col>
      <xdr:colOff>171450</xdr:colOff>
      <xdr:row>302</xdr:row>
      <xdr:rowOff>25774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B7A85B5C-2835-4116-90E1-189E99222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6448</xdr:colOff>
      <xdr:row>311</xdr:row>
      <xdr:rowOff>30505</xdr:rowOff>
    </xdr:from>
    <xdr:to>
      <xdr:col>17</xdr:col>
      <xdr:colOff>116937</xdr:colOff>
      <xdr:row>331</xdr:row>
      <xdr:rowOff>96751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3FC1C5B5-5BD4-4EC2-88BB-7BAFBC5B5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458016</xdr:colOff>
      <xdr:row>276</xdr:row>
      <xdr:rowOff>121103</xdr:rowOff>
    </xdr:from>
    <xdr:to>
      <xdr:col>14</xdr:col>
      <xdr:colOff>71027</xdr:colOff>
      <xdr:row>278</xdr:row>
      <xdr:rowOff>132533</xdr:rowOff>
    </xdr:to>
    <xdr:grpSp>
      <xdr:nvGrpSpPr>
        <xdr:cNvPr id="17" name="Ryhmä 16">
          <a:extLst>
            <a:ext uri="{FF2B5EF4-FFF2-40B4-BE49-F238E27FC236}">
              <a16:creationId xmlns:a16="http://schemas.microsoft.com/office/drawing/2014/main" id="{11B16051-9543-D4BD-1FDF-64DE90D20A0D}"/>
            </a:ext>
          </a:extLst>
        </xdr:cNvPr>
        <xdr:cNvGrpSpPr/>
      </xdr:nvGrpSpPr>
      <xdr:grpSpPr>
        <a:xfrm>
          <a:off x="2801166" y="44955278"/>
          <a:ext cx="4680311" cy="335280"/>
          <a:chOff x="2644140" y="47303055"/>
          <a:chExt cx="4185284" cy="348615"/>
        </a:xfrm>
      </xdr:grpSpPr>
      <xdr:sp macro="" textlink="">
        <xdr:nvSpPr>
          <xdr:cNvPr id="9" name="Suorakulmio 8">
            <a:extLst>
              <a:ext uri="{FF2B5EF4-FFF2-40B4-BE49-F238E27FC236}">
                <a16:creationId xmlns:a16="http://schemas.microsoft.com/office/drawing/2014/main" id="{9E0442C0-1E69-2E2F-CAF2-06216EE1BEFF}"/>
              </a:ext>
            </a:extLst>
          </xdr:cNvPr>
          <xdr:cNvSpPr/>
        </xdr:nvSpPr>
        <xdr:spPr>
          <a:xfrm>
            <a:off x="5240655" y="47379255"/>
            <a:ext cx="150495" cy="127635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0" name="Tekstiruutu 9">
            <a:extLst>
              <a:ext uri="{FF2B5EF4-FFF2-40B4-BE49-F238E27FC236}">
                <a16:creationId xmlns:a16="http://schemas.microsoft.com/office/drawing/2014/main" id="{2DE3A9E5-EB91-6B1F-7185-676FD4BCBDBA}"/>
              </a:ext>
            </a:extLst>
          </xdr:cNvPr>
          <xdr:cNvSpPr txBox="1"/>
        </xdr:nvSpPr>
        <xdr:spPr>
          <a:xfrm>
            <a:off x="2758440" y="47303055"/>
            <a:ext cx="1047750" cy="33147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/>
              <a:t>TURNOVER</a:t>
            </a:r>
          </a:p>
        </xdr:txBody>
      </xdr:sp>
      <xdr:sp macro="" textlink="">
        <xdr:nvSpPr>
          <xdr:cNvPr id="11" name="Tekstiruutu 10">
            <a:extLst>
              <a:ext uri="{FF2B5EF4-FFF2-40B4-BE49-F238E27FC236}">
                <a16:creationId xmlns:a16="http://schemas.microsoft.com/office/drawing/2014/main" id="{7BF26FCD-6544-4517-8385-3D99F5CDB225}"/>
              </a:ext>
            </a:extLst>
          </xdr:cNvPr>
          <xdr:cNvSpPr txBox="1"/>
        </xdr:nvSpPr>
        <xdr:spPr>
          <a:xfrm>
            <a:off x="3890009" y="47303055"/>
            <a:ext cx="1202056" cy="3219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ASSETS IN TOTAL 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12" name="Suorakulmio 11">
            <a:extLst>
              <a:ext uri="{FF2B5EF4-FFF2-40B4-BE49-F238E27FC236}">
                <a16:creationId xmlns:a16="http://schemas.microsoft.com/office/drawing/2014/main" id="{08D4CEF0-4696-4D31-ACD1-CEE707723CA4}"/>
              </a:ext>
            </a:extLst>
          </xdr:cNvPr>
          <xdr:cNvSpPr/>
        </xdr:nvSpPr>
        <xdr:spPr>
          <a:xfrm>
            <a:off x="2644140" y="47375445"/>
            <a:ext cx="125730" cy="123825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3" name="Suorakulmio 12">
            <a:extLst>
              <a:ext uri="{FF2B5EF4-FFF2-40B4-BE49-F238E27FC236}">
                <a16:creationId xmlns:a16="http://schemas.microsoft.com/office/drawing/2014/main" id="{4198B8B4-8BE5-4016-BC37-96031A995A1A}"/>
              </a:ext>
            </a:extLst>
          </xdr:cNvPr>
          <xdr:cNvSpPr/>
        </xdr:nvSpPr>
        <xdr:spPr>
          <a:xfrm>
            <a:off x="3735705" y="47375445"/>
            <a:ext cx="146685" cy="131445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4" name="Tekstiruutu 13">
            <a:extLst>
              <a:ext uri="{FF2B5EF4-FFF2-40B4-BE49-F238E27FC236}">
                <a16:creationId xmlns:a16="http://schemas.microsoft.com/office/drawing/2014/main" id="{F5205A7E-12E8-4D61-8D03-CEC771702D97}"/>
              </a:ext>
            </a:extLst>
          </xdr:cNvPr>
          <xdr:cNvSpPr txBox="1"/>
        </xdr:nvSpPr>
        <xdr:spPr>
          <a:xfrm>
            <a:off x="5417819" y="47316390"/>
            <a:ext cx="1411605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CAPITAL INVESTED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>
    <xdr:from>
      <xdr:col>2</xdr:col>
      <xdr:colOff>1162313</xdr:colOff>
      <xdr:row>300</xdr:row>
      <xdr:rowOff>33239</xdr:rowOff>
    </xdr:from>
    <xdr:to>
      <xdr:col>15</xdr:col>
      <xdr:colOff>402942</xdr:colOff>
      <xdr:row>302</xdr:row>
      <xdr:rowOff>55311</xdr:rowOff>
    </xdr:to>
    <xdr:grpSp>
      <xdr:nvGrpSpPr>
        <xdr:cNvPr id="25" name="Ryhmä 24">
          <a:extLst>
            <a:ext uri="{FF2B5EF4-FFF2-40B4-BE49-F238E27FC236}">
              <a16:creationId xmlns:a16="http://schemas.microsoft.com/office/drawing/2014/main" id="{11DF521B-DF16-E527-39E5-204E3AC8CD6B}"/>
            </a:ext>
          </a:extLst>
        </xdr:cNvPr>
        <xdr:cNvGrpSpPr/>
      </xdr:nvGrpSpPr>
      <xdr:grpSpPr>
        <a:xfrm>
          <a:off x="1971938" y="48753614"/>
          <a:ext cx="6298654" cy="345922"/>
          <a:chOff x="950924" y="50158124"/>
          <a:chExt cx="5822732" cy="357287"/>
        </a:xfrm>
      </xdr:grpSpPr>
      <xdr:sp macro="" textlink="">
        <xdr:nvSpPr>
          <xdr:cNvPr id="15" name="Tekstiruutu 14">
            <a:extLst>
              <a:ext uri="{FF2B5EF4-FFF2-40B4-BE49-F238E27FC236}">
                <a16:creationId xmlns:a16="http://schemas.microsoft.com/office/drawing/2014/main" id="{F72EAC36-D5C3-4195-B2A7-2C1B8F0C195A}"/>
              </a:ext>
            </a:extLst>
          </xdr:cNvPr>
          <xdr:cNvSpPr txBox="1"/>
        </xdr:nvSpPr>
        <xdr:spPr>
          <a:xfrm>
            <a:off x="1060296" y="50166401"/>
            <a:ext cx="925831" cy="3377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EBITDA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16" name="Suorakulmio 15">
            <a:extLst>
              <a:ext uri="{FF2B5EF4-FFF2-40B4-BE49-F238E27FC236}">
                <a16:creationId xmlns:a16="http://schemas.microsoft.com/office/drawing/2014/main" id="{D00B4C16-C8FD-49C5-AEAE-3EEE8788245F}"/>
              </a:ext>
            </a:extLst>
          </xdr:cNvPr>
          <xdr:cNvSpPr/>
        </xdr:nvSpPr>
        <xdr:spPr>
          <a:xfrm>
            <a:off x="950924" y="50235178"/>
            <a:ext cx="146685" cy="129540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8" name="Suorakulmio 17">
            <a:extLst>
              <a:ext uri="{FF2B5EF4-FFF2-40B4-BE49-F238E27FC236}">
                <a16:creationId xmlns:a16="http://schemas.microsoft.com/office/drawing/2014/main" id="{D81DC386-8B70-41D4-B9AF-EAC375CA2CCF}"/>
              </a:ext>
            </a:extLst>
          </xdr:cNvPr>
          <xdr:cNvSpPr/>
        </xdr:nvSpPr>
        <xdr:spPr>
          <a:xfrm>
            <a:off x="2017724" y="50228609"/>
            <a:ext cx="154305" cy="137160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9" name="Tekstiruutu 18">
            <a:extLst>
              <a:ext uri="{FF2B5EF4-FFF2-40B4-BE49-F238E27FC236}">
                <a16:creationId xmlns:a16="http://schemas.microsoft.com/office/drawing/2014/main" id="{EE7CE483-7F13-43EA-9C3F-D22909190E1F}"/>
              </a:ext>
            </a:extLst>
          </xdr:cNvPr>
          <xdr:cNvSpPr txBox="1"/>
        </xdr:nvSpPr>
        <xdr:spPr>
          <a:xfrm>
            <a:off x="2137475" y="50173824"/>
            <a:ext cx="908686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PROFIT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0" name="Suorakulmio 19">
            <a:extLst>
              <a:ext uri="{FF2B5EF4-FFF2-40B4-BE49-F238E27FC236}">
                <a16:creationId xmlns:a16="http://schemas.microsoft.com/office/drawing/2014/main" id="{96EA7334-6B97-4523-88B8-D03BB39626B9}"/>
              </a:ext>
            </a:extLst>
          </xdr:cNvPr>
          <xdr:cNvSpPr/>
        </xdr:nvSpPr>
        <xdr:spPr>
          <a:xfrm>
            <a:off x="3117566" y="50215668"/>
            <a:ext cx="150495" cy="144124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1" name="Tekstiruutu 20">
            <a:extLst>
              <a:ext uri="{FF2B5EF4-FFF2-40B4-BE49-F238E27FC236}">
                <a16:creationId xmlns:a16="http://schemas.microsoft.com/office/drawing/2014/main" id="{7797A681-8C8D-4EA8-B620-D096F4F1B663}"/>
              </a:ext>
            </a:extLst>
          </xdr:cNvPr>
          <xdr:cNvSpPr txBox="1"/>
        </xdr:nvSpPr>
        <xdr:spPr>
          <a:xfrm>
            <a:off x="3267795" y="50158124"/>
            <a:ext cx="2603020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ROIC %  </a:t>
            </a:r>
            <a:r>
              <a:rPr lang="fi-FI"/>
              <a:t>The Return on Invested Capital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2" name="Suorakulmio 21">
            <a:extLst>
              <a:ext uri="{FF2B5EF4-FFF2-40B4-BE49-F238E27FC236}">
                <a16:creationId xmlns:a16="http://schemas.microsoft.com/office/drawing/2014/main" id="{A672BB5E-176E-438B-A612-1805CC369DF4}"/>
              </a:ext>
            </a:extLst>
          </xdr:cNvPr>
          <xdr:cNvSpPr/>
        </xdr:nvSpPr>
        <xdr:spPr>
          <a:xfrm>
            <a:off x="5836198" y="50229857"/>
            <a:ext cx="152400" cy="138409"/>
          </a:xfrm>
          <a:prstGeom prst="rect">
            <a:avLst/>
          </a:prstGeom>
          <a:solidFill>
            <a:srgbClr val="7030A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3" name="Tekstiruutu 22">
            <a:extLst>
              <a:ext uri="{FF2B5EF4-FFF2-40B4-BE49-F238E27FC236}">
                <a16:creationId xmlns:a16="http://schemas.microsoft.com/office/drawing/2014/main" id="{E839861F-4405-4FFE-8BB0-D0967EC9951D}"/>
              </a:ext>
            </a:extLst>
          </xdr:cNvPr>
          <xdr:cNvSpPr txBox="1"/>
        </xdr:nvSpPr>
        <xdr:spPr>
          <a:xfrm>
            <a:off x="5969350" y="50169357"/>
            <a:ext cx="804306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EBIT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>
    <xdr:from>
      <xdr:col>4</xdr:col>
      <xdr:colOff>241366</xdr:colOff>
      <xdr:row>329</xdr:row>
      <xdr:rowOff>37533</xdr:rowOff>
    </xdr:from>
    <xdr:to>
      <xdr:col>12</xdr:col>
      <xdr:colOff>311150</xdr:colOff>
      <xdr:row>331</xdr:row>
      <xdr:rowOff>101357</xdr:rowOff>
    </xdr:to>
    <xdr:grpSp>
      <xdr:nvGrpSpPr>
        <xdr:cNvPr id="35" name="Ryhmä 34">
          <a:extLst>
            <a:ext uri="{FF2B5EF4-FFF2-40B4-BE49-F238E27FC236}">
              <a16:creationId xmlns:a16="http://schemas.microsoft.com/office/drawing/2014/main" id="{898C8650-F277-9FE1-AF68-2CBB50A2E4A3}"/>
            </a:ext>
          </a:extLst>
        </xdr:cNvPr>
        <xdr:cNvGrpSpPr/>
      </xdr:nvGrpSpPr>
      <xdr:grpSpPr>
        <a:xfrm>
          <a:off x="3070291" y="53453733"/>
          <a:ext cx="3736909" cy="387674"/>
          <a:chOff x="1795358" y="53712565"/>
          <a:chExt cx="3343265" cy="357061"/>
        </a:xfrm>
      </xdr:grpSpPr>
      <xdr:sp macro="" textlink="">
        <xdr:nvSpPr>
          <xdr:cNvPr id="27" name="Tekstiruutu 26">
            <a:extLst>
              <a:ext uri="{FF2B5EF4-FFF2-40B4-BE49-F238E27FC236}">
                <a16:creationId xmlns:a16="http://schemas.microsoft.com/office/drawing/2014/main" id="{D38F1E66-8C0D-EA04-8C19-BA93F7AFA75C}"/>
              </a:ext>
            </a:extLst>
          </xdr:cNvPr>
          <xdr:cNvSpPr txBox="1"/>
        </xdr:nvSpPr>
        <xdr:spPr>
          <a:xfrm>
            <a:off x="1904988" y="53712565"/>
            <a:ext cx="926111" cy="3385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ASSETS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8" name="Suorakulmio 27">
            <a:extLst>
              <a:ext uri="{FF2B5EF4-FFF2-40B4-BE49-F238E27FC236}">
                <a16:creationId xmlns:a16="http://schemas.microsoft.com/office/drawing/2014/main" id="{34E9B6B6-B2F1-BE78-914C-F10B731BECC2}"/>
              </a:ext>
            </a:extLst>
          </xdr:cNvPr>
          <xdr:cNvSpPr/>
        </xdr:nvSpPr>
        <xdr:spPr>
          <a:xfrm>
            <a:off x="1795358" y="53775781"/>
            <a:ext cx="147031" cy="133639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9" name="Suorakulmio 28">
            <a:extLst>
              <a:ext uri="{FF2B5EF4-FFF2-40B4-BE49-F238E27FC236}">
                <a16:creationId xmlns:a16="http://schemas.microsoft.com/office/drawing/2014/main" id="{6EE8E093-FAFA-8E4A-053C-4929D0503B5E}"/>
              </a:ext>
            </a:extLst>
          </xdr:cNvPr>
          <xdr:cNvSpPr/>
        </xdr:nvSpPr>
        <xdr:spPr>
          <a:xfrm>
            <a:off x="2860865" y="53776817"/>
            <a:ext cx="150859" cy="133656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0" name="Tekstiruutu 29">
            <a:extLst>
              <a:ext uri="{FF2B5EF4-FFF2-40B4-BE49-F238E27FC236}">
                <a16:creationId xmlns:a16="http://schemas.microsoft.com/office/drawing/2014/main" id="{8F15C763-2991-0F16-9E28-4B29FD1AEEF6}"/>
              </a:ext>
            </a:extLst>
          </xdr:cNvPr>
          <xdr:cNvSpPr txBox="1"/>
        </xdr:nvSpPr>
        <xdr:spPr>
          <a:xfrm>
            <a:off x="2978994" y="53721910"/>
            <a:ext cx="916545" cy="3347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b="1"/>
              <a:t>LIABILITIES</a:t>
            </a:r>
            <a:endParaRPr lang="fi-FI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1" name="Suorakulmio 30">
            <a:extLst>
              <a:ext uri="{FF2B5EF4-FFF2-40B4-BE49-F238E27FC236}">
                <a16:creationId xmlns:a16="http://schemas.microsoft.com/office/drawing/2014/main" id="{C20B6358-D56A-D5AA-1F52-CC694B96E267}"/>
              </a:ext>
            </a:extLst>
          </xdr:cNvPr>
          <xdr:cNvSpPr/>
        </xdr:nvSpPr>
        <xdr:spPr>
          <a:xfrm>
            <a:off x="3967113" y="53760037"/>
            <a:ext cx="148945" cy="142540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2" name="Tekstiruutu 31">
            <a:extLst>
              <a:ext uri="{FF2B5EF4-FFF2-40B4-BE49-F238E27FC236}">
                <a16:creationId xmlns:a16="http://schemas.microsoft.com/office/drawing/2014/main" id="{A187EC9C-473E-81C7-6661-DAF1F84C1E26}"/>
              </a:ext>
            </a:extLst>
          </xdr:cNvPr>
          <xdr:cNvSpPr txBox="1"/>
        </xdr:nvSpPr>
        <xdr:spPr>
          <a:xfrm>
            <a:off x="4099413" y="53728318"/>
            <a:ext cx="1039210" cy="3413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NET ASSETS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 editAs="oneCell">
    <xdr:from>
      <xdr:col>13</xdr:col>
      <xdr:colOff>399233</xdr:colOff>
      <xdr:row>166</xdr:row>
      <xdr:rowOff>9796</xdr:rowOff>
    </xdr:from>
    <xdr:to>
      <xdr:col>18</xdr:col>
      <xdr:colOff>12218</xdr:colOff>
      <xdr:row>167</xdr:row>
      <xdr:rowOff>50289</xdr:rowOff>
    </xdr:to>
    <xdr:pic>
      <xdr:nvPicPr>
        <xdr:cNvPr id="37" name="Kuva 36">
          <a:extLst>
            <a:ext uri="{FF2B5EF4-FFF2-40B4-BE49-F238E27FC236}">
              <a16:creationId xmlns:a16="http://schemas.microsoft.com/office/drawing/2014/main" id="{F46A86D7-249E-3A19-69B7-A6A1071A1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2404" y="26391325"/>
          <a:ext cx="2062271" cy="198336"/>
        </a:xfrm>
        <a:prstGeom prst="rect">
          <a:avLst/>
        </a:prstGeom>
      </xdr:spPr>
    </xdr:pic>
    <xdr:clientData/>
  </xdr:twoCellAnchor>
  <xdr:twoCellAnchor editAs="oneCell">
    <xdr:from>
      <xdr:col>13</xdr:col>
      <xdr:colOff>404949</xdr:colOff>
      <xdr:row>82</xdr:row>
      <xdr:rowOff>146141</xdr:rowOff>
    </xdr:from>
    <xdr:to>
      <xdr:col>18</xdr:col>
      <xdr:colOff>517</xdr:colOff>
      <xdr:row>84</xdr:row>
      <xdr:rowOff>27703</xdr:rowOff>
    </xdr:to>
    <xdr:pic>
      <xdr:nvPicPr>
        <xdr:cNvPr id="38" name="Kuva 37">
          <a:extLst>
            <a:ext uri="{FF2B5EF4-FFF2-40B4-BE49-F238E27FC236}">
              <a16:creationId xmlns:a16="http://schemas.microsoft.com/office/drawing/2014/main" id="{D1ECEAA0-DC7C-4E1D-B4E2-4D9CF3A2F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8120" y="13165455"/>
          <a:ext cx="2044854" cy="219019"/>
        </a:xfrm>
        <a:prstGeom prst="rect">
          <a:avLst/>
        </a:prstGeom>
      </xdr:spPr>
    </xdr:pic>
    <xdr:clientData/>
  </xdr:twoCellAnchor>
  <xdr:twoCellAnchor editAs="oneCell">
    <xdr:from>
      <xdr:col>1</xdr:col>
      <xdr:colOff>16601</xdr:colOff>
      <xdr:row>0</xdr:row>
      <xdr:rowOff>42727</xdr:rowOff>
    </xdr:from>
    <xdr:to>
      <xdr:col>3</xdr:col>
      <xdr:colOff>219864</xdr:colOff>
      <xdr:row>1</xdr:row>
      <xdr:rowOff>82132</xdr:rowOff>
    </xdr:to>
    <xdr:pic>
      <xdr:nvPicPr>
        <xdr:cNvPr id="39" name="Kuva 38">
          <a:extLst>
            <a:ext uri="{FF2B5EF4-FFF2-40B4-BE49-F238E27FC236}">
              <a16:creationId xmlns:a16="http://schemas.microsoft.com/office/drawing/2014/main" id="{0D87A71A-F0B1-4B42-9C99-1E0EBC0CB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744" y="42727"/>
          <a:ext cx="2042949" cy="197248"/>
        </a:xfrm>
        <a:prstGeom prst="rect">
          <a:avLst/>
        </a:prstGeom>
      </xdr:spPr>
    </xdr:pic>
    <xdr:clientData/>
  </xdr:twoCellAnchor>
  <xdr:twoCellAnchor editAs="oneCell">
    <xdr:from>
      <xdr:col>1</xdr:col>
      <xdr:colOff>8164</xdr:colOff>
      <xdr:row>252</xdr:row>
      <xdr:rowOff>70756</xdr:rowOff>
    </xdr:from>
    <xdr:to>
      <xdr:col>3</xdr:col>
      <xdr:colOff>234559</xdr:colOff>
      <xdr:row>253</xdr:row>
      <xdr:rowOff>110160</xdr:rowOff>
    </xdr:to>
    <xdr:pic>
      <xdr:nvPicPr>
        <xdr:cNvPr id="40" name="Kuva 39">
          <a:extLst>
            <a:ext uri="{FF2B5EF4-FFF2-40B4-BE49-F238E27FC236}">
              <a16:creationId xmlns:a16="http://schemas.microsoft.com/office/drawing/2014/main" id="{6572980B-B838-45A8-8931-0D394CE4A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307" y="39863485"/>
          <a:ext cx="2066081" cy="19724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5</xdr:row>
      <xdr:rowOff>152400</xdr:rowOff>
    </xdr:from>
    <xdr:to>
      <xdr:col>6</xdr:col>
      <xdr:colOff>333375</xdr:colOff>
      <xdr:row>22</xdr:row>
      <xdr:rowOff>142875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695C0891-A2F1-4335-B854-AA8EEEB91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602932</xdr:colOff>
      <xdr:row>31</xdr:row>
      <xdr:rowOff>76200</xdr:rowOff>
    </xdr:from>
    <xdr:to>
      <xdr:col>6</xdr:col>
      <xdr:colOff>437197</xdr:colOff>
      <xdr:row>46</xdr:row>
      <xdr:rowOff>91440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ACA051F4-8E73-4AAC-8FA3-4EF8C164C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52</xdr:row>
      <xdr:rowOff>95250</xdr:rowOff>
    </xdr:from>
    <xdr:to>
      <xdr:col>6</xdr:col>
      <xdr:colOff>457200</xdr:colOff>
      <xdr:row>69</xdr:row>
      <xdr:rowOff>85725</xdr:rowOff>
    </xdr:to>
    <xdr:graphicFrame macro="">
      <xdr:nvGraphicFramePr>
        <xdr:cNvPr id="6" name="Kaavio 5">
          <a:extLst>
            <a:ext uri="{FF2B5EF4-FFF2-40B4-BE49-F238E27FC236}">
              <a16:creationId xmlns:a16="http://schemas.microsoft.com/office/drawing/2014/main" id="{520CE664-D88B-4C85-A9A6-9E099C514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159340</xdr:colOff>
      <xdr:row>16</xdr:row>
      <xdr:rowOff>150630</xdr:rowOff>
    </xdr:from>
    <xdr:to>
      <xdr:col>0</xdr:col>
      <xdr:colOff>567859</xdr:colOff>
      <xdr:row>19</xdr:row>
      <xdr:rowOff>41533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C1B2FD35-8B29-46EE-823B-C2093A8971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40" y="2688090"/>
          <a:ext cx="403620" cy="392734"/>
        </a:xfrm>
        <a:prstGeom prst="rect">
          <a:avLst/>
        </a:prstGeom>
      </xdr:spPr>
    </xdr:pic>
    <xdr:clientData/>
  </xdr:twoCellAnchor>
  <xdr:twoCellAnchor editAs="oneCell">
    <xdr:from>
      <xdr:col>0</xdr:col>
      <xdr:colOff>158966</xdr:colOff>
      <xdr:row>19</xdr:row>
      <xdr:rowOff>75636</xdr:rowOff>
    </xdr:from>
    <xdr:to>
      <xdr:col>0</xdr:col>
      <xdr:colOff>568936</xdr:colOff>
      <xdr:row>21</xdr:row>
      <xdr:rowOff>148603</xdr:rowOff>
    </xdr:to>
    <xdr:pic>
      <xdr:nvPicPr>
        <xdr:cNvPr id="18" name="Kuva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C116EE-6156-49FA-8540-CA7C688B1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966" y="3093156"/>
          <a:ext cx="406703" cy="384298"/>
        </a:xfrm>
        <a:prstGeom prst="rect">
          <a:avLst/>
        </a:prstGeom>
      </xdr:spPr>
    </xdr:pic>
    <xdr:clientData/>
  </xdr:twoCellAnchor>
  <xdr:twoCellAnchor editAs="oneCell">
    <xdr:from>
      <xdr:col>0</xdr:col>
      <xdr:colOff>155121</xdr:colOff>
      <xdr:row>21</xdr:row>
      <xdr:rowOff>156768</xdr:rowOff>
    </xdr:from>
    <xdr:to>
      <xdr:col>0</xdr:col>
      <xdr:colOff>536970</xdr:colOff>
      <xdr:row>24</xdr:row>
      <xdr:rowOff>73252</xdr:rowOff>
    </xdr:to>
    <xdr:pic>
      <xdr:nvPicPr>
        <xdr:cNvPr id="25" name="Kuva 2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6628F9-F1CA-4024-B96A-F67B202BE7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121" y="6693639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145917</xdr:colOff>
      <xdr:row>34</xdr:row>
      <xdr:rowOff>117870</xdr:rowOff>
    </xdr:from>
    <xdr:to>
      <xdr:col>0</xdr:col>
      <xdr:colOff>537018</xdr:colOff>
      <xdr:row>37</xdr:row>
      <xdr:rowOff>40341</xdr:rowOff>
    </xdr:to>
    <xdr:pic>
      <xdr:nvPicPr>
        <xdr:cNvPr id="29" name="Kuva 2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B7618EB-1F58-4E31-B320-73740D0BFB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17" y="8717584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147598</xdr:colOff>
      <xdr:row>32</xdr:row>
      <xdr:rowOff>26549</xdr:rowOff>
    </xdr:from>
    <xdr:to>
      <xdr:col>0</xdr:col>
      <xdr:colOff>536432</xdr:colOff>
      <xdr:row>34</xdr:row>
      <xdr:rowOff>111490</xdr:rowOff>
    </xdr:to>
    <xdr:pic>
      <xdr:nvPicPr>
        <xdr:cNvPr id="31" name="Kuva 3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B553F6A-EAAF-4E02-A086-CF072E1A6A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98" y="8310578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152663</xdr:colOff>
      <xdr:row>27</xdr:row>
      <xdr:rowOff>11991</xdr:rowOff>
    </xdr:from>
    <xdr:to>
      <xdr:col>0</xdr:col>
      <xdr:colOff>537052</xdr:colOff>
      <xdr:row>29</xdr:row>
      <xdr:rowOff>79424</xdr:rowOff>
    </xdr:to>
    <xdr:pic>
      <xdr:nvPicPr>
        <xdr:cNvPr id="35" name="Kuva 3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279BB95-2936-49AB-AB06-F1F1507D6F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63" y="7506805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154101</xdr:colOff>
      <xdr:row>24</xdr:row>
      <xdr:rowOff>85649</xdr:rowOff>
    </xdr:from>
    <xdr:to>
      <xdr:col>0</xdr:col>
      <xdr:colOff>535950</xdr:colOff>
      <xdr:row>27</xdr:row>
      <xdr:rowOff>3222</xdr:rowOff>
    </xdr:to>
    <xdr:pic>
      <xdr:nvPicPr>
        <xdr:cNvPr id="37" name="Kuva 3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8972D7E-CDCF-4B3C-B25C-EE3291CB7A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101" y="7106935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144916</xdr:colOff>
      <xdr:row>29</xdr:row>
      <xdr:rowOff>100691</xdr:rowOff>
    </xdr:from>
    <xdr:to>
      <xdr:col>0</xdr:col>
      <xdr:colOff>536290</xdr:colOff>
      <xdr:row>32</xdr:row>
      <xdr:rowOff>2661</xdr:rowOff>
    </xdr:to>
    <xdr:pic>
      <xdr:nvPicPr>
        <xdr:cNvPr id="44" name="Kuva 4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AF51B9C-D258-464A-87E9-8C09D19E8F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916" y="7911191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156482</xdr:colOff>
      <xdr:row>37</xdr:row>
      <xdr:rowOff>63954</xdr:rowOff>
    </xdr:from>
    <xdr:to>
      <xdr:col>0</xdr:col>
      <xdr:colOff>536153</xdr:colOff>
      <xdr:row>39</xdr:row>
      <xdr:rowOff>118052</xdr:rowOff>
    </xdr:to>
    <xdr:pic>
      <xdr:nvPicPr>
        <xdr:cNvPr id="13" name="Kuva 12" descr="Tulost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6EF3D129-3259-4C27-AFD8-5850172BCA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56482" y="9137197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7</xdr:col>
      <xdr:colOff>472169</xdr:colOff>
      <xdr:row>2</xdr:row>
      <xdr:rowOff>35379</xdr:rowOff>
    </xdr:from>
    <xdr:to>
      <xdr:col>9</xdr:col>
      <xdr:colOff>819</xdr:colOff>
      <xdr:row>5</xdr:row>
      <xdr:rowOff>922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A6607967-DC48-4908-B3D1-D4B679D80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0055" y="372836"/>
          <a:ext cx="1047751" cy="4047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99857</xdr:colOff>
      <xdr:row>12</xdr:row>
      <xdr:rowOff>13607</xdr:rowOff>
    </xdr:from>
    <xdr:to>
      <xdr:col>0</xdr:col>
      <xdr:colOff>517116</xdr:colOff>
      <xdr:row>34</xdr:row>
      <xdr:rowOff>87089</xdr:rowOff>
    </xdr:to>
    <xdr:grpSp>
      <xdr:nvGrpSpPr>
        <xdr:cNvPr id="4" name="Ryhmä 3">
          <a:extLst>
            <a:ext uri="{FF2B5EF4-FFF2-40B4-BE49-F238E27FC236}">
              <a16:creationId xmlns:a16="http://schemas.microsoft.com/office/drawing/2014/main" id="{352B84D9-2457-048C-045E-15DA3CE9620C}"/>
            </a:ext>
          </a:extLst>
        </xdr:cNvPr>
        <xdr:cNvGrpSpPr/>
      </xdr:nvGrpSpPr>
      <xdr:grpSpPr>
        <a:xfrm>
          <a:off x="99857" y="1788721"/>
          <a:ext cx="417259" cy="3883482"/>
          <a:chOff x="137957" y="2207078"/>
          <a:chExt cx="417259" cy="3616782"/>
        </a:xfrm>
      </xdr:grpSpPr>
      <xdr:pic>
        <xdr:nvPicPr>
          <xdr:cNvPr id="29" name="Kuva 28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0A8EB35-5774-4B95-84F8-ACC9FC3667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957" y="5033315"/>
            <a:ext cx="416228" cy="376133"/>
          </a:xfrm>
          <a:prstGeom prst="rect">
            <a:avLst/>
          </a:prstGeom>
        </xdr:spPr>
      </xdr:pic>
      <xdr:grpSp>
        <xdr:nvGrpSpPr>
          <xdr:cNvPr id="2" name="Ryhmä 1">
            <a:extLst>
              <a:ext uri="{FF2B5EF4-FFF2-40B4-BE49-F238E27FC236}">
                <a16:creationId xmlns:a16="http://schemas.microsoft.com/office/drawing/2014/main" id="{C2DBAFE7-F695-4950-8CEA-27C3AB6E82ED}"/>
              </a:ext>
            </a:extLst>
          </xdr:cNvPr>
          <xdr:cNvGrpSpPr/>
        </xdr:nvGrpSpPr>
        <xdr:grpSpPr>
          <a:xfrm>
            <a:off x="140155" y="2207078"/>
            <a:ext cx="415061" cy="2805163"/>
            <a:chOff x="140155" y="2207078"/>
            <a:chExt cx="415061" cy="2805163"/>
          </a:xfrm>
        </xdr:grpSpPr>
        <xdr:pic>
          <xdr:nvPicPr>
            <xdr:cNvPr id="27" name="Kuva 26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7CBBC4CA-44DD-46BD-B802-73FF2EE6D65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3896" y="3022433"/>
              <a:ext cx="410513" cy="378311"/>
            </a:xfrm>
            <a:prstGeom prst="rect">
              <a:avLst/>
            </a:prstGeom>
          </xdr:spPr>
        </xdr:pic>
        <xdr:pic>
          <xdr:nvPicPr>
            <xdr:cNvPr id="30" name="Kuva 29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7B343B2D-AD84-435B-8C1D-1A6F9DA8F82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7258" y="4636652"/>
              <a:ext cx="402892" cy="375589"/>
            </a:xfrm>
            <a:prstGeom prst="rect">
              <a:avLst/>
            </a:prstGeom>
          </xdr:spPr>
        </xdr:pic>
        <xdr:pic>
          <xdr:nvPicPr>
            <xdr:cNvPr id="31" name="Kuva 30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058235FA-B111-401D-B759-8F1B0304DA4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2323" y="3819271"/>
              <a:ext cx="402893" cy="382122"/>
            </a:xfrm>
            <a:prstGeom prst="rect">
              <a:avLst/>
            </a:prstGeom>
          </xdr:spPr>
        </xdr:pic>
        <xdr:pic>
          <xdr:nvPicPr>
            <xdr:cNvPr id="32" name="Kuva 31">
              <a:hlinkClick xmlns:r="http://schemas.openxmlformats.org/officeDocument/2006/relationships" r:id="rId9"/>
              <a:extLst>
                <a:ext uri="{FF2B5EF4-FFF2-40B4-BE49-F238E27FC236}">
                  <a16:creationId xmlns:a16="http://schemas.microsoft.com/office/drawing/2014/main" id="{35822D4F-7271-43F1-ADAB-DBCB970EEF5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2875" y="3424844"/>
              <a:ext cx="410513" cy="379942"/>
            </a:xfrm>
            <a:prstGeom prst="rect">
              <a:avLst/>
            </a:prstGeom>
          </xdr:spPr>
        </xdr:pic>
        <xdr:pic>
          <xdr:nvPicPr>
            <xdr:cNvPr id="33" name="Kuva 32">
              <a:hlinkClick xmlns:r="http://schemas.openxmlformats.org/officeDocument/2006/relationships" r:id="rId11"/>
              <a:extLst>
                <a:ext uri="{FF2B5EF4-FFF2-40B4-BE49-F238E27FC236}">
                  <a16:creationId xmlns:a16="http://schemas.microsoft.com/office/drawing/2014/main" id="{A1636687-9E69-488A-97E2-7FF39C9E799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0018" y="4218215"/>
              <a:ext cx="402893" cy="423282"/>
            </a:xfrm>
            <a:prstGeom prst="rect">
              <a:avLst/>
            </a:prstGeom>
          </xdr:spPr>
        </xdr:pic>
        <xdr:pic>
          <xdr:nvPicPr>
            <xdr:cNvPr id="3" name="Kuva 2">
              <a:hlinkClick xmlns:r="http://schemas.openxmlformats.org/officeDocument/2006/relationships" r:id="rId13"/>
              <a:extLst>
                <a:ext uri="{FF2B5EF4-FFF2-40B4-BE49-F238E27FC236}">
                  <a16:creationId xmlns:a16="http://schemas.microsoft.com/office/drawing/2014/main" id="{E06A21B8-51A0-41A5-A9C9-630709EC696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6958" y="2207078"/>
              <a:ext cx="402893" cy="395183"/>
            </a:xfrm>
            <a:prstGeom prst="rect">
              <a:avLst/>
            </a:prstGeom>
          </xdr:spPr>
        </xdr:pic>
        <xdr:pic>
          <xdr:nvPicPr>
            <xdr:cNvPr id="10" name="Kuva 9">
              <a:extLst>
                <a:ext uri="{FF2B5EF4-FFF2-40B4-BE49-F238E27FC236}">
                  <a16:creationId xmlns:a16="http://schemas.microsoft.com/office/drawing/2014/main" id="{6AB3F950-72D0-440D-9E3E-4B022CC670E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0155" y="2620736"/>
              <a:ext cx="410513" cy="392192"/>
            </a:xfrm>
            <a:prstGeom prst="rect">
              <a:avLst/>
            </a:prstGeom>
          </xdr:spPr>
        </xdr:pic>
      </xdr:grpSp>
      <xdr:pic>
        <xdr:nvPicPr>
          <xdr:cNvPr id="14" name="Kuva 13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BA2FDFA5-AB25-4A59-80FC-1EF275523C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171450" y="5464629"/>
            <a:ext cx="361950" cy="359231"/>
          </a:xfrm>
          <a:prstGeom prst="rect">
            <a:avLst/>
          </a:prstGeom>
        </xdr:spPr>
      </xdr:pic>
    </xdr:grpSp>
    <xdr:clientData/>
  </xdr:twoCellAnchor>
  <xdr:twoCellAnchor editAs="oneCell">
    <xdr:from>
      <xdr:col>15</xdr:col>
      <xdr:colOff>219074</xdr:colOff>
      <xdr:row>1</xdr:row>
      <xdr:rowOff>66676</xdr:rowOff>
    </xdr:from>
    <xdr:to>
      <xdr:col>17</xdr:col>
      <xdr:colOff>817</xdr:colOff>
      <xdr:row>5</xdr:row>
      <xdr:rowOff>379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70D6A2C5-D6F0-41D7-95AC-2DB46CADB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0424" y="242889"/>
          <a:ext cx="1080000" cy="411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103142</xdr:colOff>
      <xdr:row>101</xdr:row>
      <xdr:rowOff>118757</xdr:rowOff>
    </xdr:from>
    <xdr:to>
      <xdr:col>0</xdr:col>
      <xdr:colOff>518621</xdr:colOff>
      <xdr:row>126</xdr:row>
      <xdr:rowOff>7337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ED9751BA-7C37-25D6-292C-5C031F21847D}"/>
            </a:ext>
          </a:extLst>
        </xdr:cNvPr>
        <xdr:cNvGrpSpPr/>
      </xdr:nvGrpSpPr>
      <xdr:grpSpPr>
        <a:xfrm>
          <a:off x="103142" y="16282682"/>
          <a:ext cx="415479" cy="3793830"/>
          <a:chOff x="217442" y="16382014"/>
          <a:chExt cx="415479" cy="3676809"/>
        </a:xfrm>
      </xdr:grpSpPr>
      <xdr:pic>
        <xdr:nvPicPr>
          <xdr:cNvPr id="14" name="Kuva 1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D0AE97B-9168-4B23-A055-296F4930B5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5028" y="16798816"/>
            <a:ext cx="406703" cy="396000"/>
          </a:xfrm>
          <a:prstGeom prst="rect">
            <a:avLst/>
          </a:prstGeom>
        </xdr:spPr>
      </xdr:pic>
      <xdr:pic>
        <xdr:nvPicPr>
          <xdr:cNvPr id="15" name="Kuva 1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9A92CE5F-24A2-4B27-B085-D61C3B6E13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1777" y="19306664"/>
            <a:ext cx="406703" cy="396000"/>
          </a:xfrm>
          <a:prstGeom prst="rect">
            <a:avLst/>
          </a:prstGeom>
        </xdr:spPr>
      </xdr:pic>
      <xdr:pic>
        <xdr:nvPicPr>
          <xdr:cNvPr id="16" name="Kuva 15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A9BCA3F1-7E21-4A51-B9FC-972931AAB3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458" y="18895577"/>
            <a:ext cx="406702" cy="393278"/>
          </a:xfrm>
          <a:prstGeom prst="rect">
            <a:avLst/>
          </a:prstGeom>
        </xdr:spPr>
      </xdr:pic>
      <xdr:pic>
        <xdr:nvPicPr>
          <xdr:cNvPr id="17" name="Kuva 16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23368B43-2831-4004-9743-7F6DDFE5A6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080" y="18052342"/>
            <a:ext cx="406703" cy="396000"/>
          </a:xfrm>
          <a:prstGeom prst="rect">
            <a:avLst/>
          </a:prstGeom>
        </xdr:spPr>
      </xdr:pic>
      <xdr:pic>
        <xdr:nvPicPr>
          <xdr:cNvPr id="18" name="Kuva 17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3EFF121D-A6F5-48F6-B327-E3F49D4C2F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9075" y="17637505"/>
            <a:ext cx="406703" cy="396000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86F3829F-E7FF-4306-94CB-DF3A273809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6218" y="18478500"/>
            <a:ext cx="406703" cy="393619"/>
          </a:xfrm>
          <a:prstGeom prst="rect">
            <a:avLst/>
          </a:prstGeom>
        </xdr:spPr>
      </xdr:pic>
      <xdr:pic>
        <xdr:nvPicPr>
          <xdr:cNvPr id="20" name="Kuva 1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2DF3E094-0663-460E-A815-37562F7379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0719" y="16382014"/>
            <a:ext cx="406703" cy="393701"/>
          </a:xfrm>
          <a:prstGeom prst="rect">
            <a:avLst/>
          </a:prstGeom>
        </xdr:spPr>
      </xdr:pic>
      <xdr:pic>
        <xdr:nvPicPr>
          <xdr:cNvPr id="21" name="Kuva 20">
            <a:extLst>
              <a:ext uri="{FF2B5EF4-FFF2-40B4-BE49-F238E27FC236}">
                <a16:creationId xmlns:a16="http://schemas.microsoft.com/office/drawing/2014/main" id="{E28E54EA-1848-4C60-9C7C-89A69BFE90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7442" y="17223780"/>
            <a:ext cx="408016" cy="393700"/>
          </a:xfrm>
          <a:prstGeom prst="rect">
            <a:avLst/>
          </a:prstGeom>
        </xdr:spPr>
      </xdr:pic>
      <xdr:pic>
        <xdr:nvPicPr>
          <xdr:cNvPr id="22" name="Kuva 21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83AAF61D-72D8-4A98-B7D7-221C747375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240196" y="19704326"/>
            <a:ext cx="361950" cy="35449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97699</xdr:colOff>
      <xdr:row>35</xdr:row>
      <xdr:rowOff>156857</xdr:rowOff>
    </xdr:from>
    <xdr:to>
      <xdr:col>0</xdr:col>
      <xdr:colOff>513178</xdr:colOff>
      <xdr:row>57</xdr:row>
      <xdr:rowOff>4965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FD2F2492-88C5-C793-F73C-C25FD05C74FA}"/>
            </a:ext>
          </a:extLst>
        </xdr:cNvPr>
        <xdr:cNvGrpSpPr/>
      </xdr:nvGrpSpPr>
      <xdr:grpSpPr>
        <a:xfrm>
          <a:off x="97699" y="5986157"/>
          <a:ext cx="415479" cy="3334258"/>
          <a:chOff x="217442" y="5931728"/>
          <a:chExt cx="415479" cy="3326094"/>
        </a:xfrm>
      </xdr:grpSpPr>
      <xdr:pic>
        <xdr:nvPicPr>
          <xdr:cNvPr id="23" name="Kuva 2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58FE96B0-8422-4142-8029-5E7DFD7088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5028" y="6348530"/>
            <a:ext cx="406703" cy="396000"/>
          </a:xfrm>
          <a:prstGeom prst="rect">
            <a:avLst/>
          </a:prstGeom>
        </xdr:spPr>
      </xdr:pic>
      <xdr:pic>
        <xdr:nvPicPr>
          <xdr:cNvPr id="24" name="Kuva 2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441D8373-082F-4491-8A3A-C89A09C997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1777" y="8861822"/>
            <a:ext cx="406703" cy="396000"/>
          </a:xfrm>
          <a:prstGeom prst="rect">
            <a:avLst/>
          </a:prstGeom>
        </xdr:spPr>
      </xdr:pic>
      <xdr:pic>
        <xdr:nvPicPr>
          <xdr:cNvPr id="25" name="Kuva 24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662EC77D-8701-4F7C-AA27-43837520C7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458" y="8450734"/>
            <a:ext cx="406702" cy="393278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7C3C5AE4-6A66-4D09-918D-04EDF7BFB0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080" y="7607500"/>
            <a:ext cx="406703" cy="396000"/>
          </a:xfrm>
          <a:prstGeom prst="rect">
            <a:avLst/>
          </a:prstGeom>
        </xdr:spPr>
      </xdr:pic>
      <xdr:pic>
        <xdr:nvPicPr>
          <xdr:cNvPr id="27" name="Kuva 26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7A19D984-E169-40B9-9E64-38D678438C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9075" y="7187219"/>
            <a:ext cx="406703" cy="396000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DF31C274-A9DE-40FD-B9D3-3D9D7726D1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6218" y="8033657"/>
            <a:ext cx="406703" cy="393619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4F5784B5-B75D-417F-AFEB-8FA3D99A52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0719" y="5931728"/>
            <a:ext cx="406703" cy="393701"/>
          </a:xfrm>
          <a:prstGeom prst="rect">
            <a:avLst/>
          </a:prstGeom>
        </xdr:spPr>
      </xdr:pic>
      <xdr:pic>
        <xdr:nvPicPr>
          <xdr:cNvPr id="30" name="Kuva 29">
            <a:extLst>
              <a:ext uri="{FF2B5EF4-FFF2-40B4-BE49-F238E27FC236}">
                <a16:creationId xmlns:a16="http://schemas.microsoft.com/office/drawing/2014/main" id="{7A30C121-9AEE-4C6B-AFD9-1583EA7895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7442" y="6773495"/>
            <a:ext cx="408016" cy="393700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120453</xdr:colOff>
      <xdr:row>57</xdr:row>
      <xdr:rowOff>28397</xdr:rowOff>
    </xdr:from>
    <xdr:ext cx="361950" cy="354497"/>
    <xdr:pic>
      <xdr:nvPicPr>
        <xdr:cNvPr id="31" name="Kuva 30" descr="Tulost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53FC442-8B05-4648-9506-EB654A34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20453" y="9205054"/>
          <a:ext cx="361950" cy="354497"/>
        </a:xfrm>
        <a:prstGeom prst="rect">
          <a:avLst/>
        </a:prstGeom>
      </xdr:spPr>
    </xdr:pic>
    <xdr:clientData/>
  </xdr:oneCellAnchor>
  <xdr:twoCellAnchor editAs="oneCell">
    <xdr:from>
      <xdr:col>9</xdr:col>
      <xdr:colOff>28576</xdr:colOff>
      <xdr:row>3</xdr:row>
      <xdr:rowOff>9526</xdr:rowOff>
    </xdr:from>
    <xdr:to>
      <xdr:col>10</xdr:col>
      <xdr:colOff>301118</xdr:colOff>
      <xdr:row>5</xdr:row>
      <xdr:rowOff>2011</xdr:rowOff>
    </xdr:to>
    <xdr:pic>
      <xdr:nvPicPr>
        <xdr:cNvPr id="32" name="Kuva 31">
          <a:extLst>
            <a:ext uri="{FF2B5EF4-FFF2-40B4-BE49-F238E27FC236}">
              <a16:creationId xmlns:a16="http://schemas.microsoft.com/office/drawing/2014/main" id="{5B3484AC-F37A-4FB7-8866-650F1D89B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1" y="542926"/>
          <a:ext cx="1080000" cy="411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94909</xdr:colOff>
      <xdr:row>47</xdr:row>
      <xdr:rowOff>125185</xdr:rowOff>
    </xdr:from>
    <xdr:to>
      <xdr:col>0</xdr:col>
      <xdr:colOff>505556</xdr:colOff>
      <xdr:row>71</xdr:row>
      <xdr:rowOff>109508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FB991959-25AE-21AC-5681-8149EF413343}"/>
            </a:ext>
          </a:extLst>
        </xdr:cNvPr>
        <xdr:cNvGrpSpPr/>
      </xdr:nvGrpSpPr>
      <xdr:grpSpPr>
        <a:xfrm>
          <a:off x="94909" y="7449910"/>
          <a:ext cx="410647" cy="3670498"/>
          <a:chOff x="181996" y="6901543"/>
          <a:chExt cx="410647" cy="3658251"/>
        </a:xfrm>
      </xdr:grpSpPr>
      <xdr:pic>
        <xdr:nvPicPr>
          <xdr:cNvPr id="25" name="Kuva 2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E77A648-4E73-4C4C-9784-8536FE9C50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928" y="7315998"/>
            <a:ext cx="401261" cy="411240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ABF0A5E-149B-42B3-9C85-A7E95B3D6D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1996" y="7723702"/>
            <a:ext cx="406703" cy="386476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50A61678-F2BA-48CF-A2C2-F44D9C056B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3677" y="9772139"/>
            <a:ext cx="406703" cy="391918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CBA39D07-0EF6-449C-8474-F068BB4A80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5358" y="9362412"/>
            <a:ext cx="406702" cy="393278"/>
          </a:xfrm>
          <a:prstGeom prst="rect">
            <a:avLst/>
          </a:prstGeom>
        </xdr:spPr>
      </xdr:pic>
      <xdr:pic>
        <xdr:nvPicPr>
          <xdr:cNvPr id="30" name="Kuva 29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CB83A66E-F03C-47EB-B3D5-63CD32F443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980" y="8540950"/>
            <a:ext cx="406703" cy="376677"/>
          </a:xfrm>
          <a:prstGeom prst="rect">
            <a:avLst/>
          </a:prstGeom>
        </xdr:spPr>
      </xdr:pic>
      <xdr:pic>
        <xdr:nvPicPr>
          <xdr:cNvPr id="32" name="Kuva 31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1F905912-3C5B-4479-A05B-6608641307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8118" y="8961664"/>
            <a:ext cx="404525" cy="393619"/>
          </a:xfrm>
          <a:prstGeom prst="rect">
            <a:avLst/>
          </a:prstGeom>
        </xdr:spPr>
      </xdr:pic>
      <xdr:pic>
        <xdr:nvPicPr>
          <xdr:cNvPr id="3" name="Kuva 2">
            <a:extLst>
              <a:ext uri="{FF2B5EF4-FFF2-40B4-BE49-F238E27FC236}">
                <a16:creationId xmlns:a16="http://schemas.microsoft.com/office/drawing/2014/main" id="{21059413-BA25-4F0C-96AE-D94418F66D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556" y="8129077"/>
            <a:ext cx="406702" cy="400694"/>
          </a:xfrm>
          <a:prstGeom prst="rect">
            <a:avLst/>
          </a:prstGeom>
        </xdr:spPr>
      </xdr:pic>
      <xdr:pic>
        <xdr:nvPicPr>
          <xdr:cNvPr id="5" name="Kuva 4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E8173DB5-1E04-412C-93B0-23F24F6BEA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6462" y="6901543"/>
            <a:ext cx="391735" cy="406920"/>
          </a:xfrm>
          <a:prstGeom prst="rect">
            <a:avLst/>
          </a:prstGeom>
        </xdr:spPr>
      </xdr:pic>
      <xdr:pic>
        <xdr:nvPicPr>
          <xdr:cNvPr id="14" name="Kuva 13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322DDCDD-EFF6-4EC7-848D-B922B1B28E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198783" y="10181692"/>
            <a:ext cx="356235" cy="378102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97973</xdr:colOff>
      <xdr:row>3</xdr:row>
      <xdr:rowOff>87359</xdr:rowOff>
    </xdr:from>
    <xdr:to>
      <xdr:col>7</xdr:col>
      <xdr:colOff>873035</xdr:colOff>
      <xdr:row>5</xdr:row>
      <xdr:rowOff>1159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266B7E4A-CE18-4BBE-BC42-A19B2F0FD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023" y="620759"/>
          <a:ext cx="775062" cy="3138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100693</xdr:colOff>
      <xdr:row>23</xdr:row>
      <xdr:rowOff>128239</xdr:rowOff>
    </xdr:from>
    <xdr:to>
      <xdr:col>0</xdr:col>
      <xdr:colOff>521303</xdr:colOff>
      <xdr:row>45</xdr:row>
      <xdr:rowOff>40822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DC875479-FB21-D740-0BB8-944B194D131B}"/>
            </a:ext>
          </a:extLst>
        </xdr:cNvPr>
        <xdr:cNvGrpSpPr/>
      </xdr:nvGrpSpPr>
      <xdr:grpSpPr>
        <a:xfrm>
          <a:off x="100693" y="3860307"/>
          <a:ext cx="420610" cy="3748560"/>
          <a:chOff x="133350" y="4008996"/>
          <a:chExt cx="420610" cy="3613726"/>
        </a:xfrm>
      </xdr:grpSpPr>
      <xdr:pic>
        <xdr:nvPicPr>
          <xdr:cNvPr id="5" name="Kuva 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2CA6685B-21D1-40E4-A896-C175F3DE65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9303" y="4417676"/>
            <a:ext cx="410513" cy="388652"/>
          </a:xfrm>
          <a:prstGeom prst="rect">
            <a:avLst/>
          </a:prstGeom>
        </xdr:spPr>
      </xdr:pic>
      <xdr:pic>
        <xdr:nvPicPr>
          <xdr:cNvPr id="6" name="Kuva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F62F3D0A-B839-4A75-B5FA-23D71C347A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371" y="4819937"/>
            <a:ext cx="414323" cy="374501"/>
          </a:xfrm>
          <a:prstGeom prst="rect">
            <a:avLst/>
          </a:prstGeom>
        </xdr:spPr>
      </xdr:pic>
      <xdr:pic>
        <xdr:nvPicPr>
          <xdr:cNvPr id="7" name="Kuva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1E4F20C0-562C-462D-88F9-715C57FE0C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6052" y="6832997"/>
            <a:ext cx="414323" cy="374500"/>
          </a:xfrm>
          <a:prstGeom prst="rect">
            <a:avLst/>
          </a:prstGeom>
        </xdr:spPr>
      </xdr:pic>
      <xdr:pic>
        <xdr:nvPicPr>
          <xdr:cNvPr id="8" name="Kuva 7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37444495-9CCB-4DA6-ACA2-3CB51481AA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733" y="6428712"/>
            <a:ext cx="416227" cy="385931"/>
          </a:xfrm>
          <a:prstGeom prst="rect">
            <a:avLst/>
          </a:prstGeom>
        </xdr:spPr>
      </xdr:pic>
      <xdr:pic>
        <xdr:nvPicPr>
          <xdr:cNvPr id="9" name="Kuva 8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B571CA8E-CE0B-4FB6-A7EC-CC694973CD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5225069"/>
            <a:ext cx="420038" cy="393007"/>
          </a:xfrm>
          <a:prstGeom prst="rect">
            <a:avLst/>
          </a:prstGeom>
        </xdr:spPr>
      </xdr:pic>
      <xdr:pic>
        <xdr:nvPicPr>
          <xdr:cNvPr id="10" name="Kuva 9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9ECE09EC-7B1F-4A89-B6CD-44689F1600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745" y="4008996"/>
            <a:ext cx="413985" cy="420406"/>
          </a:xfrm>
          <a:prstGeom prst="rect">
            <a:avLst/>
          </a:prstGeom>
        </xdr:spPr>
      </xdr:pic>
      <xdr:pic>
        <xdr:nvPicPr>
          <xdr:cNvPr id="11" name="Kuva 10" descr="Tulostin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65321664-391D-4EED-AFF3-3F800E035C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5"/>
              </a:ext>
            </a:extLst>
          </a:blip>
          <a:stretch>
            <a:fillRect/>
          </a:stretch>
        </xdr:blipFill>
        <xdr:spPr>
          <a:xfrm>
            <a:off x="142875" y="7247164"/>
            <a:ext cx="369570" cy="375558"/>
          </a:xfrm>
          <a:prstGeom prst="rect">
            <a:avLst/>
          </a:prstGeom>
        </xdr:spPr>
      </xdr:pic>
      <xdr:pic>
        <xdr:nvPicPr>
          <xdr:cNvPr id="12" name="Kuva 11">
            <a:extLst>
              <a:ext uri="{FF2B5EF4-FFF2-40B4-BE49-F238E27FC236}">
                <a16:creationId xmlns:a16="http://schemas.microsoft.com/office/drawing/2014/main" id="{C05E6884-1D8D-4A31-B89E-CD82B97E8F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5617029"/>
            <a:ext cx="420037" cy="414505"/>
          </a:xfrm>
          <a:prstGeom prst="rect">
            <a:avLst/>
          </a:prstGeom>
        </xdr:spPr>
      </xdr:pic>
      <xdr:pic>
        <xdr:nvPicPr>
          <xdr:cNvPr id="13" name="Kuva 12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9CFA8068-70B1-4D93-BD7B-55696F1E8B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6027964"/>
            <a:ext cx="420038" cy="374841"/>
          </a:xfrm>
          <a:prstGeom prst="rect">
            <a:avLst/>
          </a:prstGeom>
        </xdr:spPr>
      </xdr:pic>
    </xdr:grpSp>
    <xdr:clientData/>
  </xdr:twoCellAnchor>
  <xdr:twoCellAnchor editAs="oneCell">
    <xdr:from>
      <xdr:col>8</xdr:col>
      <xdr:colOff>414337</xdr:colOff>
      <xdr:row>2</xdr:row>
      <xdr:rowOff>43544</xdr:rowOff>
    </xdr:from>
    <xdr:to>
      <xdr:col>10</xdr:col>
      <xdr:colOff>499</xdr:colOff>
      <xdr:row>6</xdr:row>
      <xdr:rowOff>2692</xdr:rowOff>
    </xdr:to>
    <xdr:pic>
      <xdr:nvPicPr>
        <xdr:cNvPr id="14" name="Kuva 13">
          <a:extLst>
            <a:ext uri="{FF2B5EF4-FFF2-40B4-BE49-F238E27FC236}">
              <a16:creationId xmlns:a16="http://schemas.microsoft.com/office/drawing/2014/main" id="{7746FB04-46D3-41DF-B825-2FE118DAE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1787" y="367394"/>
          <a:ext cx="1080000" cy="411586"/>
        </a:xfrm>
        <a:prstGeom prst="rect">
          <a:avLst/>
        </a:prstGeom>
      </xdr:spPr>
    </xdr:pic>
    <xdr:clientData/>
  </xdr:twoCellAnchor>
  <xdr:twoCellAnchor editAs="oneCell">
    <xdr:from>
      <xdr:col>18</xdr:col>
      <xdr:colOff>428625</xdr:colOff>
      <xdr:row>2</xdr:row>
      <xdr:rowOff>52388</xdr:rowOff>
    </xdr:from>
    <xdr:to>
      <xdr:col>20</xdr:col>
      <xdr:colOff>3676</xdr:colOff>
      <xdr:row>6</xdr:row>
      <xdr:rowOff>8996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F29B3928-3253-48D5-A95C-4A6824F1E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6013" y="376238"/>
          <a:ext cx="1080000" cy="411586"/>
        </a:xfrm>
        <a:prstGeom prst="rect">
          <a:avLst/>
        </a:prstGeom>
      </xdr:spPr>
    </xdr:pic>
    <xdr:clientData/>
  </xdr:twoCellAnchor>
  <xdr:twoCellAnchor>
    <xdr:from>
      <xdr:col>3</xdr:col>
      <xdr:colOff>209703</xdr:colOff>
      <xdr:row>0</xdr:row>
      <xdr:rowOff>107673</xdr:rowOff>
    </xdr:from>
    <xdr:to>
      <xdr:col>15</xdr:col>
      <xdr:colOff>371474</xdr:colOff>
      <xdr:row>7</xdr:row>
      <xdr:rowOff>19706</xdr:rowOff>
    </xdr:to>
    <xdr:sp macro="" textlink="">
      <xdr:nvSpPr>
        <xdr:cNvPr id="4" name="AutoShape 189">
          <a:extLst>
            <a:ext uri="{FF2B5EF4-FFF2-40B4-BE49-F238E27FC236}">
              <a16:creationId xmlns:a16="http://schemas.microsoft.com/office/drawing/2014/main" id="{ED409D19-FAC0-4D0E-A22A-639EDB28DC3F}"/>
            </a:ext>
          </a:extLst>
        </xdr:cNvPr>
        <xdr:cNvSpPr>
          <a:spLocks noChangeArrowheads="1"/>
        </xdr:cNvSpPr>
      </xdr:nvSpPr>
      <xdr:spPr bwMode="auto">
        <a:xfrm>
          <a:off x="2857653" y="107673"/>
          <a:ext cx="7248371" cy="826433"/>
        </a:xfrm>
        <a:prstGeom prst="foldedCorner">
          <a:avLst>
            <a:gd name="adj" fmla="val 12500"/>
          </a:avLst>
        </a:prstGeom>
        <a:solidFill>
          <a:srgbClr val="FFC000"/>
        </a:solidFill>
        <a:ln w="15875">
          <a:noFill/>
          <a:round/>
          <a:headEnd/>
          <a:tailEnd/>
        </a:ln>
      </xdr:spPr>
      <xdr:txBody>
        <a:bodyPr vertOverflow="clip" wrap="square" lIns="72000" tIns="0" rIns="3600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fi-FI" sz="1000" b="1" i="0" strike="noStrike">
              <a:solidFill>
                <a:srgbClr val="000000"/>
              </a:solidFill>
              <a:latin typeface="Arial"/>
              <a:cs typeface="Arial"/>
            </a:rPr>
            <a:t>OHJE</a:t>
          </a:r>
          <a:br>
            <a:rPr lang="fi-FI" sz="1000" b="1" i="0" strike="noStrike">
              <a:solidFill>
                <a:srgbClr val="000000"/>
              </a:solidFill>
              <a:latin typeface="Arial"/>
              <a:cs typeface="Arial"/>
            </a:rPr>
          </a:br>
          <a:r>
            <a:rPr lang="fi-FI" sz="1100" b="1" i="0" strike="noStrike">
              <a:solidFill>
                <a:srgbClr val="000000"/>
              </a:solidFill>
              <a:latin typeface="Arial"/>
              <a:cs typeface="Arial"/>
            </a:rPr>
            <a:t>Tärkeä luku, vaihto-omaisuuden</a:t>
          </a:r>
          <a:r>
            <a:rPr lang="fi-FI" sz="1100" b="1" i="0" strike="noStrike" baseline="0">
              <a:solidFill>
                <a:srgbClr val="000000"/>
              </a:solidFill>
              <a:latin typeface="Arial"/>
              <a:cs typeface="Arial"/>
            </a:rPr>
            <a:t> määrä (prosenttia liikevaihdosta),</a:t>
          </a:r>
          <a:r>
            <a:rPr lang="fi-FI" sz="1100" b="1" i="0" strike="noStrike">
              <a:solidFill>
                <a:srgbClr val="000000"/>
              </a:solidFill>
              <a:latin typeface="Arial"/>
              <a:cs typeface="Arial"/>
            </a:rPr>
            <a:t> on</a:t>
          </a:r>
          <a:r>
            <a:rPr lang="fi-FI" sz="1100" b="1" i="0" strike="noStrike" baseline="0">
              <a:solidFill>
                <a:srgbClr val="000000"/>
              </a:solidFill>
              <a:latin typeface="Arial"/>
              <a:cs typeface="Arial"/>
            </a:rPr>
            <a:t> solussa G48. Lue solun ohje</a:t>
          </a:r>
          <a:r>
            <a:rPr lang="fi-FI" sz="1200" b="1" i="0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  <a:br>
            <a:rPr lang="fi-FI" sz="1200" b="1" i="0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fi-FI" sz="1000" b="1" i="0" strike="noStrike" baseline="0">
              <a:solidFill>
                <a:sysClr val="windowText" lastClr="000000"/>
              </a:solidFill>
              <a:latin typeface="Arial"/>
              <a:cs typeface="Arial"/>
            </a:rPr>
            <a:t>Tarkista erityisesti alareunan kohdat 28 - 34! Lisää puuttuvat tiedot</a:t>
          </a:r>
          <a:r>
            <a:rPr lang="fi-FI" sz="900" b="1" i="0" strike="noStrike" baseline="0">
              <a:solidFill>
                <a:sysClr val="windowText" lastClr="000000"/>
              </a:solidFill>
              <a:latin typeface="Arial"/>
              <a:cs typeface="Arial"/>
            </a:rPr>
            <a:t>. </a:t>
          </a:r>
          <a:endParaRPr lang="fi-FI" sz="900" b="1" i="0" strike="noStrike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 fLocksWithSheet="0"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1</xdr:row>
      <xdr:rowOff>47625</xdr:rowOff>
    </xdr:from>
    <xdr:to>
      <xdr:col>9</xdr:col>
      <xdr:colOff>685800</xdr:colOff>
      <xdr:row>3</xdr:row>
      <xdr:rowOff>72390</xdr:rowOff>
    </xdr:to>
    <xdr:pic>
      <xdr:nvPicPr>
        <xdr:cNvPr id="4963178" name="Kuva 46" descr="YT logo vs.jpg">
          <a:extLst>
            <a:ext uri="{FF2B5EF4-FFF2-40B4-BE49-F238E27FC236}">
              <a16:creationId xmlns:a16="http://schemas.microsoft.com/office/drawing/2014/main" id="{00000000-0008-0000-0300-00006ABB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209550"/>
          <a:ext cx="10287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74840</xdr:colOff>
      <xdr:row>71</xdr:row>
      <xdr:rowOff>44007</xdr:rowOff>
    </xdr:from>
    <xdr:to>
      <xdr:col>0</xdr:col>
      <xdr:colOff>506595</xdr:colOff>
      <xdr:row>93</xdr:row>
      <xdr:rowOff>119744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7590B09D-01EA-EC44-A40E-F1DC76A317DD}"/>
            </a:ext>
          </a:extLst>
        </xdr:cNvPr>
        <xdr:cNvGrpSpPr/>
      </xdr:nvGrpSpPr>
      <xdr:grpSpPr>
        <a:xfrm>
          <a:off x="74840" y="11259695"/>
          <a:ext cx="431755" cy="3568237"/>
          <a:chOff x="161925" y="11141993"/>
          <a:chExt cx="431755" cy="3548279"/>
        </a:xfrm>
      </xdr:grpSpPr>
      <xdr:pic>
        <xdr:nvPicPr>
          <xdr:cNvPr id="25" name="Kuva 2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531EF82-7F07-4D55-AB8C-E3EA91CDFF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928" y="11542376"/>
            <a:ext cx="406703" cy="368514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25D4F827-5BEB-496F-AEB0-C8E6146F0F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1996" y="11937834"/>
            <a:ext cx="406703" cy="387836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AB887FFC-C5F6-488E-9720-E55D28FC86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3677" y="13945450"/>
            <a:ext cx="406703" cy="374229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CA5DC7C6-E879-4D52-A328-EC02F3C190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5358" y="13543887"/>
            <a:ext cx="406702" cy="379399"/>
          </a:xfrm>
          <a:prstGeom prst="rect">
            <a:avLst/>
          </a:prstGeom>
        </xdr:spPr>
      </xdr:pic>
      <xdr:pic>
        <xdr:nvPicPr>
          <xdr:cNvPr id="31" name="Kuva 3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43B9C608-19BA-4D06-8A87-28ED34D559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0975" y="12342966"/>
            <a:ext cx="406703" cy="393278"/>
          </a:xfrm>
          <a:prstGeom prst="rect">
            <a:avLst/>
          </a:prstGeom>
        </xdr:spPr>
      </xdr:pic>
      <xdr:pic>
        <xdr:nvPicPr>
          <xdr:cNvPr id="35" name="Kuva 34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73D2BAB1-2689-4BF7-A5F7-34C06C7DC1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9358" y="11141993"/>
            <a:ext cx="414322" cy="387835"/>
          </a:xfrm>
          <a:prstGeom prst="rect">
            <a:avLst/>
          </a:prstGeom>
        </xdr:spPr>
      </xdr:pic>
      <xdr:pic>
        <xdr:nvPicPr>
          <xdr:cNvPr id="14" name="Kuva 13" descr="Tulostin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316F8E30-2E4D-4345-BC1A-953AF1250D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209550" y="14336486"/>
            <a:ext cx="361950" cy="353786"/>
          </a:xfrm>
          <a:prstGeom prst="rect">
            <a:avLst/>
          </a:prstGeom>
        </xdr:spPr>
      </xdr:pic>
      <xdr:pic>
        <xdr:nvPicPr>
          <xdr:cNvPr id="27" name="Kuva 26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F5162546-04AF-41FF-B66B-74902393CA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6321" y="12746334"/>
            <a:ext cx="406703" cy="387836"/>
          </a:xfrm>
          <a:prstGeom prst="rect">
            <a:avLst/>
          </a:prstGeom>
        </xdr:spPr>
      </xdr:pic>
      <xdr:pic>
        <xdr:nvPicPr>
          <xdr:cNvPr id="30" name="Kuva 29">
            <a:extLst>
              <a:ext uri="{FF2B5EF4-FFF2-40B4-BE49-F238E27FC236}">
                <a16:creationId xmlns:a16="http://schemas.microsoft.com/office/drawing/2014/main" id="{18D6DA13-A034-43A0-9ED3-0E5FC2D6D8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1925" y="13140418"/>
            <a:ext cx="429225" cy="386933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103415</xdr:colOff>
      <xdr:row>12</xdr:row>
      <xdr:rowOff>111923</xdr:rowOff>
    </xdr:from>
    <xdr:to>
      <xdr:col>0</xdr:col>
      <xdr:colOff>522600</xdr:colOff>
      <xdr:row>35</xdr:row>
      <xdr:rowOff>161955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94EACAC3-D0EE-8EB2-2457-955026E97C85}"/>
            </a:ext>
          </a:extLst>
        </xdr:cNvPr>
        <xdr:cNvGrpSpPr/>
      </xdr:nvGrpSpPr>
      <xdr:grpSpPr>
        <a:xfrm>
          <a:off x="103415" y="2072486"/>
          <a:ext cx="419185" cy="3701282"/>
          <a:chOff x="190500" y="1951609"/>
          <a:chExt cx="419185" cy="3680418"/>
        </a:xfrm>
      </xdr:grpSpPr>
      <xdr:pic>
        <xdr:nvPicPr>
          <xdr:cNvPr id="15" name="Kuva 1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873844A-7AA4-4F38-AC87-4D8628668E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891" y="2354833"/>
            <a:ext cx="406703" cy="396000"/>
          </a:xfrm>
          <a:prstGeom prst="rect">
            <a:avLst/>
          </a:prstGeom>
        </xdr:spPr>
      </xdr:pic>
      <xdr:pic>
        <xdr:nvPicPr>
          <xdr:cNvPr id="16" name="Kuva 1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61813534-6B04-4E2E-A52B-8D26154151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5958" y="2766856"/>
            <a:ext cx="406703" cy="396000"/>
          </a:xfrm>
          <a:prstGeom prst="rect">
            <a:avLst/>
          </a:prstGeom>
        </xdr:spPr>
      </xdr:pic>
      <xdr:pic>
        <xdr:nvPicPr>
          <xdr:cNvPr id="17" name="Kuva 16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C311D855-8D35-4193-9391-01EC503C36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385" y="4776413"/>
            <a:ext cx="406703" cy="396000"/>
          </a:xfrm>
          <a:prstGeom prst="rect">
            <a:avLst/>
          </a:prstGeom>
        </xdr:spPr>
      </xdr:pic>
      <xdr:pic>
        <xdr:nvPicPr>
          <xdr:cNvPr id="18" name="Kuva 17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DBD9E03E-38D3-4F16-9539-B3E97B7719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6244" y="4399888"/>
            <a:ext cx="406702" cy="393278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7662F7C7-6C8F-4E52-8957-9FEE34C39C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2982" y="3169857"/>
            <a:ext cx="406703" cy="396000"/>
          </a:xfrm>
          <a:prstGeom prst="rect">
            <a:avLst/>
          </a:prstGeom>
        </xdr:spPr>
      </xdr:pic>
      <xdr:pic>
        <xdr:nvPicPr>
          <xdr:cNvPr id="23" name="Kuva 22">
            <a:hlinkClick xmlns:r="http://schemas.openxmlformats.org/officeDocument/2006/relationships" r:id="rId24"/>
            <a:extLst>
              <a:ext uri="{FF2B5EF4-FFF2-40B4-BE49-F238E27FC236}">
                <a16:creationId xmlns:a16="http://schemas.microsoft.com/office/drawing/2014/main" id="{76573279-655A-42C0-83AE-F69E3B232F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1603" y="1951609"/>
            <a:ext cx="406702" cy="396000"/>
          </a:xfrm>
          <a:prstGeom prst="rect">
            <a:avLst/>
          </a:prstGeom>
        </xdr:spPr>
      </xdr:pic>
      <xdr:pic>
        <xdr:nvPicPr>
          <xdr:cNvPr id="24" name="Kuva 23" descr="Tulostin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8B19247E-452A-496D-BE33-FE27756FFC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209550" y="5236027"/>
            <a:ext cx="395999" cy="396000"/>
          </a:xfrm>
          <a:prstGeom prst="rect">
            <a:avLst/>
          </a:prstGeom>
        </xdr:spPr>
      </xdr:pic>
      <xdr:pic>
        <xdr:nvPicPr>
          <xdr:cNvPr id="32" name="Kuva 31">
            <a:extLst>
              <a:ext uri="{FF2B5EF4-FFF2-40B4-BE49-F238E27FC236}">
                <a16:creationId xmlns:a16="http://schemas.microsoft.com/office/drawing/2014/main" id="{97585373-0E88-4547-8A31-10AECF6C88A4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0500" y="3989615"/>
            <a:ext cx="396000" cy="396000"/>
          </a:xfrm>
          <a:prstGeom prst="rect">
            <a:avLst/>
          </a:prstGeom>
        </xdr:spPr>
      </xdr:pic>
      <xdr:pic>
        <xdr:nvPicPr>
          <xdr:cNvPr id="34" name="Kuva 3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FE3F3177-F07A-4846-94CE-EA55ADB9A5F3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8783" y="3582818"/>
            <a:ext cx="396000" cy="396000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19</xdr:col>
      <xdr:colOff>26670</xdr:colOff>
      <xdr:row>0</xdr:row>
      <xdr:rowOff>0</xdr:rowOff>
    </xdr:to>
    <xdr:pic>
      <xdr:nvPicPr>
        <xdr:cNvPr id="4973325" name="Kuva 12" descr="tulkki_vari2rivi.jpg">
          <a:extLst>
            <a:ext uri="{FF2B5EF4-FFF2-40B4-BE49-F238E27FC236}">
              <a16:creationId xmlns:a16="http://schemas.microsoft.com/office/drawing/2014/main" id="{00000000-0008-0000-0200-00000DE3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0"/>
          <a:ext cx="1343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81294</xdr:colOff>
      <xdr:row>8</xdr:row>
      <xdr:rowOff>90598</xdr:rowOff>
    </xdr:from>
    <xdr:to>
      <xdr:col>0</xdr:col>
      <xdr:colOff>505664</xdr:colOff>
      <xdr:row>27</xdr:row>
      <xdr:rowOff>190125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4B6B1727-4A59-C46B-7F3B-83F5FF816C45}"/>
            </a:ext>
          </a:extLst>
        </xdr:cNvPr>
        <xdr:cNvGrpSpPr/>
      </xdr:nvGrpSpPr>
      <xdr:grpSpPr>
        <a:xfrm>
          <a:off x="81294" y="1562643"/>
          <a:ext cx="424370" cy="3874891"/>
          <a:chOff x="92179" y="1462197"/>
          <a:chExt cx="424370" cy="3768013"/>
        </a:xfrm>
      </xdr:grpSpPr>
      <xdr:pic>
        <xdr:nvPicPr>
          <xdr:cNvPr id="45" name="Kuva 4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A8835EF6-AB96-4F25-9FCA-17599691E3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1203" y="1866337"/>
            <a:ext cx="410513" cy="416139"/>
          </a:xfrm>
          <a:prstGeom prst="rect">
            <a:avLst/>
          </a:prstGeom>
        </xdr:spPr>
      </xdr:pic>
      <xdr:pic>
        <xdr:nvPicPr>
          <xdr:cNvPr id="46" name="Kuva 4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DE3EF514-EA23-47BE-B09B-A377457D0A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6271" y="2290370"/>
            <a:ext cx="414323" cy="412328"/>
          </a:xfrm>
          <a:prstGeom prst="rect">
            <a:avLst/>
          </a:prstGeom>
        </xdr:spPr>
      </xdr:pic>
      <xdr:pic>
        <xdr:nvPicPr>
          <xdr:cNvPr id="48" name="Kuva 4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1DDBBB0D-8475-4BBA-9060-4B5F0BF762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7952" y="4412286"/>
            <a:ext cx="414323" cy="414778"/>
          </a:xfrm>
          <a:prstGeom prst="rect">
            <a:avLst/>
          </a:prstGeom>
        </xdr:spPr>
      </xdr:pic>
      <xdr:pic>
        <xdr:nvPicPr>
          <xdr:cNvPr id="50" name="Kuva 4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ACAA0298-D6D2-40EF-9B42-591849A116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255" y="3138914"/>
            <a:ext cx="416228" cy="408518"/>
          </a:xfrm>
          <a:prstGeom prst="rect">
            <a:avLst/>
          </a:prstGeom>
        </xdr:spPr>
      </xdr:pic>
      <xdr:pic>
        <xdr:nvPicPr>
          <xdr:cNvPr id="51" name="Kuva 5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3DA1BD2A-6960-42A1-B887-09CD2908C9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50" y="2719994"/>
            <a:ext cx="420038" cy="406886"/>
          </a:xfrm>
          <a:prstGeom prst="rect">
            <a:avLst/>
          </a:prstGeom>
        </xdr:spPr>
      </xdr:pic>
      <xdr:pic>
        <xdr:nvPicPr>
          <xdr:cNvPr id="52" name="Kuva 5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26A99A47-20D3-43FB-A980-FA28FD8B8B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2393" y="3570514"/>
            <a:ext cx="410513" cy="413758"/>
          </a:xfrm>
          <a:prstGeom prst="rect">
            <a:avLst/>
          </a:prstGeom>
        </xdr:spPr>
      </xdr:pic>
      <xdr:pic>
        <xdr:nvPicPr>
          <xdr:cNvPr id="5" name="Kuva 4">
            <a:extLst>
              <a:ext uri="{FF2B5EF4-FFF2-40B4-BE49-F238E27FC236}">
                <a16:creationId xmlns:a16="http://schemas.microsoft.com/office/drawing/2014/main" id="{04BF3ECA-E484-445B-888F-FA6203ACAB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944" y="3987903"/>
            <a:ext cx="421605" cy="416053"/>
          </a:xfrm>
          <a:prstGeom prst="rect">
            <a:avLst/>
          </a:prstGeom>
        </xdr:spPr>
      </xdr:pic>
      <xdr:pic>
        <xdr:nvPicPr>
          <xdr:cNvPr id="12" name="Kuva 1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315D20C6-5B9E-436D-9F1B-B1FC23E2FE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179" y="1462197"/>
            <a:ext cx="421605" cy="385029"/>
          </a:xfrm>
          <a:prstGeom prst="rect">
            <a:avLst/>
          </a:prstGeom>
        </xdr:spPr>
      </xdr:pic>
      <xdr:pic>
        <xdr:nvPicPr>
          <xdr:cNvPr id="64" name="Kuva 63" descr="Tulostin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1900F715-DF88-4ADA-9E46-ED8A599B49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9"/>
              </a:ext>
            </a:extLst>
          </a:blip>
          <a:stretch>
            <a:fillRect/>
          </a:stretch>
        </xdr:blipFill>
        <xdr:spPr>
          <a:xfrm>
            <a:off x="124558" y="4852517"/>
            <a:ext cx="354330" cy="377693"/>
          </a:xfrm>
          <a:prstGeom prst="rect">
            <a:avLst/>
          </a:prstGeom>
        </xdr:spPr>
      </xdr:pic>
    </xdr:grpSp>
    <xdr:clientData/>
  </xdr:twoCellAnchor>
  <xdr:twoCellAnchor editAs="oneCell">
    <xdr:from>
      <xdr:col>12</xdr:col>
      <xdr:colOff>57150</xdr:colOff>
      <xdr:row>1</xdr:row>
      <xdr:rowOff>38100</xdr:rowOff>
    </xdr:from>
    <xdr:to>
      <xdr:col>13</xdr:col>
      <xdr:colOff>258945</xdr:colOff>
      <xdr:row>3</xdr:row>
      <xdr:rowOff>136862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37CDEB8D-048F-426B-AAC5-AE3918634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200025"/>
          <a:ext cx="1080000" cy="4569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7466</xdr:colOff>
      <xdr:row>10</xdr:row>
      <xdr:rowOff>40006</xdr:rowOff>
    </xdr:from>
    <xdr:to>
      <xdr:col>68</xdr:col>
      <xdr:colOff>597519</xdr:colOff>
      <xdr:row>39</xdr:row>
      <xdr:rowOff>134167</xdr:rowOff>
    </xdr:to>
    <xdr:graphicFrame macro="">
      <xdr:nvGraphicFramePr>
        <xdr:cNvPr id="5010635" name="Kaavio 3">
          <a:extLst>
            <a:ext uri="{FF2B5EF4-FFF2-40B4-BE49-F238E27FC236}">
              <a16:creationId xmlns:a16="http://schemas.microsoft.com/office/drawing/2014/main" id="{00000000-0008-0000-0600-0000CB744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72488</xdr:colOff>
      <xdr:row>41</xdr:row>
      <xdr:rowOff>87826</xdr:rowOff>
    </xdr:from>
    <xdr:to>
      <xdr:col>0</xdr:col>
      <xdr:colOff>493548</xdr:colOff>
      <xdr:row>66</xdr:row>
      <xdr:rowOff>185033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4862CB7A-B57D-F625-1B2C-D19223F59E1A}"/>
            </a:ext>
          </a:extLst>
        </xdr:cNvPr>
        <xdr:cNvGrpSpPr/>
      </xdr:nvGrpSpPr>
      <xdr:grpSpPr>
        <a:xfrm>
          <a:off x="72488" y="6672500"/>
          <a:ext cx="421060" cy="3956903"/>
          <a:chOff x="95251" y="3663043"/>
          <a:chExt cx="421060" cy="3918586"/>
        </a:xfrm>
      </xdr:grpSpPr>
      <xdr:pic>
        <xdr:nvPicPr>
          <xdr:cNvPr id="25" name="Kuva 24" descr="Tulostin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6CE7C99-D3D0-46F0-A559-4206A49A73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33350" y="7179129"/>
            <a:ext cx="361950" cy="402500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388AAE6D-F2FD-4C94-BCBD-679E96B008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0728" y="4088383"/>
            <a:ext cx="403982" cy="370419"/>
          </a:xfrm>
          <a:prstGeom prst="rect">
            <a:avLst/>
          </a:prstGeom>
        </xdr:spPr>
      </xdr:pic>
      <xdr:pic>
        <xdr:nvPicPr>
          <xdr:cNvPr id="30" name="Kuva 2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CD910E40-59B1-4C28-80E1-BBD02B516F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5796" y="4524662"/>
            <a:ext cx="409424" cy="375045"/>
          </a:xfrm>
          <a:prstGeom prst="rect">
            <a:avLst/>
          </a:prstGeom>
        </xdr:spPr>
      </xdr:pic>
      <xdr:pic>
        <xdr:nvPicPr>
          <xdr:cNvPr id="32" name="Kuva 3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42C363E8-85DA-4274-8757-653237B132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158" y="6342987"/>
            <a:ext cx="403981" cy="403619"/>
          </a:xfrm>
          <a:prstGeom prst="rect">
            <a:avLst/>
          </a:prstGeom>
        </xdr:spPr>
      </xdr:pic>
      <xdr:pic>
        <xdr:nvPicPr>
          <xdr:cNvPr id="33" name="Kuva 32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B6A15AD3-44D1-4EDA-811E-44B2B86F43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8780" y="5403142"/>
            <a:ext cx="403982" cy="403621"/>
          </a:xfrm>
          <a:prstGeom prst="rect">
            <a:avLst/>
          </a:prstGeom>
        </xdr:spPr>
      </xdr:pic>
      <xdr:pic>
        <xdr:nvPicPr>
          <xdr:cNvPr id="34" name="Kuva 33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47397F84-7D34-4790-B869-B65E15670B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775" y="4966533"/>
            <a:ext cx="409424" cy="370146"/>
          </a:xfrm>
          <a:prstGeom prst="rect">
            <a:avLst/>
          </a:prstGeom>
        </xdr:spPr>
      </xdr:pic>
      <xdr:pic>
        <xdr:nvPicPr>
          <xdr:cNvPr id="35" name="Kuva 34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1B1E6B67-3930-4A16-B845-CCEECC3966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298" y="5862229"/>
            <a:ext cx="401804" cy="416750"/>
          </a:xfrm>
          <a:prstGeom prst="rect">
            <a:avLst/>
          </a:prstGeom>
        </xdr:spPr>
      </xdr:pic>
      <xdr:pic>
        <xdr:nvPicPr>
          <xdr:cNvPr id="4" name="Kuva 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B9DABBCA-AA15-47CE-B705-DEAB503689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3415" y="3663043"/>
            <a:ext cx="412896" cy="376864"/>
          </a:xfrm>
          <a:prstGeom prst="rect">
            <a:avLst/>
          </a:prstGeom>
        </xdr:spPr>
      </xdr:pic>
      <xdr:pic>
        <xdr:nvPicPr>
          <xdr:cNvPr id="7" name="Kuva 6">
            <a:extLst>
              <a:ext uri="{FF2B5EF4-FFF2-40B4-BE49-F238E27FC236}">
                <a16:creationId xmlns:a16="http://schemas.microsoft.com/office/drawing/2014/main" id="{58575C09-714E-48FE-B065-2E5F0D9086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51" y="6768192"/>
            <a:ext cx="420516" cy="395099"/>
          </a:xfrm>
          <a:prstGeom prst="rect">
            <a:avLst/>
          </a:prstGeom>
        </xdr:spPr>
      </xdr:pic>
    </xdr:grpSp>
    <xdr:clientData/>
  </xdr:twoCellAnchor>
  <xdr:twoCellAnchor editAs="oneCell">
    <xdr:from>
      <xdr:col>67</xdr:col>
      <xdr:colOff>135748</xdr:colOff>
      <xdr:row>5</xdr:row>
      <xdr:rowOff>98919</xdr:rowOff>
    </xdr:from>
    <xdr:to>
      <xdr:col>69</xdr:col>
      <xdr:colOff>711</xdr:colOff>
      <xdr:row>7</xdr:row>
      <xdr:rowOff>148593</xdr:rowOff>
    </xdr:to>
    <xdr:pic>
      <xdr:nvPicPr>
        <xdr:cNvPr id="18" name="Kuva 17">
          <a:extLst>
            <a:ext uri="{FF2B5EF4-FFF2-40B4-BE49-F238E27FC236}">
              <a16:creationId xmlns:a16="http://schemas.microsoft.com/office/drawing/2014/main" id="{7B3CD94A-BDD7-4279-AC43-A0312E066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37531" y="1084549"/>
          <a:ext cx="1080000" cy="430944"/>
        </a:xfrm>
        <a:prstGeom prst="rect">
          <a:avLst/>
        </a:prstGeom>
      </xdr:spPr>
    </xdr:pic>
    <xdr:clientData/>
  </xdr:twoCellAnchor>
  <xdr:twoCellAnchor>
    <xdr:from>
      <xdr:col>52</xdr:col>
      <xdr:colOff>8283</xdr:colOff>
      <xdr:row>71</xdr:row>
      <xdr:rowOff>43815</xdr:rowOff>
    </xdr:from>
    <xdr:to>
      <xdr:col>68</xdr:col>
      <xdr:colOff>621196</xdr:colOff>
      <xdr:row>98</xdr:row>
      <xdr:rowOff>163830</xdr:rowOff>
    </xdr:to>
    <xdr:graphicFrame macro="">
      <xdr:nvGraphicFramePr>
        <xdr:cNvPr id="3" name="Kaavio 3">
          <a:extLst>
            <a:ext uri="{FF2B5EF4-FFF2-40B4-BE49-F238E27FC236}">
              <a16:creationId xmlns:a16="http://schemas.microsoft.com/office/drawing/2014/main" id="{AE4B1607-2DCF-42EA-ADB7-92C1DC6DE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oneCellAnchor>
    <xdr:from>
      <xdr:col>17</xdr:col>
      <xdr:colOff>138815</xdr:colOff>
      <xdr:row>61</xdr:row>
      <xdr:rowOff>32459</xdr:rowOff>
    </xdr:from>
    <xdr:ext cx="1080000" cy="437112"/>
    <xdr:pic>
      <xdr:nvPicPr>
        <xdr:cNvPr id="6" name="Kuva 5">
          <a:extLst>
            <a:ext uri="{FF2B5EF4-FFF2-40B4-BE49-F238E27FC236}">
              <a16:creationId xmlns:a16="http://schemas.microsoft.com/office/drawing/2014/main" id="{E7C8DD52-F22E-4BBB-B5DB-C0B44EF87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4772" y="9333829"/>
          <a:ext cx="1080000" cy="437112"/>
        </a:xfrm>
        <a:prstGeom prst="rect">
          <a:avLst/>
        </a:prstGeom>
      </xdr:spPr>
    </xdr:pic>
    <xdr:clientData/>
  </xdr:oneCellAnchor>
  <xdr:oneCellAnchor>
    <xdr:from>
      <xdr:col>67</xdr:col>
      <xdr:colOff>251792</xdr:colOff>
      <xdr:row>64</xdr:row>
      <xdr:rowOff>49695</xdr:rowOff>
    </xdr:from>
    <xdr:ext cx="1080000" cy="435264"/>
    <xdr:pic>
      <xdr:nvPicPr>
        <xdr:cNvPr id="8" name="Kuva 7">
          <a:extLst>
            <a:ext uri="{FF2B5EF4-FFF2-40B4-BE49-F238E27FC236}">
              <a16:creationId xmlns:a16="http://schemas.microsoft.com/office/drawing/2014/main" id="{7CFB2A9F-D708-4D00-A75E-3C583F461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53575" y="9897717"/>
          <a:ext cx="1080000" cy="435264"/>
        </a:xfrm>
        <a:prstGeom prst="rect">
          <a:avLst/>
        </a:prstGeom>
      </xdr:spPr>
    </xdr:pic>
    <xdr:clientData/>
  </xdr:oneCellAnchor>
  <xdr:twoCellAnchor editAs="oneCell">
    <xdr:from>
      <xdr:col>17</xdr:col>
      <xdr:colOff>173935</xdr:colOff>
      <xdr:row>5</xdr:row>
      <xdr:rowOff>66263</xdr:rowOff>
    </xdr:from>
    <xdr:to>
      <xdr:col>18</xdr:col>
      <xdr:colOff>606358</xdr:colOff>
      <xdr:row>7</xdr:row>
      <xdr:rowOff>116207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A19D6B67-7DFB-4268-A94C-0010E5022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9892" y="1051893"/>
          <a:ext cx="1080000" cy="4309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YT%20Uusimmat%20Laskentaohjelmat/Arkisto/YT6%20Aloittavan%20yrityksen%20tulossuunnitelma%202021%20201221.xlsx" TargetMode="External"/><Relationship Id="rId1" Type="http://schemas.openxmlformats.org/officeDocument/2006/relationships/externalLinkPath" Target="/Users/Henri/Dropbox/Yritystulkki/YT%20Uusimmat%20Laskentaohjelmat/Arkisto/YT6%20Aloittavan%20yrityksen%20tulossuunnitelma%202021%202012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HJE"/>
      <sheetName val="1. T1 INVESTOINTISUUN."/>
      <sheetName val="AT Kassa"/>
      <sheetName val="2. T7 LAINAT"/>
      <sheetName val="3. E1 KUSTANNUKSET"/>
      <sheetName val="4. E2 LIIKEVAIHTO"/>
      <sheetName val="AT1 Avustus, alv"/>
      <sheetName val="AT2 Lainat, sotum, alv"/>
      <sheetName val="5. T4 RAHOITUSSUUN."/>
      <sheetName val="6. T3 TASE"/>
      <sheetName val="7. T2 TULOSSUUN."/>
      <sheetName val="8. T5 KASSABUDJETTI"/>
      <sheetName val="Tulostussivu"/>
      <sheetName val="Kaavio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/>
        </a:solidFill>
      </a:spPr>
      <a:bodyPr vertOverflow="clip" horzOverflow="clip" rtlCol="0" anchor="ctr"/>
      <a:lstStyle>
        <a:defPPr algn="ctr">
          <a:defRPr sz="1800" b="1">
            <a:solidFill>
              <a:sysClr val="windowText" lastClr="000000"/>
            </a:solidFill>
            <a:latin typeface="Arial" pitchFamily="34" charset="0"/>
            <a:cs typeface="Arial" pitchFamily="34" charset="0"/>
          </a:defRPr>
        </a:defPPr>
      </a:lstStyle>
      <a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M47"/>
  <sheetViews>
    <sheetView showGridLines="0" showZeros="0" tabSelected="1" zoomScale="110" zoomScaleNormal="110" workbookViewId="0">
      <selection activeCell="M10" sqref="M10"/>
    </sheetView>
  </sheetViews>
  <sheetFormatPr defaultRowHeight="12.75" x14ac:dyDescent="0.2"/>
  <cols>
    <col min="1" max="1" width="21.28515625" customWidth="1"/>
    <col min="2" max="2" width="8" style="40" customWidth="1"/>
    <col min="3" max="3" width="2.5703125" style="40" customWidth="1"/>
    <col min="4" max="4" width="40.85546875" customWidth="1"/>
    <col min="5" max="5" width="23.85546875" customWidth="1"/>
    <col min="6" max="6" width="16.28515625" customWidth="1"/>
    <col min="7" max="7" width="36.28515625" customWidth="1"/>
  </cols>
  <sheetData>
    <row r="1" spans="2:13" ht="7.5" customHeight="1" x14ac:dyDescent="0.2"/>
    <row r="2" spans="2:13" ht="5.25" customHeight="1" x14ac:dyDescent="0.2">
      <c r="H2" s="82"/>
    </row>
    <row r="3" spans="2:13" ht="5.25" customHeight="1" x14ac:dyDescent="0.2"/>
    <row r="4" spans="2:13" hidden="1" x14ac:dyDescent="0.2"/>
    <row r="5" spans="2:13" ht="27.75" customHeight="1" x14ac:dyDescent="0.2">
      <c r="B5" s="1976" t="s">
        <v>309</v>
      </c>
      <c r="C5" s="1977"/>
      <c r="D5" s="1977"/>
      <c r="E5" s="1977"/>
    </row>
    <row r="6" spans="2:13" ht="27.75" customHeight="1" x14ac:dyDescent="0.2">
      <c r="B6" s="318"/>
      <c r="C6" s="987"/>
      <c r="D6" s="987"/>
      <c r="E6" s="987"/>
      <c r="F6" s="1980"/>
      <c r="G6" s="1981"/>
    </row>
    <row r="7" spans="2:13" ht="12.75" customHeight="1" x14ac:dyDescent="0.2">
      <c r="B7" s="42"/>
      <c r="C7" s="42"/>
      <c r="D7" s="1"/>
      <c r="F7" s="1981"/>
      <c r="G7" s="1981"/>
    </row>
    <row r="8" spans="2:13" ht="30" customHeight="1" x14ac:dyDescent="0.2">
      <c r="E8" s="458"/>
      <c r="G8" s="1975" t="s">
        <v>880</v>
      </c>
      <c r="H8" s="483"/>
    </row>
    <row r="9" spans="2:13" ht="12.75" customHeight="1" x14ac:dyDescent="0.2">
      <c r="G9" s="1975"/>
    </row>
    <row r="10" spans="2:13" ht="30" customHeight="1" x14ac:dyDescent="0.2">
      <c r="B10" s="42" t="s">
        <v>0</v>
      </c>
      <c r="E10" s="458"/>
      <c r="G10" s="483"/>
    </row>
    <row r="11" spans="2:13" ht="12.75" customHeight="1" x14ac:dyDescent="0.2">
      <c r="F11" s="1979"/>
      <c r="G11" s="1979"/>
      <c r="M11" s="483"/>
    </row>
    <row r="12" spans="2:13" ht="30" customHeight="1" x14ac:dyDescent="0.2">
      <c r="E12" s="459"/>
      <c r="M12" s="224"/>
    </row>
    <row r="13" spans="2:13" ht="12.75" customHeight="1" x14ac:dyDescent="0.2"/>
    <row r="14" spans="2:13" ht="30" customHeight="1" x14ac:dyDescent="0.2">
      <c r="E14" s="458"/>
      <c r="K14" s="224"/>
    </row>
    <row r="15" spans="2:13" ht="12.75" customHeight="1" x14ac:dyDescent="0.2"/>
    <row r="16" spans="2:13" ht="30" customHeight="1" x14ac:dyDescent="0.2">
      <c r="E16" s="459"/>
    </row>
    <row r="17" spans="2:13" ht="12.75" customHeight="1" x14ac:dyDescent="0.2"/>
    <row r="18" spans="2:13" ht="30" customHeight="1" x14ac:dyDescent="0.2">
      <c r="E18" s="458"/>
    </row>
    <row r="19" spans="2:13" ht="12.75" customHeight="1" x14ac:dyDescent="0.2"/>
    <row r="20" spans="2:13" ht="30" customHeight="1" x14ac:dyDescent="0.2">
      <c r="E20" s="458"/>
    </row>
    <row r="21" spans="2:13" ht="12.75" customHeight="1" x14ac:dyDescent="0.2">
      <c r="E21" s="1"/>
    </row>
    <row r="22" spans="2:13" ht="30" customHeight="1" x14ac:dyDescent="0.2">
      <c r="E22" s="458"/>
    </row>
    <row r="23" spans="2:13" ht="12.75" customHeight="1" x14ac:dyDescent="0.2">
      <c r="B23" s="42"/>
      <c r="C23" s="42"/>
      <c r="G23" s="153"/>
    </row>
    <row r="24" spans="2:13" ht="10.5" customHeight="1" x14ac:dyDescent="0.2">
      <c r="E24" s="458"/>
      <c r="F24" s="52"/>
      <c r="G24" s="460"/>
      <c r="H24" s="52"/>
      <c r="I24" s="52"/>
    </row>
    <row r="25" spans="2:13" x14ac:dyDescent="0.2">
      <c r="G25" s="153"/>
      <c r="M25" s="483"/>
    </row>
    <row r="26" spans="2:13" x14ac:dyDescent="0.2">
      <c r="G26" s="153"/>
    </row>
    <row r="27" spans="2:13" x14ac:dyDescent="0.2">
      <c r="G27" s="153"/>
    </row>
    <row r="28" spans="2:13" x14ac:dyDescent="0.2">
      <c r="E28" s="85"/>
      <c r="G28" s="74"/>
    </row>
    <row r="29" spans="2:13" x14ac:dyDescent="0.2">
      <c r="G29" s="52"/>
    </row>
    <row r="30" spans="2:13" x14ac:dyDescent="0.2">
      <c r="B30" s="1978"/>
      <c r="C30" s="1978"/>
      <c r="D30" s="1978"/>
      <c r="E30" s="1978"/>
    </row>
    <row r="31" spans="2:13" x14ac:dyDescent="0.2">
      <c r="B31" s="1978"/>
      <c r="C31" s="1978"/>
      <c r="D31" s="1978"/>
      <c r="E31" s="1978"/>
    </row>
    <row r="32" spans="2:13" ht="5.85" customHeight="1" x14ac:dyDescent="0.2">
      <c r="B32" s="1978"/>
      <c r="C32" s="1978"/>
      <c r="D32" s="1978"/>
      <c r="E32" s="1978"/>
    </row>
    <row r="33" spans="4:7" x14ac:dyDescent="0.2">
      <c r="D33" s="52"/>
      <c r="G33" s="153" t="s">
        <v>438</v>
      </c>
    </row>
    <row r="34" spans="4:7" x14ac:dyDescent="0.2">
      <c r="D34" s="52"/>
      <c r="G34" s="1061">
        <v>46162</v>
      </c>
    </row>
    <row r="38" spans="4:7" x14ac:dyDescent="0.2">
      <c r="D38" s="18"/>
      <c r="E38" s="18"/>
    </row>
    <row r="47" spans="4:7" x14ac:dyDescent="0.2">
      <c r="D47" s="437" t="s">
        <v>0</v>
      </c>
    </row>
  </sheetData>
  <sheetProtection algorithmName="SHA-512" hashValue="q63wr8W/bNfwfEVY3aR75VOhm4WM8DiMiuihjBaf0P++CJNv8U84ujeK/gr17mL1zXF86mawHhT4hZD+tWHuxQ==" saltValue="SzvOTId+hcpOCOhmslcHww==" spinCount="100000" sheet="1" objects="1" scenarios="1" selectLockedCells="1" selectUnlockedCells="1"/>
  <mergeCells count="7">
    <mergeCell ref="G8:G9"/>
    <mergeCell ref="B5:E5"/>
    <mergeCell ref="B30:E30"/>
    <mergeCell ref="B31:E31"/>
    <mergeCell ref="B32:E32"/>
    <mergeCell ref="F11:G11"/>
    <mergeCell ref="F6:G7"/>
  </mergeCells>
  <pageMargins left="0.70866141732283472" right="0.70866141732283472" top="0.55118110236220474" bottom="0.55118110236220474" header="0.31496062992125984" footer="0.31496062992125984"/>
  <pageSetup paperSize="9" scale="90" orientation="landscape" verticalDpi="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7"/>
  <sheetViews>
    <sheetView workbookViewId="0">
      <selection activeCell="D46" sqref="D46"/>
    </sheetView>
  </sheetViews>
  <sheetFormatPr defaultRowHeight="12.75" x14ac:dyDescent="0.2"/>
  <cols>
    <col min="1" max="1" width="10.85546875" customWidth="1"/>
    <col min="2" max="2" width="22.28515625" customWidth="1"/>
    <col min="3" max="3" width="9.140625" customWidth="1"/>
    <col min="16" max="16" width="21" customWidth="1"/>
  </cols>
  <sheetData>
    <row r="1" spans="1:19" x14ac:dyDescent="0.2">
      <c r="B1" s="1580" t="s">
        <v>493</v>
      </c>
    </row>
    <row r="2" spans="1:19" x14ac:dyDescent="0.2">
      <c r="A2" s="30" t="s">
        <v>492</v>
      </c>
      <c r="B2" s="1581">
        <f>'1. T1 INVESTOINTISUUN.'!E16</f>
        <v>2027</v>
      </c>
      <c r="C2" s="378">
        <f>'8. T5 KASSABUDJETTI'!G10</f>
        <v>46388</v>
      </c>
      <c r="D2" s="378">
        <f>'8. T5 KASSABUDJETTI'!H10</f>
        <v>46419</v>
      </c>
      <c r="E2" s="378">
        <f>'8. T5 KASSABUDJETTI'!I10</f>
        <v>46450</v>
      </c>
      <c r="F2" s="378">
        <f>'8. T5 KASSABUDJETTI'!J10</f>
        <v>46481</v>
      </c>
      <c r="G2" s="378">
        <f>'8. T5 KASSABUDJETTI'!K10</f>
        <v>46512</v>
      </c>
      <c r="H2" s="378">
        <f>'8. T5 KASSABUDJETTI'!L10</f>
        <v>46543</v>
      </c>
      <c r="I2" s="378">
        <f>'8. T5 KASSABUDJETTI'!M10</f>
        <v>46574</v>
      </c>
      <c r="J2" s="378">
        <f>'8. T5 KASSABUDJETTI'!N10</f>
        <v>46605</v>
      </c>
      <c r="K2" s="378">
        <f>'8. T5 KASSABUDJETTI'!O10</f>
        <v>46636</v>
      </c>
      <c r="L2" s="378">
        <f>'8. T5 KASSABUDJETTI'!P10</f>
        <v>46667</v>
      </c>
      <c r="M2" s="378">
        <f>'8. T5 KASSABUDJETTI'!Q10</f>
        <v>46698</v>
      </c>
      <c r="N2" s="378">
        <f>'8. T5 KASSABUDJETTI'!R10</f>
        <v>46729</v>
      </c>
      <c r="P2" s="30"/>
      <c r="Q2" s="378"/>
      <c r="R2" s="378"/>
      <c r="S2" s="378"/>
    </row>
    <row r="3" spans="1:19" x14ac:dyDescent="0.2">
      <c r="A3" s="30"/>
      <c r="B3" s="30" t="s">
        <v>256</v>
      </c>
      <c r="C3" s="379">
        <f>'8. T5 KASSABUDJETTI'!E17</f>
        <v>14</v>
      </c>
      <c r="D3" s="379">
        <f>C3</f>
        <v>14</v>
      </c>
      <c r="E3" s="379">
        <f t="shared" ref="E3:N3" si="0">D3</f>
        <v>14</v>
      </c>
      <c r="F3" s="379">
        <f t="shared" si="0"/>
        <v>14</v>
      </c>
      <c r="G3" s="379">
        <f t="shared" si="0"/>
        <v>14</v>
      </c>
      <c r="H3" s="379">
        <f t="shared" si="0"/>
        <v>14</v>
      </c>
      <c r="I3" s="379">
        <f t="shared" si="0"/>
        <v>14</v>
      </c>
      <c r="J3" s="379">
        <f t="shared" si="0"/>
        <v>14</v>
      </c>
      <c r="K3" s="379">
        <f t="shared" si="0"/>
        <v>14</v>
      </c>
      <c r="L3" s="379">
        <f t="shared" si="0"/>
        <v>14</v>
      </c>
      <c r="M3" s="379">
        <f t="shared" si="0"/>
        <v>14</v>
      </c>
      <c r="N3" s="379">
        <f t="shared" si="0"/>
        <v>14</v>
      </c>
      <c r="P3" s="30"/>
      <c r="Q3" s="379"/>
      <c r="R3" s="379"/>
      <c r="S3" s="379"/>
    </row>
    <row r="4" spans="1:19" x14ac:dyDescent="0.2">
      <c r="A4" s="30" t="s">
        <v>256</v>
      </c>
      <c r="B4" s="30" t="s">
        <v>257</v>
      </c>
      <c r="C4" s="58">
        <f>IF('8. T5 KASSABUDJETTI'!G6=1,0,'6. T3 TASE'!G42)</f>
        <v>0</v>
      </c>
      <c r="D4" s="58"/>
      <c r="E4" s="58"/>
      <c r="F4" s="58"/>
      <c r="G4" s="58"/>
      <c r="H4" s="58"/>
      <c r="I4" s="30"/>
      <c r="J4" s="30"/>
      <c r="K4" s="30"/>
      <c r="L4" s="30"/>
      <c r="M4" s="30"/>
      <c r="N4" s="30"/>
      <c r="P4" s="30"/>
      <c r="Q4" s="58"/>
      <c r="R4" s="58"/>
      <c r="S4" s="58"/>
    </row>
    <row r="5" spans="1:19" x14ac:dyDescent="0.2">
      <c r="A5" s="4" t="s">
        <v>258</v>
      </c>
      <c r="B5" s="4"/>
      <c r="C5" s="32"/>
      <c r="D5" s="32"/>
      <c r="E5" s="32"/>
      <c r="F5" s="32"/>
      <c r="G5" s="32"/>
      <c r="H5" s="32"/>
      <c r="I5" s="4"/>
      <c r="J5" s="4"/>
      <c r="K5" s="4"/>
      <c r="L5" s="4"/>
      <c r="M5" s="4"/>
      <c r="N5" s="4"/>
      <c r="P5" s="4"/>
      <c r="Q5" s="32"/>
      <c r="R5" s="32"/>
      <c r="S5" s="32"/>
    </row>
    <row r="6" spans="1:19" x14ac:dyDescent="0.2">
      <c r="A6" s="4" t="s">
        <v>260</v>
      </c>
      <c r="B6" s="4"/>
      <c r="C6" s="32"/>
      <c r="D6" s="32"/>
      <c r="E6" s="32"/>
      <c r="F6" s="32"/>
      <c r="G6" s="32"/>
      <c r="H6" s="32"/>
      <c r="I6" s="4"/>
      <c r="J6" s="4"/>
      <c r="K6" s="4"/>
      <c r="L6" s="4"/>
      <c r="M6" s="4"/>
      <c r="N6" s="4"/>
      <c r="P6" s="4"/>
      <c r="Q6" s="32"/>
      <c r="R6" s="32"/>
      <c r="S6" s="32"/>
    </row>
    <row r="7" spans="1:19" x14ac:dyDescent="0.2">
      <c r="A7" s="4" t="s">
        <v>262</v>
      </c>
      <c r="B7" s="4"/>
      <c r="C7" s="32"/>
      <c r="D7" s="32"/>
      <c r="E7" s="32"/>
      <c r="F7" s="32"/>
      <c r="G7" s="32"/>
      <c r="H7" s="32"/>
      <c r="I7" s="4"/>
      <c r="J7" s="4"/>
      <c r="K7" s="4"/>
      <c r="L7" s="4"/>
      <c r="M7" s="4"/>
      <c r="N7" s="4"/>
      <c r="P7" s="4"/>
      <c r="Q7" s="32"/>
      <c r="R7" s="32"/>
      <c r="S7" s="32"/>
    </row>
    <row r="8" spans="1:19" x14ac:dyDescent="0.2">
      <c r="A8" s="4" t="s">
        <v>264</v>
      </c>
      <c r="B8" s="4"/>
      <c r="C8" s="32"/>
      <c r="D8" s="32"/>
      <c r="E8" s="32"/>
      <c r="F8" s="32"/>
      <c r="G8" s="32"/>
      <c r="H8" s="32"/>
      <c r="I8" s="4"/>
      <c r="J8" s="4"/>
      <c r="K8" s="4"/>
      <c r="L8" s="4"/>
      <c r="M8" s="4"/>
      <c r="N8" s="4"/>
      <c r="Q8" s="39"/>
      <c r="R8" s="39"/>
      <c r="S8" s="39"/>
    </row>
    <row r="9" spans="1:19" x14ac:dyDescent="0.2">
      <c r="A9" s="4" t="s">
        <v>266</v>
      </c>
      <c r="B9" s="4"/>
      <c r="C9" s="32"/>
      <c r="D9" s="32"/>
      <c r="E9" s="32"/>
      <c r="F9" s="32"/>
      <c r="G9" s="32"/>
      <c r="H9" s="32"/>
      <c r="I9" s="4"/>
      <c r="J9" s="4"/>
      <c r="K9" s="4"/>
      <c r="L9" s="4"/>
      <c r="M9" s="4"/>
      <c r="N9" s="4"/>
    </row>
    <row r="10" spans="1:19" x14ac:dyDescent="0.2">
      <c r="A10" s="4" t="s">
        <v>268</v>
      </c>
      <c r="B10" s="4"/>
      <c r="C10" s="32"/>
      <c r="D10" s="32"/>
      <c r="E10" s="32"/>
      <c r="F10" s="32"/>
      <c r="G10" s="32"/>
      <c r="H10" s="32"/>
      <c r="I10" s="4"/>
      <c r="J10" s="4"/>
      <c r="K10" s="4"/>
      <c r="L10" s="4"/>
      <c r="M10" s="4"/>
      <c r="N10" s="4"/>
    </row>
    <row r="11" spans="1:19" x14ac:dyDescent="0.2">
      <c r="A11" s="4"/>
      <c r="B11" s="380"/>
      <c r="C11" s="58"/>
      <c r="D11" s="58"/>
      <c r="E11" s="58"/>
      <c r="F11" s="58"/>
      <c r="G11" s="58"/>
      <c r="H11" s="58"/>
      <c r="I11" s="30"/>
      <c r="J11" s="30"/>
      <c r="K11" s="30"/>
      <c r="L11" s="30"/>
      <c r="M11" s="30"/>
      <c r="N11" s="30"/>
    </row>
    <row r="12" spans="1:19" x14ac:dyDescent="0.2">
      <c r="A12" s="30" t="s">
        <v>0</v>
      </c>
      <c r="B12" s="30" t="s">
        <v>494</v>
      </c>
      <c r="C12" s="58">
        <f>'8. T5 KASSABUDJETTI'!G15</f>
        <v>0</v>
      </c>
      <c r="D12" s="58">
        <f>'8. T5 KASSABUDJETTI'!H15</f>
        <v>0</v>
      </c>
      <c r="E12" s="58">
        <f>'8. T5 KASSABUDJETTI'!I15</f>
        <v>0</v>
      </c>
      <c r="F12" s="58">
        <f>'8. T5 KASSABUDJETTI'!J15</f>
        <v>0</v>
      </c>
      <c r="G12" s="58">
        <f>'8. T5 KASSABUDJETTI'!K15</f>
        <v>0</v>
      </c>
      <c r="H12" s="58">
        <f>'8. T5 KASSABUDJETTI'!L15</f>
        <v>0</v>
      </c>
      <c r="I12" s="58">
        <f>'8. T5 KASSABUDJETTI'!M15</f>
        <v>0</v>
      </c>
      <c r="J12" s="58">
        <f>'8. T5 KASSABUDJETTI'!N15</f>
        <v>0</v>
      </c>
      <c r="K12" s="58">
        <f>'8. T5 KASSABUDJETTI'!O15</f>
        <v>0</v>
      </c>
      <c r="L12" s="58">
        <f>'8. T5 KASSABUDJETTI'!P15</f>
        <v>0</v>
      </c>
      <c r="M12" s="58">
        <f>'8. T5 KASSABUDJETTI'!Q15</f>
        <v>0</v>
      </c>
      <c r="N12" s="58">
        <f>'8. T5 KASSABUDJETTI'!R15</f>
        <v>0</v>
      </c>
    </row>
    <row r="13" spans="1:19" x14ac:dyDescent="0.2">
      <c r="A13" s="381" t="s">
        <v>258</v>
      </c>
      <c r="B13" s="381" t="s">
        <v>270</v>
      </c>
      <c r="C13" s="382">
        <f t="shared" ref="C13:N13" si="1">IF(C$3&lt;31,C$12*(30-C3)/30,0)</f>
        <v>0</v>
      </c>
      <c r="D13" s="382">
        <f t="shared" si="1"/>
        <v>0</v>
      </c>
      <c r="E13" s="382">
        <f t="shared" si="1"/>
        <v>0</v>
      </c>
      <c r="F13" s="382">
        <f t="shared" si="1"/>
        <v>0</v>
      </c>
      <c r="G13" s="382">
        <f t="shared" si="1"/>
        <v>0</v>
      </c>
      <c r="H13" s="382">
        <f t="shared" si="1"/>
        <v>0</v>
      </c>
      <c r="I13" s="382">
        <f t="shared" si="1"/>
        <v>0</v>
      </c>
      <c r="J13" s="382">
        <f t="shared" si="1"/>
        <v>0</v>
      </c>
      <c r="K13" s="382">
        <f t="shared" si="1"/>
        <v>0</v>
      </c>
      <c r="L13" s="382">
        <f t="shared" si="1"/>
        <v>0</v>
      </c>
      <c r="M13" s="382">
        <f t="shared" si="1"/>
        <v>0</v>
      </c>
      <c r="N13" s="382">
        <f t="shared" si="1"/>
        <v>0</v>
      </c>
    </row>
    <row r="14" spans="1:19" x14ac:dyDescent="0.2">
      <c r="A14" s="4" t="s">
        <v>260</v>
      </c>
      <c r="B14" s="4" t="s">
        <v>271</v>
      </c>
      <c r="C14" s="32">
        <f t="shared" ref="C14:N14" si="2">IF(C3&gt;30,0,C12-C13)</f>
        <v>0</v>
      </c>
      <c r="D14" s="32">
        <f t="shared" si="2"/>
        <v>0</v>
      </c>
      <c r="E14" s="32">
        <f t="shared" si="2"/>
        <v>0</v>
      </c>
      <c r="F14" s="32">
        <f t="shared" si="2"/>
        <v>0</v>
      </c>
      <c r="G14" s="32">
        <f t="shared" si="2"/>
        <v>0</v>
      </c>
      <c r="H14" s="32">
        <f t="shared" si="2"/>
        <v>0</v>
      </c>
      <c r="I14" s="32">
        <f t="shared" si="2"/>
        <v>0</v>
      </c>
      <c r="J14" s="32">
        <f t="shared" si="2"/>
        <v>0</v>
      </c>
      <c r="K14" s="32">
        <f t="shared" si="2"/>
        <v>0</v>
      </c>
      <c r="L14" s="32">
        <f t="shared" si="2"/>
        <v>0</v>
      </c>
      <c r="M14" s="32">
        <f t="shared" si="2"/>
        <v>0</v>
      </c>
      <c r="N14" s="32">
        <f t="shared" si="2"/>
        <v>0</v>
      </c>
    </row>
    <row r="15" spans="1:19" x14ac:dyDescent="0.2">
      <c r="A15" s="381" t="s">
        <v>260</v>
      </c>
      <c r="B15" s="381" t="s">
        <v>271</v>
      </c>
      <c r="C15" s="382">
        <f t="shared" ref="C15:N15" si="3">IF(C$3&lt;31,0,IF(C$3&gt;60,0,C$12*(60-C$3))/30)</f>
        <v>0</v>
      </c>
      <c r="D15" s="382">
        <f t="shared" si="3"/>
        <v>0</v>
      </c>
      <c r="E15" s="382">
        <f t="shared" si="3"/>
        <v>0</v>
      </c>
      <c r="F15" s="382">
        <f t="shared" si="3"/>
        <v>0</v>
      </c>
      <c r="G15" s="382">
        <f t="shared" si="3"/>
        <v>0</v>
      </c>
      <c r="H15" s="382">
        <f t="shared" si="3"/>
        <v>0</v>
      </c>
      <c r="I15" s="382">
        <f t="shared" si="3"/>
        <v>0</v>
      </c>
      <c r="J15" s="382">
        <f t="shared" si="3"/>
        <v>0</v>
      </c>
      <c r="K15" s="382">
        <f t="shared" si="3"/>
        <v>0</v>
      </c>
      <c r="L15" s="382">
        <f t="shared" si="3"/>
        <v>0</v>
      </c>
      <c r="M15" s="382">
        <f t="shared" si="3"/>
        <v>0</v>
      </c>
      <c r="N15" s="382">
        <f t="shared" si="3"/>
        <v>0</v>
      </c>
    </row>
    <row r="16" spans="1:19" x14ac:dyDescent="0.2">
      <c r="A16" s="4" t="s">
        <v>262</v>
      </c>
      <c r="B16" s="4" t="s">
        <v>272</v>
      </c>
      <c r="C16" s="32">
        <f>IF(C$3&lt;31,0,IF(C$3&gt;60,0,C12-C15))</f>
        <v>0</v>
      </c>
      <c r="D16" s="32">
        <f t="shared" ref="D16:N16" si="4">IF(D$3&lt;31,0,IF(D$3&gt;60,0,D12-D15))</f>
        <v>0</v>
      </c>
      <c r="E16" s="32">
        <f t="shared" si="4"/>
        <v>0</v>
      </c>
      <c r="F16" s="32">
        <f t="shared" si="4"/>
        <v>0</v>
      </c>
      <c r="G16" s="32">
        <f t="shared" si="4"/>
        <v>0</v>
      </c>
      <c r="H16" s="32">
        <f t="shared" si="4"/>
        <v>0</v>
      </c>
      <c r="I16" s="32">
        <f t="shared" si="4"/>
        <v>0</v>
      </c>
      <c r="J16" s="32">
        <f t="shared" si="4"/>
        <v>0</v>
      </c>
      <c r="K16" s="32">
        <f t="shared" si="4"/>
        <v>0</v>
      </c>
      <c r="L16" s="32">
        <f t="shared" si="4"/>
        <v>0</v>
      </c>
      <c r="M16" s="32">
        <f t="shared" si="4"/>
        <v>0</v>
      </c>
      <c r="N16" s="32">
        <f t="shared" si="4"/>
        <v>0</v>
      </c>
    </row>
    <row r="17" spans="1:14" x14ac:dyDescent="0.2">
      <c r="A17" s="381" t="s">
        <v>262</v>
      </c>
      <c r="B17" s="381" t="s">
        <v>272</v>
      </c>
      <c r="C17" s="382">
        <f t="shared" ref="C17:N17" si="5">IF(C$3&lt;61,0,IF(C$3&gt;90,0,C$12*(90-C$3))/30)</f>
        <v>0</v>
      </c>
      <c r="D17" s="382">
        <f t="shared" si="5"/>
        <v>0</v>
      </c>
      <c r="E17" s="382">
        <f t="shared" si="5"/>
        <v>0</v>
      </c>
      <c r="F17" s="382">
        <f t="shared" si="5"/>
        <v>0</v>
      </c>
      <c r="G17" s="382">
        <f t="shared" si="5"/>
        <v>0</v>
      </c>
      <c r="H17" s="382">
        <f t="shared" si="5"/>
        <v>0</v>
      </c>
      <c r="I17" s="382">
        <f t="shared" si="5"/>
        <v>0</v>
      </c>
      <c r="J17" s="382">
        <f t="shared" si="5"/>
        <v>0</v>
      </c>
      <c r="K17" s="382">
        <f t="shared" si="5"/>
        <v>0</v>
      </c>
      <c r="L17" s="382">
        <f t="shared" si="5"/>
        <v>0</v>
      </c>
      <c r="M17" s="382">
        <f t="shared" si="5"/>
        <v>0</v>
      </c>
      <c r="N17" s="382">
        <f t="shared" si="5"/>
        <v>0</v>
      </c>
    </row>
    <row r="18" spans="1:14" x14ac:dyDescent="0.2">
      <c r="A18" s="4" t="s">
        <v>264</v>
      </c>
      <c r="B18" s="4" t="s">
        <v>273</v>
      </c>
      <c r="C18" s="32">
        <f>IF(C$3&lt;61,0,IF(C$3&gt;90,0,C12-C17))</f>
        <v>0</v>
      </c>
      <c r="D18" s="32">
        <f t="shared" ref="D18:N18" si="6">IF(D$3&lt;61,0,IF(D$3&gt;90,0,D12-D17))</f>
        <v>0</v>
      </c>
      <c r="E18" s="32">
        <f t="shared" si="6"/>
        <v>0</v>
      </c>
      <c r="F18" s="32">
        <f t="shared" si="6"/>
        <v>0</v>
      </c>
      <c r="G18" s="32">
        <f t="shared" si="6"/>
        <v>0</v>
      </c>
      <c r="H18" s="32">
        <f t="shared" si="6"/>
        <v>0</v>
      </c>
      <c r="I18" s="32">
        <f t="shared" si="6"/>
        <v>0</v>
      </c>
      <c r="J18" s="32">
        <f t="shared" si="6"/>
        <v>0</v>
      </c>
      <c r="K18" s="32">
        <f t="shared" si="6"/>
        <v>0</v>
      </c>
      <c r="L18" s="32">
        <f t="shared" si="6"/>
        <v>0</v>
      </c>
      <c r="M18" s="32">
        <f t="shared" si="6"/>
        <v>0</v>
      </c>
      <c r="N18" s="32">
        <f t="shared" si="6"/>
        <v>0</v>
      </c>
    </row>
    <row r="19" spans="1:14" x14ac:dyDescent="0.2">
      <c r="A19" s="381" t="s">
        <v>264</v>
      </c>
      <c r="B19" s="381" t="s">
        <v>273</v>
      </c>
      <c r="C19" s="382">
        <f t="shared" ref="C19:N19" si="7">IF(C$3&lt;91,0,IF(C$3&gt;120,0,C$12*(120-C$3))/30)</f>
        <v>0</v>
      </c>
      <c r="D19" s="382">
        <f t="shared" si="7"/>
        <v>0</v>
      </c>
      <c r="E19" s="382">
        <f t="shared" si="7"/>
        <v>0</v>
      </c>
      <c r="F19" s="382">
        <f t="shared" si="7"/>
        <v>0</v>
      </c>
      <c r="G19" s="382">
        <f t="shared" si="7"/>
        <v>0</v>
      </c>
      <c r="H19" s="382">
        <f t="shared" si="7"/>
        <v>0</v>
      </c>
      <c r="I19" s="382">
        <f t="shared" si="7"/>
        <v>0</v>
      </c>
      <c r="J19" s="382">
        <f t="shared" si="7"/>
        <v>0</v>
      </c>
      <c r="K19" s="382">
        <f t="shared" si="7"/>
        <v>0</v>
      </c>
      <c r="L19" s="382">
        <f t="shared" si="7"/>
        <v>0</v>
      </c>
      <c r="M19" s="382">
        <f t="shared" si="7"/>
        <v>0</v>
      </c>
      <c r="N19" s="382">
        <f t="shared" si="7"/>
        <v>0</v>
      </c>
    </row>
    <row r="20" spans="1:14" x14ac:dyDescent="0.2">
      <c r="A20" s="4" t="s">
        <v>266</v>
      </c>
      <c r="B20" s="4" t="s">
        <v>274</v>
      </c>
      <c r="C20" s="32">
        <f>IF(C$3&lt;91,0,IF(C$3&gt;120,0,C12-C19))</f>
        <v>0</v>
      </c>
      <c r="D20" s="32">
        <f t="shared" ref="D20:N20" si="8">IF(D$3&lt;91,0,IF(D$3&gt;120,0,D12-D19))</f>
        <v>0</v>
      </c>
      <c r="E20" s="32">
        <f t="shared" si="8"/>
        <v>0</v>
      </c>
      <c r="F20" s="32">
        <f t="shared" si="8"/>
        <v>0</v>
      </c>
      <c r="G20" s="32">
        <f t="shared" si="8"/>
        <v>0</v>
      </c>
      <c r="H20" s="32">
        <f t="shared" si="8"/>
        <v>0</v>
      </c>
      <c r="I20" s="32">
        <f t="shared" si="8"/>
        <v>0</v>
      </c>
      <c r="J20" s="32">
        <f t="shared" si="8"/>
        <v>0</v>
      </c>
      <c r="K20" s="32">
        <f t="shared" si="8"/>
        <v>0</v>
      </c>
      <c r="L20" s="32">
        <f t="shared" si="8"/>
        <v>0</v>
      </c>
      <c r="M20" s="32">
        <f t="shared" si="8"/>
        <v>0</v>
      </c>
      <c r="N20" s="32">
        <f t="shared" si="8"/>
        <v>0</v>
      </c>
    </row>
    <row r="21" spans="1:14" x14ac:dyDescent="0.2">
      <c r="A21" s="381" t="s">
        <v>266</v>
      </c>
      <c r="B21" s="381" t="s">
        <v>274</v>
      </c>
      <c r="C21" s="382">
        <f t="shared" ref="C21:N21" si="9">IF(C$3&lt;121,0,IF(C$3&gt;150,0,C$12*(150-C$3))/30)</f>
        <v>0</v>
      </c>
      <c r="D21" s="382">
        <f t="shared" si="9"/>
        <v>0</v>
      </c>
      <c r="E21" s="382">
        <f t="shared" si="9"/>
        <v>0</v>
      </c>
      <c r="F21" s="382">
        <f t="shared" si="9"/>
        <v>0</v>
      </c>
      <c r="G21" s="382">
        <f t="shared" si="9"/>
        <v>0</v>
      </c>
      <c r="H21" s="382">
        <f t="shared" si="9"/>
        <v>0</v>
      </c>
      <c r="I21" s="382">
        <f t="shared" si="9"/>
        <v>0</v>
      </c>
      <c r="J21" s="382">
        <f t="shared" si="9"/>
        <v>0</v>
      </c>
      <c r="K21" s="382">
        <f t="shared" si="9"/>
        <v>0</v>
      </c>
      <c r="L21" s="382">
        <f t="shared" si="9"/>
        <v>0</v>
      </c>
      <c r="M21" s="382">
        <f t="shared" si="9"/>
        <v>0</v>
      </c>
      <c r="N21" s="382">
        <f t="shared" si="9"/>
        <v>0</v>
      </c>
    </row>
    <row r="22" spans="1:14" x14ac:dyDescent="0.2">
      <c r="A22" s="4" t="s">
        <v>268</v>
      </c>
      <c r="B22" s="4" t="s">
        <v>275</v>
      </c>
      <c r="C22" s="32">
        <f>IF(C$3&lt;121,0,IF(C$3&gt;150,0,C12-C21))</f>
        <v>0</v>
      </c>
      <c r="D22" s="32">
        <f t="shared" ref="D22:N22" si="10">IF(D$3&lt;121,0,IF(D$3&gt;150,0,D12-D21))</f>
        <v>0</v>
      </c>
      <c r="E22" s="32">
        <f t="shared" si="10"/>
        <v>0</v>
      </c>
      <c r="F22" s="32">
        <f t="shared" si="10"/>
        <v>0</v>
      </c>
      <c r="G22" s="32">
        <f t="shared" si="10"/>
        <v>0</v>
      </c>
      <c r="H22" s="32">
        <f t="shared" si="10"/>
        <v>0</v>
      </c>
      <c r="I22" s="32">
        <f t="shared" si="10"/>
        <v>0</v>
      </c>
      <c r="J22" s="32">
        <f t="shared" si="10"/>
        <v>0</v>
      </c>
      <c r="K22" s="32">
        <f t="shared" si="10"/>
        <v>0</v>
      </c>
      <c r="L22" s="32">
        <f t="shared" si="10"/>
        <v>0</v>
      </c>
      <c r="M22" s="32">
        <f t="shared" si="10"/>
        <v>0</v>
      </c>
      <c r="N22" s="32">
        <f t="shared" si="10"/>
        <v>0</v>
      </c>
    </row>
    <row r="23" spans="1:14" x14ac:dyDescent="0.2">
      <c r="A23" s="381" t="s">
        <v>268</v>
      </c>
      <c r="B23" s="381" t="s">
        <v>275</v>
      </c>
      <c r="C23" s="382">
        <f t="shared" ref="C23:N23" si="11">IF(C$3&lt;151,0,IF(C$3&gt;180,0,C$12*(180-C$3))/30)</f>
        <v>0</v>
      </c>
      <c r="D23" s="382">
        <f t="shared" si="11"/>
        <v>0</v>
      </c>
      <c r="E23" s="382">
        <f t="shared" si="11"/>
        <v>0</v>
      </c>
      <c r="F23" s="382">
        <f t="shared" si="11"/>
        <v>0</v>
      </c>
      <c r="G23" s="382">
        <f t="shared" si="11"/>
        <v>0</v>
      </c>
      <c r="H23" s="382">
        <f t="shared" si="11"/>
        <v>0</v>
      </c>
      <c r="I23" s="382">
        <f t="shared" si="11"/>
        <v>0</v>
      </c>
      <c r="J23" s="382">
        <f t="shared" si="11"/>
        <v>0</v>
      </c>
      <c r="K23" s="382">
        <f t="shared" si="11"/>
        <v>0</v>
      </c>
      <c r="L23" s="382">
        <f t="shared" si="11"/>
        <v>0</v>
      </c>
      <c r="M23" s="382">
        <f t="shared" si="11"/>
        <v>0</v>
      </c>
      <c r="N23" s="382">
        <f t="shared" si="11"/>
        <v>0</v>
      </c>
    </row>
    <row r="24" spans="1:14" x14ac:dyDescent="0.2">
      <c r="A24" s="4"/>
      <c r="B24" s="4" t="s">
        <v>276</v>
      </c>
      <c r="C24" s="32">
        <f>IF(C$3&lt;151,0,IF(C$3&gt;180,0,C12-C23))</f>
        <v>0</v>
      </c>
      <c r="D24" s="32">
        <f t="shared" ref="D24:N24" si="12">IF(D$3&lt;151,0,IF(D$3&gt;180,0,D12-D23))</f>
        <v>0</v>
      </c>
      <c r="E24" s="32">
        <f t="shared" si="12"/>
        <v>0</v>
      </c>
      <c r="F24" s="32">
        <f t="shared" si="12"/>
        <v>0</v>
      </c>
      <c r="G24" s="32">
        <f t="shared" si="12"/>
        <v>0</v>
      </c>
      <c r="H24" s="32">
        <f t="shared" si="12"/>
        <v>0</v>
      </c>
      <c r="I24" s="32">
        <f t="shared" si="12"/>
        <v>0</v>
      </c>
      <c r="J24" s="32">
        <f t="shared" si="12"/>
        <v>0</v>
      </c>
      <c r="K24" s="32">
        <f t="shared" si="12"/>
        <v>0</v>
      </c>
      <c r="L24" s="32">
        <f t="shared" si="12"/>
        <v>0</v>
      </c>
      <c r="M24" s="32">
        <f t="shared" si="12"/>
        <v>0</v>
      </c>
      <c r="N24" s="32">
        <f t="shared" si="12"/>
        <v>0</v>
      </c>
    </row>
    <row r="25" spans="1:14" x14ac:dyDescent="0.2">
      <c r="A25" s="30"/>
      <c r="B25" s="30" t="s">
        <v>277</v>
      </c>
      <c r="C25" s="378">
        <f t="shared" ref="C25:N25" si="13">C2</f>
        <v>46388</v>
      </c>
      <c r="D25" s="378">
        <f t="shared" si="13"/>
        <v>46419</v>
      </c>
      <c r="E25" s="378">
        <f t="shared" si="13"/>
        <v>46450</v>
      </c>
      <c r="F25" s="378">
        <f t="shared" si="13"/>
        <v>46481</v>
      </c>
      <c r="G25" s="378">
        <f t="shared" si="13"/>
        <v>46512</v>
      </c>
      <c r="H25" s="378">
        <f t="shared" si="13"/>
        <v>46543</v>
      </c>
      <c r="I25" s="378">
        <f t="shared" si="13"/>
        <v>46574</v>
      </c>
      <c r="J25" s="378">
        <f t="shared" si="13"/>
        <v>46605</v>
      </c>
      <c r="K25" s="378">
        <f t="shared" si="13"/>
        <v>46636</v>
      </c>
      <c r="L25" s="378">
        <f t="shared" si="13"/>
        <v>46667</v>
      </c>
      <c r="M25" s="378">
        <f t="shared" si="13"/>
        <v>46698</v>
      </c>
      <c r="N25" s="378">
        <f t="shared" si="13"/>
        <v>46729</v>
      </c>
    </row>
    <row r="26" spans="1:14" x14ac:dyDescent="0.2">
      <c r="A26" s="4"/>
      <c r="B26" s="4" t="s">
        <v>278</v>
      </c>
      <c r="C26" s="32">
        <f>C13+C11</f>
        <v>0</v>
      </c>
      <c r="D26" s="32">
        <f>D13</f>
        <v>0</v>
      </c>
      <c r="E26" s="32">
        <f t="shared" ref="E26:N26" si="14">E13</f>
        <v>0</v>
      </c>
      <c r="F26" s="32">
        <f t="shared" si="14"/>
        <v>0</v>
      </c>
      <c r="G26" s="32">
        <f t="shared" si="14"/>
        <v>0</v>
      </c>
      <c r="H26" s="32">
        <f t="shared" si="14"/>
        <v>0</v>
      </c>
      <c r="I26" s="32">
        <f t="shared" si="14"/>
        <v>0</v>
      </c>
      <c r="J26" s="32">
        <f t="shared" si="14"/>
        <v>0</v>
      </c>
      <c r="K26" s="32">
        <f t="shared" si="14"/>
        <v>0</v>
      </c>
      <c r="L26" s="32">
        <f t="shared" si="14"/>
        <v>0</v>
      </c>
      <c r="M26" s="32">
        <f t="shared" si="14"/>
        <v>0</v>
      </c>
      <c r="N26" s="32">
        <f t="shared" si="14"/>
        <v>0</v>
      </c>
    </row>
    <row r="27" spans="1:14" x14ac:dyDescent="0.2">
      <c r="A27" s="4"/>
      <c r="B27" s="4" t="s">
        <v>271</v>
      </c>
      <c r="C27" s="32"/>
      <c r="D27" s="32">
        <f>C14+C15+D11</f>
        <v>0</v>
      </c>
      <c r="E27" s="32">
        <f t="shared" ref="E27:M27" si="15">D14+D15</f>
        <v>0</v>
      </c>
      <c r="F27" s="32">
        <f t="shared" si="15"/>
        <v>0</v>
      </c>
      <c r="G27" s="32">
        <f t="shared" si="15"/>
        <v>0</v>
      </c>
      <c r="H27" s="32">
        <f t="shared" si="15"/>
        <v>0</v>
      </c>
      <c r="I27" s="32">
        <f t="shared" si="15"/>
        <v>0</v>
      </c>
      <c r="J27" s="32">
        <f t="shared" si="15"/>
        <v>0</v>
      </c>
      <c r="K27" s="32">
        <f t="shared" si="15"/>
        <v>0</v>
      </c>
      <c r="L27" s="32">
        <f t="shared" si="15"/>
        <v>0</v>
      </c>
      <c r="M27" s="32">
        <f t="shared" si="15"/>
        <v>0</v>
      </c>
      <c r="N27" s="32">
        <f>M14+M15</f>
        <v>0</v>
      </c>
    </row>
    <row r="28" spans="1:14" x14ac:dyDescent="0.2">
      <c r="A28" s="4"/>
      <c r="B28" s="4" t="s">
        <v>272</v>
      </c>
      <c r="C28" s="32"/>
      <c r="D28" s="32"/>
      <c r="E28" s="32">
        <f>C16+C17+E11</f>
        <v>0</v>
      </c>
      <c r="F28" s="32">
        <f t="shared" ref="F28:M28" si="16">D16+D17</f>
        <v>0</v>
      </c>
      <c r="G28" s="32">
        <f t="shared" si="16"/>
        <v>0</v>
      </c>
      <c r="H28" s="32">
        <f t="shared" si="16"/>
        <v>0</v>
      </c>
      <c r="I28" s="32">
        <f t="shared" si="16"/>
        <v>0</v>
      </c>
      <c r="J28" s="32">
        <f t="shared" si="16"/>
        <v>0</v>
      </c>
      <c r="K28" s="32">
        <f t="shared" si="16"/>
        <v>0</v>
      </c>
      <c r="L28" s="32">
        <f t="shared" si="16"/>
        <v>0</v>
      </c>
      <c r="M28" s="32">
        <f t="shared" si="16"/>
        <v>0</v>
      </c>
      <c r="N28" s="32">
        <f>L16+L17</f>
        <v>0</v>
      </c>
    </row>
    <row r="29" spans="1:14" x14ac:dyDescent="0.2">
      <c r="A29" s="4"/>
      <c r="B29" s="4" t="s">
        <v>273</v>
      </c>
      <c r="C29" s="32"/>
      <c r="D29" s="32"/>
      <c r="E29" s="32"/>
      <c r="F29" s="32">
        <f>C18+C19+F11</f>
        <v>0</v>
      </c>
      <c r="G29" s="32">
        <f t="shared" ref="G29:M29" si="17">D18+D19</f>
        <v>0</v>
      </c>
      <c r="H29" s="32">
        <f t="shared" si="17"/>
        <v>0</v>
      </c>
      <c r="I29" s="32">
        <f t="shared" si="17"/>
        <v>0</v>
      </c>
      <c r="J29" s="32">
        <f t="shared" si="17"/>
        <v>0</v>
      </c>
      <c r="K29" s="32">
        <f t="shared" si="17"/>
        <v>0</v>
      </c>
      <c r="L29" s="32">
        <f t="shared" si="17"/>
        <v>0</v>
      </c>
      <c r="M29" s="32">
        <f t="shared" si="17"/>
        <v>0</v>
      </c>
      <c r="N29" s="32">
        <f>K18+K19</f>
        <v>0</v>
      </c>
    </row>
    <row r="30" spans="1:14" x14ac:dyDescent="0.2">
      <c r="A30" s="4"/>
      <c r="B30" s="4" t="s">
        <v>274</v>
      </c>
      <c r="C30" s="32"/>
      <c r="D30" s="32"/>
      <c r="E30" s="32"/>
      <c r="F30" s="32"/>
      <c r="G30" s="32">
        <f>C20+C21+G11</f>
        <v>0</v>
      </c>
      <c r="H30" s="32">
        <f t="shared" ref="H30:M30" si="18">D20+D21</f>
        <v>0</v>
      </c>
      <c r="I30" s="32">
        <f t="shared" si="18"/>
        <v>0</v>
      </c>
      <c r="J30" s="32">
        <f t="shared" si="18"/>
        <v>0</v>
      </c>
      <c r="K30" s="32">
        <f t="shared" si="18"/>
        <v>0</v>
      </c>
      <c r="L30" s="32">
        <f t="shared" si="18"/>
        <v>0</v>
      </c>
      <c r="M30" s="32">
        <f t="shared" si="18"/>
        <v>0</v>
      </c>
      <c r="N30" s="32">
        <f>J20+J21</f>
        <v>0</v>
      </c>
    </row>
    <row r="31" spans="1:14" x14ac:dyDescent="0.2">
      <c r="A31" s="4"/>
      <c r="B31" s="4" t="s">
        <v>275</v>
      </c>
      <c r="C31" s="32"/>
      <c r="D31" s="32"/>
      <c r="E31" s="32"/>
      <c r="F31" s="32"/>
      <c r="G31" s="32"/>
      <c r="H31" s="32">
        <f>C22+C23+H11</f>
        <v>0</v>
      </c>
      <c r="I31" s="32">
        <f t="shared" ref="I31:N31" si="19">D22+D23</f>
        <v>0</v>
      </c>
      <c r="J31" s="32">
        <f t="shared" si="19"/>
        <v>0</v>
      </c>
      <c r="K31" s="32">
        <f t="shared" si="19"/>
        <v>0</v>
      </c>
      <c r="L31" s="32">
        <f t="shared" si="19"/>
        <v>0</v>
      </c>
      <c r="M31" s="32">
        <f t="shared" si="19"/>
        <v>0</v>
      </c>
      <c r="N31" s="32">
        <f t="shared" si="19"/>
        <v>0</v>
      </c>
    </row>
    <row r="32" spans="1:14" x14ac:dyDescent="0.2">
      <c r="A32" s="4"/>
      <c r="B32" s="4" t="s">
        <v>276</v>
      </c>
      <c r="C32" s="32"/>
      <c r="D32" s="32"/>
      <c r="E32" s="32"/>
      <c r="F32" s="32"/>
      <c r="G32" s="32"/>
      <c r="H32" s="32"/>
      <c r="I32" s="32">
        <f t="shared" ref="I32:N32" si="20">C24</f>
        <v>0</v>
      </c>
      <c r="J32" s="32">
        <f t="shared" si="20"/>
        <v>0</v>
      </c>
      <c r="K32" s="32">
        <f t="shared" si="20"/>
        <v>0</v>
      </c>
      <c r="L32" s="32">
        <f t="shared" si="20"/>
        <v>0</v>
      </c>
      <c r="M32" s="32">
        <f t="shared" si="20"/>
        <v>0</v>
      </c>
      <c r="N32" s="32">
        <f t="shared" si="20"/>
        <v>0</v>
      </c>
    </row>
    <row r="33" spans="1:19" x14ac:dyDescent="0.2">
      <c r="A33" s="30"/>
      <c r="B33" s="30" t="s">
        <v>279</v>
      </c>
      <c r="C33" s="58">
        <f>SUM(C26:C32)</f>
        <v>0</v>
      </c>
      <c r="D33" s="58">
        <f t="shared" ref="D33:N33" si="21">SUM(D26:D32)</f>
        <v>0</v>
      </c>
      <c r="E33" s="58">
        <f t="shared" si="21"/>
        <v>0</v>
      </c>
      <c r="F33" s="58">
        <f t="shared" si="21"/>
        <v>0</v>
      </c>
      <c r="G33" s="58">
        <f t="shared" si="21"/>
        <v>0</v>
      </c>
      <c r="H33" s="58">
        <f t="shared" si="21"/>
        <v>0</v>
      </c>
      <c r="I33" s="58">
        <f t="shared" si="21"/>
        <v>0</v>
      </c>
      <c r="J33" s="58">
        <f t="shared" si="21"/>
        <v>0</v>
      </c>
      <c r="K33" s="58">
        <f t="shared" si="21"/>
        <v>0</v>
      </c>
      <c r="L33" s="58">
        <f t="shared" si="21"/>
        <v>0</v>
      </c>
      <c r="M33" s="58">
        <f t="shared" si="21"/>
        <v>0</v>
      </c>
      <c r="N33" s="58">
        <f t="shared" si="21"/>
        <v>0</v>
      </c>
    </row>
    <row r="34" spans="1:19" x14ac:dyDescent="0.2">
      <c r="A34" s="30"/>
      <c r="B34" s="30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</row>
    <row r="35" spans="1:19" ht="13.5" thickBot="1" x14ac:dyDescent="0.25">
      <c r="B35" s="1580" t="s">
        <v>493</v>
      </c>
    </row>
    <row r="36" spans="1:19" x14ac:dyDescent="0.2">
      <c r="A36" s="30"/>
      <c r="B36" s="1581">
        <f>'1. T1 INVESTOINTISUUN.'!F16</f>
        <v>2028</v>
      </c>
      <c r="C36" s="1579">
        <f>'8. T5 KASSABUDJETTI'!G66</f>
        <v>46760</v>
      </c>
      <c r="D36" s="1579">
        <f>'8. T5 KASSABUDJETTI'!H66</f>
        <v>46791</v>
      </c>
      <c r="E36" s="1579">
        <f>'8. T5 KASSABUDJETTI'!I66</f>
        <v>46822</v>
      </c>
      <c r="F36" s="1579">
        <f>'8. T5 KASSABUDJETTI'!J66</f>
        <v>46853</v>
      </c>
      <c r="G36" s="1579">
        <f>'8. T5 KASSABUDJETTI'!K66</f>
        <v>46884</v>
      </c>
      <c r="H36" s="1579">
        <f>'8. T5 KASSABUDJETTI'!L66</f>
        <v>46915</v>
      </c>
      <c r="I36" s="1579">
        <f>'8. T5 KASSABUDJETTI'!M66</f>
        <v>46946</v>
      </c>
      <c r="J36" s="1579">
        <f>'8. T5 KASSABUDJETTI'!N66</f>
        <v>46977</v>
      </c>
      <c r="K36" s="1579">
        <f>'8. T5 KASSABUDJETTI'!O66</f>
        <v>47008</v>
      </c>
      <c r="L36" s="1579">
        <f>'8. T5 KASSABUDJETTI'!P66</f>
        <v>47039</v>
      </c>
      <c r="M36" s="1579">
        <f>'8. T5 KASSABUDJETTI'!Q66</f>
        <v>47070</v>
      </c>
      <c r="N36" s="1579">
        <f>'8. T5 KASSABUDJETTI'!R66</f>
        <v>47101</v>
      </c>
      <c r="P36" s="1479" t="s">
        <v>468</v>
      </c>
      <c r="Q36" s="1480">
        <f>C36</f>
        <v>46760</v>
      </c>
      <c r="R36" s="1480">
        <f>D36</f>
        <v>46791</v>
      </c>
      <c r="S36" s="1481">
        <f>E36</f>
        <v>46822</v>
      </c>
    </row>
    <row r="37" spans="1:19" x14ac:dyDescent="0.2">
      <c r="A37" s="30"/>
      <c r="B37" s="30" t="s">
        <v>256</v>
      </c>
      <c r="C37" s="379">
        <f>'8. T5 KASSABUDJETTI'!E73</f>
        <v>14</v>
      </c>
      <c r="D37" s="379">
        <f t="shared" ref="D37:N37" si="22">C37</f>
        <v>14</v>
      </c>
      <c r="E37" s="379">
        <f t="shared" si="22"/>
        <v>14</v>
      </c>
      <c r="F37" s="379">
        <f t="shared" si="22"/>
        <v>14</v>
      </c>
      <c r="G37" s="379">
        <f t="shared" si="22"/>
        <v>14</v>
      </c>
      <c r="H37" s="379">
        <f t="shared" si="22"/>
        <v>14</v>
      </c>
      <c r="I37" s="379">
        <f t="shared" si="22"/>
        <v>14</v>
      </c>
      <c r="J37" s="379">
        <f t="shared" si="22"/>
        <v>14</v>
      </c>
      <c r="K37" s="379">
        <f t="shared" si="22"/>
        <v>14</v>
      </c>
      <c r="L37" s="379">
        <f t="shared" si="22"/>
        <v>14</v>
      </c>
      <c r="M37" s="379">
        <f t="shared" si="22"/>
        <v>14</v>
      </c>
      <c r="N37" s="379">
        <f t="shared" si="22"/>
        <v>14</v>
      </c>
      <c r="P37" s="1482" t="s">
        <v>469</v>
      </c>
      <c r="Q37" s="379">
        <f>'8. T5 KASSABUDJETTI'!E80</f>
        <v>14</v>
      </c>
      <c r="R37" s="379">
        <f>Q37</f>
        <v>14</v>
      </c>
      <c r="S37" s="1483">
        <f>R37</f>
        <v>14</v>
      </c>
    </row>
    <row r="38" spans="1:19" x14ac:dyDescent="0.2">
      <c r="A38" s="30" t="s">
        <v>256</v>
      </c>
      <c r="B38" s="30" t="s">
        <v>257</v>
      </c>
      <c r="C38" s="58">
        <f>'6. T3 TASE'!G42</f>
        <v>0</v>
      </c>
      <c r="E38" s="58"/>
      <c r="F38" s="58"/>
      <c r="G38" s="58"/>
      <c r="H38" s="58"/>
      <c r="I38" s="30"/>
      <c r="J38" s="30"/>
      <c r="K38" s="30"/>
      <c r="L38" s="30"/>
      <c r="M38" s="30"/>
      <c r="N38" s="30"/>
      <c r="P38" s="1482" t="s">
        <v>470</v>
      </c>
      <c r="Q38" s="58">
        <f>IF(Q37=0,0,'6. T3 TASE'!H80/Q37)</f>
        <v>0</v>
      </c>
      <c r="R38" s="58"/>
      <c r="S38" s="1484"/>
    </row>
    <row r="39" spans="1:19" x14ac:dyDescent="0.2">
      <c r="A39" s="4" t="s">
        <v>258</v>
      </c>
      <c r="B39" s="4" t="s">
        <v>259</v>
      </c>
      <c r="C39" s="32">
        <f>IF(C37&lt;31,C38,0)</f>
        <v>0</v>
      </c>
      <c r="D39" s="32"/>
      <c r="E39" s="32"/>
      <c r="F39" s="32"/>
      <c r="G39" s="32"/>
      <c r="H39" s="32"/>
      <c r="I39" s="4"/>
      <c r="J39" s="4"/>
      <c r="K39" s="4"/>
      <c r="L39" s="4"/>
      <c r="M39" s="4"/>
      <c r="N39" s="4"/>
      <c r="P39" s="1485" t="s">
        <v>259</v>
      </c>
      <c r="Q39" s="32">
        <f>IF(Q37&lt;31,Q38*Q37,0)</f>
        <v>0</v>
      </c>
      <c r="R39" s="32"/>
      <c r="S39" s="1486"/>
    </row>
    <row r="40" spans="1:19" x14ac:dyDescent="0.2">
      <c r="A40" s="4" t="s">
        <v>260</v>
      </c>
      <c r="B40" s="4" t="s">
        <v>261</v>
      </c>
      <c r="C40" s="32">
        <f>D40</f>
        <v>0</v>
      </c>
      <c r="D40" s="32">
        <f>IF(D$37&lt;31,0,IF(D$37&lt;61,$C$38/3,0))</f>
        <v>0</v>
      </c>
      <c r="E40" s="32"/>
      <c r="F40" s="32"/>
      <c r="G40" s="32"/>
      <c r="H40" s="32"/>
      <c r="I40" s="4"/>
      <c r="J40" s="4"/>
      <c r="K40" s="4"/>
      <c r="L40" s="4"/>
      <c r="M40" s="4"/>
      <c r="N40" s="4"/>
      <c r="P40" s="1485" t="s">
        <v>261</v>
      </c>
      <c r="Q40" s="32">
        <f>IF(Q$37&lt;31,0,IF(Q$37&lt;61,30*Q$38,0))</f>
        <v>0</v>
      </c>
      <c r="R40" s="32">
        <f>IF(R$37&lt;31,0,IF(R$37&lt;61,$Q$38*(30-(60-$Q$37)),0))</f>
        <v>0</v>
      </c>
      <c r="S40" s="1486"/>
    </row>
    <row r="41" spans="1:19" x14ac:dyDescent="0.2">
      <c r="A41" s="4" t="s">
        <v>262</v>
      </c>
      <c r="B41" s="4" t="s">
        <v>263</v>
      </c>
      <c r="C41" s="32">
        <f>E41</f>
        <v>0</v>
      </c>
      <c r="D41" s="32">
        <f>E41</f>
        <v>0</v>
      </c>
      <c r="E41" s="32">
        <f>IF(E$37&lt;61,0,IF(E$37&lt;91,$C$38/3,0))</f>
        <v>0</v>
      </c>
      <c r="F41" s="32"/>
      <c r="G41" s="32"/>
      <c r="H41" s="32"/>
      <c r="I41" s="4"/>
      <c r="J41" s="4"/>
      <c r="K41" s="4"/>
      <c r="L41" s="4"/>
      <c r="M41" s="4"/>
      <c r="N41" s="4"/>
      <c r="P41" s="1485" t="s">
        <v>263</v>
      </c>
      <c r="Q41" s="32">
        <f>IF(Q$37&lt;61,0,IF(Q$37&lt;91,30*Q$38,0))</f>
        <v>0</v>
      </c>
      <c r="R41" s="32">
        <f>Q41</f>
        <v>0</v>
      </c>
      <c r="S41" s="1486">
        <f>IF(S$37&lt;61,0,IF(S$37&lt;91,$Q$38*(30-(90-$Q$37)),0))</f>
        <v>0</v>
      </c>
    </row>
    <row r="42" spans="1:19" ht="13.5" thickBot="1" x14ac:dyDescent="0.25">
      <c r="A42" s="4" t="s">
        <v>264</v>
      </c>
      <c r="B42" s="4" t="s">
        <v>265</v>
      </c>
      <c r="C42" s="32">
        <f>F42</f>
        <v>0</v>
      </c>
      <c r="D42" s="32">
        <f>F42</f>
        <v>0</v>
      </c>
      <c r="E42" s="32">
        <f>F42</f>
        <v>0</v>
      </c>
      <c r="F42" s="32">
        <f>IF(F$37&lt;91,0,IF(F$37&lt;121,$C$38/4,0))</f>
        <v>0</v>
      </c>
      <c r="G42" s="32"/>
      <c r="H42" s="32"/>
      <c r="I42" s="4"/>
      <c r="J42" s="4"/>
      <c r="K42" s="4"/>
      <c r="L42" s="4"/>
      <c r="M42" s="4"/>
      <c r="N42" s="4"/>
      <c r="P42" s="1487"/>
      <c r="Q42" s="232">
        <f>SUM(Q39:Q41)</f>
        <v>0</v>
      </c>
      <c r="R42" s="232">
        <f>SUM(R39:R41)</f>
        <v>0</v>
      </c>
      <c r="S42" s="1488">
        <f>SUM(S39:S41)</f>
        <v>0</v>
      </c>
    </row>
    <row r="43" spans="1:19" x14ac:dyDescent="0.2">
      <c r="A43" s="4" t="s">
        <v>266</v>
      </c>
      <c r="B43" s="4" t="s">
        <v>267</v>
      </c>
      <c r="C43" s="32">
        <f>D43</f>
        <v>0</v>
      </c>
      <c r="D43" s="32">
        <f>G43</f>
        <v>0</v>
      </c>
      <c r="E43" s="32">
        <f>G43</f>
        <v>0</v>
      </c>
      <c r="F43" s="32">
        <f>G43</f>
        <v>0</v>
      </c>
      <c r="G43" s="32">
        <f>IF(G$37&lt;121,0,IF(G$37&lt;151,$C$38/5,0))</f>
        <v>0</v>
      </c>
      <c r="H43" s="32"/>
      <c r="I43" s="4"/>
      <c r="J43" s="4"/>
      <c r="K43" s="4"/>
      <c r="L43" s="4"/>
      <c r="M43" s="4"/>
      <c r="N43" s="4"/>
    </row>
    <row r="44" spans="1:19" x14ac:dyDescent="0.2">
      <c r="A44" s="4" t="s">
        <v>268</v>
      </c>
      <c r="B44" s="4" t="s">
        <v>269</v>
      </c>
      <c r="C44" s="32">
        <f>D44</f>
        <v>0</v>
      </c>
      <c r="D44" s="32">
        <f>E44</f>
        <v>0</v>
      </c>
      <c r="E44" s="32">
        <f>H44</f>
        <v>0</v>
      </c>
      <c r="F44" s="32">
        <f>H44</f>
        <v>0</v>
      </c>
      <c r="G44" s="32">
        <f>H44</f>
        <v>0</v>
      </c>
      <c r="H44" s="32">
        <f>IF(H$37&lt;151,0,IF(H$37&lt;181,$C$38/6,0))</f>
        <v>0</v>
      </c>
      <c r="I44" s="4"/>
      <c r="J44" s="4"/>
      <c r="K44" s="4"/>
      <c r="L44" s="4"/>
      <c r="M44" s="4"/>
      <c r="N44" s="4"/>
    </row>
    <row r="45" spans="1:19" x14ac:dyDescent="0.2">
      <c r="A45" s="4"/>
      <c r="B45" s="380" t="s">
        <v>126</v>
      </c>
      <c r="C45" s="58">
        <f t="shared" ref="C45:H45" si="23">SUM(C39:C44)</f>
        <v>0</v>
      </c>
      <c r="D45" s="58">
        <f t="shared" si="23"/>
        <v>0</v>
      </c>
      <c r="E45" s="58">
        <f t="shared" si="23"/>
        <v>0</v>
      </c>
      <c r="F45" s="58">
        <f t="shared" si="23"/>
        <v>0</v>
      </c>
      <c r="G45" s="58">
        <f t="shared" si="23"/>
        <v>0</v>
      </c>
      <c r="H45" s="58">
        <f t="shared" si="23"/>
        <v>0</v>
      </c>
      <c r="I45" s="30"/>
      <c r="J45" s="30"/>
      <c r="K45" s="30"/>
      <c r="L45" s="30"/>
      <c r="M45" s="30"/>
      <c r="N45" s="30"/>
    </row>
    <row r="46" spans="1:19" x14ac:dyDescent="0.2">
      <c r="A46" s="30" t="s">
        <v>0</v>
      </c>
      <c r="B46" s="30" t="s">
        <v>494</v>
      </c>
      <c r="C46" s="58">
        <f>'8. T5 KASSABUDJETTI'!G71</f>
        <v>0</v>
      </c>
      <c r="D46" s="58">
        <f>'8. T5 KASSABUDJETTI'!H71</f>
        <v>0</v>
      </c>
      <c r="E46" s="58">
        <f>'8. T5 KASSABUDJETTI'!I71</f>
        <v>0</v>
      </c>
      <c r="F46" s="58">
        <f>'8. T5 KASSABUDJETTI'!J71</f>
        <v>0</v>
      </c>
      <c r="G46" s="58">
        <f>'8. T5 KASSABUDJETTI'!K71</f>
        <v>0</v>
      </c>
      <c r="H46" s="58">
        <f>'8. T5 KASSABUDJETTI'!L71</f>
        <v>0</v>
      </c>
      <c r="I46" s="58">
        <f>'8. T5 KASSABUDJETTI'!M71</f>
        <v>0</v>
      </c>
      <c r="J46" s="58">
        <f>'8. T5 KASSABUDJETTI'!N71</f>
        <v>0</v>
      </c>
      <c r="K46" s="58">
        <f>'8. T5 KASSABUDJETTI'!O71</f>
        <v>0</v>
      </c>
      <c r="L46" s="58">
        <f>'8. T5 KASSABUDJETTI'!P71</f>
        <v>0</v>
      </c>
      <c r="M46" s="58">
        <f>'8. T5 KASSABUDJETTI'!Q71</f>
        <v>0</v>
      </c>
      <c r="N46" s="58">
        <f>'8. T5 KASSABUDJETTI'!R71</f>
        <v>0</v>
      </c>
    </row>
    <row r="47" spans="1:19" x14ac:dyDescent="0.2">
      <c r="A47" s="381" t="s">
        <v>258</v>
      </c>
      <c r="B47" s="381" t="s">
        <v>270</v>
      </c>
      <c r="C47" s="382">
        <f>IF(C$37&lt;31,C$46*(30-C37)/30,0)</f>
        <v>0</v>
      </c>
      <c r="D47" s="382">
        <f t="shared" ref="D47:N47" si="24">IF(D$37&lt;31,D$46*(30-D37)/30,0)</f>
        <v>0</v>
      </c>
      <c r="E47" s="382">
        <f t="shared" si="24"/>
        <v>0</v>
      </c>
      <c r="F47" s="382">
        <f t="shared" si="24"/>
        <v>0</v>
      </c>
      <c r="G47" s="382">
        <f t="shared" si="24"/>
        <v>0</v>
      </c>
      <c r="H47" s="382">
        <f t="shared" si="24"/>
        <v>0</v>
      </c>
      <c r="I47" s="382">
        <f t="shared" si="24"/>
        <v>0</v>
      </c>
      <c r="J47" s="382">
        <f t="shared" si="24"/>
        <v>0</v>
      </c>
      <c r="K47" s="382">
        <f t="shared" si="24"/>
        <v>0</v>
      </c>
      <c r="L47" s="382">
        <f t="shared" si="24"/>
        <v>0</v>
      </c>
      <c r="M47" s="382">
        <f t="shared" si="24"/>
        <v>0</v>
      </c>
      <c r="N47" s="382">
        <f t="shared" si="24"/>
        <v>0</v>
      </c>
    </row>
    <row r="48" spans="1:19" x14ac:dyDescent="0.2">
      <c r="A48" s="4" t="s">
        <v>260</v>
      </c>
      <c r="B48" s="4" t="s">
        <v>271</v>
      </c>
      <c r="C48" s="32">
        <f t="shared" ref="C48:N48" si="25">IF(C37&gt;30,0,C46-C47)</f>
        <v>0</v>
      </c>
      <c r="D48" s="32">
        <f t="shared" si="25"/>
        <v>0</v>
      </c>
      <c r="E48" s="32">
        <f t="shared" si="25"/>
        <v>0</v>
      </c>
      <c r="F48" s="32">
        <f t="shared" si="25"/>
        <v>0</v>
      </c>
      <c r="G48" s="32">
        <f t="shared" si="25"/>
        <v>0</v>
      </c>
      <c r="H48" s="32">
        <f t="shared" si="25"/>
        <v>0</v>
      </c>
      <c r="I48" s="32">
        <f t="shared" si="25"/>
        <v>0</v>
      </c>
      <c r="J48" s="32">
        <f t="shared" si="25"/>
        <v>0</v>
      </c>
      <c r="K48" s="32">
        <f t="shared" si="25"/>
        <v>0</v>
      </c>
      <c r="L48" s="32">
        <f t="shared" si="25"/>
        <v>0</v>
      </c>
      <c r="M48" s="32">
        <f t="shared" si="25"/>
        <v>0</v>
      </c>
      <c r="N48" s="32">
        <f t="shared" si="25"/>
        <v>0</v>
      </c>
    </row>
    <row r="49" spans="1:14" x14ac:dyDescent="0.2">
      <c r="A49" s="381" t="s">
        <v>260</v>
      </c>
      <c r="B49" s="381" t="s">
        <v>271</v>
      </c>
      <c r="C49" s="382">
        <f>IF(C$37&lt;31,0,IF(C$37&gt;60,0,C$46*(60-C$37))/30)</f>
        <v>0</v>
      </c>
      <c r="D49" s="382">
        <f t="shared" ref="D49:N49" si="26">IF(D$37&lt;31,0,IF(D$37&gt;60,0,D$46*(60-D$37))/30)</f>
        <v>0</v>
      </c>
      <c r="E49" s="382">
        <f t="shared" si="26"/>
        <v>0</v>
      </c>
      <c r="F49" s="382">
        <f t="shared" si="26"/>
        <v>0</v>
      </c>
      <c r="G49" s="382">
        <f t="shared" si="26"/>
        <v>0</v>
      </c>
      <c r="H49" s="382">
        <f t="shared" si="26"/>
        <v>0</v>
      </c>
      <c r="I49" s="382">
        <f t="shared" si="26"/>
        <v>0</v>
      </c>
      <c r="J49" s="382">
        <f t="shared" si="26"/>
        <v>0</v>
      </c>
      <c r="K49" s="382">
        <f t="shared" si="26"/>
        <v>0</v>
      </c>
      <c r="L49" s="382">
        <f t="shared" si="26"/>
        <v>0</v>
      </c>
      <c r="M49" s="382">
        <f t="shared" si="26"/>
        <v>0</v>
      </c>
      <c r="N49" s="382">
        <f t="shared" si="26"/>
        <v>0</v>
      </c>
    </row>
    <row r="50" spans="1:14" x14ac:dyDescent="0.2">
      <c r="A50" s="4" t="s">
        <v>262</v>
      </c>
      <c r="B50" s="4" t="s">
        <v>272</v>
      </c>
      <c r="C50" s="32">
        <f>IF(C$37&lt;31,0,IF(C$37&gt;60,0,C46-C49))</f>
        <v>0</v>
      </c>
      <c r="D50" s="32">
        <f>IF(D$37&lt;31,0,IF(D$37&gt;60,0,D46-D49))</f>
        <v>0</v>
      </c>
      <c r="E50" s="32">
        <f t="shared" ref="E50:N50" si="27">IF(E$37&lt;31,0,IF(E$37&gt;60,0,E46-E49))</f>
        <v>0</v>
      </c>
      <c r="F50" s="32">
        <f t="shared" si="27"/>
        <v>0</v>
      </c>
      <c r="G50" s="32">
        <f t="shared" si="27"/>
        <v>0</v>
      </c>
      <c r="H50" s="32">
        <f t="shared" si="27"/>
        <v>0</v>
      </c>
      <c r="I50" s="32">
        <f t="shared" si="27"/>
        <v>0</v>
      </c>
      <c r="J50" s="32">
        <f t="shared" si="27"/>
        <v>0</v>
      </c>
      <c r="K50" s="32">
        <f t="shared" si="27"/>
        <v>0</v>
      </c>
      <c r="L50" s="32">
        <f t="shared" si="27"/>
        <v>0</v>
      </c>
      <c r="M50" s="32">
        <f t="shared" si="27"/>
        <v>0</v>
      </c>
      <c r="N50" s="32">
        <f t="shared" si="27"/>
        <v>0</v>
      </c>
    </row>
    <row r="51" spans="1:14" x14ac:dyDescent="0.2">
      <c r="A51" s="381" t="s">
        <v>262</v>
      </c>
      <c r="B51" s="381" t="s">
        <v>272</v>
      </c>
      <c r="C51" s="382">
        <f>IF(C$37&lt;61,0,IF(C$37&gt;90,0,C46*(90-C$37))/30)</f>
        <v>0</v>
      </c>
      <c r="D51" s="382">
        <f t="shared" ref="D51:N51" si="28">IF(D$37&lt;61,0,IF(D$37&gt;90,0,D46*(90-D$37))/30)</f>
        <v>0</v>
      </c>
      <c r="E51" s="382">
        <f t="shared" si="28"/>
        <v>0</v>
      </c>
      <c r="F51" s="382">
        <f t="shared" si="28"/>
        <v>0</v>
      </c>
      <c r="G51" s="382">
        <f t="shared" si="28"/>
        <v>0</v>
      </c>
      <c r="H51" s="382">
        <f t="shared" si="28"/>
        <v>0</v>
      </c>
      <c r="I51" s="382">
        <f t="shared" si="28"/>
        <v>0</v>
      </c>
      <c r="J51" s="382">
        <f t="shared" si="28"/>
        <v>0</v>
      </c>
      <c r="K51" s="382">
        <f t="shared" si="28"/>
        <v>0</v>
      </c>
      <c r="L51" s="382">
        <f t="shared" si="28"/>
        <v>0</v>
      </c>
      <c r="M51" s="382">
        <f t="shared" si="28"/>
        <v>0</v>
      </c>
      <c r="N51" s="382">
        <f t="shared" si="28"/>
        <v>0</v>
      </c>
    </row>
    <row r="52" spans="1:14" x14ac:dyDescent="0.2">
      <c r="A52" s="4" t="s">
        <v>264</v>
      </c>
      <c r="B52" s="4" t="s">
        <v>273</v>
      </c>
      <c r="C52" s="32">
        <f>IF(C$37&lt;61,0,IF(C$37&gt;90,0,C46-C51))</f>
        <v>0</v>
      </c>
      <c r="D52" s="32">
        <f t="shared" ref="D52:N52" si="29">IF(D$37&lt;61,0,IF(D$37&gt;90,0,D46-D51))</f>
        <v>0</v>
      </c>
      <c r="E52" s="32">
        <f t="shared" si="29"/>
        <v>0</v>
      </c>
      <c r="F52" s="32">
        <f t="shared" si="29"/>
        <v>0</v>
      </c>
      <c r="G52" s="32">
        <f t="shared" si="29"/>
        <v>0</v>
      </c>
      <c r="H52" s="32">
        <f t="shared" si="29"/>
        <v>0</v>
      </c>
      <c r="I52" s="32">
        <f t="shared" si="29"/>
        <v>0</v>
      </c>
      <c r="J52" s="32">
        <f t="shared" si="29"/>
        <v>0</v>
      </c>
      <c r="K52" s="32">
        <f t="shared" si="29"/>
        <v>0</v>
      </c>
      <c r="L52" s="32">
        <f t="shared" si="29"/>
        <v>0</v>
      </c>
      <c r="M52" s="32">
        <f t="shared" si="29"/>
        <v>0</v>
      </c>
      <c r="N52" s="32">
        <f t="shared" si="29"/>
        <v>0</v>
      </c>
    </row>
    <row r="53" spans="1:14" x14ac:dyDescent="0.2">
      <c r="A53" s="381" t="s">
        <v>264</v>
      </c>
      <c r="B53" s="381" t="s">
        <v>273</v>
      </c>
      <c r="C53" s="382">
        <f t="shared" ref="C53:N53" si="30">IF(C$3&lt;91,0,IF(C$3&gt;120,0,C$12*(120-C$3))/30)</f>
        <v>0</v>
      </c>
      <c r="D53" s="382">
        <f t="shared" si="30"/>
        <v>0</v>
      </c>
      <c r="E53" s="382">
        <f t="shared" si="30"/>
        <v>0</v>
      </c>
      <c r="F53" s="382">
        <f t="shared" si="30"/>
        <v>0</v>
      </c>
      <c r="G53" s="382">
        <f t="shared" si="30"/>
        <v>0</v>
      </c>
      <c r="H53" s="382">
        <f t="shared" si="30"/>
        <v>0</v>
      </c>
      <c r="I53" s="382">
        <f t="shared" si="30"/>
        <v>0</v>
      </c>
      <c r="J53" s="382">
        <f t="shared" si="30"/>
        <v>0</v>
      </c>
      <c r="K53" s="382">
        <f t="shared" si="30"/>
        <v>0</v>
      </c>
      <c r="L53" s="382">
        <f t="shared" si="30"/>
        <v>0</v>
      </c>
      <c r="M53" s="382">
        <f t="shared" si="30"/>
        <v>0</v>
      </c>
      <c r="N53" s="382">
        <f t="shared" si="30"/>
        <v>0</v>
      </c>
    </row>
    <row r="54" spans="1:14" x14ac:dyDescent="0.2">
      <c r="A54" s="4" t="s">
        <v>266</v>
      </c>
      <c r="B54" s="4" t="s">
        <v>274</v>
      </c>
      <c r="C54" s="32">
        <f>IF(C$37&lt;91,0,IF(C$37&gt;120,0,C46-C53))</f>
        <v>0</v>
      </c>
      <c r="D54" s="32">
        <f t="shared" ref="D54:N54" si="31">IF(D$37&lt;91,0,IF(D$37&gt;120,0,D46-D53))</f>
        <v>0</v>
      </c>
      <c r="E54" s="32">
        <f t="shared" si="31"/>
        <v>0</v>
      </c>
      <c r="F54" s="32">
        <f t="shared" si="31"/>
        <v>0</v>
      </c>
      <c r="G54" s="32">
        <f t="shared" si="31"/>
        <v>0</v>
      </c>
      <c r="H54" s="32">
        <f t="shared" si="31"/>
        <v>0</v>
      </c>
      <c r="I54" s="32">
        <f t="shared" si="31"/>
        <v>0</v>
      </c>
      <c r="J54" s="32">
        <f t="shared" si="31"/>
        <v>0</v>
      </c>
      <c r="K54" s="32">
        <f t="shared" si="31"/>
        <v>0</v>
      </c>
      <c r="L54" s="32">
        <f t="shared" si="31"/>
        <v>0</v>
      </c>
      <c r="M54" s="32">
        <f t="shared" si="31"/>
        <v>0</v>
      </c>
      <c r="N54" s="32">
        <f t="shared" si="31"/>
        <v>0</v>
      </c>
    </row>
    <row r="55" spans="1:14" x14ac:dyDescent="0.2">
      <c r="A55" s="381" t="s">
        <v>266</v>
      </c>
      <c r="B55" s="381" t="s">
        <v>274</v>
      </c>
      <c r="C55" s="382">
        <f>IF(C$37&lt;121,0,IF(C$37&gt;150,0,C$46*(150-C$37))/30)</f>
        <v>0</v>
      </c>
      <c r="D55" s="382">
        <f t="shared" ref="D55:N55" si="32">IF(D$37&lt;121,0,IF(D$37&gt;150,0,D$46*(150-D$37))/30)</f>
        <v>0</v>
      </c>
      <c r="E55" s="382">
        <f t="shared" si="32"/>
        <v>0</v>
      </c>
      <c r="F55" s="382">
        <f t="shared" si="32"/>
        <v>0</v>
      </c>
      <c r="G55" s="382">
        <f t="shared" si="32"/>
        <v>0</v>
      </c>
      <c r="H55" s="382">
        <f t="shared" si="32"/>
        <v>0</v>
      </c>
      <c r="I55" s="382">
        <f t="shared" si="32"/>
        <v>0</v>
      </c>
      <c r="J55" s="382">
        <f t="shared" si="32"/>
        <v>0</v>
      </c>
      <c r="K55" s="382">
        <f t="shared" si="32"/>
        <v>0</v>
      </c>
      <c r="L55" s="382">
        <f t="shared" si="32"/>
        <v>0</v>
      </c>
      <c r="M55" s="382">
        <f t="shared" si="32"/>
        <v>0</v>
      </c>
      <c r="N55" s="382">
        <f t="shared" si="32"/>
        <v>0</v>
      </c>
    </row>
    <row r="56" spans="1:14" x14ac:dyDescent="0.2">
      <c r="A56" s="4" t="s">
        <v>268</v>
      </c>
      <c r="B56" s="4" t="s">
        <v>275</v>
      </c>
      <c r="C56" s="32">
        <f>IF(C$37&lt;121,0,IF(C$37&gt;150,0,C46-C55))</f>
        <v>0</v>
      </c>
      <c r="D56" s="32">
        <f t="shared" ref="D56:N56" si="33">IF(D$37&lt;121,0,IF(D$37&gt;150,0,D46-D55))</f>
        <v>0</v>
      </c>
      <c r="E56" s="32">
        <f t="shared" si="33"/>
        <v>0</v>
      </c>
      <c r="F56" s="32">
        <f t="shared" si="33"/>
        <v>0</v>
      </c>
      <c r="G56" s="32">
        <f t="shared" si="33"/>
        <v>0</v>
      </c>
      <c r="H56" s="32">
        <f t="shared" si="33"/>
        <v>0</v>
      </c>
      <c r="I56" s="32">
        <f t="shared" si="33"/>
        <v>0</v>
      </c>
      <c r="J56" s="32">
        <f t="shared" si="33"/>
        <v>0</v>
      </c>
      <c r="K56" s="32">
        <f t="shared" si="33"/>
        <v>0</v>
      </c>
      <c r="L56" s="32">
        <f t="shared" si="33"/>
        <v>0</v>
      </c>
      <c r="M56" s="32">
        <f t="shared" si="33"/>
        <v>0</v>
      </c>
      <c r="N56" s="32">
        <f t="shared" si="33"/>
        <v>0</v>
      </c>
    </row>
    <row r="57" spans="1:14" x14ac:dyDescent="0.2">
      <c r="A57" s="381" t="s">
        <v>268</v>
      </c>
      <c r="B57" s="381" t="s">
        <v>275</v>
      </c>
      <c r="C57" s="382">
        <f>IF(C$37&lt;151,0,IF(C$37&gt;180,0,C$46*(180-C$37))/30)</f>
        <v>0</v>
      </c>
      <c r="D57" s="382">
        <f t="shared" ref="D57:N57" si="34">IF(D$37&lt;151,0,IF(D$37&gt;180,0,D$46*(180-D$37))/30)</f>
        <v>0</v>
      </c>
      <c r="E57" s="382">
        <f t="shared" si="34"/>
        <v>0</v>
      </c>
      <c r="F57" s="382">
        <f t="shared" si="34"/>
        <v>0</v>
      </c>
      <c r="G57" s="382">
        <f t="shared" si="34"/>
        <v>0</v>
      </c>
      <c r="H57" s="382">
        <f t="shared" si="34"/>
        <v>0</v>
      </c>
      <c r="I57" s="382">
        <f t="shared" si="34"/>
        <v>0</v>
      </c>
      <c r="J57" s="382">
        <f t="shared" si="34"/>
        <v>0</v>
      </c>
      <c r="K57" s="382">
        <f t="shared" si="34"/>
        <v>0</v>
      </c>
      <c r="L57" s="382">
        <f t="shared" si="34"/>
        <v>0</v>
      </c>
      <c r="M57" s="382">
        <f t="shared" si="34"/>
        <v>0</v>
      </c>
      <c r="N57" s="382">
        <f t="shared" si="34"/>
        <v>0</v>
      </c>
    </row>
    <row r="58" spans="1:14" x14ac:dyDescent="0.2">
      <c r="A58" s="4"/>
      <c r="B58" s="4" t="s">
        <v>276</v>
      </c>
      <c r="C58" s="32">
        <f>IF(C$37&lt;151,0,IF(C$37&gt;180,0,C46-C57))</f>
        <v>0</v>
      </c>
      <c r="D58" s="32">
        <f t="shared" ref="D58:N58" si="35">IF(D$37&lt;151,0,IF(D$37&gt;180,0,D46-D57))</f>
        <v>0</v>
      </c>
      <c r="E58" s="32">
        <f t="shared" si="35"/>
        <v>0</v>
      </c>
      <c r="F58" s="32">
        <f t="shared" si="35"/>
        <v>0</v>
      </c>
      <c r="G58" s="32">
        <f t="shared" si="35"/>
        <v>0</v>
      </c>
      <c r="H58" s="32">
        <f t="shared" si="35"/>
        <v>0</v>
      </c>
      <c r="I58" s="32">
        <f t="shared" si="35"/>
        <v>0</v>
      </c>
      <c r="J58" s="32">
        <f t="shared" si="35"/>
        <v>0</v>
      </c>
      <c r="K58" s="32">
        <f t="shared" si="35"/>
        <v>0</v>
      </c>
      <c r="L58" s="32">
        <f t="shared" si="35"/>
        <v>0</v>
      </c>
      <c r="M58" s="32">
        <f t="shared" si="35"/>
        <v>0</v>
      </c>
      <c r="N58" s="32">
        <f t="shared" si="35"/>
        <v>0</v>
      </c>
    </row>
    <row r="59" spans="1:14" x14ac:dyDescent="0.2">
      <c r="A59" s="30"/>
      <c r="B59" s="30" t="s">
        <v>277</v>
      </c>
      <c r="C59" s="378">
        <f t="shared" ref="C59:N59" si="36">C36</f>
        <v>46760</v>
      </c>
      <c r="D59" s="378">
        <f t="shared" si="36"/>
        <v>46791</v>
      </c>
      <c r="E59" s="378">
        <f t="shared" si="36"/>
        <v>46822</v>
      </c>
      <c r="F59" s="378">
        <f t="shared" si="36"/>
        <v>46853</v>
      </c>
      <c r="G59" s="378">
        <f t="shared" si="36"/>
        <v>46884</v>
      </c>
      <c r="H59" s="378">
        <f t="shared" si="36"/>
        <v>46915</v>
      </c>
      <c r="I59" s="378">
        <f t="shared" si="36"/>
        <v>46946</v>
      </c>
      <c r="J59" s="378">
        <f t="shared" si="36"/>
        <v>46977</v>
      </c>
      <c r="K59" s="378">
        <f t="shared" si="36"/>
        <v>47008</v>
      </c>
      <c r="L59" s="378">
        <f t="shared" si="36"/>
        <v>47039</v>
      </c>
      <c r="M59" s="378">
        <f t="shared" si="36"/>
        <v>47070</v>
      </c>
      <c r="N59" s="378">
        <f t="shared" si="36"/>
        <v>47101</v>
      </c>
    </row>
    <row r="60" spans="1:14" x14ac:dyDescent="0.2">
      <c r="A60" s="4"/>
      <c r="B60" s="4" t="s">
        <v>278</v>
      </c>
      <c r="C60" s="32">
        <f>C47+C45</f>
        <v>0</v>
      </c>
      <c r="D60" s="32">
        <f>D47</f>
        <v>0</v>
      </c>
      <c r="E60" s="32">
        <f t="shared" ref="E60:N60" si="37">E47</f>
        <v>0</v>
      </c>
      <c r="F60" s="32">
        <f t="shared" si="37"/>
        <v>0</v>
      </c>
      <c r="G60" s="32">
        <f t="shared" si="37"/>
        <v>0</v>
      </c>
      <c r="H60" s="32">
        <f t="shared" si="37"/>
        <v>0</v>
      </c>
      <c r="I60" s="32">
        <f t="shared" si="37"/>
        <v>0</v>
      </c>
      <c r="J60" s="32">
        <f t="shared" si="37"/>
        <v>0</v>
      </c>
      <c r="K60" s="32">
        <f t="shared" si="37"/>
        <v>0</v>
      </c>
      <c r="L60" s="32">
        <f t="shared" si="37"/>
        <v>0</v>
      </c>
      <c r="M60" s="32">
        <f t="shared" si="37"/>
        <v>0</v>
      </c>
      <c r="N60" s="32">
        <f t="shared" si="37"/>
        <v>0</v>
      </c>
    </row>
    <row r="61" spans="1:14" x14ac:dyDescent="0.2">
      <c r="A61" s="4"/>
      <c r="B61" s="4" t="s">
        <v>271</v>
      </c>
      <c r="C61" s="32"/>
      <c r="D61" s="32">
        <f>C48+C49+D45</f>
        <v>0</v>
      </c>
      <c r="E61" s="32">
        <f t="shared" ref="E61:N61" si="38">D48+D49</f>
        <v>0</v>
      </c>
      <c r="F61" s="32">
        <f t="shared" si="38"/>
        <v>0</v>
      </c>
      <c r="G61" s="32">
        <f t="shared" si="38"/>
        <v>0</v>
      </c>
      <c r="H61" s="32">
        <f t="shared" si="38"/>
        <v>0</v>
      </c>
      <c r="I61" s="32">
        <f t="shared" si="38"/>
        <v>0</v>
      </c>
      <c r="J61" s="32">
        <f t="shared" si="38"/>
        <v>0</v>
      </c>
      <c r="K61" s="32">
        <f t="shared" si="38"/>
        <v>0</v>
      </c>
      <c r="L61" s="32">
        <f t="shared" si="38"/>
        <v>0</v>
      </c>
      <c r="M61" s="32">
        <f t="shared" si="38"/>
        <v>0</v>
      </c>
      <c r="N61" s="32">
        <f t="shared" si="38"/>
        <v>0</v>
      </c>
    </row>
    <row r="62" spans="1:14" x14ac:dyDescent="0.2">
      <c r="A62" s="4"/>
      <c r="B62" s="4" t="s">
        <v>272</v>
      </c>
      <c r="C62" s="32"/>
      <c r="D62" s="32"/>
      <c r="E62" s="32">
        <f>C50+C51+E45</f>
        <v>0</v>
      </c>
      <c r="F62" s="32">
        <f t="shared" ref="F62:N62" si="39">D50+D51</f>
        <v>0</v>
      </c>
      <c r="G62" s="32">
        <f t="shared" si="39"/>
        <v>0</v>
      </c>
      <c r="H62" s="32">
        <f t="shared" si="39"/>
        <v>0</v>
      </c>
      <c r="I62" s="32">
        <f t="shared" si="39"/>
        <v>0</v>
      </c>
      <c r="J62" s="32">
        <f t="shared" si="39"/>
        <v>0</v>
      </c>
      <c r="K62" s="32">
        <f t="shared" si="39"/>
        <v>0</v>
      </c>
      <c r="L62" s="32">
        <f t="shared" si="39"/>
        <v>0</v>
      </c>
      <c r="M62" s="32">
        <f t="shared" si="39"/>
        <v>0</v>
      </c>
      <c r="N62" s="32">
        <f t="shared" si="39"/>
        <v>0</v>
      </c>
    </row>
    <row r="63" spans="1:14" x14ac:dyDescent="0.2">
      <c r="A63" s="4"/>
      <c r="B63" s="4" t="s">
        <v>273</v>
      </c>
      <c r="C63" s="32"/>
      <c r="D63" s="32"/>
      <c r="E63" s="32"/>
      <c r="F63" s="32">
        <f>C52+C53+F45</f>
        <v>0</v>
      </c>
      <c r="G63" s="32">
        <f t="shared" ref="G63:N63" si="40">D52+D53</f>
        <v>0</v>
      </c>
      <c r="H63" s="32">
        <f t="shared" si="40"/>
        <v>0</v>
      </c>
      <c r="I63" s="32">
        <f t="shared" si="40"/>
        <v>0</v>
      </c>
      <c r="J63" s="32">
        <f t="shared" si="40"/>
        <v>0</v>
      </c>
      <c r="K63" s="32">
        <f t="shared" si="40"/>
        <v>0</v>
      </c>
      <c r="L63" s="32">
        <f t="shared" si="40"/>
        <v>0</v>
      </c>
      <c r="M63" s="32">
        <f t="shared" si="40"/>
        <v>0</v>
      </c>
      <c r="N63" s="32">
        <f t="shared" si="40"/>
        <v>0</v>
      </c>
    </row>
    <row r="64" spans="1:14" x14ac:dyDescent="0.2">
      <c r="A64" s="4"/>
      <c r="B64" s="4" t="s">
        <v>274</v>
      </c>
      <c r="C64" s="32"/>
      <c r="D64" s="32"/>
      <c r="E64" s="32"/>
      <c r="F64" s="32"/>
      <c r="G64" s="32">
        <f>C54+C55+G45</f>
        <v>0</v>
      </c>
      <c r="H64" s="32">
        <f t="shared" ref="H64:N64" si="41">D54+D55</f>
        <v>0</v>
      </c>
      <c r="I64" s="32">
        <f t="shared" si="41"/>
        <v>0</v>
      </c>
      <c r="J64" s="32">
        <f t="shared" si="41"/>
        <v>0</v>
      </c>
      <c r="K64" s="32">
        <f t="shared" si="41"/>
        <v>0</v>
      </c>
      <c r="L64" s="32">
        <f t="shared" si="41"/>
        <v>0</v>
      </c>
      <c r="M64" s="32">
        <f t="shared" si="41"/>
        <v>0</v>
      </c>
      <c r="N64" s="32">
        <f t="shared" si="41"/>
        <v>0</v>
      </c>
    </row>
    <row r="65" spans="1:14" x14ac:dyDescent="0.2">
      <c r="A65" s="4"/>
      <c r="B65" s="4" t="s">
        <v>275</v>
      </c>
      <c r="C65" s="32"/>
      <c r="D65" s="32"/>
      <c r="E65" s="32"/>
      <c r="F65" s="32"/>
      <c r="G65" s="32"/>
      <c r="H65" s="32">
        <f>C56+C57+H45</f>
        <v>0</v>
      </c>
      <c r="I65" s="32">
        <f t="shared" ref="I65:N65" si="42">D56+D57</f>
        <v>0</v>
      </c>
      <c r="J65" s="32">
        <f t="shared" si="42"/>
        <v>0</v>
      </c>
      <c r="K65" s="32">
        <f t="shared" si="42"/>
        <v>0</v>
      </c>
      <c r="L65" s="32">
        <f t="shared" si="42"/>
        <v>0</v>
      </c>
      <c r="M65" s="32">
        <f t="shared" si="42"/>
        <v>0</v>
      </c>
      <c r="N65" s="32">
        <f t="shared" si="42"/>
        <v>0</v>
      </c>
    </row>
    <row r="66" spans="1:14" x14ac:dyDescent="0.2">
      <c r="A66" s="4"/>
      <c r="B66" s="4" t="s">
        <v>276</v>
      </c>
      <c r="C66" s="32"/>
      <c r="D66" s="32"/>
      <c r="E66" s="32"/>
      <c r="F66" s="32"/>
      <c r="G66" s="32"/>
      <c r="H66" s="32"/>
      <c r="I66" s="32">
        <f t="shared" ref="I66:N66" si="43">C58</f>
        <v>0</v>
      </c>
      <c r="J66" s="32">
        <f t="shared" si="43"/>
        <v>0</v>
      </c>
      <c r="K66" s="32">
        <f t="shared" si="43"/>
        <v>0</v>
      </c>
      <c r="L66" s="32">
        <f t="shared" si="43"/>
        <v>0</v>
      </c>
      <c r="M66" s="32">
        <f t="shared" si="43"/>
        <v>0</v>
      </c>
      <c r="N66" s="32">
        <f t="shared" si="43"/>
        <v>0</v>
      </c>
    </row>
    <row r="67" spans="1:14" x14ac:dyDescent="0.2">
      <c r="A67" s="30"/>
      <c r="B67" s="30" t="s">
        <v>279</v>
      </c>
      <c r="C67" s="58">
        <f>SUM(C60:C66)</f>
        <v>0</v>
      </c>
      <c r="D67" s="58">
        <f t="shared" ref="D67:N67" si="44">SUM(D60:D66)</f>
        <v>0</v>
      </c>
      <c r="E67" s="58">
        <f t="shared" si="44"/>
        <v>0</v>
      </c>
      <c r="F67" s="58">
        <f t="shared" si="44"/>
        <v>0</v>
      </c>
      <c r="G67" s="58">
        <f t="shared" si="44"/>
        <v>0</v>
      </c>
      <c r="H67" s="58">
        <f t="shared" si="44"/>
        <v>0</v>
      </c>
      <c r="I67" s="58">
        <f t="shared" si="44"/>
        <v>0</v>
      </c>
      <c r="J67" s="58">
        <f t="shared" si="44"/>
        <v>0</v>
      </c>
      <c r="K67" s="58">
        <f t="shared" si="44"/>
        <v>0</v>
      </c>
      <c r="L67" s="58">
        <f t="shared" si="44"/>
        <v>0</v>
      </c>
      <c r="M67" s="58">
        <f t="shared" si="44"/>
        <v>0</v>
      </c>
      <c r="N67" s="58">
        <f t="shared" si="44"/>
        <v>0</v>
      </c>
    </row>
  </sheetData>
  <sheetProtection algorithmName="SHA-512" hashValue="uEMa825g9H93B63V42WKQDHeLZu7z6/vjOAOktg946M0WiSkWUNdHPbsKzBSKKQHLfH7IVyYMoGVWOdwoRqPtg==" saltValue="DUzqNHhRcDTvPPgCQjYe9w==" spinCount="100000" sheet="1" objects="1" scenarios="1" selectLockedCells="1" selectUnlockedCell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Y57"/>
  <sheetViews>
    <sheetView topLeftCell="A9" zoomScale="115" zoomScaleNormal="115" workbookViewId="0">
      <selection activeCell="P58" sqref="P58"/>
    </sheetView>
  </sheetViews>
  <sheetFormatPr defaultRowHeight="12.75" x14ac:dyDescent="0.2"/>
  <cols>
    <col min="1" max="1" width="2.140625" customWidth="1"/>
    <col min="2" max="2" width="3.85546875" style="219" customWidth="1"/>
    <col min="3" max="3" width="30.7109375" customWidth="1"/>
    <col min="4" max="4" width="5.7109375" customWidth="1"/>
    <col min="5" max="5" width="10" bestFit="1" customWidth="1"/>
    <col min="9" max="9" width="1.28515625" customWidth="1"/>
    <col min="10" max="10" width="5.5703125" customWidth="1"/>
    <col min="11" max="11" width="36.7109375" customWidth="1"/>
    <col min="12" max="12" width="7.85546875" customWidth="1"/>
    <col min="23" max="23" width="10.140625" customWidth="1"/>
    <col min="25" max="25" width="11.28515625" style="1583" customWidth="1"/>
  </cols>
  <sheetData>
    <row r="1" spans="2:25" ht="13.5" thickBot="1" x14ac:dyDescent="0.25"/>
    <row r="2" spans="2:25" ht="15.75" customHeight="1" x14ac:dyDescent="0.2">
      <c r="C2" s="2287" t="s">
        <v>136</v>
      </c>
      <c r="D2" s="46" t="s">
        <v>14</v>
      </c>
      <c r="E2" s="48" t="s">
        <v>16</v>
      </c>
      <c r="F2" s="48" t="s">
        <v>1</v>
      </c>
      <c r="G2" s="48" t="s">
        <v>12</v>
      </c>
      <c r="H2" s="1568" t="s">
        <v>202</v>
      </c>
      <c r="I2" s="25"/>
      <c r="J2" s="25"/>
      <c r="K2" s="352" t="s">
        <v>486</v>
      </c>
      <c r="L2" s="351" t="s">
        <v>249</v>
      </c>
      <c r="M2" s="355">
        <f>'8. T5 KASSABUDJETTI'!G10</f>
        <v>46388</v>
      </c>
      <c r="N2" s="355">
        <f>'8. T5 KASSABUDJETTI'!H10</f>
        <v>46419</v>
      </c>
      <c r="O2" s="355">
        <f>'8. T5 KASSABUDJETTI'!I10</f>
        <v>46450</v>
      </c>
      <c r="P2" s="355">
        <f>'8. T5 KASSABUDJETTI'!J10</f>
        <v>46481</v>
      </c>
      <c r="Q2" s="355">
        <f>'8. T5 KASSABUDJETTI'!K10</f>
        <v>46512</v>
      </c>
      <c r="R2" s="355">
        <f>'8. T5 KASSABUDJETTI'!L10</f>
        <v>46543</v>
      </c>
      <c r="S2" s="355">
        <f>'8. T5 KASSABUDJETTI'!M10</f>
        <v>46574</v>
      </c>
      <c r="T2" s="355">
        <f>'8. T5 KASSABUDJETTI'!N10</f>
        <v>46605</v>
      </c>
      <c r="U2" s="355">
        <f>'8. T5 KASSABUDJETTI'!O10</f>
        <v>46636</v>
      </c>
      <c r="V2" s="355">
        <f>'8. T5 KASSABUDJETTI'!P10</f>
        <v>46667</v>
      </c>
      <c r="W2" s="355">
        <f>'8. T5 KASSABUDJETTI'!Q10</f>
        <v>46698</v>
      </c>
      <c r="X2" s="355">
        <f>'8. T5 KASSABUDJETTI'!R10</f>
        <v>46729</v>
      </c>
    </row>
    <row r="3" spans="2:25" x14ac:dyDescent="0.2">
      <c r="C3" s="2288"/>
      <c r="D3" s="172">
        <f>'1. T1 INVESTOINTISUUN.'!D16</f>
        <v>0</v>
      </c>
      <c r="E3" s="172">
        <f>'1. T1 INVESTOINTISUUN.'!E16</f>
        <v>2027</v>
      </c>
      <c r="F3" s="172">
        <f>'1. T1 INVESTOINTISUUN.'!F16</f>
        <v>2028</v>
      </c>
      <c r="G3" s="172">
        <f>'1. T1 INVESTOINTISUUN.'!G16</f>
        <v>2029</v>
      </c>
      <c r="H3" s="172">
        <f>'1. T1 INVESTOINTISUUN.'!H16</f>
        <v>2030</v>
      </c>
      <c r="I3" s="26"/>
      <c r="J3" s="1246">
        <f>'8. T5 KASSABUDJETTI'!B13</f>
        <v>2</v>
      </c>
      <c r="K3" s="1247" t="str">
        <f>'8. T5 KASSABUDJETTI'!C13</f>
        <v xml:space="preserve"> Käteismyynti- ja ennakkomaksuosuus-%</v>
      </c>
      <c r="L3" s="1251">
        <f>'8. T5 KASSABUDJETTI'!F13</f>
        <v>25.5</v>
      </c>
      <c r="M3" s="1252">
        <f>'8. T5 KASSABUDJETTI'!G13</f>
        <v>0</v>
      </c>
      <c r="N3" s="1252">
        <f>'8. T5 KASSABUDJETTI'!H13</f>
        <v>0</v>
      </c>
      <c r="O3" s="1252">
        <f>'8. T5 KASSABUDJETTI'!I13</f>
        <v>0</v>
      </c>
      <c r="P3" s="1252">
        <f>'8. T5 KASSABUDJETTI'!J13</f>
        <v>0</v>
      </c>
      <c r="Q3" s="1252">
        <f>'8. T5 KASSABUDJETTI'!K13</f>
        <v>0</v>
      </c>
      <c r="R3" s="1252">
        <f>'8. T5 KASSABUDJETTI'!L13</f>
        <v>0</v>
      </c>
      <c r="S3" s="1252">
        <f>'8. T5 KASSABUDJETTI'!M13</f>
        <v>0</v>
      </c>
      <c r="T3" s="1252">
        <f>'8. T5 KASSABUDJETTI'!N13</f>
        <v>0</v>
      </c>
      <c r="U3" s="1252">
        <f>'8. T5 KASSABUDJETTI'!O13</f>
        <v>0</v>
      </c>
      <c r="V3" s="1252">
        <f>'8. T5 KASSABUDJETTI'!P13</f>
        <v>0</v>
      </c>
      <c r="W3" s="1252">
        <f>'8. T5 KASSABUDJETTI'!Q13</f>
        <v>0</v>
      </c>
      <c r="X3" s="1252">
        <f>'8. T5 KASSABUDJETTI'!R13</f>
        <v>0</v>
      </c>
      <c r="Y3" s="1584">
        <f t="shared" ref="Y3:Y19" si="0">SUM(M3:X3)</f>
        <v>0</v>
      </c>
    </row>
    <row r="4" spans="2:25" x14ac:dyDescent="0.2">
      <c r="B4" s="1244" t="str">
        <f>'1. T1 INVESTOINTISUUN.'!B17</f>
        <v>1.</v>
      </c>
      <c r="C4" s="84" t="str">
        <f>'1. T1 INVESTOINTISUUN.'!C17</f>
        <v xml:space="preserve"> Maa-alueet ja vesialueet, liittymät yms.</v>
      </c>
      <c r="D4" s="84"/>
      <c r="E4" s="84">
        <f>'1. T1 INVESTOINTISUUN.'!E17</f>
        <v>0</v>
      </c>
      <c r="F4" s="84">
        <f>'1. T1 INVESTOINTISUUN.'!F17</f>
        <v>0</v>
      </c>
      <c r="G4" s="84">
        <f>'1. T1 INVESTOINTISUUN.'!G17</f>
        <v>0</v>
      </c>
      <c r="H4" s="84">
        <f>'1. T1 INVESTOINTISUUN.'!H17</f>
        <v>0</v>
      </c>
      <c r="I4" s="26"/>
      <c r="J4" s="1248"/>
      <c r="K4" s="963" t="s">
        <v>250</v>
      </c>
      <c r="L4" s="1249"/>
      <c r="M4" s="83">
        <f t="shared" ref="M4:X4" si="1">M3-M3/(1+$L3%)</f>
        <v>0</v>
      </c>
      <c r="N4" s="83">
        <f t="shared" si="1"/>
        <v>0</v>
      </c>
      <c r="O4" s="83">
        <f t="shared" si="1"/>
        <v>0</v>
      </c>
      <c r="P4" s="83">
        <f t="shared" si="1"/>
        <v>0</v>
      </c>
      <c r="Q4" s="83">
        <f t="shared" si="1"/>
        <v>0</v>
      </c>
      <c r="R4" s="83">
        <f t="shared" si="1"/>
        <v>0</v>
      </c>
      <c r="S4" s="83">
        <f t="shared" si="1"/>
        <v>0</v>
      </c>
      <c r="T4" s="83">
        <f t="shared" si="1"/>
        <v>0</v>
      </c>
      <c r="U4" s="83">
        <f t="shared" si="1"/>
        <v>0</v>
      </c>
      <c r="V4" s="83">
        <f t="shared" si="1"/>
        <v>0</v>
      </c>
      <c r="W4" s="83">
        <f t="shared" si="1"/>
        <v>0</v>
      </c>
      <c r="X4" s="83">
        <f t="shared" si="1"/>
        <v>0</v>
      </c>
      <c r="Y4" s="1585">
        <f t="shared" si="0"/>
        <v>0</v>
      </c>
    </row>
    <row r="5" spans="2:25" x14ac:dyDescent="0.2">
      <c r="B5" s="77" t="s">
        <v>0</v>
      </c>
      <c r="C5" s="84" t="str">
        <f>'1. T1 INVESTOINTISUUN.'!C19</f>
        <v xml:space="preserve"> • avustus-%</v>
      </c>
      <c r="D5" s="176"/>
      <c r="E5" s="176">
        <f>'1. T1 INVESTOINTISUUN.'!E19</f>
        <v>0</v>
      </c>
      <c r="F5" s="176">
        <f>'1. T1 INVESTOINTISUUN.'!F19</f>
        <v>0</v>
      </c>
      <c r="G5" s="176">
        <f>'1. T1 INVESTOINTISUUN.'!G19</f>
        <v>0</v>
      </c>
      <c r="H5" s="176">
        <f>'1. T1 INVESTOINTISUUN.'!H19</f>
        <v>0</v>
      </c>
      <c r="I5" s="26"/>
      <c r="J5" s="1246">
        <f>'8. T5 KASSABUDJETTI'!B15</f>
        <v>3</v>
      </c>
      <c r="K5" s="1559" t="str">
        <f>'8. T5 KASSABUDJETTI'!C15</f>
        <v xml:space="preserve"> Laskutusmyynti</v>
      </c>
      <c r="L5" s="1251">
        <f>'8. T5 KASSABUDJETTI'!F15</f>
        <v>25.5</v>
      </c>
      <c r="M5" s="1252">
        <f>'8. T5 KASSABUDJETTI'!G15</f>
        <v>0</v>
      </c>
      <c r="N5" s="1252">
        <f>'8. T5 KASSABUDJETTI'!H15</f>
        <v>0</v>
      </c>
      <c r="O5" s="1252">
        <f>'8. T5 KASSABUDJETTI'!I15</f>
        <v>0</v>
      </c>
      <c r="P5" s="1252">
        <f>'8. T5 KASSABUDJETTI'!J15</f>
        <v>0</v>
      </c>
      <c r="Q5" s="1252">
        <f>'8. T5 KASSABUDJETTI'!K15</f>
        <v>0</v>
      </c>
      <c r="R5" s="1252">
        <f>'8. T5 KASSABUDJETTI'!L15</f>
        <v>0</v>
      </c>
      <c r="S5" s="1252">
        <f>'8. T5 KASSABUDJETTI'!M15</f>
        <v>0</v>
      </c>
      <c r="T5" s="1252">
        <f>'8. T5 KASSABUDJETTI'!N15</f>
        <v>0</v>
      </c>
      <c r="U5" s="1252">
        <f>'8. T5 KASSABUDJETTI'!O15</f>
        <v>0</v>
      </c>
      <c r="V5" s="1252">
        <f>'8. T5 KASSABUDJETTI'!P15</f>
        <v>0</v>
      </c>
      <c r="W5" s="1252">
        <f>'8. T5 KASSABUDJETTI'!Q15</f>
        <v>0</v>
      </c>
      <c r="X5" s="1252">
        <f>'8. T5 KASSABUDJETTI'!R15</f>
        <v>0</v>
      </c>
      <c r="Y5" s="1584">
        <f t="shared" si="0"/>
        <v>0</v>
      </c>
    </row>
    <row r="6" spans="2:25" x14ac:dyDescent="0.2">
      <c r="C6" s="173" t="s">
        <v>133</v>
      </c>
      <c r="D6" s="84"/>
      <c r="E6" s="84">
        <f>E4*E5</f>
        <v>0</v>
      </c>
      <c r="F6" s="84">
        <f>F4*F5</f>
        <v>0</v>
      </c>
      <c r="G6" s="84">
        <f>G4*G5</f>
        <v>0</v>
      </c>
      <c r="H6" s="84">
        <f>H4*H5</f>
        <v>0</v>
      </c>
      <c r="I6" s="26"/>
      <c r="J6" s="1248"/>
      <c r="K6" s="963" t="s">
        <v>250</v>
      </c>
      <c r="L6" s="1249"/>
      <c r="M6" s="83">
        <f>M5-M5/(1+$L5%)</f>
        <v>0</v>
      </c>
      <c r="N6" s="83">
        <f t="shared" ref="N6:X6" si="2">N5-N5/(1+$L5%)</f>
        <v>0</v>
      </c>
      <c r="O6" s="83">
        <f t="shared" si="2"/>
        <v>0</v>
      </c>
      <c r="P6" s="83">
        <f t="shared" si="2"/>
        <v>0</v>
      </c>
      <c r="Q6" s="83">
        <f t="shared" si="2"/>
        <v>0</v>
      </c>
      <c r="R6" s="83">
        <f t="shared" si="2"/>
        <v>0</v>
      </c>
      <c r="S6" s="83">
        <f t="shared" si="2"/>
        <v>0</v>
      </c>
      <c r="T6" s="83">
        <f t="shared" si="2"/>
        <v>0</v>
      </c>
      <c r="U6" s="83">
        <f t="shared" si="2"/>
        <v>0</v>
      </c>
      <c r="V6" s="83">
        <f t="shared" si="2"/>
        <v>0</v>
      </c>
      <c r="W6" s="83">
        <f t="shared" si="2"/>
        <v>0</v>
      </c>
      <c r="X6" s="83">
        <f t="shared" si="2"/>
        <v>0</v>
      </c>
      <c r="Y6" s="1585">
        <f t="shared" si="0"/>
        <v>0</v>
      </c>
    </row>
    <row r="7" spans="2:25" x14ac:dyDescent="0.2">
      <c r="C7" s="173" t="s">
        <v>178</v>
      </c>
      <c r="D7" s="84"/>
      <c r="E7" s="84">
        <f>E4-E6</f>
        <v>0</v>
      </c>
      <c r="F7" s="84">
        <f>F4-F6</f>
        <v>0</v>
      </c>
      <c r="G7" s="84">
        <f>G4-G6</f>
        <v>0</v>
      </c>
      <c r="H7" s="84">
        <f>H4-H6</f>
        <v>0</v>
      </c>
      <c r="I7" s="26"/>
      <c r="J7" s="1246">
        <f>'8. T5 KASSABUDJETTI'!B18</f>
        <v>4</v>
      </c>
      <c r="K7" s="1253" t="str">
        <f>'8. T5 KASSABUDJETTI'!C18</f>
        <v xml:space="preserve"> Muut tuotot sis. alv (liiketoim. muut tuotot, saneeraus)</v>
      </c>
      <c r="L7" s="1251">
        <f>'8. T5 KASSABUDJETTI'!F18</f>
        <v>25.5</v>
      </c>
      <c r="M7" s="1252">
        <f>'8. T5 KASSABUDJETTI'!G18</f>
        <v>0</v>
      </c>
      <c r="N7" s="1252">
        <f>'8. T5 KASSABUDJETTI'!H18</f>
        <v>0</v>
      </c>
      <c r="O7" s="1252">
        <f>'8. T5 KASSABUDJETTI'!I18</f>
        <v>0</v>
      </c>
      <c r="P7" s="1252">
        <f>'8. T5 KASSABUDJETTI'!J18</f>
        <v>0</v>
      </c>
      <c r="Q7" s="1252">
        <f>'8. T5 KASSABUDJETTI'!K18</f>
        <v>0</v>
      </c>
      <c r="R7" s="1252">
        <f>'8. T5 KASSABUDJETTI'!L18</f>
        <v>0</v>
      </c>
      <c r="S7" s="1252">
        <f>'8. T5 KASSABUDJETTI'!M18</f>
        <v>0</v>
      </c>
      <c r="T7" s="1252">
        <f>'8. T5 KASSABUDJETTI'!N18</f>
        <v>0</v>
      </c>
      <c r="U7" s="1252">
        <f>'8. T5 KASSABUDJETTI'!O18</f>
        <v>0</v>
      </c>
      <c r="V7" s="1252">
        <f>'8. T5 KASSABUDJETTI'!P18</f>
        <v>0</v>
      </c>
      <c r="W7" s="1252">
        <f>'8. T5 KASSABUDJETTI'!Q18</f>
        <v>0</v>
      </c>
      <c r="X7" s="1252">
        <f>'8. T5 KASSABUDJETTI'!R18</f>
        <v>0</v>
      </c>
      <c r="Y7" s="1584">
        <f t="shared" si="0"/>
        <v>0</v>
      </c>
    </row>
    <row r="8" spans="2:25" x14ac:dyDescent="0.2">
      <c r="B8" s="1245" t="str">
        <f>'1. T1 INVESTOINTISUUN.'!B20</f>
        <v>2.</v>
      </c>
      <c r="C8" s="173" t="str">
        <f>'1. T1 INVESTOINTISUUN.'!C20</f>
        <v xml:space="preserve"> Uudisrakennukset ja rakennelmat sis. alv </v>
      </c>
      <c r="D8" s="173"/>
      <c r="E8" s="173">
        <f>'1. T1 INVESTOINTISUUN.'!E20</f>
        <v>0</v>
      </c>
      <c r="F8" s="173">
        <f>'1. T1 INVESTOINTISUUN.'!F20</f>
        <v>0</v>
      </c>
      <c r="G8" s="173">
        <f>'1. T1 INVESTOINTISUUN.'!G20</f>
        <v>0</v>
      </c>
      <c r="H8" s="173">
        <f>'1. T1 INVESTOINTISUUN.'!H20</f>
        <v>0</v>
      </c>
      <c r="I8" s="39"/>
      <c r="J8" s="1250"/>
      <c r="K8" s="963" t="s">
        <v>250</v>
      </c>
      <c r="L8" s="1249"/>
      <c r="M8" s="83">
        <f>M7-M7/(1+$L7%)</f>
        <v>0</v>
      </c>
      <c r="N8" s="83">
        <f t="shared" ref="N8:X8" si="3">N7-N7/(1+$L7%)</f>
        <v>0</v>
      </c>
      <c r="O8" s="83">
        <f t="shared" si="3"/>
        <v>0</v>
      </c>
      <c r="P8" s="83">
        <f t="shared" si="3"/>
        <v>0</v>
      </c>
      <c r="Q8" s="83">
        <f t="shared" si="3"/>
        <v>0</v>
      </c>
      <c r="R8" s="83">
        <f t="shared" si="3"/>
        <v>0</v>
      </c>
      <c r="S8" s="83">
        <f>S7-S7/(1+$L7%)</f>
        <v>0</v>
      </c>
      <c r="T8" s="83">
        <f t="shared" si="3"/>
        <v>0</v>
      </c>
      <c r="U8" s="83">
        <f t="shared" si="3"/>
        <v>0</v>
      </c>
      <c r="V8" s="83">
        <f t="shared" si="3"/>
        <v>0</v>
      </c>
      <c r="W8" s="83">
        <f t="shared" si="3"/>
        <v>0</v>
      </c>
      <c r="X8" s="83">
        <f t="shared" si="3"/>
        <v>0</v>
      </c>
      <c r="Y8" s="1585">
        <f t="shared" si="0"/>
        <v>0</v>
      </c>
    </row>
    <row r="9" spans="2:25" x14ac:dyDescent="0.2">
      <c r="B9" s="165"/>
      <c r="C9" s="173" t="str">
        <f>'1. T1 INVESTOINTISUUN.'!C22</f>
        <v xml:space="preserve"> • arvonlisävero-%</v>
      </c>
      <c r="D9" s="174"/>
      <c r="E9" s="174">
        <f>'1. T1 INVESTOINTISUUN.'!E22</f>
        <v>0.255</v>
      </c>
      <c r="F9" s="174">
        <f>'1. T1 INVESTOINTISUUN.'!F22</f>
        <v>0.255</v>
      </c>
      <c r="G9" s="174">
        <f>'1. T1 INVESTOINTISUUN.'!G22</f>
        <v>0.255</v>
      </c>
      <c r="H9" s="174">
        <f>'1. T1 INVESTOINTISUUN.'!H22</f>
        <v>0.255</v>
      </c>
      <c r="I9" s="39"/>
      <c r="J9" s="1556"/>
      <c r="K9" s="353" t="s">
        <v>251</v>
      </c>
      <c r="L9" s="356"/>
      <c r="M9" s="353">
        <f t="shared" ref="M9:X9" si="4">M4+M6+M8</f>
        <v>0</v>
      </c>
      <c r="N9" s="353">
        <f t="shared" si="4"/>
        <v>0</v>
      </c>
      <c r="O9" s="353">
        <f t="shared" si="4"/>
        <v>0</v>
      </c>
      <c r="P9" s="353">
        <f t="shared" si="4"/>
        <v>0</v>
      </c>
      <c r="Q9" s="353">
        <f t="shared" si="4"/>
        <v>0</v>
      </c>
      <c r="R9" s="353">
        <f t="shared" si="4"/>
        <v>0</v>
      </c>
      <c r="S9" s="353">
        <f t="shared" si="4"/>
        <v>0</v>
      </c>
      <c r="T9" s="353">
        <f t="shared" si="4"/>
        <v>0</v>
      </c>
      <c r="U9" s="353">
        <f t="shared" si="4"/>
        <v>0</v>
      </c>
      <c r="V9" s="353">
        <f t="shared" si="4"/>
        <v>0</v>
      </c>
      <c r="W9" s="353">
        <f t="shared" si="4"/>
        <v>0</v>
      </c>
      <c r="X9" s="353">
        <f t="shared" si="4"/>
        <v>0</v>
      </c>
      <c r="Y9" s="1583">
        <f t="shared" si="0"/>
        <v>0</v>
      </c>
    </row>
    <row r="10" spans="2:25" x14ac:dyDescent="0.2">
      <c r="B10" s="165"/>
      <c r="C10" s="173" t="s">
        <v>132</v>
      </c>
      <c r="D10" s="175"/>
      <c r="E10" s="175">
        <f>E8/(1+E9)</f>
        <v>0</v>
      </c>
      <c r="F10" s="175">
        <f>F8/(1+F9)</f>
        <v>0</v>
      </c>
      <c r="G10" s="175">
        <f>G8/(1+G9)</f>
        <v>0</v>
      </c>
      <c r="H10" s="175">
        <f>H8/(1+H9)</f>
        <v>0</v>
      </c>
      <c r="I10" s="39"/>
      <c r="J10" s="1557">
        <f>'8. T5 KASSABUDJETTI'!B23</f>
        <v>6</v>
      </c>
      <c r="K10" s="249" t="str">
        <f>'8. T5 KASSABUDJETTI'!C23</f>
        <v xml:space="preserve"> Aineet ja tarvikkeet</v>
      </c>
      <c r="L10" s="1251">
        <f>'8. T5 KASSABUDJETTI'!F23</f>
        <v>25.5</v>
      </c>
      <c r="M10" s="1252">
        <f>'8. T5 KASSABUDJETTI'!G23</f>
        <v>0</v>
      </c>
      <c r="N10" s="1252">
        <f>'8. T5 KASSABUDJETTI'!H23</f>
        <v>0</v>
      </c>
      <c r="O10" s="1252">
        <f>'8. T5 KASSABUDJETTI'!I23</f>
        <v>0</v>
      </c>
      <c r="P10" s="1252">
        <f>'8. T5 KASSABUDJETTI'!J23</f>
        <v>0</v>
      </c>
      <c r="Q10" s="1252">
        <f>'8. T5 KASSABUDJETTI'!K23</f>
        <v>0</v>
      </c>
      <c r="R10" s="1252">
        <f>'8. T5 KASSABUDJETTI'!L23</f>
        <v>0</v>
      </c>
      <c r="S10" s="1252">
        <f>'8. T5 KASSABUDJETTI'!M23</f>
        <v>0</v>
      </c>
      <c r="T10" s="1252">
        <f>'8. T5 KASSABUDJETTI'!N23</f>
        <v>0</v>
      </c>
      <c r="U10" s="1252">
        <f>'8. T5 KASSABUDJETTI'!O23</f>
        <v>0</v>
      </c>
      <c r="V10" s="1252">
        <f>'8. T5 KASSABUDJETTI'!P23</f>
        <v>0</v>
      </c>
      <c r="W10" s="1252">
        <f>'8. T5 KASSABUDJETTI'!Q23</f>
        <v>0</v>
      </c>
      <c r="X10" s="1252">
        <f>'8. T5 KASSABUDJETTI'!R23</f>
        <v>0</v>
      </c>
      <c r="Y10" s="1584">
        <f t="shared" si="0"/>
        <v>0</v>
      </c>
    </row>
    <row r="11" spans="2:25" x14ac:dyDescent="0.2">
      <c r="B11" s="165" t="s">
        <v>0</v>
      </c>
      <c r="C11" s="173" t="s">
        <v>131</v>
      </c>
      <c r="D11" s="175"/>
      <c r="E11" s="175">
        <f>E8-E10</f>
        <v>0</v>
      </c>
      <c r="F11" s="175">
        <f>F8-F10</f>
        <v>0</v>
      </c>
      <c r="G11" s="175">
        <f>G8-G10</f>
        <v>0</v>
      </c>
      <c r="H11" s="175">
        <f>H8-H10</f>
        <v>0</v>
      </c>
      <c r="I11" s="39"/>
      <c r="J11" s="1558"/>
      <c r="K11" s="963" t="s">
        <v>250</v>
      </c>
      <c r="L11" s="1249"/>
      <c r="M11" s="83">
        <f>M10-M10/(1+$L10%)</f>
        <v>0</v>
      </c>
      <c r="N11" s="83">
        <f t="shared" ref="N11:X11" si="5">N10-N10/(1+$L10%)</f>
        <v>0</v>
      </c>
      <c r="O11" s="83">
        <f t="shared" si="5"/>
        <v>0</v>
      </c>
      <c r="P11" s="83">
        <f t="shared" si="5"/>
        <v>0</v>
      </c>
      <c r="Q11" s="83">
        <f t="shared" si="5"/>
        <v>0</v>
      </c>
      <c r="R11" s="83">
        <f t="shared" si="5"/>
        <v>0</v>
      </c>
      <c r="S11" s="83">
        <f t="shared" si="5"/>
        <v>0</v>
      </c>
      <c r="T11" s="83">
        <f t="shared" si="5"/>
        <v>0</v>
      </c>
      <c r="U11" s="83">
        <f t="shared" si="5"/>
        <v>0</v>
      </c>
      <c r="V11" s="83">
        <f t="shared" si="5"/>
        <v>0</v>
      </c>
      <c r="W11" s="83">
        <f t="shared" si="5"/>
        <v>0</v>
      </c>
      <c r="X11" s="83">
        <f t="shared" si="5"/>
        <v>0</v>
      </c>
      <c r="Y11" s="1585">
        <f t="shared" si="0"/>
        <v>0</v>
      </c>
    </row>
    <row r="12" spans="2:25" x14ac:dyDescent="0.2">
      <c r="B12" s="165"/>
      <c r="C12" s="173" t="str">
        <f>'1. T1 INVESTOINTISUUN.'!C23</f>
        <v xml:space="preserve"> • avustus-%</v>
      </c>
      <c r="D12" s="174"/>
      <c r="E12" s="174">
        <f>'1. T1 INVESTOINTISUUN.'!E23</f>
        <v>0</v>
      </c>
      <c r="F12" s="174">
        <f>'1. T1 INVESTOINTISUUN.'!F23</f>
        <v>0</v>
      </c>
      <c r="G12" s="174">
        <f>'1. T1 INVESTOINTISUUN.'!G23</f>
        <v>0</v>
      </c>
      <c r="H12" s="174">
        <f>'1. T1 INVESTOINTISUUN.'!H23</f>
        <v>0</v>
      </c>
      <c r="I12" s="39"/>
      <c r="J12" s="1557">
        <f>'8. T5 KASSABUDJETTI'!B25</f>
        <v>7</v>
      </c>
      <c r="K12" s="249" t="str">
        <f>'8. T5 KASSABUDJETTI'!C25</f>
        <v xml:space="preserve"> Vaihto-omaisuus (varasto) </v>
      </c>
      <c r="L12" s="1251">
        <f>'8. T5 KASSABUDJETTI'!F25</f>
        <v>25.5</v>
      </c>
      <c r="M12" s="1252">
        <f>'8. T5 KASSABUDJETTI'!G25</f>
        <v>0</v>
      </c>
      <c r="N12" s="1252">
        <f>'8. T5 KASSABUDJETTI'!H25</f>
        <v>0</v>
      </c>
      <c r="O12" s="1252">
        <f>'8. T5 KASSABUDJETTI'!I25</f>
        <v>0</v>
      </c>
      <c r="P12" s="1252">
        <f>'8. T5 KASSABUDJETTI'!J25</f>
        <v>0</v>
      </c>
      <c r="Q12" s="1252">
        <f>'8. T5 KASSABUDJETTI'!K25</f>
        <v>0</v>
      </c>
      <c r="R12" s="1252">
        <f>'8. T5 KASSABUDJETTI'!L25</f>
        <v>0</v>
      </c>
      <c r="S12" s="1252">
        <f>'8. T5 KASSABUDJETTI'!M25</f>
        <v>0</v>
      </c>
      <c r="T12" s="1252">
        <f>'8. T5 KASSABUDJETTI'!N25</f>
        <v>0</v>
      </c>
      <c r="U12" s="1252">
        <f>'8. T5 KASSABUDJETTI'!O25</f>
        <v>0</v>
      </c>
      <c r="V12" s="1252">
        <f>'8. T5 KASSABUDJETTI'!P25</f>
        <v>0</v>
      </c>
      <c r="W12" s="1252">
        <f>'8. T5 KASSABUDJETTI'!Q25</f>
        <v>0</v>
      </c>
      <c r="X12" s="1252">
        <f>'8. T5 KASSABUDJETTI'!R25</f>
        <v>0</v>
      </c>
      <c r="Y12" s="1584">
        <f t="shared" si="0"/>
        <v>0</v>
      </c>
    </row>
    <row r="13" spans="2:25" x14ac:dyDescent="0.2">
      <c r="B13" s="165"/>
      <c r="C13" s="173" t="s">
        <v>133</v>
      </c>
      <c r="D13" s="175"/>
      <c r="E13" s="175">
        <f>E10*E12</f>
        <v>0</v>
      </c>
      <c r="F13" s="175">
        <f>F10*F12</f>
        <v>0</v>
      </c>
      <c r="G13" s="175">
        <f>G10*G12</f>
        <v>0</v>
      </c>
      <c r="H13" s="175">
        <f>H10*H12</f>
        <v>0</v>
      </c>
      <c r="I13" s="39"/>
      <c r="J13" s="1558"/>
      <c r="K13" s="963" t="s">
        <v>250</v>
      </c>
      <c r="L13" s="1249"/>
      <c r="M13" s="83">
        <f>M12-M12/(1+$L12%)</f>
        <v>0</v>
      </c>
      <c r="N13" s="83">
        <f t="shared" ref="N13:X13" si="6">N12-N12/(1+$L12%)</f>
        <v>0</v>
      </c>
      <c r="O13" s="83">
        <f t="shared" si="6"/>
        <v>0</v>
      </c>
      <c r="P13" s="83">
        <f t="shared" si="6"/>
        <v>0</v>
      </c>
      <c r="Q13" s="83">
        <f t="shared" si="6"/>
        <v>0</v>
      </c>
      <c r="R13" s="83">
        <f t="shared" si="6"/>
        <v>0</v>
      </c>
      <c r="S13" s="83">
        <f t="shared" si="6"/>
        <v>0</v>
      </c>
      <c r="T13" s="83">
        <f t="shared" si="6"/>
        <v>0</v>
      </c>
      <c r="U13" s="83">
        <f t="shared" si="6"/>
        <v>0</v>
      </c>
      <c r="V13" s="83">
        <f t="shared" si="6"/>
        <v>0</v>
      </c>
      <c r="W13" s="83">
        <f t="shared" si="6"/>
        <v>0</v>
      </c>
      <c r="X13" s="83">
        <f t="shared" si="6"/>
        <v>0</v>
      </c>
      <c r="Y13" s="1585">
        <f t="shared" si="0"/>
        <v>0</v>
      </c>
    </row>
    <row r="14" spans="2:25" x14ac:dyDescent="0.2">
      <c r="C14" s="173" t="s">
        <v>178</v>
      </c>
      <c r="D14" s="191"/>
      <c r="E14" s="191">
        <f>E10-E13</f>
        <v>0</v>
      </c>
      <c r="F14" s="191">
        <f>F10-F13</f>
        <v>0</v>
      </c>
      <c r="G14" s="191">
        <f>G10-G13</f>
        <v>0</v>
      </c>
      <c r="H14" s="191">
        <f>H10-H13</f>
        <v>0</v>
      </c>
      <c r="I14" s="26"/>
      <c r="J14" s="1557">
        <f>'8. T5 KASSABUDJETTI'!B26</f>
        <v>8</v>
      </c>
      <c r="K14" s="249" t="str">
        <f>'8. T5 KASSABUDJETTI'!C26</f>
        <v xml:space="preserve"> Ulkopuoliset palvelut</v>
      </c>
      <c r="L14" s="1251">
        <f>'8. T5 KASSABUDJETTI'!F26</f>
        <v>25.5</v>
      </c>
      <c r="M14" s="1252">
        <f>'8. T5 KASSABUDJETTI'!G26</f>
        <v>0</v>
      </c>
      <c r="N14" s="1252">
        <f>'8. T5 KASSABUDJETTI'!H26</f>
        <v>0</v>
      </c>
      <c r="O14" s="1252">
        <f>'8. T5 KASSABUDJETTI'!I26</f>
        <v>0</v>
      </c>
      <c r="P14" s="1252">
        <f>'8. T5 KASSABUDJETTI'!J26</f>
        <v>0</v>
      </c>
      <c r="Q14" s="1252">
        <f>'8. T5 KASSABUDJETTI'!K26</f>
        <v>0</v>
      </c>
      <c r="R14" s="1252">
        <f>'8. T5 KASSABUDJETTI'!L26</f>
        <v>0</v>
      </c>
      <c r="S14" s="1252">
        <f>'8. T5 KASSABUDJETTI'!M26</f>
        <v>0</v>
      </c>
      <c r="T14" s="1252">
        <f>'8. T5 KASSABUDJETTI'!N26</f>
        <v>0</v>
      </c>
      <c r="U14" s="1252">
        <f>'8. T5 KASSABUDJETTI'!O26</f>
        <v>0</v>
      </c>
      <c r="V14" s="1252">
        <f>'8. T5 KASSABUDJETTI'!P26</f>
        <v>0</v>
      </c>
      <c r="W14" s="1252">
        <f>'8. T5 KASSABUDJETTI'!Q26</f>
        <v>0</v>
      </c>
      <c r="X14" s="1252">
        <f>'8. T5 KASSABUDJETTI'!R26</f>
        <v>0</v>
      </c>
      <c r="Y14" s="1584">
        <f t="shared" si="0"/>
        <v>0</v>
      </c>
    </row>
    <row r="15" spans="2:25" x14ac:dyDescent="0.2">
      <c r="B15" s="1245" t="str">
        <f>'1. T1 INVESTOINTISUUN.'!B24</f>
        <v>3.</v>
      </c>
      <c r="C15" s="173" t="str">
        <f>'1. T1 INVESTOINTISUUN.'!C24</f>
        <v xml:space="preserve"> Kiinteistöt ja rakennukset</v>
      </c>
      <c r="D15" s="173"/>
      <c r="E15" s="173">
        <f>'1. T1 INVESTOINTISUUN.'!E24</f>
        <v>0</v>
      </c>
      <c r="F15" s="173">
        <f>'1. T1 INVESTOINTISUUN.'!F24</f>
        <v>0</v>
      </c>
      <c r="G15" s="173">
        <f>'1. T1 INVESTOINTISUUN.'!G24</f>
        <v>0</v>
      </c>
      <c r="H15" s="173">
        <f>'1. T1 INVESTOINTISUUN.'!H24</f>
        <v>0</v>
      </c>
      <c r="I15" s="39"/>
      <c r="J15" s="1558"/>
      <c r="K15" s="963" t="s">
        <v>250</v>
      </c>
      <c r="L15" s="1249"/>
      <c r="M15" s="83">
        <f>M14-M14/(1+$L14%)</f>
        <v>0</v>
      </c>
      <c r="N15" s="83">
        <f t="shared" ref="N15:X15" si="7">N14-N14/(1+$L14%)</f>
        <v>0</v>
      </c>
      <c r="O15" s="83">
        <f t="shared" si="7"/>
        <v>0</v>
      </c>
      <c r="P15" s="83">
        <f t="shared" si="7"/>
        <v>0</v>
      </c>
      <c r="Q15" s="83">
        <f t="shared" si="7"/>
        <v>0</v>
      </c>
      <c r="R15" s="83">
        <f t="shared" si="7"/>
        <v>0</v>
      </c>
      <c r="S15" s="83">
        <f t="shared" si="7"/>
        <v>0</v>
      </c>
      <c r="T15" s="83">
        <f t="shared" si="7"/>
        <v>0</v>
      </c>
      <c r="U15" s="83">
        <f t="shared" si="7"/>
        <v>0</v>
      </c>
      <c r="V15" s="83">
        <f t="shared" si="7"/>
        <v>0</v>
      </c>
      <c r="W15" s="83">
        <f t="shared" si="7"/>
        <v>0</v>
      </c>
      <c r="X15" s="83">
        <f t="shared" si="7"/>
        <v>0</v>
      </c>
      <c r="Y15" s="1585">
        <f t="shared" si="0"/>
        <v>0</v>
      </c>
    </row>
    <row r="16" spans="2:25" x14ac:dyDescent="0.2">
      <c r="B16" s="165"/>
      <c r="C16" s="173" t="str">
        <f>'1. T1 INVESTOINTISUUN.'!C26</f>
        <v xml:space="preserve"> • avustus-%</v>
      </c>
      <c r="D16" s="174"/>
      <c r="E16" s="174">
        <f>'1. T1 INVESTOINTISUUN.'!E26</f>
        <v>0</v>
      </c>
      <c r="F16" s="174">
        <f>'1. T1 INVESTOINTISUUN.'!F26</f>
        <v>0</v>
      </c>
      <c r="G16" s="174">
        <f>'1. T1 INVESTOINTISUUN.'!G26</f>
        <v>0</v>
      </c>
      <c r="H16" s="174">
        <f>'1. T1 INVESTOINTISUUN.'!H26</f>
        <v>0</v>
      </c>
      <c r="I16" s="39"/>
      <c r="J16" s="1557">
        <f>'8. T5 KASSABUDJETTI'!B27</f>
        <v>9</v>
      </c>
      <c r="K16" s="249" t="str">
        <f>'8. T5 KASSABUDJETTI'!C27</f>
        <v xml:space="preserve"> Investoinnit sis. alv</v>
      </c>
      <c r="L16" s="1251">
        <f>'8. T5 KASSABUDJETTI'!F27</f>
        <v>25.5</v>
      </c>
      <c r="M16" s="1252">
        <f>'8. T5 KASSABUDJETTI'!G27</f>
        <v>0</v>
      </c>
      <c r="N16" s="1252">
        <f>'8. T5 KASSABUDJETTI'!H27</f>
        <v>0</v>
      </c>
      <c r="O16" s="1252">
        <f>'8. T5 KASSABUDJETTI'!I27</f>
        <v>0</v>
      </c>
      <c r="P16" s="1252">
        <f>'8. T5 KASSABUDJETTI'!J27</f>
        <v>0</v>
      </c>
      <c r="Q16" s="1252">
        <f>'8. T5 KASSABUDJETTI'!K27</f>
        <v>0</v>
      </c>
      <c r="R16" s="1252">
        <f>'8. T5 KASSABUDJETTI'!L27</f>
        <v>0</v>
      </c>
      <c r="S16" s="1252">
        <f>'8. T5 KASSABUDJETTI'!M27</f>
        <v>0</v>
      </c>
      <c r="T16" s="1252">
        <f>'8. T5 KASSABUDJETTI'!N27</f>
        <v>0</v>
      </c>
      <c r="U16" s="1252">
        <f>'8. T5 KASSABUDJETTI'!O27</f>
        <v>0</v>
      </c>
      <c r="V16" s="1252">
        <f>'8. T5 KASSABUDJETTI'!P27</f>
        <v>0</v>
      </c>
      <c r="W16" s="1252">
        <f>'8. T5 KASSABUDJETTI'!Q27</f>
        <v>0</v>
      </c>
      <c r="X16" s="1252">
        <f>'8. T5 KASSABUDJETTI'!R27</f>
        <v>0</v>
      </c>
      <c r="Y16" s="1584">
        <f t="shared" si="0"/>
        <v>0</v>
      </c>
    </row>
    <row r="17" spans="2:25" x14ac:dyDescent="0.2">
      <c r="B17" s="165"/>
      <c r="C17" s="173" t="s">
        <v>133</v>
      </c>
      <c r="D17" s="84"/>
      <c r="E17" s="84">
        <f>E15*E16</f>
        <v>0</v>
      </c>
      <c r="F17" s="84">
        <f>F15*F16</f>
        <v>0</v>
      </c>
      <c r="G17" s="84">
        <f>G15*G16</f>
        <v>0</v>
      </c>
      <c r="H17" s="84">
        <f>H15*H16</f>
        <v>0</v>
      </c>
      <c r="I17" s="39"/>
      <c r="J17" s="1558"/>
      <c r="K17" s="963" t="s">
        <v>250</v>
      </c>
      <c r="L17" s="1249"/>
      <c r="M17" s="83">
        <f>M16-M16/(1+$L16%)</f>
        <v>0</v>
      </c>
      <c r="N17" s="83">
        <f t="shared" ref="N17:X17" si="8">N16-N16/(1+$L16%)</f>
        <v>0</v>
      </c>
      <c r="O17" s="83">
        <f t="shared" si="8"/>
        <v>0</v>
      </c>
      <c r="P17" s="83">
        <f t="shared" si="8"/>
        <v>0</v>
      </c>
      <c r="Q17" s="83">
        <f t="shared" si="8"/>
        <v>0</v>
      </c>
      <c r="R17" s="83">
        <f t="shared" si="8"/>
        <v>0</v>
      </c>
      <c r="S17" s="83">
        <f t="shared" si="8"/>
        <v>0</v>
      </c>
      <c r="T17" s="83">
        <f t="shared" si="8"/>
        <v>0</v>
      </c>
      <c r="U17" s="83">
        <f t="shared" si="8"/>
        <v>0</v>
      </c>
      <c r="V17" s="83">
        <f t="shared" si="8"/>
        <v>0</v>
      </c>
      <c r="W17" s="83">
        <f t="shared" si="8"/>
        <v>0</v>
      </c>
      <c r="X17" s="83">
        <f t="shared" si="8"/>
        <v>0</v>
      </c>
      <c r="Y17" s="1585">
        <f t="shared" si="0"/>
        <v>0</v>
      </c>
    </row>
    <row r="18" spans="2:25" x14ac:dyDescent="0.2">
      <c r="C18" s="173" t="s">
        <v>178</v>
      </c>
      <c r="D18" s="84"/>
      <c r="E18" s="84">
        <f>E15-E17</f>
        <v>0</v>
      </c>
      <c r="F18" s="84">
        <f>F15-F17</f>
        <v>0</v>
      </c>
      <c r="G18" s="84">
        <f>G15-G17</f>
        <v>0</v>
      </c>
      <c r="H18" s="84">
        <f>H15-H17</f>
        <v>0</v>
      </c>
      <c r="I18" s="26"/>
      <c r="J18" s="1557">
        <f>'8. T5 KASSABUDJETTI'!B28</f>
        <v>10</v>
      </c>
      <c r="K18" s="249" t="str">
        <f>'8. T5 KASSABUDJETTI'!C28</f>
        <v xml:space="preserve"> Toimitilavuokrat sis. alv</v>
      </c>
      <c r="L18" s="1251">
        <f>'8. T5 KASSABUDJETTI'!F28</f>
        <v>25.5</v>
      </c>
      <c r="M18" s="1252">
        <f>'8. T5 KASSABUDJETTI'!G28</f>
        <v>0</v>
      </c>
      <c r="N18" s="1252">
        <f>'8. T5 KASSABUDJETTI'!H28</f>
        <v>0</v>
      </c>
      <c r="O18" s="1252">
        <f>'8. T5 KASSABUDJETTI'!I28</f>
        <v>0</v>
      </c>
      <c r="P18" s="1252">
        <f>'8. T5 KASSABUDJETTI'!J28</f>
        <v>0</v>
      </c>
      <c r="Q18" s="1252">
        <f>'8. T5 KASSABUDJETTI'!K28</f>
        <v>0</v>
      </c>
      <c r="R18" s="1252">
        <f>'8. T5 KASSABUDJETTI'!L28</f>
        <v>0</v>
      </c>
      <c r="S18" s="1252">
        <f>'8. T5 KASSABUDJETTI'!M28</f>
        <v>0</v>
      </c>
      <c r="T18" s="1252">
        <f>'8. T5 KASSABUDJETTI'!N28</f>
        <v>0</v>
      </c>
      <c r="U18" s="1252">
        <f>'8. T5 KASSABUDJETTI'!O28</f>
        <v>0</v>
      </c>
      <c r="V18" s="1252">
        <f>'8. T5 KASSABUDJETTI'!P28</f>
        <v>0</v>
      </c>
      <c r="W18" s="1252">
        <f>'8. T5 KASSABUDJETTI'!Q28</f>
        <v>0</v>
      </c>
      <c r="X18" s="1252">
        <f>'8. T5 KASSABUDJETTI'!R28</f>
        <v>0</v>
      </c>
      <c r="Y18" s="1584">
        <f t="shared" si="0"/>
        <v>0</v>
      </c>
    </row>
    <row r="19" spans="2:25" x14ac:dyDescent="0.2">
      <c r="B19" s="1245" t="str">
        <f>'1. T1 INVESTOINTISUUN.'!B27</f>
        <v>4.</v>
      </c>
      <c r="C19" s="173" t="str">
        <f>'1. T1 INVESTOINTISUUN.'!C27</f>
        <v xml:space="preserve"> Koneet ja kalusto sis. alv </v>
      </c>
      <c r="D19" s="173"/>
      <c r="E19" s="173">
        <f>'1. T1 INVESTOINTISUUN.'!E27</f>
        <v>0</v>
      </c>
      <c r="F19" s="173">
        <f>'1. T1 INVESTOINTISUUN.'!F27</f>
        <v>0</v>
      </c>
      <c r="G19" s="173">
        <f>'1. T1 INVESTOINTISUUN.'!G27</f>
        <v>0</v>
      </c>
      <c r="H19" s="173">
        <f>'1. T1 INVESTOINTISUUN.'!H27</f>
        <v>0</v>
      </c>
      <c r="I19" s="39"/>
      <c r="J19" s="1558"/>
      <c r="K19" s="963" t="s">
        <v>250</v>
      </c>
      <c r="L19" s="1249"/>
      <c r="M19" s="83">
        <f>M18-M18/(1+$L18%)</f>
        <v>0</v>
      </c>
      <c r="N19" s="83">
        <f t="shared" ref="N19:X19" si="9">N18-N18/(1+$L18%)</f>
        <v>0</v>
      </c>
      <c r="O19" s="83">
        <f t="shared" si="9"/>
        <v>0</v>
      </c>
      <c r="P19" s="83">
        <f t="shared" si="9"/>
        <v>0</v>
      </c>
      <c r="Q19" s="83">
        <f t="shared" si="9"/>
        <v>0</v>
      </c>
      <c r="R19" s="83">
        <f t="shared" si="9"/>
        <v>0</v>
      </c>
      <c r="S19" s="83">
        <f t="shared" si="9"/>
        <v>0</v>
      </c>
      <c r="T19" s="83">
        <f t="shared" si="9"/>
        <v>0</v>
      </c>
      <c r="U19" s="83">
        <f t="shared" si="9"/>
        <v>0</v>
      </c>
      <c r="V19" s="83">
        <f t="shared" si="9"/>
        <v>0</v>
      </c>
      <c r="W19" s="83">
        <f t="shared" si="9"/>
        <v>0</v>
      </c>
      <c r="X19" s="83">
        <f t="shared" si="9"/>
        <v>0</v>
      </c>
      <c r="Y19" s="1585">
        <f t="shared" si="0"/>
        <v>0</v>
      </c>
    </row>
    <row r="20" spans="2:25" x14ac:dyDescent="0.2">
      <c r="B20" s="165"/>
      <c r="C20" s="173" t="s">
        <v>314</v>
      </c>
      <c r="D20" s="84"/>
      <c r="E20" s="482">
        <f>'1. T1 INVESTOINTISUUN.'!E58</f>
        <v>0</v>
      </c>
      <c r="F20" s="482">
        <f>'1. T1 INVESTOINTISUUN.'!F58</f>
        <v>0</v>
      </c>
      <c r="G20" s="482">
        <f>'1. T1 INVESTOINTISUUN.'!G58</f>
        <v>0</v>
      </c>
      <c r="H20" s="482">
        <f>'1. T1 INVESTOINTISUUN.'!H58</f>
        <v>0</v>
      </c>
      <c r="I20" s="4"/>
      <c r="J20" s="6"/>
      <c r="K20" s="448"/>
    </row>
    <row r="21" spans="2:25" x14ac:dyDescent="0.2">
      <c r="B21" s="165"/>
      <c r="C21" s="173" t="s">
        <v>315</v>
      </c>
      <c r="D21" s="84"/>
      <c r="E21" s="191">
        <f>E19-E20</f>
        <v>0</v>
      </c>
      <c r="F21" s="191">
        <f>F19-F20</f>
        <v>0</v>
      </c>
      <c r="G21" s="191">
        <f>G19-G20</f>
        <v>0</v>
      </c>
      <c r="H21" s="191">
        <f>H19-H20</f>
        <v>0</v>
      </c>
      <c r="I21" s="4"/>
      <c r="J21" s="6"/>
      <c r="K21" s="448"/>
    </row>
    <row r="22" spans="2:25" x14ac:dyDescent="0.2">
      <c r="B22" s="165" t="s">
        <v>0</v>
      </c>
      <c r="C22" s="173" t="str">
        <f>'1. T1 INVESTOINTISUUN.'!C28</f>
        <v xml:space="preserve"> • arvonlisävero-%</v>
      </c>
      <c r="D22" s="174"/>
      <c r="E22" s="174">
        <f>'1. T1 INVESTOINTISUUN.'!E28</f>
        <v>0.255</v>
      </c>
      <c r="F22" s="174">
        <f>'1. T1 INVESTOINTISUUN.'!F28</f>
        <v>0.255</v>
      </c>
      <c r="G22" s="174">
        <f>'1. T1 INVESTOINTISUUN.'!G28</f>
        <v>0.255</v>
      </c>
      <c r="H22" s="174">
        <f>'1. T1 INVESTOINTISUUN.'!H28</f>
        <v>0.255</v>
      </c>
      <c r="I22" s="39"/>
      <c r="J22" s="1557">
        <f>'8. T5 KASSABUDJETTI'!B29</f>
        <v>11</v>
      </c>
      <c r="K22" s="249" t="str">
        <f>'8. T5 KASSABUDJETTI'!C29</f>
        <v xml:space="preserve"> Leasingkustannukset ja vuokrakulut, liikekäyttö</v>
      </c>
      <c r="L22" s="1251">
        <f>'8. T5 KASSABUDJETTI'!F29</f>
        <v>25.5</v>
      </c>
      <c r="M22" s="1252">
        <f>'8. T5 KASSABUDJETTI'!G29</f>
        <v>0</v>
      </c>
      <c r="N22" s="1252">
        <f>'8. T5 KASSABUDJETTI'!H29</f>
        <v>0</v>
      </c>
      <c r="O22" s="1252">
        <f>'8. T5 KASSABUDJETTI'!I29</f>
        <v>0</v>
      </c>
      <c r="P22" s="1252">
        <f>'8. T5 KASSABUDJETTI'!J29</f>
        <v>0</v>
      </c>
      <c r="Q22" s="1252">
        <f>'8. T5 KASSABUDJETTI'!K29</f>
        <v>0</v>
      </c>
      <c r="R22" s="1252">
        <f>'8. T5 KASSABUDJETTI'!L29</f>
        <v>0</v>
      </c>
      <c r="S22" s="1252">
        <f>'8. T5 KASSABUDJETTI'!M29</f>
        <v>0</v>
      </c>
      <c r="T22" s="1252">
        <f>'8. T5 KASSABUDJETTI'!N29</f>
        <v>0</v>
      </c>
      <c r="U22" s="1252">
        <f>'8. T5 KASSABUDJETTI'!O29</f>
        <v>0</v>
      </c>
      <c r="V22" s="1252">
        <f>'8. T5 KASSABUDJETTI'!P29</f>
        <v>0</v>
      </c>
      <c r="W22" s="1252">
        <f>'8. T5 KASSABUDJETTI'!Q29</f>
        <v>0</v>
      </c>
      <c r="X22" s="1252">
        <f>'8. T5 KASSABUDJETTI'!R29</f>
        <v>0</v>
      </c>
      <c r="Y22" s="1584">
        <f t="shared" ref="Y22:Y27" si="10">SUM(M22:X22)</f>
        <v>0</v>
      </c>
    </row>
    <row r="23" spans="2:25" x14ac:dyDescent="0.2">
      <c r="B23" s="165"/>
      <c r="C23" s="173" t="s">
        <v>132</v>
      </c>
      <c r="D23" s="175"/>
      <c r="E23" s="175">
        <f>E21/(1+E22)</f>
        <v>0</v>
      </c>
      <c r="F23" s="175">
        <f>F21/(1+F22)</f>
        <v>0</v>
      </c>
      <c r="G23" s="175">
        <f>G21/(1+G22)</f>
        <v>0</v>
      </c>
      <c r="H23" s="175">
        <f>H21/(1+H22)</f>
        <v>0</v>
      </c>
      <c r="I23" s="39"/>
      <c r="J23" s="1558"/>
      <c r="K23" s="963" t="s">
        <v>250</v>
      </c>
      <c r="L23" s="1249"/>
      <c r="M23" s="83">
        <f>M22-M22/(1+$L22%)</f>
        <v>0</v>
      </c>
      <c r="N23" s="83">
        <f t="shared" ref="N23:X23" si="11">N22-N22/(1+$L22%)</f>
        <v>0</v>
      </c>
      <c r="O23" s="83">
        <f t="shared" si="11"/>
        <v>0</v>
      </c>
      <c r="P23" s="83">
        <f t="shared" si="11"/>
        <v>0</v>
      </c>
      <c r="Q23" s="83">
        <f t="shared" si="11"/>
        <v>0</v>
      </c>
      <c r="R23" s="83">
        <f t="shared" si="11"/>
        <v>0</v>
      </c>
      <c r="S23" s="83">
        <f t="shared" si="11"/>
        <v>0</v>
      </c>
      <c r="T23" s="83">
        <f t="shared" si="11"/>
        <v>0</v>
      </c>
      <c r="U23" s="83">
        <f t="shared" si="11"/>
        <v>0</v>
      </c>
      <c r="V23" s="83">
        <f t="shared" si="11"/>
        <v>0</v>
      </c>
      <c r="W23" s="83">
        <f t="shared" si="11"/>
        <v>0</v>
      </c>
      <c r="X23" s="83">
        <f t="shared" si="11"/>
        <v>0</v>
      </c>
      <c r="Y23" s="1585">
        <f t="shared" si="10"/>
        <v>0</v>
      </c>
    </row>
    <row r="24" spans="2:25" x14ac:dyDescent="0.2">
      <c r="B24" s="165"/>
      <c r="C24" s="173" t="s">
        <v>131</v>
      </c>
      <c r="D24" s="175"/>
      <c r="E24" s="175">
        <f>E21-E23</f>
        <v>0</v>
      </c>
      <c r="F24" s="175">
        <f>F21-F23</f>
        <v>0</v>
      </c>
      <c r="G24" s="175">
        <f>G21-G23</f>
        <v>0</v>
      </c>
      <c r="H24" s="175">
        <f>H21-H23</f>
        <v>0</v>
      </c>
      <c r="I24" s="39"/>
      <c r="J24" s="1557">
        <f>'8. T5 KASSABUDJETTI'!B30</f>
        <v>12</v>
      </c>
      <c r="K24" s="249" t="str">
        <f>'8. T5 KASSABUDJETTI'!C30</f>
        <v xml:space="preserve"> Muut kiinteät kulut sis. arvonlisäveron</v>
      </c>
      <c r="L24" s="1251">
        <f>'AT2 Lainat, alv'!E63*100</f>
        <v>0</v>
      </c>
      <c r="M24" s="1655">
        <f>'8. T5 KASSABUDJETTI'!G30</f>
        <v>0</v>
      </c>
      <c r="N24" s="1655">
        <f>'8. T5 KASSABUDJETTI'!H30</f>
        <v>0</v>
      </c>
      <c r="O24" s="1655">
        <f>'8. T5 KASSABUDJETTI'!I30</f>
        <v>0</v>
      </c>
      <c r="P24" s="1655">
        <f>'8. T5 KASSABUDJETTI'!J30</f>
        <v>0</v>
      </c>
      <c r="Q24" s="1655">
        <f>'8. T5 KASSABUDJETTI'!K30</f>
        <v>0</v>
      </c>
      <c r="R24" s="1655">
        <f>'8. T5 KASSABUDJETTI'!L30</f>
        <v>0</v>
      </c>
      <c r="S24" s="1655">
        <f>'8. T5 KASSABUDJETTI'!M30</f>
        <v>0</v>
      </c>
      <c r="T24" s="1655">
        <f>'8. T5 KASSABUDJETTI'!N30</f>
        <v>0</v>
      </c>
      <c r="U24" s="1655">
        <f>'8. T5 KASSABUDJETTI'!O30</f>
        <v>0</v>
      </c>
      <c r="V24" s="1655">
        <f>'8. T5 KASSABUDJETTI'!P30</f>
        <v>0</v>
      </c>
      <c r="W24" s="1655">
        <f>'8. T5 KASSABUDJETTI'!Q30</f>
        <v>0</v>
      </c>
      <c r="X24" s="1655">
        <f>'8. T5 KASSABUDJETTI'!R30</f>
        <v>0</v>
      </c>
      <c r="Y24" s="1584">
        <f t="shared" si="10"/>
        <v>0</v>
      </c>
    </row>
    <row r="25" spans="2:25" x14ac:dyDescent="0.2">
      <c r="B25" s="165" t="s">
        <v>0</v>
      </c>
      <c r="C25" s="173" t="str">
        <f>'1. T1 INVESTOINTISUUN.'!C29</f>
        <v xml:space="preserve"> • avustus-%</v>
      </c>
      <c r="D25" s="174"/>
      <c r="E25" s="174">
        <f>'1. T1 INVESTOINTISUUN.'!E29</f>
        <v>0</v>
      </c>
      <c r="F25" s="174">
        <f>'1. T1 INVESTOINTISUUN.'!F29</f>
        <v>0</v>
      </c>
      <c r="G25" s="174">
        <f>'1. T1 INVESTOINTISUUN.'!G29</f>
        <v>0</v>
      </c>
      <c r="H25" s="174">
        <f>'1. T1 INVESTOINTISUUN.'!H29</f>
        <v>0</v>
      </c>
      <c r="I25" s="21"/>
      <c r="J25" s="1558"/>
      <c r="K25" s="963" t="s">
        <v>250</v>
      </c>
      <c r="L25" s="1249"/>
      <c r="M25" s="1656">
        <f>M24-M24/(1+$L24%)</f>
        <v>0</v>
      </c>
      <c r="N25" s="1656">
        <f t="shared" ref="N25:X25" si="12">N24-N24/(1+$L24%)</f>
        <v>0</v>
      </c>
      <c r="O25" s="1656">
        <f>O24-O24/(1+$L24%)</f>
        <v>0</v>
      </c>
      <c r="P25" s="1656">
        <f t="shared" si="12"/>
        <v>0</v>
      </c>
      <c r="Q25" s="1656">
        <f t="shared" si="12"/>
        <v>0</v>
      </c>
      <c r="R25" s="1656">
        <f t="shared" si="12"/>
        <v>0</v>
      </c>
      <c r="S25" s="1656">
        <f t="shared" si="12"/>
        <v>0</v>
      </c>
      <c r="T25" s="1656">
        <f t="shared" si="12"/>
        <v>0</v>
      </c>
      <c r="U25" s="1656">
        <f t="shared" si="12"/>
        <v>0</v>
      </c>
      <c r="V25" s="1656">
        <f t="shared" si="12"/>
        <v>0</v>
      </c>
      <c r="W25" s="1656">
        <f t="shared" si="12"/>
        <v>0</v>
      </c>
      <c r="X25" s="1656">
        <f t="shared" si="12"/>
        <v>0</v>
      </c>
      <c r="Y25" s="1585">
        <f t="shared" si="10"/>
        <v>0</v>
      </c>
    </row>
    <row r="26" spans="2:25" x14ac:dyDescent="0.2">
      <c r="B26" s="165"/>
      <c r="C26" s="173" t="s">
        <v>133</v>
      </c>
      <c r="D26" s="175"/>
      <c r="E26" s="175">
        <f>E23*E25</f>
        <v>0</v>
      </c>
      <c r="F26" s="175">
        <f>F23*F25</f>
        <v>0</v>
      </c>
      <c r="G26" s="175">
        <f>G23*G25</f>
        <v>0</v>
      </c>
      <c r="H26" s="175">
        <f>H23*H25</f>
        <v>0</v>
      </c>
      <c r="I26" s="21"/>
      <c r="J26" s="354"/>
      <c r="K26" s="358" t="s">
        <v>252</v>
      </c>
      <c r="L26" s="358"/>
      <c r="M26" s="358">
        <f>M11+M13+M15+M17+M19+M23+M25</f>
        <v>0</v>
      </c>
      <c r="N26" s="358">
        <f t="shared" ref="N26:X26" si="13">N11+N13+N15+N17+N19+N23+N25</f>
        <v>0</v>
      </c>
      <c r="O26" s="358">
        <f>O11+O13+O15+O17+O19+O23+O25</f>
        <v>0</v>
      </c>
      <c r="P26" s="358">
        <f t="shared" si="13"/>
        <v>0</v>
      </c>
      <c r="Q26" s="358">
        <f t="shared" si="13"/>
        <v>0</v>
      </c>
      <c r="R26" s="358">
        <f t="shared" si="13"/>
        <v>0</v>
      </c>
      <c r="S26" s="358">
        <f t="shared" si="13"/>
        <v>0</v>
      </c>
      <c r="T26" s="358">
        <f t="shared" si="13"/>
        <v>0</v>
      </c>
      <c r="U26" s="358">
        <f t="shared" si="13"/>
        <v>0</v>
      </c>
      <c r="V26" s="358">
        <f t="shared" si="13"/>
        <v>0</v>
      </c>
      <c r="W26" s="358">
        <f t="shared" si="13"/>
        <v>0</v>
      </c>
      <c r="X26" s="358">
        <f t="shared" si="13"/>
        <v>0</v>
      </c>
      <c r="Y26" s="1585">
        <f t="shared" si="10"/>
        <v>0</v>
      </c>
    </row>
    <row r="27" spans="2:25" x14ac:dyDescent="0.2">
      <c r="C27" s="173" t="s">
        <v>178</v>
      </c>
      <c r="D27" s="191"/>
      <c r="E27" s="191">
        <f>E23-E26</f>
        <v>0</v>
      </c>
      <c r="F27" s="191">
        <f>F23-F26</f>
        <v>0</v>
      </c>
      <c r="G27" s="191">
        <f>G23-G26</f>
        <v>0</v>
      </c>
      <c r="H27" s="191">
        <f>H23-H26</f>
        <v>0</v>
      </c>
      <c r="I27" s="26"/>
      <c r="K27" s="367" t="s">
        <v>253</v>
      </c>
      <c r="L27" s="367"/>
      <c r="M27" s="357">
        <f t="shared" ref="M27:X27" si="14">M9-M26</f>
        <v>0</v>
      </c>
      <c r="N27" s="357">
        <f t="shared" si="14"/>
        <v>0</v>
      </c>
      <c r="O27" s="357">
        <f t="shared" si="14"/>
        <v>0</v>
      </c>
      <c r="P27" s="357">
        <f t="shared" si="14"/>
        <v>0</v>
      </c>
      <c r="Q27" s="357">
        <f t="shared" si="14"/>
        <v>0</v>
      </c>
      <c r="R27" s="357">
        <f t="shared" si="14"/>
        <v>0</v>
      </c>
      <c r="S27" s="357">
        <f t="shared" si="14"/>
        <v>0</v>
      </c>
      <c r="T27" s="357">
        <f t="shared" si="14"/>
        <v>0</v>
      </c>
      <c r="U27" s="357">
        <f t="shared" si="14"/>
        <v>0</v>
      </c>
      <c r="V27" s="357">
        <f t="shared" si="14"/>
        <v>0</v>
      </c>
      <c r="W27" s="357">
        <f t="shared" si="14"/>
        <v>0</v>
      </c>
      <c r="X27" s="357">
        <f t="shared" si="14"/>
        <v>0</v>
      </c>
      <c r="Y27" s="1585">
        <f t="shared" si="10"/>
        <v>0</v>
      </c>
    </row>
    <row r="28" spans="2:25" x14ac:dyDescent="0.2">
      <c r="B28" s="1245" t="str">
        <f>'1. T1 INVESTOINTISUUN.'!B30</f>
        <v>5.</v>
      </c>
      <c r="C28" s="173" t="str">
        <f>'1. T1 INVESTOINTISUUN.'!C30</f>
        <v xml:space="preserve"> Koneet ja kalusto alv 0 %</v>
      </c>
      <c r="D28" s="173"/>
      <c r="E28" s="173">
        <f>'1. T1 INVESTOINTISUUN.'!E30</f>
        <v>0</v>
      </c>
      <c r="F28" s="173">
        <f>'1. T1 INVESTOINTISUUN.'!F30</f>
        <v>0</v>
      </c>
      <c r="G28" s="173">
        <f>'1. T1 INVESTOINTISUUN.'!G30</f>
        <v>0</v>
      </c>
      <c r="H28" s="173">
        <f>'1. T1 INVESTOINTISUUN.'!H30</f>
        <v>0</v>
      </c>
      <c r="I28" s="21"/>
      <c r="J28" s="21"/>
      <c r="K28" s="21"/>
    </row>
    <row r="29" spans="2:25" x14ac:dyDescent="0.2">
      <c r="B29" s="165"/>
      <c r="C29" s="173" t="s">
        <v>314</v>
      </c>
      <c r="D29" s="174"/>
      <c r="E29" s="482">
        <f>'1. T1 INVESTOINTISUUN.'!E59</f>
        <v>0</v>
      </c>
      <c r="F29" s="482">
        <f>'1. T1 INVESTOINTISUUN.'!F59</f>
        <v>0</v>
      </c>
      <c r="G29" s="482">
        <f>'1. T1 INVESTOINTISUUN.'!G59</f>
        <v>0</v>
      </c>
      <c r="H29" s="482">
        <f>'1. T1 INVESTOINTISUUN.'!H59</f>
        <v>0</v>
      </c>
      <c r="I29" s="21"/>
      <c r="J29" s="21"/>
      <c r="K29" s="21"/>
    </row>
    <row r="30" spans="2:25" x14ac:dyDescent="0.2">
      <c r="C30" s="173" t="s">
        <v>317</v>
      </c>
      <c r="D30" s="84"/>
      <c r="E30" s="191">
        <f>E28-E29</f>
        <v>0</v>
      </c>
      <c r="F30" s="191">
        <f>F28-F29</f>
        <v>0</v>
      </c>
      <c r="G30" s="191">
        <f>G28-G29</f>
        <v>0</v>
      </c>
      <c r="H30" s="191">
        <f>H28-H29</f>
        <v>0</v>
      </c>
      <c r="I30" s="26"/>
      <c r="J30" s="26"/>
      <c r="K30" s="26"/>
    </row>
    <row r="31" spans="2:25" ht="13.5" thickBot="1" x14ac:dyDescent="0.25">
      <c r="C31" s="173" t="str">
        <f>'1. T1 INVESTOINTISUUN.'!C31</f>
        <v xml:space="preserve"> • avustus-%</v>
      </c>
      <c r="D31" s="84"/>
      <c r="E31" s="174">
        <f>'1. T1 INVESTOINTISUUN.'!E31</f>
        <v>0</v>
      </c>
      <c r="F31" s="174">
        <f>'1. T1 INVESTOINTISUUN.'!F31</f>
        <v>0</v>
      </c>
      <c r="G31" s="174">
        <f>'1. T1 INVESTOINTISUUN.'!G31</f>
        <v>0</v>
      </c>
      <c r="H31" s="174">
        <f>'1. T1 INVESTOINTISUUN.'!H31</f>
        <v>0</v>
      </c>
      <c r="I31" s="26"/>
      <c r="J31" s="26"/>
      <c r="K31" s="26"/>
    </row>
    <row r="32" spans="2:25" x14ac:dyDescent="0.2">
      <c r="B32" s="165"/>
      <c r="C32" s="173" t="s">
        <v>133</v>
      </c>
      <c r="D32" s="175"/>
      <c r="E32" s="175">
        <f>E30*E31</f>
        <v>0</v>
      </c>
      <c r="F32" s="175">
        <f>F30*F31</f>
        <v>0</v>
      </c>
      <c r="G32" s="175">
        <f>G30*G31</f>
        <v>0</v>
      </c>
      <c r="H32" s="175">
        <f>H30*H31</f>
        <v>0</v>
      </c>
      <c r="I32" s="21"/>
      <c r="J32" s="25"/>
      <c r="K32" s="352" t="s">
        <v>485</v>
      </c>
      <c r="L32" s="351" t="s">
        <v>249</v>
      </c>
      <c r="M32" s="355">
        <f>'8. T5 KASSABUDJETTI'!G66</f>
        <v>46760</v>
      </c>
      <c r="N32" s="355">
        <f>'8. T5 KASSABUDJETTI'!H66</f>
        <v>46791</v>
      </c>
      <c r="O32" s="355">
        <f>'8. T5 KASSABUDJETTI'!I66</f>
        <v>46822</v>
      </c>
      <c r="P32" s="355">
        <f>'8. T5 KASSABUDJETTI'!J66</f>
        <v>46853</v>
      </c>
      <c r="Q32" s="355">
        <f>'8. T5 KASSABUDJETTI'!K66</f>
        <v>46884</v>
      </c>
      <c r="R32" s="355">
        <f>'8. T5 KASSABUDJETTI'!L66</f>
        <v>46915</v>
      </c>
      <c r="S32" s="355">
        <f>'8. T5 KASSABUDJETTI'!M66</f>
        <v>46946</v>
      </c>
      <c r="T32" s="355">
        <f>'8. T5 KASSABUDJETTI'!N66</f>
        <v>46977</v>
      </c>
      <c r="U32" s="355">
        <f>'8. T5 KASSABUDJETTI'!O66</f>
        <v>47008</v>
      </c>
      <c r="V32" s="355">
        <f>'8. T5 KASSABUDJETTI'!P66</f>
        <v>47039</v>
      </c>
      <c r="W32" s="355">
        <f>'8. T5 KASSABUDJETTI'!Q66</f>
        <v>47070</v>
      </c>
      <c r="X32" s="355">
        <f>'8. T5 KASSABUDJETTI'!R66</f>
        <v>47101</v>
      </c>
    </row>
    <row r="33" spans="2:25" x14ac:dyDescent="0.2">
      <c r="C33" s="173" t="s">
        <v>178</v>
      </c>
      <c r="D33" s="191"/>
      <c r="E33" s="191">
        <f>E30-E32</f>
        <v>0</v>
      </c>
      <c r="F33" s="191">
        <f>F30-F32</f>
        <v>0</v>
      </c>
      <c r="G33" s="191">
        <f>G30-G32</f>
        <v>0</v>
      </c>
      <c r="H33" s="191">
        <f>H30-H32</f>
        <v>0</v>
      </c>
      <c r="I33" s="26"/>
      <c r="J33" s="1246">
        <f>'8. T5 KASSABUDJETTI'!B13</f>
        <v>2</v>
      </c>
      <c r="K33" s="1247" t="str">
        <f>'8. T5 KASSABUDJETTI'!C13</f>
        <v xml:space="preserve"> Käteismyynti- ja ennakkomaksuosuus-%</v>
      </c>
      <c r="L33" s="1251">
        <f>'8. T5 KASSABUDJETTI'!F69</f>
        <v>25.5</v>
      </c>
      <c r="M33" s="249">
        <f>'8. T5 KASSABUDJETTI'!G69</f>
        <v>0</v>
      </c>
      <c r="N33" s="249">
        <f>'8. T5 KASSABUDJETTI'!H69</f>
        <v>0</v>
      </c>
      <c r="O33" s="249">
        <f>'8. T5 KASSABUDJETTI'!I69</f>
        <v>0</v>
      </c>
      <c r="P33" s="249">
        <f>'8. T5 KASSABUDJETTI'!J69</f>
        <v>0</v>
      </c>
      <c r="Q33" s="249">
        <f>'8. T5 KASSABUDJETTI'!K69</f>
        <v>0</v>
      </c>
      <c r="R33" s="249">
        <f>'8. T5 KASSABUDJETTI'!L69</f>
        <v>0</v>
      </c>
      <c r="S33" s="249">
        <f>'8. T5 KASSABUDJETTI'!M69</f>
        <v>0</v>
      </c>
      <c r="T33" s="249">
        <f>'8. T5 KASSABUDJETTI'!N69</f>
        <v>0</v>
      </c>
      <c r="U33" s="249">
        <f>'8. T5 KASSABUDJETTI'!O69</f>
        <v>0</v>
      </c>
      <c r="V33" s="249">
        <f>'8. T5 KASSABUDJETTI'!P69</f>
        <v>0</v>
      </c>
      <c r="W33" s="249">
        <f>'8. T5 KASSABUDJETTI'!Q69</f>
        <v>0</v>
      </c>
      <c r="X33" s="249">
        <f>'8. T5 KASSABUDJETTI'!R69</f>
        <v>0</v>
      </c>
      <c r="Y33" s="1584">
        <f t="shared" ref="Y33:Y49" si="15">SUM(M33:X33)</f>
        <v>0</v>
      </c>
    </row>
    <row r="34" spans="2:25" x14ac:dyDescent="0.2">
      <c r="B34" s="1245" t="str">
        <f>'1. T1 INVESTOINTISUUN.'!B32</f>
        <v>6.</v>
      </c>
      <c r="C34" s="173" t="str">
        <f>'1. T1 INVESTOINTISUUN.'!C32</f>
        <v xml:space="preserve"> Muut aineelliset hyödykkeet </v>
      </c>
      <c r="D34" s="173"/>
      <c r="E34" s="173">
        <f>'1. T1 INVESTOINTISUUN.'!E32</f>
        <v>0</v>
      </c>
      <c r="F34" s="173">
        <f>'1. T1 INVESTOINTISUUN.'!F32</f>
        <v>0</v>
      </c>
      <c r="G34" s="173">
        <f>'1. T1 INVESTOINTISUUN.'!G32</f>
        <v>0</v>
      </c>
      <c r="H34" s="173">
        <f>'1. T1 INVESTOINTISUUN.'!H32</f>
        <v>0</v>
      </c>
      <c r="I34" s="39"/>
      <c r="J34" s="1248"/>
      <c r="K34" s="963" t="s">
        <v>250</v>
      </c>
      <c r="L34" s="1249"/>
      <c r="M34" s="83">
        <f>M33-M33/(1+$L33%)</f>
        <v>0</v>
      </c>
      <c r="N34" s="83">
        <f t="shared" ref="N34:X34" si="16">N33-N33/(1+$L33%)</f>
        <v>0</v>
      </c>
      <c r="O34" s="83">
        <f t="shared" si="16"/>
        <v>0</v>
      </c>
      <c r="P34" s="83">
        <f t="shared" si="16"/>
        <v>0</v>
      </c>
      <c r="Q34" s="83">
        <f t="shared" si="16"/>
        <v>0</v>
      </c>
      <c r="R34" s="83">
        <f t="shared" si="16"/>
        <v>0</v>
      </c>
      <c r="S34" s="83">
        <f t="shared" si="16"/>
        <v>0</v>
      </c>
      <c r="T34" s="83">
        <f t="shared" si="16"/>
        <v>0</v>
      </c>
      <c r="U34" s="83">
        <f t="shared" si="16"/>
        <v>0</v>
      </c>
      <c r="V34" s="83">
        <f t="shared" si="16"/>
        <v>0</v>
      </c>
      <c r="W34" s="83">
        <f t="shared" si="16"/>
        <v>0</v>
      </c>
      <c r="X34" s="83">
        <f t="shared" si="16"/>
        <v>0</v>
      </c>
      <c r="Y34" s="1585">
        <f t="shared" si="15"/>
        <v>0</v>
      </c>
    </row>
    <row r="35" spans="2:25" x14ac:dyDescent="0.2">
      <c r="B35" s="165"/>
      <c r="C35" s="173" t="str">
        <f>'1. T1 INVESTOINTISUUN.'!C33</f>
        <v xml:space="preserve"> • arvonlisävero-%</v>
      </c>
      <c r="D35" s="174"/>
      <c r="E35" s="174">
        <f>'1. T1 INVESTOINTISUUN.'!E33</f>
        <v>0.255</v>
      </c>
      <c r="F35" s="174">
        <f>'1. T1 INVESTOINTISUUN.'!F33</f>
        <v>0.255</v>
      </c>
      <c r="G35" s="174">
        <f>'1. T1 INVESTOINTISUUN.'!G33</f>
        <v>0.255</v>
      </c>
      <c r="H35" s="174">
        <f>'1. T1 INVESTOINTISUUN.'!H33</f>
        <v>0.255</v>
      </c>
      <c r="I35" s="39"/>
      <c r="J35" s="1246">
        <f>'8. T5 KASSABUDJETTI'!B15</f>
        <v>3</v>
      </c>
      <c r="K35" s="1559" t="str">
        <f>'8. T5 KASSABUDJETTI'!C15</f>
        <v xml:space="preserve"> Laskutusmyynti</v>
      </c>
      <c r="L35" s="1741">
        <f>'8. T5 KASSABUDJETTI'!F71</f>
        <v>25.5</v>
      </c>
      <c r="M35" s="249">
        <f>'8. T5 KASSABUDJETTI'!G71</f>
        <v>0</v>
      </c>
      <c r="N35" s="249">
        <f>'8. T5 KASSABUDJETTI'!H71</f>
        <v>0</v>
      </c>
      <c r="O35" s="249">
        <f>'8. T5 KASSABUDJETTI'!I71</f>
        <v>0</v>
      </c>
      <c r="P35" s="249">
        <f>'8. T5 KASSABUDJETTI'!J71</f>
        <v>0</v>
      </c>
      <c r="Q35" s="249">
        <f>'8. T5 KASSABUDJETTI'!K71</f>
        <v>0</v>
      </c>
      <c r="R35" s="249">
        <f>'8. T5 KASSABUDJETTI'!L71</f>
        <v>0</v>
      </c>
      <c r="S35" s="249">
        <f>'8. T5 KASSABUDJETTI'!M71</f>
        <v>0</v>
      </c>
      <c r="T35" s="249">
        <f>'8. T5 KASSABUDJETTI'!N71</f>
        <v>0</v>
      </c>
      <c r="U35" s="249">
        <f>'8. T5 KASSABUDJETTI'!O71</f>
        <v>0</v>
      </c>
      <c r="V35" s="249">
        <f>'8. T5 KASSABUDJETTI'!P71</f>
        <v>0</v>
      </c>
      <c r="W35" s="249">
        <f>'8. T5 KASSABUDJETTI'!Q71</f>
        <v>0</v>
      </c>
      <c r="X35" s="249">
        <f>'8. T5 KASSABUDJETTI'!R71</f>
        <v>0</v>
      </c>
      <c r="Y35" s="1584">
        <f t="shared" si="15"/>
        <v>0</v>
      </c>
    </row>
    <row r="36" spans="2:25" x14ac:dyDescent="0.2">
      <c r="B36" s="165"/>
      <c r="C36" s="173" t="s">
        <v>132</v>
      </c>
      <c r="D36" s="175"/>
      <c r="E36" s="175">
        <f>E34/(1+E35)</f>
        <v>0</v>
      </c>
      <c r="F36" s="175">
        <f>F34/(1+F35)</f>
        <v>0</v>
      </c>
      <c r="G36" s="175">
        <f>G34/(1+G35)</f>
        <v>0</v>
      </c>
      <c r="H36" s="175">
        <f>H34/(1+H35)</f>
        <v>0</v>
      </c>
      <c r="I36" s="39"/>
      <c r="J36" s="1248"/>
      <c r="K36" s="963" t="s">
        <v>250</v>
      </c>
      <c r="M36" s="83">
        <f>M35-M35/(1+$L35%)</f>
        <v>0</v>
      </c>
      <c r="N36" s="83">
        <f t="shared" ref="N36:X36" si="17">N35-N35/(1+$L35%)</f>
        <v>0</v>
      </c>
      <c r="O36" s="83">
        <f t="shared" si="17"/>
        <v>0</v>
      </c>
      <c r="P36" s="83">
        <f t="shared" si="17"/>
        <v>0</v>
      </c>
      <c r="Q36" s="83">
        <f t="shared" si="17"/>
        <v>0</v>
      </c>
      <c r="R36" s="83">
        <f t="shared" si="17"/>
        <v>0</v>
      </c>
      <c r="S36" s="83">
        <f t="shared" si="17"/>
        <v>0</v>
      </c>
      <c r="T36" s="83">
        <f t="shared" si="17"/>
        <v>0</v>
      </c>
      <c r="U36" s="83">
        <f t="shared" si="17"/>
        <v>0</v>
      </c>
      <c r="V36" s="83">
        <f t="shared" si="17"/>
        <v>0</v>
      </c>
      <c r="W36" s="83">
        <f t="shared" si="17"/>
        <v>0</v>
      </c>
      <c r="X36" s="83">
        <f t="shared" si="17"/>
        <v>0</v>
      </c>
      <c r="Y36" s="1585">
        <f t="shared" si="15"/>
        <v>0</v>
      </c>
    </row>
    <row r="37" spans="2:25" x14ac:dyDescent="0.2">
      <c r="B37" s="165"/>
      <c r="C37" s="173" t="s">
        <v>131</v>
      </c>
      <c r="D37" s="175"/>
      <c r="E37" s="175">
        <f>E34-E36</f>
        <v>0</v>
      </c>
      <c r="F37" s="175">
        <f>F34-F36</f>
        <v>0</v>
      </c>
      <c r="G37" s="175">
        <f>G34-G36</f>
        <v>0</v>
      </c>
      <c r="H37" s="175">
        <f>H34-H36</f>
        <v>0</v>
      </c>
      <c r="I37" s="39"/>
      <c r="J37" s="1246">
        <f>'8. T5 KASSABUDJETTI'!B18</f>
        <v>4</v>
      </c>
      <c r="K37" s="1253" t="str">
        <f>'8. T5 KASSABUDJETTI'!C18</f>
        <v xml:space="preserve"> Muut tuotot sis. alv (liiketoim. muut tuotot, saneeraus)</v>
      </c>
      <c r="L37" s="1251">
        <f>'8. T5 KASSABUDJETTI'!F74</f>
        <v>25.5</v>
      </c>
      <c r="M37" s="249">
        <f>'8. T5 KASSABUDJETTI'!G74</f>
        <v>0</v>
      </c>
      <c r="N37" s="249">
        <f>'8. T5 KASSABUDJETTI'!H74</f>
        <v>0</v>
      </c>
      <c r="O37" s="249">
        <f>'8. T5 KASSABUDJETTI'!I74</f>
        <v>0</v>
      </c>
      <c r="P37" s="249">
        <f>'8. T5 KASSABUDJETTI'!J74</f>
        <v>0</v>
      </c>
      <c r="Q37" s="249">
        <f>'8. T5 KASSABUDJETTI'!K74</f>
        <v>0</v>
      </c>
      <c r="R37" s="249">
        <f>'8. T5 KASSABUDJETTI'!L74</f>
        <v>0</v>
      </c>
      <c r="S37" s="249">
        <f>'8. T5 KASSABUDJETTI'!M74</f>
        <v>0</v>
      </c>
      <c r="T37" s="249">
        <f>'8. T5 KASSABUDJETTI'!N74</f>
        <v>0</v>
      </c>
      <c r="U37" s="249">
        <f>'8. T5 KASSABUDJETTI'!O74</f>
        <v>0</v>
      </c>
      <c r="V37" s="249">
        <f>'8. T5 KASSABUDJETTI'!P74</f>
        <v>0</v>
      </c>
      <c r="W37" s="249">
        <f>'8. T5 KASSABUDJETTI'!Q74</f>
        <v>0</v>
      </c>
      <c r="X37" s="249">
        <f>'8. T5 KASSABUDJETTI'!R74</f>
        <v>0</v>
      </c>
      <c r="Y37" s="1584">
        <f t="shared" si="15"/>
        <v>0</v>
      </c>
    </row>
    <row r="38" spans="2:25" x14ac:dyDescent="0.2">
      <c r="B38" s="165"/>
      <c r="C38" s="173" t="str">
        <f>'1. T1 INVESTOINTISUUN.'!C34</f>
        <v xml:space="preserve"> • avustus-%</v>
      </c>
      <c r="D38" s="174"/>
      <c r="E38" s="174">
        <f>'1. T1 INVESTOINTISUUN.'!E34</f>
        <v>0</v>
      </c>
      <c r="F38" s="174">
        <f>'1. T1 INVESTOINTISUUN.'!F34</f>
        <v>0</v>
      </c>
      <c r="G38" s="174">
        <f>'1. T1 INVESTOINTISUUN.'!G34</f>
        <v>0</v>
      </c>
      <c r="H38" s="174">
        <f>'1. T1 INVESTOINTISUUN.'!H34</f>
        <v>0</v>
      </c>
      <c r="I38" s="39"/>
      <c r="J38" s="1250"/>
      <c r="K38" s="963" t="s">
        <v>250</v>
      </c>
      <c r="L38" s="1249"/>
      <c r="M38" s="83">
        <f>M37-M37/(1+$L37%)</f>
        <v>0</v>
      </c>
      <c r="N38" s="83">
        <f t="shared" ref="N38:X38" si="18">N37-N37/(1+$L37%)</f>
        <v>0</v>
      </c>
      <c r="O38" s="83">
        <f t="shared" si="18"/>
        <v>0</v>
      </c>
      <c r="P38" s="83">
        <f t="shared" si="18"/>
        <v>0</v>
      </c>
      <c r="Q38" s="83">
        <f t="shared" si="18"/>
        <v>0</v>
      </c>
      <c r="R38" s="83">
        <f t="shared" si="18"/>
        <v>0</v>
      </c>
      <c r="S38" s="83">
        <f t="shared" si="18"/>
        <v>0</v>
      </c>
      <c r="T38" s="83">
        <f t="shared" si="18"/>
        <v>0</v>
      </c>
      <c r="U38" s="83">
        <f t="shared" si="18"/>
        <v>0</v>
      </c>
      <c r="V38" s="83">
        <f t="shared" si="18"/>
        <v>0</v>
      </c>
      <c r="W38" s="83">
        <f t="shared" si="18"/>
        <v>0</v>
      </c>
      <c r="X38" s="83">
        <f t="shared" si="18"/>
        <v>0</v>
      </c>
      <c r="Y38" s="1585">
        <f t="shared" si="15"/>
        <v>0</v>
      </c>
    </row>
    <row r="39" spans="2:25" x14ac:dyDescent="0.2">
      <c r="B39" s="165"/>
      <c r="C39" s="173" t="s">
        <v>133</v>
      </c>
      <c r="D39" s="175"/>
      <c r="E39" s="175">
        <f>E36*E38</f>
        <v>0</v>
      </c>
      <c r="F39" s="175">
        <f>F36*F38</f>
        <v>0</v>
      </c>
      <c r="G39" s="175">
        <f>G36*G38</f>
        <v>0</v>
      </c>
      <c r="H39" s="175">
        <f>H36*H38</f>
        <v>0</v>
      </c>
      <c r="I39" s="39"/>
      <c r="J39" s="39"/>
      <c r="K39" s="353" t="s">
        <v>251</v>
      </c>
      <c r="L39" s="356"/>
      <c r="M39" s="353">
        <f>M38+M36+M34</f>
        <v>0</v>
      </c>
      <c r="N39" s="353">
        <f t="shared" ref="N39:X39" si="19">N38+N36+N34</f>
        <v>0</v>
      </c>
      <c r="O39" s="353">
        <f t="shared" si="19"/>
        <v>0</v>
      </c>
      <c r="P39" s="353">
        <f t="shared" si="19"/>
        <v>0</v>
      </c>
      <c r="Q39" s="353">
        <f t="shared" si="19"/>
        <v>0</v>
      </c>
      <c r="R39" s="353">
        <f t="shared" si="19"/>
        <v>0</v>
      </c>
      <c r="S39" s="353">
        <f t="shared" si="19"/>
        <v>0</v>
      </c>
      <c r="T39" s="353">
        <f t="shared" si="19"/>
        <v>0</v>
      </c>
      <c r="U39" s="353">
        <f t="shared" si="19"/>
        <v>0</v>
      </c>
      <c r="V39" s="353">
        <f t="shared" si="19"/>
        <v>0</v>
      </c>
      <c r="W39" s="353">
        <f t="shared" si="19"/>
        <v>0</v>
      </c>
      <c r="X39" s="353">
        <f t="shared" si="19"/>
        <v>0</v>
      </c>
      <c r="Y39" s="1583">
        <f t="shared" si="15"/>
        <v>0</v>
      </c>
    </row>
    <row r="40" spans="2:25" x14ac:dyDescent="0.2">
      <c r="C40" s="173" t="s">
        <v>178</v>
      </c>
      <c r="D40" s="191"/>
      <c r="E40" s="191">
        <f>E36-E39</f>
        <v>0</v>
      </c>
      <c r="F40" s="191">
        <f>F36-F39</f>
        <v>0</v>
      </c>
      <c r="G40" s="191">
        <f>G36-G39</f>
        <v>0</v>
      </c>
      <c r="H40" s="191">
        <f>H36-H39</f>
        <v>0</v>
      </c>
      <c r="I40" s="26"/>
      <c r="J40" s="1557">
        <f>'8. T5 KASSABUDJETTI'!B23</f>
        <v>6</v>
      </c>
      <c r="K40" s="249" t="str">
        <f>'8. T5 KASSABUDJETTI'!C23</f>
        <v xml:space="preserve"> Aineet ja tarvikkeet</v>
      </c>
      <c r="L40" s="1251">
        <f>'8. T5 KASSABUDJETTI'!F79</f>
        <v>25.5</v>
      </c>
      <c r="M40" s="249">
        <f>'8. T5 KASSABUDJETTI'!G79</f>
        <v>0</v>
      </c>
      <c r="N40" s="249">
        <f>'8. T5 KASSABUDJETTI'!H79</f>
        <v>0</v>
      </c>
      <c r="O40" s="249">
        <f>'8. T5 KASSABUDJETTI'!I79</f>
        <v>0</v>
      </c>
      <c r="P40" s="249">
        <f>'8. T5 KASSABUDJETTI'!J79</f>
        <v>0</v>
      </c>
      <c r="Q40" s="249">
        <f>'8. T5 KASSABUDJETTI'!K79</f>
        <v>0</v>
      </c>
      <c r="R40" s="249">
        <f>'8. T5 KASSABUDJETTI'!L79</f>
        <v>0</v>
      </c>
      <c r="S40" s="249">
        <f>'8. T5 KASSABUDJETTI'!M79</f>
        <v>0</v>
      </c>
      <c r="T40" s="249">
        <f>'8. T5 KASSABUDJETTI'!N79</f>
        <v>0</v>
      </c>
      <c r="U40" s="249">
        <f>'8. T5 KASSABUDJETTI'!O79</f>
        <v>0</v>
      </c>
      <c r="V40" s="249">
        <f>'8. T5 KASSABUDJETTI'!P79</f>
        <v>0</v>
      </c>
      <c r="W40" s="249">
        <f>'8. T5 KASSABUDJETTI'!Q79</f>
        <v>0</v>
      </c>
      <c r="X40" s="249">
        <f>'8. T5 KASSABUDJETTI'!R79</f>
        <v>0</v>
      </c>
      <c r="Y40" s="1584">
        <f t="shared" si="15"/>
        <v>0</v>
      </c>
    </row>
    <row r="41" spans="2:25" x14ac:dyDescent="0.2">
      <c r="B41" s="1245" t="str">
        <f>'1. T1 INVESTOINTISUUN.'!B35</f>
        <v>7.</v>
      </c>
      <c r="C41" s="173" t="str">
        <f>'1. T1 INVESTOINTISUUN.'!C35</f>
        <v xml:space="preserve"> Aineettomat hyödykkeet</v>
      </c>
      <c r="D41" s="173"/>
      <c r="E41" s="173">
        <f>'1. T1 INVESTOINTISUUN.'!E35</f>
        <v>0</v>
      </c>
      <c r="F41" s="173">
        <f>'1. T1 INVESTOINTISUUN.'!F35</f>
        <v>0</v>
      </c>
      <c r="G41" s="173">
        <f>'1. T1 INVESTOINTISUUN.'!G35</f>
        <v>0</v>
      </c>
      <c r="H41" s="173">
        <f>'1. T1 INVESTOINTISUUN.'!H35</f>
        <v>0</v>
      </c>
      <c r="I41" s="39"/>
      <c r="J41" s="1558"/>
      <c r="K41" s="963" t="s">
        <v>250</v>
      </c>
      <c r="L41" s="1249"/>
      <c r="M41" s="83">
        <f>M40-M40/(1+$L40%)</f>
        <v>0</v>
      </c>
      <c r="N41" s="83">
        <f t="shared" ref="N41:X41" si="20">N40-N40/(1+$L40%)</f>
        <v>0</v>
      </c>
      <c r="O41" s="83">
        <f t="shared" si="20"/>
        <v>0</v>
      </c>
      <c r="P41" s="83">
        <f t="shared" si="20"/>
        <v>0</v>
      </c>
      <c r="Q41" s="83">
        <f t="shared" si="20"/>
        <v>0</v>
      </c>
      <c r="R41" s="83">
        <f t="shared" si="20"/>
        <v>0</v>
      </c>
      <c r="S41" s="83">
        <f t="shared" si="20"/>
        <v>0</v>
      </c>
      <c r="T41" s="83">
        <f t="shared" si="20"/>
        <v>0</v>
      </c>
      <c r="U41" s="83">
        <f t="shared" si="20"/>
        <v>0</v>
      </c>
      <c r="V41" s="83">
        <f t="shared" si="20"/>
        <v>0</v>
      </c>
      <c r="W41" s="83">
        <f t="shared" si="20"/>
        <v>0</v>
      </c>
      <c r="X41" s="83">
        <f t="shared" si="20"/>
        <v>0</v>
      </c>
      <c r="Y41" s="1585">
        <f t="shared" si="15"/>
        <v>0</v>
      </c>
    </row>
    <row r="42" spans="2:25" x14ac:dyDescent="0.2">
      <c r="B42" s="165"/>
      <c r="C42" s="173" t="str">
        <f>'1. T1 INVESTOINTISUUN.'!C36</f>
        <v xml:space="preserve"> • arvonlisävero-%</v>
      </c>
      <c r="D42" s="237"/>
      <c r="E42" s="174">
        <f>'1. T1 INVESTOINTISUUN.'!E36</f>
        <v>0.255</v>
      </c>
      <c r="F42" s="174">
        <f>'1. T1 INVESTOINTISUUN.'!F36</f>
        <v>0.255</v>
      </c>
      <c r="G42" s="174">
        <f>'1. T1 INVESTOINTISUUN.'!G36</f>
        <v>0.255</v>
      </c>
      <c r="H42" s="174">
        <f>'1. T1 INVESTOINTISUUN.'!H36</f>
        <v>0.255</v>
      </c>
      <c r="I42" s="39"/>
      <c r="J42" s="1557">
        <f>'8. T5 KASSABUDJETTI'!B25</f>
        <v>7</v>
      </c>
      <c r="K42" s="249" t="str">
        <f>'8. T5 KASSABUDJETTI'!C25</f>
        <v xml:space="preserve"> Vaihto-omaisuus (varasto) </v>
      </c>
      <c r="L42" s="1251">
        <f>'8. T5 KASSABUDJETTI'!F81</f>
        <v>0</v>
      </c>
      <c r="M42" s="1252">
        <f>'8. T5 KASSABUDJETTI'!G56</f>
        <v>0</v>
      </c>
      <c r="N42" s="1252">
        <f>'8. T5 KASSABUDJETTI'!H56</f>
        <v>0</v>
      </c>
      <c r="O42" s="1252">
        <f>'8. T5 KASSABUDJETTI'!I56</f>
        <v>0</v>
      </c>
      <c r="P42" s="1252">
        <f>'8. T5 KASSABUDJETTI'!J56</f>
        <v>0</v>
      </c>
      <c r="Q42" s="1252">
        <f>'8. T5 KASSABUDJETTI'!K56</f>
        <v>0</v>
      </c>
      <c r="R42" s="1252">
        <f>'8. T5 KASSABUDJETTI'!L56</f>
        <v>0</v>
      </c>
      <c r="S42" s="1252">
        <f>'8. T5 KASSABUDJETTI'!M56</f>
        <v>0</v>
      </c>
      <c r="T42" s="1252">
        <f>'8. T5 KASSABUDJETTI'!N56</f>
        <v>0</v>
      </c>
      <c r="U42" s="1252">
        <f>'8. T5 KASSABUDJETTI'!O56</f>
        <v>0</v>
      </c>
      <c r="V42" s="1252">
        <f>'8. T5 KASSABUDJETTI'!P56</f>
        <v>0</v>
      </c>
      <c r="W42" s="1252">
        <f>'8. T5 KASSABUDJETTI'!Q56</f>
        <v>0</v>
      </c>
      <c r="X42" s="1252">
        <f>'8. T5 KASSABUDJETTI'!R56</f>
        <v>0</v>
      </c>
      <c r="Y42" s="1584">
        <f t="shared" si="15"/>
        <v>0</v>
      </c>
    </row>
    <row r="43" spans="2:25" x14ac:dyDescent="0.2">
      <c r="B43" s="165"/>
      <c r="C43" s="173" t="s">
        <v>132</v>
      </c>
      <c r="D43" s="175"/>
      <c r="E43" s="175">
        <f>E41/(1+E42)</f>
        <v>0</v>
      </c>
      <c r="F43" s="175">
        <f>F41/(1+F42)</f>
        <v>0</v>
      </c>
      <c r="G43" s="175">
        <f>G41/(1+G42)</f>
        <v>0</v>
      </c>
      <c r="H43" s="175">
        <f>H41/(1+H42)</f>
        <v>0</v>
      </c>
      <c r="I43" s="39"/>
      <c r="J43" s="1558"/>
      <c r="K43" s="963" t="s">
        <v>250</v>
      </c>
      <c r="L43" s="1249"/>
      <c r="M43" s="83">
        <f>M42-M42/(1+$L42%)</f>
        <v>0</v>
      </c>
      <c r="N43" s="83">
        <f t="shared" ref="N43:X43" si="21">N42-N42/(1+$L42%)</f>
        <v>0</v>
      </c>
      <c r="O43" s="83">
        <f t="shared" si="21"/>
        <v>0</v>
      </c>
      <c r="P43" s="83">
        <f t="shared" si="21"/>
        <v>0</v>
      </c>
      <c r="Q43" s="83">
        <f t="shared" si="21"/>
        <v>0</v>
      </c>
      <c r="R43" s="83">
        <f t="shared" si="21"/>
        <v>0</v>
      </c>
      <c r="S43" s="83">
        <f t="shared" si="21"/>
        <v>0</v>
      </c>
      <c r="T43" s="83">
        <f t="shared" si="21"/>
        <v>0</v>
      </c>
      <c r="U43" s="83">
        <f t="shared" si="21"/>
        <v>0</v>
      </c>
      <c r="V43" s="83">
        <f t="shared" si="21"/>
        <v>0</v>
      </c>
      <c r="W43" s="83">
        <f t="shared" si="21"/>
        <v>0</v>
      </c>
      <c r="X43" s="83">
        <f t="shared" si="21"/>
        <v>0</v>
      </c>
      <c r="Y43" s="1585">
        <f t="shared" si="15"/>
        <v>0</v>
      </c>
    </row>
    <row r="44" spans="2:25" x14ac:dyDescent="0.2">
      <c r="B44" s="165"/>
      <c r="C44" s="173" t="s">
        <v>131</v>
      </c>
      <c r="D44" s="175"/>
      <c r="E44" s="175">
        <f>E41-E43</f>
        <v>0</v>
      </c>
      <c r="F44" s="175">
        <f>F41-F43</f>
        <v>0</v>
      </c>
      <c r="G44" s="175">
        <f>G41-G43</f>
        <v>0</v>
      </c>
      <c r="H44" s="175">
        <f>H41-H43</f>
        <v>0</v>
      </c>
      <c r="I44" s="39"/>
      <c r="J44" s="1557">
        <f>'8. T5 KASSABUDJETTI'!B26</f>
        <v>8</v>
      </c>
      <c r="K44" s="249" t="str">
        <f>'8. T5 KASSABUDJETTI'!C26</f>
        <v xml:space="preserve"> Ulkopuoliset palvelut</v>
      </c>
      <c r="L44" s="1251">
        <f>'8. T5 KASSABUDJETTI'!F82</f>
        <v>25.5</v>
      </c>
      <c r="M44" s="249">
        <f>'8. T5 KASSABUDJETTI'!G82</f>
        <v>0</v>
      </c>
      <c r="N44" s="249">
        <f>'8. T5 KASSABUDJETTI'!H82</f>
        <v>0</v>
      </c>
      <c r="O44" s="249">
        <f>'8. T5 KASSABUDJETTI'!I82</f>
        <v>0</v>
      </c>
      <c r="P44" s="249">
        <f>'8. T5 KASSABUDJETTI'!J82</f>
        <v>0</v>
      </c>
      <c r="Q44" s="249">
        <f>'8. T5 KASSABUDJETTI'!K82</f>
        <v>0</v>
      </c>
      <c r="R44" s="249">
        <f>'8. T5 KASSABUDJETTI'!L82</f>
        <v>0</v>
      </c>
      <c r="S44" s="249">
        <f>'8. T5 KASSABUDJETTI'!M82</f>
        <v>0</v>
      </c>
      <c r="T44" s="249">
        <f>'8. T5 KASSABUDJETTI'!N82</f>
        <v>0</v>
      </c>
      <c r="U44" s="249">
        <f>'8. T5 KASSABUDJETTI'!O82</f>
        <v>0</v>
      </c>
      <c r="V44" s="249">
        <f>'8. T5 KASSABUDJETTI'!P82</f>
        <v>0</v>
      </c>
      <c r="W44" s="249">
        <f>'8. T5 KASSABUDJETTI'!Q82</f>
        <v>0</v>
      </c>
      <c r="X44" s="249">
        <f>'8. T5 KASSABUDJETTI'!R82</f>
        <v>0</v>
      </c>
      <c r="Y44" s="1584">
        <f t="shared" si="15"/>
        <v>0</v>
      </c>
    </row>
    <row r="45" spans="2:25" x14ac:dyDescent="0.2">
      <c r="B45" s="165"/>
      <c r="C45" s="173" t="s">
        <v>130</v>
      </c>
      <c r="D45" s="174"/>
      <c r="E45" s="174">
        <f>'1. T1 INVESTOINTISUUN.'!E37</f>
        <v>0</v>
      </c>
      <c r="F45" s="174">
        <f>'1. T1 INVESTOINTISUUN.'!F37</f>
        <v>0</v>
      </c>
      <c r="G45" s="174">
        <f>'1. T1 INVESTOINTISUUN.'!G37</f>
        <v>0</v>
      </c>
      <c r="H45" s="174">
        <f>'1. T1 INVESTOINTISUUN.'!H37</f>
        <v>0</v>
      </c>
      <c r="I45" s="39"/>
      <c r="J45" s="1558"/>
      <c r="K45" s="963" t="s">
        <v>250</v>
      </c>
      <c r="L45" s="1249"/>
      <c r="M45" s="83">
        <f>M44-M44/(1+$L44%)</f>
        <v>0</v>
      </c>
      <c r="N45" s="83">
        <f t="shared" ref="N45:X45" si="22">N44-N44/(1+$L44%)</f>
        <v>0</v>
      </c>
      <c r="O45" s="83">
        <f t="shared" si="22"/>
        <v>0</v>
      </c>
      <c r="P45" s="83">
        <f t="shared" si="22"/>
        <v>0</v>
      </c>
      <c r="Q45" s="83">
        <f t="shared" si="22"/>
        <v>0</v>
      </c>
      <c r="R45" s="83">
        <f t="shared" si="22"/>
        <v>0</v>
      </c>
      <c r="S45" s="83">
        <f t="shared" si="22"/>
        <v>0</v>
      </c>
      <c r="T45" s="83">
        <f t="shared" si="22"/>
        <v>0</v>
      </c>
      <c r="U45" s="83">
        <f t="shared" si="22"/>
        <v>0</v>
      </c>
      <c r="V45" s="83">
        <f t="shared" si="22"/>
        <v>0</v>
      </c>
      <c r="W45" s="83">
        <f t="shared" si="22"/>
        <v>0</v>
      </c>
      <c r="X45" s="83">
        <f t="shared" si="22"/>
        <v>0</v>
      </c>
      <c r="Y45" s="1585">
        <f t="shared" si="15"/>
        <v>0</v>
      </c>
    </row>
    <row r="46" spans="2:25" x14ac:dyDescent="0.2">
      <c r="B46" s="165"/>
      <c r="C46" s="173" t="s">
        <v>133</v>
      </c>
      <c r="D46" s="175"/>
      <c r="E46" s="175">
        <f>E43*E45</f>
        <v>0</v>
      </c>
      <c r="F46" s="175">
        <f>F43*F45</f>
        <v>0</v>
      </c>
      <c r="G46" s="175">
        <f>G43*G45</f>
        <v>0</v>
      </c>
      <c r="H46" s="175">
        <f>H43*H45</f>
        <v>0</v>
      </c>
      <c r="I46" s="39"/>
      <c r="J46" s="1557">
        <f>'8. T5 KASSABUDJETTI'!B27</f>
        <v>9</v>
      </c>
      <c r="K46" s="249" t="str">
        <f>'8. T5 KASSABUDJETTI'!C27</f>
        <v xml:space="preserve"> Investoinnit sis. alv</v>
      </c>
      <c r="L46" s="1251">
        <f>'8. T5 KASSABUDJETTI'!F83</f>
        <v>25.5</v>
      </c>
      <c r="M46" s="249">
        <f>'8. T5 KASSABUDJETTI'!G83</f>
        <v>0</v>
      </c>
      <c r="N46" s="249">
        <f>'8. T5 KASSABUDJETTI'!H83</f>
        <v>0</v>
      </c>
      <c r="O46" s="249">
        <f>'8. T5 KASSABUDJETTI'!I83</f>
        <v>0</v>
      </c>
      <c r="P46" s="249">
        <f>'8. T5 KASSABUDJETTI'!J83</f>
        <v>0</v>
      </c>
      <c r="Q46" s="249">
        <f>'8. T5 KASSABUDJETTI'!K83</f>
        <v>0</v>
      </c>
      <c r="R46" s="249">
        <f>'8. T5 KASSABUDJETTI'!L83</f>
        <v>0</v>
      </c>
      <c r="S46" s="249">
        <f>'8. T5 KASSABUDJETTI'!M83</f>
        <v>0</v>
      </c>
      <c r="T46" s="249">
        <f>'8. T5 KASSABUDJETTI'!N83</f>
        <v>0</v>
      </c>
      <c r="U46" s="249">
        <f>'8. T5 KASSABUDJETTI'!O83</f>
        <v>0</v>
      </c>
      <c r="V46" s="249">
        <f>'8. T5 KASSABUDJETTI'!P83</f>
        <v>0</v>
      </c>
      <c r="W46" s="249">
        <f>'8. T5 KASSABUDJETTI'!Q83</f>
        <v>0</v>
      </c>
      <c r="X46" s="249">
        <f>'8. T5 KASSABUDJETTI'!R83</f>
        <v>0</v>
      </c>
      <c r="Y46" s="1584">
        <f t="shared" si="15"/>
        <v>0</v>
      </c>
    </row>
    <row r="47" spans="2:25" x14ac:dyDescent="0.2">
      <c r="C47" s="173" t="s">
        <v>178</v>
      </c>
      <c r="D47" s="191"/>
      <c r="E47" s="191">
        <f>E43-E46</f>
        <v>0</v>
      </c>
      <c r="F47" s="191">
        <f>F43-F46</f>
        <v>0</v>
      </c>
      <c r="G47" s="191">
        <f>G43-G46</f>
        <v>0</v>
      </c>
      <c r="H47" s="191">
        <f>H43-H46</f>
        <v>0</v>
      </c>
      <c r="I47" s="26"/>
      <c r="J47" s="1558"/>
      <c r="K47" s="963" t="s">
        <v>250</v>
      </c>
      <c r="L47" s="1249"/>
      <c r="M47" s="83">
        <f>M46-M46/(1+$L46%)</f>
        <v>0</v>
      </c>
      <c r="N47" s="83">
        <f t="shared" ref="N47:X47" si="23">N46-N46/(1+$L46%)</f>
        <v>0</v>
      </c>
      <c r="O47" s="83">
        <f t="shared" si="23"/>
        <v>0</v>
      </c>
      <c r="P47" s="83">
        <f t="shared" si="23"/>
        <v>0</v>
      </c>
      <c r="Q47" s="83">
        <f t="shared" si="23"/>
        <v>0</v>
      </c>
      <c r="R47" s="83">
        <f t="shared" si="23"/>
        <v>0</v>
      </c>
      <c r="S47" s="83">
        <f t="shared" si="23"/>
        <v>0</v>
      </c>
      <c r="T47" s="83">
        <f t="shared" si="23"/>
        <v>0</v>
      </c>
      <c r="U47" s="83">
        <f t="shared" si="23"/>
        <v>0</v>
      </c>
      <c r="V47" s="83">
        <f t="shared" si="23"/>
        <v>0</v>
      </c>
      <c r="W47" s="83">
        <f t="shared" si="23"/>
        <v>0</v>
      </c>
      <c r="X47" s="83">
        <f t="shared" si="23"/>
        <v>0</v>
      </c>
      <c r="Y47" s="1585">
        <f t="shared" si="15"/>
        <v>0</v>
      </c>
    </row>
    <row r="48" spans="2:25" x14ac:dyDescent="0.2">
      <c r="B48" s="165"/>
      <c r="C48" s="4" t="s">
        <v>433</v>
      </c>
      <c r="D48" s="4"/>
      <c r="E48" s="4">
        <f>E4+E8+E15+E19+E28+E34+E41</f>
        <v>0</v>
      </c>
      <c r="F48" s="4">
        <f>F4+F8+F15+F19+F28+F34+F41</f>
        <v>0</v>
      </c>
      <c r="G48" s="4">
        <f>G4+G8+G15+G19+G28+G34+G41</f>
        <v>0</v>
      </c>
      <c r="H48" s="4">
        <f>H4+H8+H15+H19+H28+H34+H41</f>
        <v>0</v>
      </c>
      <c r="J48" s="1557">
        <f>'8. T5 KASSABUDJETTI'!B28</f>
        <v>10</v>
      </c>
      <c r="K48" s="249" t="str">
        <f>'8. T5 KASSABUDJETTI'!C28</f>
        <v xml:space="preserve"> Toimitilavuokrat sis. alv</v>
      </c>
      <c r="L48" s="1251">
        <f>'8. T5 KASSABUDJETTI'!F84</f>
        <v>25.5</v>
      </c>
      <c r="M48" s="249">
        <f>'8. T5 KASSABUDJETTI'!G84</f>
        <v>0</v>
      </c>
      <c r="N48" s="249">
        <f>'8. T5 KASSABUDJETTI'!H84</f>
        <v>0</v>
      </c>
      <c r="O48" s="249">
        <f>'8. T5 KASSABUDJETTI'!I84</f>
        <v>0</v>
      </c>
      <c r="P48" s="249">
        <f>'8. T5 KASSABUDJETTI'!J84</f>
        <v>0</v>
      </c>
      <c r="Q48" s="249">
        <f>'8. T5 KASSABUDJETTI'!K84</f>
        <v>0</v>
      </c>
      <c r="R48" s="249">
        <f>'8. T5 KASSABUDJETTI'!L84</f>
        <v>0</v>
      </c>
      <c r="S48" s="249">
        <f>'8. T5 KASSABUDJETTI'!M84</f>
        <v>0</v>
      </c>
      <c r="T48" s="249">
        <f>'8. T5 KASSABUDJETTI'!N84</f>
        <v>0</v>
      </c>
      <c r="U48" s="249">
        <f>'8. T5 KASSABUDJETTI'!O84</f>
        <v>0</v>
      </c>
      <c r="V48" s="249">
        <f>'8. T5 KASSABUDJETTI'!P84</f>
        <v>0</v>
      </c>
      <c r="W48" s="249">
        <f>'8. T5 KASSABUDJETTI'!Q84</f>
        <v>0</v>
      </c>
      <c r="X48" s="249">
        <f>'8. T5 KASSABUDJETTI'!R84</f>
        <v>0</v>
      </c>
      <c r="Y48" s="1584">
        <f t="shared" si="15"/>
        <v>0</v>
      </c>
    </row>
    <row r="49" spans="2:25" x14ac:dyDescent="0.2">
      <c r="B49" s="165"/>
      <c r="C49" s="4" t="s">
        <v>134</v>
      </c>
      <c r="D49" s="32">
        <f>D11+D24+D37+D44</f>
        <v>0</v>
      </c>
      <c r="E49" s="32">
        <f>E11+E24+E37+E44</f>
        <v>0</v>
      </c>
      <c r="F49" s="32">
        <f>F11+F24+F37+F44</f>
        <v>0</v>
      </c>
      <c r="G49" s="32">
        <f>G11+G24+G37+G44</f>
        <v>0</v>
      </c>
      <c r="H49" s="32">
        <f>H11+H24+H37+H44</f>
        <v>0</v>
      </c>
      <c r="J49" s="1558"/>
      <c r="K49" s="963" t="s">
        <v>250</v>
      </c>
      <c r="L49" s="1249"/>
      <c r="M49" s="83">
        <f>M48-M48/(1+$L48%)</f>
        <v>0</v>
      </c>
      <c r="N49" s="83">
        <f t="shared" ref="N49:X49" si="24">N48-N48/(1+$L48%)</f>
        <v>0</v>
      </c>
      <c r="O49" s="83">
        <f t="shared" si="24"/>
        <v>0</v>
      </c>
      <c r="P49" s="83">
        <f t="shared" si="24"/>
        <v>0</v>
      </c>
      <c r="Q49" s="83">
        <f t="shared" si="24"/>
        <v>0</v>
      </c>
      <c r="R49" s="83">
        <f t="shared" si="24"/>
        <v>0</v>
      </c>
      <c r="S49" s="83">
        <f t="shared" si="24"/>
        <v>0</v>
      </c>
      <c r="T49" s="83">
        <f t="shared" si="24"/>
        <v>0</v>
      </c>
      <c r="U49" s="83">
        <f t="shared" si="24"/>
        <v>0</v>
      </c>
      <c r="V49" s="83">
        <f t="shared" si="24"/>
        <v>0</v>
      </c>
      <c r="W49" s="83">
        <f t="shared" si="24"/>
        <v>0</v>
      </c>
      <c r="X49" s="83">
        <f t="shared" si="24"/>
        <v>0</v>
      </c>
      <c r="Y49" s="1585">
        <f t="shared" si="15"/>
        <v>0</v>
      </c>
    </row>
    <row r="50" spans="2:25" x14ac:dyDescent="0.2">
      <c r="B50" s="165"/>
      <c r="C50" s="4" t="s">
        <v>135</v>
      </c>
      <c r="D50" s="32">
        <f>D6+D13+D17+D26+D39+D46</f>
        <v>0</v>
      </c>
      <c r="E50" s="32">
        <f>E6+E13+E17+E26+E39+E46+E32</f>
        <v>0</v>
      </c>
      <c r="F50" s="32">
        <f>F6+F13+F17+F26+F39+F46+F32</f>
        <v>0</v>
      </c>
      <c r="G50" s="32">
        <f>G6+G13+G17+G26+G39+G46+G32</f>
        <v>0</v>
      </c>
      <c r="H50" s="32">
        <f>H6+H13+H17+H26+H39+H46+H32</f>
        <v>0</v>
      </c>
      <c r="J50" s="6"/>
      <c r="K50" s="448"/>
    </row>
    <row r="51" spans="2:25" x14ac:dyDescent="0.2">
      <c r="B51" s="165"/>
      <c r="C51" s="4"/>
      <c r="D51" s="4"/>
      <c r="E51" s="4"/>
      <c r="F51" s="4"/>
      <c r="G51" s="4"/>
      <c r="H51" s="1"/>
      <c r="J51" s="6"/>
      <c r="K51" s="448"/>
    </row>
    <row r="52" spans="2:25" x14ac:dyDescent="0.2">
      <c r="B52" s="165"/>
      <c r="C52" s="4" t="s">
        <v>0</v>
      </c>
      <c r="D52" s="4"/>
      <c r="E52" s="4"/>
      <c r="F52" s="4"/>
      <c r="G52" s="4"/>
      <c r="H52" s="1"/>
      <c r="J52" s="1557">
        <f>'8. T5 KASSABUDJETTI'!B29</f>
        <v>11</v>
      </c>
      <c r="K52" s="249" t="str">
        <f>'8. T5 KASSABUDJETTI'!C29</f>
        <v xml:space="preserve"> Leasingkustannukset ja vuokrakulut, liikekäyttö</v>
      </c>
      <c r="L52" s="1251">
        <f>'8. T5 KASSABUDJETTI'!F85</f>
        <v>25.5</v>
      </c>
      <c r="M52" s="249">
        <f>'8. T5 KASSABUDJETTI'!G85</f>
        <v>0</v>
      </c>
      <c r="N52" s="249">
        <f>'8. T5 KASSABUDJETTI'!H85</f>
        <v>0</v>
      </c>
      <c r="O52" s="249">
        <f>'8. T5 KASSABUDJETTI'!I85</f>
        <v>0</v>
      </c>
      <c r="P52" s="249">
        <f>'8. T5 KASSABUDJETTI'!J85</f>
        <v>0</v>
      </c>
      <c r="Q52" s="249">
        <f>'8. T5 KASSABUDJETTI'!K85</f>
        <v>0</v>
      </c>
      <c r="R52" s="249">
        <f>'8. T5 KASSABUDJETTI'!L85</f>
        <v>0</v>
      </c>
      <c r="S52" s="249">
        <f>'8. T5 KASSABUDJETTI'!M85</f>
        <v>0</v>
      </c>
      <c r="T52" s="249">
        <f>'8. T5 KASSABUDJETTI'!N85</f>
        <v>0</v>
      </c>
      <c r="U52" s="249">
        <f>'8. T5 KASSABUDJETTI'!O85</f>
        <v>0</v>
      </c>
      <c r="V52" s="249">
        <f>'8. T5 KASSABUDJETTI'!P85</f>
        <v>0</v>
      </c>
      <c r="W52" s="249">
        <f>'8. T5 KASSABUDJETTI'!Q85</f>
        <v>0</v>
      </c>
      <c r="X52" s="249">
        <f>'8. T5 KASSABUDJETTI'!R85</f>
        <v>0</v>
      </c>
      <c r="Y52" s="1584">
        <f t="shared" ref="Y52:Y57" si="25">SUM(M52:X52)</f>
        <v>0</v>
      </c>
    </row>
    <row r="53" spans="2:25" x14ac:dyDescent="0.2">
      <c r="B53" s="165"/>
      <c r="C53" s="4"/>
      <c r="D53" s="4"/>
      <c r="E53" s="4"/>
      <c r="F53" s="4"/>
      <c r="G53" s="4"/>
      <c r="H53" s="1"/>
      <c r="J53" s="1558"/>
      <c r="K53" s="963" t="s">
        <v>250</v>
      </c>
      <c r="L53" s="1249"/>
      <c r="M53" s="83">
        <f>M52-M52/(1+$L52%)</f>
        <v>0</v>
      </c>
      <c r="N53" s="83">
        <f t="shared" ref="N53:X53" si="26">N52-N52/(1+$L52%)</f>
        <v>0</v>
      </c>
      <c r="O53" s="83">
        <f t="shared" si="26"/>
        <v>0</v>
      </c>
      <c r="P53" s="83">
        <f t="shared" si="26"/>
        <v>0</v>
      </c>
      <c r="Q53" s="83">
        <f t="shared" si="26"/>
        <v>0</v>
      </c>
      <c r="R53" s="83">
        <f t="shared" si="26"/>
        <v>0</v>
      </c>
      <c r="S53" s="83">
        <f t="shared" si="26"/>
        <v>0</v>
      </c>
      <c r="T53" s="83">
        <f t="shared" si="26"/>
        <v>0</v>
      </c>
      <c r="U53" s="83">
        <f t="shared" si="26"/>
        <v>0</v>
      </c>
      <c r="V53" s="83">
        <f t="shared" si="26"/>
        <v>0</v>
      </c>
      <c r="W53" s="83">
        <f t="shared" si="26"/>
        <v>0</v>
      </c>
      <c r="X53" s="83">
        <f t="shared" si="26"/>
        <v>0</v>
      </c>
      <c r="Y53" s="1585">
        <f t="shared" si="25"/>
        <v>0</v>
      </c>
    </row>
    <row r="54" spans="2:25" x14ac:dyDescent="0.2">
      <c r="B54" s="165"/>
      <c r="C54" s="4"/>
      <c r="D54" s="4"/>
      <c r="E54" s="4"/>
      <c r="F54" s="4"/>
      <c r="G54" s="4"/>
      <c r="H54" s="1"/>
      <c r="J54" s="1557">
        <f>'8. T5 KASSABUDJETTI'!B30</f>
        <v>12</v>
      </c>
      <c r="K54" s="249" t="str">
        <f>'8. T5 KASSABUDJETTI'!C30</f>
        <v xml:space="preserve"> Muut kiinteät kulut sis. arvonlisäveron</v>
      </c>
      <c r="L54" s="1251">
        <f>'AT2 Lainat, alv'!G63*100</f>
        <v>0</v>
      </c>
      <c r="M54" s="249">
        <f>'8. T5 KASSABUDJETTI'!G86</f>
        <v>0</v>
      </c>
      <c r="N54" s="249">
        <f>'8. T5 KASSABUDJETTI'!H86</f>
        <v>0</v>
      </c>
      <c r="O54" s="249">
        <f>'8. T5 KASSABUDJETTI'!I86</f>
        <v>0</v>
      </c>
      <c r="P54" s="249">
        <f>'8. T5 KASSABUDJETTI'!J86</f>
        <v>0</v>
      </c>
      <c r="Q54" s="249">
        <f>'8. T5 KASSABUDJETTI'!K86</f>
        <v>0</v>
      </c>
      <c r="R54" s="249">
        <f>'8. T5 KASSABUDJETTI'!L86</f>
        <v>0</v>
      </c>
      <c r="S54" s="249">
        <f>'8. T5 KASSABUDJETTI'!M86</f>
        <v>0</v>
      </c>
      <c r="T54" s="249">
        <f>'8. T5 KASSABUDJETTI'!N86</f>
        <v>0</v>
      </c>
      <c r="U54" s="249">
        <f>'8. T5 KASSABUDJETTI'!O86</f>
        <v>0</v>
      </c>
      <c r="V54" s="249">
        <f>'8. T5 KASSABUDJETTI'!P86</f>
        <v>0</v>
      </c>
      <c r="W54" s="249">
        <f>'8. T5 KASSABUDJETTI'!Q86</f>
        <v>0</v>
      </c>
      <c r="X54" s="249">
        <f>'8. T5 KASSABUDJETTI'!R86</f>
        <v>0</v>
      </c>
      <c r="Y54" s="1584">
        <f t="shared" si="25"/>
        <v>0</v>
      </c>
    </row>
    <row r="55" spans="2:25" x14ac:dyDescent="0.2">
      <c r="B55" s="165"/>
      <c r="C55" s="4"/>
      <c r="D55" s="4"/>
      <c r="E55" s="4"/>
      <c r="F55" s="4"/>
      <c r="G55" s="4"/>
      <c r="H55" s="1"/>
      <c r="J55" s="1558"/>
      <c r="K55" s="963" t="s">
        <v>250</v>
      </c>
      <c r="L55" s="1249"/>
      <c r="M55" s="83">
        <f>M54-M54/(1+$L54%)</f>
        <v>0</v>
      </c>
      <c r="N55" s="83">
        <f>N54-N54/(1+$L54%)</f>
        <v>0</v>
      </c>
      <c r="O55" s="83">
        <f>O54-O54/(1+$L54%)</f>
        <v>0</v>
      </c>
      <c r="P55" s="83">
        <f t="shared" ref="P55:X55" si="27">P54-P54/(1+$L54%)</f>
        <v>0</v>
      </c>
      <c r="Q55" s="83">
        <f t="shared" si="27"/>
        <v>0</v>
      </c>
      <c r="R55" s="83">
        <f t="shared" si="27"/>
        <v>0</v>
      </c>
      <c r="S55" s="83">
        <f t="shared" si="27"/>
        <v>0</v>
      </c>
      <c r="T55" s="83">
        <f t="shared" si="27"/>
        <v>0</v>
      </c>
      <c r="U55" s="83">
        <f t="shared" si="27"/>
        <v>0</v>
      </c>
      <c r="V55" s="83">
        <f t="shared" si="27"/>
        <v>0</v>
      </c>
      <c r="W55" s="83">
        <f t="shared" si="27"/>
        <v>0</v>
      </c>
      <c r="X55" s="83">
        <f t="shared" si="27"/>
        <v>0</v>
      </c>
      <c r="Y55" s="1585">
        <f t="shared" si="25"/>
        <v>0</v>
      </c>
    </row>
    <row r="56" spans="2:25" x14ac:dyDescent="0.2">
      <c r="B56" s="77"/>
      <c r="C56" s="1"/>
      <c r="D56" s="1"/>
      <c r="E56" s="1"/>
      <c r="F56" s="1"/>
      <c r="G56" s="1"/>
      <c r="H56" s="1"/>
      <c r="J56" s="354"/>
      <c r="K56" s="358" t="s">
        <v>252</v>
      </c>
      <c r="L56" s="358"/>
      <c r="M56" s="358">
        <f>M41+M43+M45+M47+M49+M53+M55</f>
        <v>0</v>
      </c>
      <c r="N56" s="358">
        <f>N41+N43+N45+N47+N49+N53+N55</f>
        <v>0</v>
      </c>
      <c r="O56" s="358">
        <f>O41+O43+O45+O47+O49+O53+O55</f>
        <v>0</v>
      </c>
      <c r="P56" s="358">
        <f t="shared" ref="P56:X56" si="28">P41+P43+P45+P47+P49+P53+P55</f>
        <v>0</v>
      </c>
      <c r="Q56" s="358">
        <f t="shared" si="28"/>
        <v>0</v>
      </c>
      <c r="R56" s="358">
        <f t="shared" si="28"/>
        <v>0</v>
      </c>
      <c r="S56" s="358">
        <f t="shared" si="28"/>
        <v>0</v>
      </c>
      <c r="T56" s="358">
        <f t="shared" si="28"/>
        <v>0</v>
      </c>
      <c r="U56" s="358">
        <f t="shared" si="28"/>
        <v>0</v>
      </c>
      <c r="V56" s="358">
        <f t="shared" si="28"/>
        <v>0</v>
      </c>
      <c r="W56" s="358">
        <f t="shared" si="28"/>
        <v>0</v>
      </c>
      <c r="X56" s="358">
        <f t="shared" si="28"/>
        <v>0</v>
      </c>
      <c r="Y56" s="1585">
        <f t="shared" si="25"/>
        <v>0</v>
      </c>
    </row>
    <row r="57" spans="2:25" x14ac:dyDescent="0.2">
      <c r="K57" s="367" t="s">
        <v>253</v>
      </c>
      <c r="L57" s="367"/>
      <c r="M57" s="357">
        <f>M39-M56</f>
        <v>0</v>
      </c>
      <c r="N57" s="357">
        <f t="shared" ref="N57:X57" si="29">N39-N56</f>
        <v>0</v>
      </c>
      <c r="O57" s="357">
        <f t="shared" si="29"/>
        <v>0</v>
      </c>
      <c r="P57" s="357">
        <f>P39-P56</f>
        <v>0</v>
      </c>
      <c r="Q57" s="357">
        <f t="shared" si="29"/>
        <v>0</v>
      </c>
      <c r="R57" s="357">
        <f t="shared" si="29"/>
        <v>0</v>
      </c>
      <c r="S57" s="357">
        <f t="shared" si="29"/>
        <v>0</v>
      </c>
      <c r="T57" s="357">
        <f t="shared" si="29"/>
        <v>0</v>
      </c>
      <c r="U57" s="357">
        <f t="shared" si="29"/>
        <v>0</v>
      </c>
      <c r="V57" s="357">
        <f t="shared" si="29"/>
        <v>0</v>
      </c>
      <c r="W57" s="357">
        <f t="shared" si="29"/>
        <v>0</v>
      </c>
      <c r="X57" s="357">
        <f t="shared" si="29"/>
        <v>0</v>
      </c>
      <c r="Y57" s="1585">
        <f t="shared" si="25"/>
        <v>0</v>
      </c>
    </row>
  </sheetData>
  <sheetProtection algorithmName="SHA-512" hashValue="tQbCf8qmZhmoNcxmySHAtcJzCdBiduORNJTBN0BgEJDLpRSkJyIM9aexCsCUBDlljBG4MYpf8o6w+UrOyMz23g==" saltValue="qrRwncViLqUcp4P+wYZoaA==" spinCount="100000" sheet="1" objects="1" scenarios="1" selectLockedCells="1" selectUnlockedCells="1"/>
  <mergeCells count="1">
    <mergeCell ref="C2:C3"/>
  </mergeCells>
  <pageMargins left="0.7" right="0.7" top="0.75" bottom="0.75" header="0.3" footer="0.3"/>
  <pageSetup paperSize="9" orientation="portrait" verticalDpi="4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N134"/>
  <sheetViews>
    <sheetView workbookViewId="0">
      <selection activeCell="D43" sqref="D43"/>
    </sheetView>
  </sheetViews>
  <sheetFormatPr defaultRowHeight="12.75" x14ac:dyDescent="0.2"/>
  <cols>
    <col min="2" max="2" width="33.42578125" customWidth="1"/>
    <col min="3" max="3" width="8.140625" customWidth="1"/>
    <col min="4" max="4" width="15.5703125" style="86" customWidth="1"/>
    <col min="5" max="5" width="7.7109375" customWidth="1"/>
    <col min="6" max="6" width="8.7109375" customWidth="1"/>
    <col min="7" max="7" width="8.85546875" customWidth="1"/>
    <col min="8" max="9" width="10" customWidth="1"/>
    <col min="10" max="10" width="8.85546875" customWidth="1"/>
    <col min="11" max="11" width="11.28515625" customWidth="1"/>
    <col min="12" max="12" width="9.28515625" customWidth="1"/>
    <col min="13" max="13" width="10.140625" customWidth="1"/>
    <col min="14" max="14" width="12.5703125" customWidth="1"/>
    <col min="15" max="15" width="9.5703125" customWidth="1"/>
    <col min="16" max="16" width="9.85546875" customWidth="1"/>
    <col min="17" max="17" width="7.5703125" customWidth="1"/>
    <col min="19" max="19" width="9.85546875" customWidth="1"/>
    <col min="20" max="20" width="8.28515625" customWidth="1"/>
    <col min="21" max="21" width="10.28515625" customWidth="1"/>
    <col min="22" max="23" width="8.28515625" customWidth="1"/>
    <col min="24" max="24" width="9.140625" customWidth="1"/>
    <col min="25" max="25" width="9.28515625" customWidth="1"/>
    <col min="26" max="26" width="11" customWidth="1"/>
    <col min="27" max="27" width="10.28515625" customWidth="1"/>
    <col min="28" max="28" width="9.140625" customWidth="1"/>
    <col min="33" max="33" width="11.28515625" customWidth="1"/>
  </cols>
  <sheetData>
    <row r="2" spans="2:40" ht="13.5" thickBot="1" x14ac:dyDescent="0.25"/>
    <row r="3" spans="2:40" x14ac:dyDescent="0.2">
      <c r="F3" s="2305"/>
      <c r="G3" s="2306"/>
      <c r="H3" s="2306"/>
      <c r="I3" s="2306"/>
      <c r="J3" s="2307"/>
      <c r="K3" s="2289" t="str">
        <f>'2. T7 LAINAT'!F9</f>
        <v>Ennuste 1</v>
      </c>
      <c r="L3" s="2290"/>
      <c r="M3" s="2290"/>
      <c r="N3" s="2290"/>
      <c r="O3" s="2290"/>
      <c r="P3" s="2291"/>
      <c r="Q3" s="2289" t="str">
        <f>'2. T7 LAINAT'!I9</f>
        <v>Ennuste 2</v>
      </c>
      <c r="R3" s="2290"/>
      <c r="S3" s="2290"/>
      <c r="T3" s="2290"/>
      <c r="U3" s="2290"/>
      <c r="V3" s="2291"/>
      <c r="W3" s="2289" t="str">
        <f>'2. T7 LAINAT'!L9</f>
        <v>Ennuste 3</v>
      </c>
      <c r="X3" s="2290"/>
      <c r="Y3" s="2290"/>
      <c r="Z3" s="2290"/>
      <c r="AA3" s="2290"/>
      <c r="AB3" s="2291"/>
      <c r="AC3" s="2289" t="s">
        <v>188</v>
      </c>
      <c r="AD3" s="2290"/>
      <c r="AE3" s="2290"/>
      <c r="AF3" s="2290"/>
      <c r="AG3" s="2290"/>
      <c r="AH3" s="2291"/>
      <c r="AI3" s="2289" t="s">
        <v>198</v>
      </c>
      <c r="AJ3" s="2290"/>
      <c r="AK3" s="2290"/>
      <c r="AL3" s="2290"/>
      <c r="AM3" s="2290"/>
      <c r="AN3" s="2291"/>
    </row>
    <row r="4" spans="2:40" x14ac:dyDescent="0.2">
      <c r="F4" s="2302"/>
      <c r="G4" s="2303"/>
      <c r="H4" s="2303"/>
      <c r="I4" s="2303"/>
      <c r="J4" s="2304"/>
      <c r="K4" s="2292">
        <f>'2. T7 LAINAT'!F10</f>
        <v>2027</v>
      </c>
      <c r="L4" s="2293"/>
      <c r="M4" s="2293"/>
      <c r="N4" s="2293"/>
      <c r="O4" s="2293"/>
      <c r="P4" s="2294"/>
      <c r="Q4" s="2292">
        <f>'2. T7 LAINAT'!I10</f>
        <v>2028</v>
      </c>
      <c r="R4" s="2293"/>
      <c r="S4" s="2293"/>
      <c r="T4" s="2293"/>
      <c r="U4" s="2293"/>
      <c r="V4" s="2294"/>
      <c r="W4" s="2292">
        <f>'2. T7 LAINAT'!L10</f>
        <v>2029</v>
      </c>
      <c r="X4" s="2293"/>
      <c r="Y4" s="2293"/>
      <c r="Z4" s="2293"/>
      <c r="AA4" s="2293"/>
      <c r="AB4" s="2294"/>
      <c r="AC4" s="2292">
        <f>'2. T7 LAINAT'!O10</f>
        <v>2030</v>
      </c>
      <c r="AD4" s="2293"/>
      <c r="AE4" s="2293"/>
      <c r="AF4" s="2293"/>
      <c r="AG4" s="2293"/>
      <c r="AH4" s="2294"/>
      <c r="AI4" s="2292">
        <f>'2. T7 LAINAT'!O10+1</f>
        <v>2031</v>
      </c>
      <c r="AJ4" s="2293"/>
      <c r="AK4" s="2293"/>
      <c r="AL4" s="2293"/>
      <c r="AM4" s="2293"/>
      <c r="AN4" s="2294"/>
    </row>
    <row r="5" spans="2:40" x14ac:dyDescent="0.2">
      <c r="C5" s="2"/>
      <c r="D5" s="6" t="s">
        <v>77</v>
      </c>
      <c r="E5" s="2"/>
      <c r="F5" s="1322"/>
      <c r="G5" s="1323"/>
      <c r="H5" s="1323"/>
      <c r="I5" s="1323"/>
      <c r="J5" s="1324"/>
      <c r="K5" s="246"/>
      <c r="L5" s="247" t="s">
        <v>77</v>
      </c>
      <c r="M5" s="247"/>
      <c r="N5" s="247"/>
      <c r="O5" s="247"/>
      <c r="P5" s="248"/>
      <c r="Q5" s="246"/>
      <c r="R5" s="247" t="s">
        <v>77</v>
      </c>
      <c r="S5" s="247"/>
      <c r="T5" s="247"/>
      <c r="U5" s="247"/>
      <c r="V5" s="248"/>
      <c r="W5" s="246"/>
      <c r="X5" s="247" t="s">
        <v>77</v>
      </c>
      <c r="Y5" s="247"/>
      <c r="Z5" s="247"/>
      <c r="AA5" s="247"/>
      <c r="AB5" s="248"/>
      <c r="AC5" s="246"/>
      <c r="AD5" s="247" t="s">
        <v>77</v>
      </c>
      <c r="AE5" s="247"/>
      <c r="AF5" s="247"/>
      <c r="AG5" s="247"/>
      <c r="AH5" s="248"/>
      <c r="AI5" s="246"/>
      <c r="AJ5" s="247" t="s">
        <v>77</v>
      </c>
      <c r="AK5" s="247"/>
      <c r="AL5" s="247"/>
      <c r="AM5" s="247"/>
      <c r="AN5" s="248"/>
    </row>
    <row r="6" spans="2:40" x14ac:dyDescent="0.2">
      <c r="B6" s="1" t="s">
        <v>189</v>
      </c>
      <c r="C6" s="6" t="s">
        <v>70</v>
      </c>
      <c r="D6" s="6" t="s">
        <v>76</v>
      </c>
      <c r="E6" s="6" t="s">
        <v>67</v>
      </c>
      <c r="F6" s="1325"/>
      <c r="G6" s="1326"/>
      <c r="H6" s="1326"/>
      <c r="I6" s="1326"/>
      <c r="J6" s="1327"/>
      <c r="K6" s="93" t="s">
        <v>71</v>
      </c>
      <c r="L6" s="92" t="s">
        <v>242</v>
      </c>
      <c r="M6" s="89" t="s">
        <v>75</v>
      </c>
      <c r="N6" s="89" t="s">
        <v>78</v>
      </c>
      <c r="O6" s="89" t="s">
        <v>72</v>
      </c>
      <c r="P6" s="94" t="s">
        <v>67</v>
      </c>
      <c r="Q6" s="93" t="s">
        <v>71</v>
      </c>
      <c r="R6" s="92" t="s">
        <v>242</v>
      </c>
      <c r="S6" s="89" t="s">
        <v>75</v>
      </c>
      <c r="T6" s="89" t="s">
        <v>78</v>
      </c>
      <c r="U6" s="89" t="s">
        <v>72</v>
      </c>
      <c r="V6" s="94" t="s">
        <v>67</v>
      </c>
      <c r="W6" s="93" t="s">
        <v>71</v>
      </c>
      <c r="X6" s="92" t="s">
        <v>242</v>
      </c>
      <c r="Y6" s="89" t="s">
        <v>75</v>
      </c>
      <c r="Z6" s="89" t="s">
        <v>78</v>
      </c>
      <c r="AA6" s="89" t="s">
        <v>72</v>
      </c>
      <c r="AB6" s="94" t="s">
        <v>67</v>
      </c>
      <c r="AC6" s="93" t="s">
        <v>71</v>
      </c>
      <c r="AD6" s="92" t="s">
        <v>242</v>
      </c>
      <c r="AE6" s="89" t="s">
        <v>75</v>
      </c>
      <c r="AF6" s="89" t="s">
        <v>78</v>
      </c>
      <c r="AG6" s="89" t="s">
        <v>72</v>
      </c>
      <c r="AH6" s="94" t="s">
        <v>67</v>
      </c>
      <c r="AI6" s="93" t="s">
        <v>71</v>
      </c>
      <c r="AJ6" s="92" t="s">
        <v>242</v>
      </c>
      <c r="AK6" s="89" t="s">
        <v>75</v>
      </c>
      <c r="AL6" s="89" t="s">
        <v>78</v>
      </c>
      <c r="AM6" s="89" t="s">
        <v>72</v>
      </c>
      <c r="AN6" s="94" t="s">
        <v>67</v>
      </c>
    </row>
    <row r="7" spans="2:40" ht="13.5" thickBot="1" x14ac:dyDescent="0.25">
      <c r="B7" s="2" t="s">
        <v>68</v>
      </c>
      <c r="C7" s="42"/>
      <c r="D7" s="42"/>
      <c r="E7" s="42"/>
      <c r="F7" s="1325"/>
      <c r="G7" s="1326"/>
      <c r="H7" s="1326"/>
      <c r="I7" s="1326"/>
      <c r="J7" s="1327"/>
      <c r="K7" s="93"/>
      <c r="L7" s="92"/>
      <c r="M7" s="89"/>
      <c r="N7" s="89"/>
      <c r="O7" s="89"/>
      <c r="P7" s="94"/>
      <c r="Q7" s="93"/>
      <c r="R7" s="92"/>
      <c r="S7" s="89"/>
      <c r="T7" s="89"/>
      <c r="U7" s="89"/>
      <c r="V7" s="94"/>
      <c r="W7" s="93"/>
      <c r="X7" s="92"/>
      <c r="Y7" s="89"/>
      <c r="Z7" s="89"/>
      <c r="AA7" s="89"/>
      <c r="AB7" s="94"/>
      <c r="AC7" s="93"/>
      <c r="AD7" s="92"/>
      <c r="AE7" s="195" t="s">
        <v>0</v>
      </c>
      <c r="AF7" s="89"/>
      <c r="AG7" s="89"/>
      <c r="AH7" s="94"/>
      <c r="AI7" s="93"/>
      <c r="AJ7" s="92"/>
      <c r="AK7" s="195" t="s">
        <v>0</v>
      </c>
      <c r="AL7" s="89"/>
      <c r="AM7" s="89"/>
      <c r="AN7" s="94"/>
    </row>
    <row r="8" spans="2:40" x14ac:dyDescent="0.2">
      <c r="B8" s="663" t="str">
        <f>'2. T7 LAINAT'!B13</f>
        <v xml:space="preserve"> Laina, 1. ennustevuosi</v>
      </c>
      <c r="C8" s="664">
        <f>'2. T7 LAINAT'!C13</f>
        <v>0</v>
      </c>
      <c r="D8" s="665">
        <f>'2. T7 LAINAT'!D13</f>
        <v>0</v>
      </c>
      <c r="E8" s="666">
        <f>'2. T7 LAINAT'!E13</f>
        <v>0</v>
      </c>
      <c r="F8" s="1328"/>
      <c r="G8" s="1329"/>
      <c r="H8" s="1329"/>
      <c r="I8" s="1329"/>
      <c r="J8" s="1330"/>
      <c r="K8" s="667">
        <f>'2. T7 LAINAT'!F13</f>
        <v>0</v>
      </c>
      <c r="L8" s="670">
        <f>IF(I8&gt;0,IF(D8-1&gt;0,D8-1,D8),D8)</f>
        <v>0</v>
      </c>
      <c r="M8" s="668">
        <f>'2. T7 LAINAT'!G13</f>
        <v>0</v>
      </c>
      <c r="N8" s="668">
        <f>F8-G8+K8-M8/4</f>
        <v>0</v>
      </c>
      <c r="O8" s="668">
        <f>K8-M8</f>
        <v>0</v>
      </c>
      <c r="P8" s="669">
        <f>IF($E8*N8&lt;0,0,N8*$E8)</f>
        <v>0</v>
      </c>
      <c r="Q8" s="671">
        <f>'2. T7 LAINAT'!I13</f>
        <v>0</v>
      </c>
      <c r="R8" s="670">
        <f>IF(F8=0,IF(K8=0,L8,$D8-1),$D8-2)</f>
        <v>0</v>
      </c>
      <c r="S8" s="668">
        <f>'2. T7 LAINAT'!J13</f>
        <v>0</v>
      </c>
      <c r="T8" s="668">
        <f>O8+Q8-S8/4</f>
        <v>0</v>
      </c>
      <c r="U8" s="668">
        <f t="shared" ref="U8:U14" si="0">O8+Q8-S8</f>
        <v>0</v>
      </c>
      <c r="V8" s="669">
        <f t="shared" ref="V8:V14" si="1">IF($E8*T8&lt;0,0,T8*$E8)</f>
        <v>0</v>
      </c>
      <c r="W8" s="671">
        <f>'2. T7 LAINAT'!L13</f>
        <v>0</v>
      </c>
      <c r="X8" s="670">
        <f t="shared" ref="X8:X15" si="2">IF(R8-1&gt;0,R8-1,0)</f>
        <v>0</v>
      </c>
      <c r="Y8" s="668">
        <f>'2. T7 LAINAT'!M13</f>
        <v>0</v>
      </c>
      <c r="Z8" s="668">
        <f>(U8+W8-Y8/4)</f>
        <v>0</v>
      </c>
      <c r="AA8" s="668">
        <f t="shared" ref="AA8:AA16" si="3">U8+W8-Y8</f>
        <v>0</v>
      </c>
      <c r="AB8" s="669">
        <f t="shared" ref="AB8:AB16" si="4">IF($E8*Z8&lt;0,0,Z8*$E8)</f>
        <v>0</v>
      </c>
      <c r="AC8" s="671">
        <f>'2. T7 LAINAT'!O13</f>
        <v>0</v>
      </c>
      <c r="AD8" s="670">
        <f t="shared" ref="AD8:AD19" si="5">IF(X8-1&gt;0,X8-1,0)</f>
        <v>0</v>
      </c>
      <c r="AE8" s="672">
        <f>'2. T7 LAINAT'!P13</f>
        <v>0</v>
      </c>
      <c r="AF8" s="668">
        <f>(AA8+AC8-AE8/4)</f>
        <v>0</v>
      </c>
      <c r="AG8" s="668">
        <f t="shared" ref="AG8:AG21" si="6">AA8+AC8-AE8</f>
        <v>0</v>
      </c>
      <c r="AH8" s="669">
        <f t="shared" ref="AH8:AH21" si="7">IF($E8*AF8&lt;0,0,AF8*$E8)</f>
        <v>0</v>
      </c>
      <c r="AI8" s="671">
        <v>0</v>
      </c>
      <c r="AJ8" s="670">
        <f t="shared" ref="AJ8:AJ23" si="8">IF(AD8-1&gt;0,AD8-1,0)</f>
        <v>0</v>
      </c>
      <c r="AK8" s="672">
        <f>IF(D8=0,0,IF(C8-S8-Y8-AE8-M8&lt;=0,0,'AT2 Lainat, alv'!AE8))</f>
        <v>0</v>
      </c>
      <c r="AL8" s="668">
        <f>(AG8+AI8-AK8/4)</f>
        <v>0</v>
      </c>
      <c r="AM8" s="668">
        <f t="shared" ref="AM8:AM22" si="9">AG8+AI8-AK8</f>
        <v>0</v>
      </c>
      <c r="AN8" s="669">
        <f t="shared" ref="AN8:AN22" si="10">IF($E8*AL8&lt;0,0,AL8*$E8)</f>
        <v>0</v>
      </c>
    </row>
    <row r="9" spans="2:40" x14ac:dyDescent="0.2">
      <c r="B9" s="673">
        <f>'2. T7 LAINAT'!B14</f>
        <v>0</v>
      </c>
      <c r="C9" s="90">
        <f>'2. T7 LAINAT'!C14</f>
        <v>0</v>
      </c>
      <c r="D9" s="97">
        <f>'2. T7 LAINAT'!D14</f>
        <v>0</v>
      </c>
      <c r="E9" s="91">
        <f>'2. T7 LAINAT'!E14</f>
        <v>0</v>
      </c>
      <c r="F9" s="1331"/>
      <c r="G9" s="1332"/>
      <c r="H9" s="1332"/>
      <c r="I9" s="1332"/>
      <c r="J9" s="1333"/>
      <c r="K9" s="197">
        <f>'2. T7 LAINAT'!F14</f>
        <v>0</v>
      </c>
      <c r="L9" s="198">
        <f>IF(I9&gt;0,IF(D9-1&gt;0,D9-1,D9),D9)</f>
        <v>0</v>
      </c>
      <c r="M9" s="191">
        <f>'2. T7 LAINAT'!G14</f>
        <v>0</v>
      </c>
      <c r="N9" s="191">
        <f>F9-G9+K9-M9/4</f>
        <v>0</v>
      </c>
      <c r="O9" s="191">
        <f>K9-M9</f>
        <v>0</v>
      </c>
      <c r="P9" s="168">
        <f>IF($E9*N9&lt;0,0,N9*$E9)</f>
        <v>0</v>
      </c>
      <c r="Q9" s="169">
        <f>'2. T7 LAINAT'!I14</f>
        <v>0</v>
      </c>
      <c r="R9" s="198">
        <f>IF(F9=0,IF(K9=0,L9,$D9-1),$D9-2)</f>
        <v>0</v>
      </c>
      <c r="S9" s="191">
        <f>'2. T7 LAINAT'!J14</f>
        <v>0</v>
      </c>
      <c r="T9" s="191">
        <f t="shared" ref="T9:T15" si="11">O9+Q9-S9/4</f>
        <v>0</v>
      </c>
      <c r="U9" s="191">
        <f t="shared" si="0"/>
        <v>0</v>
      </c>
      <c r="V9" s="168">
        <f t="shared" si="1"/>
        <v>0</v>
      </c>
      <c r="W9" s="169">
        <f>'2. T7 LAINAT'!L14</f>
        <v>0</v>
      </c>
      <c r="X9" s="198">
        <f t="shared" si="2"/>
        <v>0</v>
      </c>
      <c r="Y9" s="191">
        <f>'2. T7 LAINAT'!M14</f>
        <v>0</v>
      </c>
      <c r="Z9" s="191">
        <f t="shared" ref="Z9:Z19" si="12">(U9+W9-Y9/4)</f>
        <v>0</v>
      </c>
      <c r="AA9" s="191">
        <f>U9+W9-Y9</f>
        <v>0</v>
      </c>
      <c r="AB9" s="168">
        <f>IF($E9*Z9&lt;0,0,Z9*$E9)</f>
        <v>0</v>
      </c>
      <c r="AC9" s="169">
        <f>'2. T7 LAINAT'!O14</f>
        <v>0</v>
      </c>
      <c r="AD9" s="198">
        <f t="shared" si="5"/>
        <v>0</v>
      </c>
      <c r="AE9" s="195">
        <f>'2. T7 LAINAT'!P14</f>
        <v>0</v>
      </c>
      <c r="AF9" s="191">
        <f t="shared" ref="AF9:AF23" si="13">(AA9+AC9-AE9/4)</f>
        <v>0</v>
      </c>
      <c r="AG9" s="191">
        <f t="shared" si="6"/>
        <v>0</v>
      </c>
      <c r="AH9" s="168">
        <f t="shared" si="7"/>
        <v>0</v>
      </c>
      <c r="AI9" s="169">
        <v>0</v>
      </c>
      <c r="AJ9" s="198">
        <f t="shared" si="8"/>
        <v>0</v>
      </c>
      <c r="AK9" s="195">
        <f>IF(D9=0,0,IF(C9-S9-Y9-AE9-M9&lt;=0,0,'AT2 Lainat, alv'!AE9))</f>
        <v>0</v>
      </c>
      <c r="AL9" s="191">
        <f t="shared" ref="AL9:AL23" si="14">(AG9+AI9-AK9/4)</f>
        <v>0</v>
      </c>
      <c r="AM9" s="191">
        <f t="shared" si="9"/>
        <v>0</v>
      </c>
      <c r="AN9" s="168">
        <f t="shared" si="10"/>
        <v>0</v>
      </c>
    </row>
    <row r="10" spans="2:40" x14ac:dyDescent="0.2">
      <c r="B10" s="673">
        <f>'2. T7 LAINAT'!B15</f>
        <v>0</v>
      </c>
      <c r="C10" s="90">
        <f>'2. T7 LAINAT'!C15</f>
        <v>0</v>
      </c>
      <c r="D10" s="97">
        <f>'2. T7 LAINAT'!D15</f>
        <v>0</v>
      </c>
      <c r="E10" s="91">
        <f>'2. T7 LAINAT'!E15</f>
        <v>0</v>
      </c>
      <c r="F10" s="1331"/>
      <c r="G10" s="1332"/>
      <c r="H10" s="1332"/>
      <c r="I10" s="1332"/>
      <c r="J10" s="1333"/>
      <c r="K10" s="197">
        <f>'2. T7 LAINAT'!F15</f>
        <v>0</v>
      </c>
      <c r="L10" s="198">
        <f>IF(I10&gt;0,IF(D10-1&gt;0,D10-1,D10),D10)</f>
        <v>0</v>
      </c>
      <c r="M10" s="191">
        <f>'2. T7 LAINAT'!G15</f>
        <v>0</v>
      </c>
      <c r="N10" s="191">
        <f>F10-G10+K10-M10/4</f>
        <v>0</v>
      </c>
      <c r="O10" s="191">
        <f>K10-M10</f>
        <v>0</v>
      </c>
      <c r="P10" s="168">
        <f>IF($E10*N10&lt;0,0,N10*$E10)</f>
        <v>0</v>
      </c>
      <c r="Q10" s="169">
        <f>'2. T7 LAINAT'!I15</f>
        <v>0</v>
      </c>
      <c r="R10" s="198">
        <f>IF(F10=0,IF(K10=0,L10,$D10-1),$D10-2)</f>
        <v>0</v>
      </c>
      <c r="S10" s="191">
        <f>'2. T7 LAINAT'!J15</f>
        <v>0</v>
      </c>
      <c r="T10" s="191">
        <f t="shared" si="11"/>
        <v>0</v>
      </c>
      <c r="U10" s="191">
        <f t="shared" si="0"/>
        <v>0</v>
      </c>
      <c r="V10" s="168">
        <f t="shared" si="1"/>
        <v>0</v>
      </c>
      <c r="W10" s="169">
        <f>'2. T7 LAINAT'!L15</f>
        <v>0</v>
      </c>
      <c r="X10" s="198">
        <f t="shared" si="2"/>
        <v>0</v>
      </c>
      <c r="Y10" s="191">
        <f>'2. T7 LAINAT'!M15</f>
        <v>0</v>
      </c>
      <c r="Z10" s="191">
        <f t="shared" si="12"/>
        <v>0</v>
      </c>
      <c r="AA10" s="191">
        <f>U10+W10-Y10</f>
        <v>0</v>
      </c>
      <c r="AB10" s="168">
        <f>IF($E10*Z10&lt;0,0,Z10*$E10)</f>
        <v>0</v>
      </c>
      <c r="AC10" s="169">
        <f>'2. T7 LAINAT'!O15</f>
        <v>0</v>
      </c>
      <c r="AD10" s="198">
        <f t="shared" si="5"/>
        <v>0</v>
      </c>
      <c r="AE10" s="195">
        <f>'2. T7 LAINAT'!P15</f>
        <v>0</v>
      </c>
      <c r="AF10" s="191">
        <f t="shared" si="13"/>
        <v>0</v>
      </c>
      <c r="AG10" s="191">
        <f t="shared" si="6"/>
        <v>0</v>
      </c>
      <c r="AH10" s="168">
        <f t="shared" si="7"/>
        <v>0</v>
      </c>
      <c r="AI10" s="169">
        <v>0</v>
      </c>
      <c r="AJ10" s="198">
        <f t="shared" si="8"/>
        <v>0</v>
      </c>
      <c r="AK10" s="195">
        <f>IF(D10=0,0,IF(C10-S10-Y10-AE10-M10&lt;=0,0,'AT2 Lainat, alv'!AE10))</f>
        <v>0</v>
      </c>
      <c r="AL10" s="191">
        <f t="shared" si="14"/>
        <v>0</v>
      </c>
      <c r="AM10" s="191">
        <f t="shared" si="9"/>
        <v>0</v>
      </c>
      <c r="AN10" s="168">
        <f t="shared" si="10"/>
        <v>0</v>
      </c>
    </row>
    <row r="11" spans="2:40" ht="13.5" thickBot="1" x14ac:dyDescent="0.25">
      <c r="B11" s="674">
        <f>'2. T7 LAINAT'!B16</f>
        <v>0</v>
      </c>
      <c r="C11" s="675">
        <f>'2. T7 LAINAT'!C16</f>
        <v>0</v>
      </c>
      <c r="D11" s="676">
        <f>'2. T7 LAINAT'!D16</f>
        <v>0</v>
      </c>
      <c r="E11" s="677">
        <f>'2. T7 LAINAT'!E16</f>
        <v>0</v>
      </c>
      <c r="F11" s="1334"/>
      <c r="G11" s="1335"/>
      <c r="H11" s="1335"/>
      <c r="I11" s="1335"/>
      <c r="J11" s="1336"/>
      <c r="K11" s="678">
        <f>'2. T7 LAINAT'!F16</f>
        <v>0</v>
      </c>
      <c r="L11" s="681">
        <f>IF(I11&gt;0,IF(D11-1&gt;0,D11-1,D11),D11)</f>
        <v>0</v>
      </c>
      <c r="M11" s="679">
        <f>'2. T7 LAINAT'!G16</f>
        <v>0</v>
      </c>
      <c r="N11" s="679">
        <f>F11-G11+K11-M11/4</f>
        <v>0</v>
      </c>
      <c r="O11" s="679">
        <f>K11-M11</f>
        <v>0</v>
      </c>
      <c r="P11" s="680">
        <f>IF($E11*N11&lt;0,0,N11*$E11)</f>
        <v>0</v>
      </c>
      <c r="Q11" s="682">
        <f>'2. T7 LAINAT'!I16</f>
        <v>0</v>
      </c>
      <c r="R11" s="681">
        <f>IF(F11=0,IF(K11=0,L11,$D11-1),$D11-2)</f>
        <v>0</v>
      </c>
      <c r="S11" s="679">
        <f>'2. T7 LAINAT'!J16</f>
        <v>0</v>
      </c>
      <c r="T11" s="679">
        <f t="shared" si="11"/>
        <v>0</v>
      </c>
      <c r="U11" s="679">
        <f>O11+Q11-S11</f>
        <v>0</v>
      </c>
      <c r="V11" s="680">
        <f>IF($E11*T11&lt;0,0,T11*$E11)</f>
        <v>0</v>
      </c>
      <c r="W11" s="682">
        <f>'2. T7 LAINAT'!L16</f>
        <v>0</v>
      </c>
      <c r="X11" s="681">
        <f t="shared" si="2"/>
        <v>0</v>
      </c>
      <c r="Y11" s="679">
        <f>'2. T7 LAINAT'!M16</f>
        <v>0</v>
      </c>
      <c r="Z11" s="679">
        <f t="shared" si="12"/>
        <v>0</v>
      </c>
      <c r="AA11" s="679">
        <f>U11+W11-Y11</f>
        <v>0</v>
      </c>
      <c r="AB11" s="680">
        <f>IF($E11*Z11&lt;0,0,Z11*$E11)</f>
        <v>0</v>
      </c>
      <c r="AC11" s="682">
        <f>'2. T7 LAINAT'!O16</f>
        <v>0</v>
      </c>
      <c r="AD11" s="681">
        <f>IF(X11-1&gt;0,X11-1,0)</f>
        <v>0</v>
      </c>
      <c r="AE11" s="533">
        <f>'2. T7 LAINAT'!P16</f>
        <v>0</v>
      </c>
      <c r="AF11" s="679">
        <f t="shared" si="13"/>
        <v>0</v>
      </c>
      <c r="AG11" s="679">
        <f>AA11+AC11-AE11</f>
        <v>0</v>
      </c>
      <c r="AH11" s="680">
        <f>IF($E11*AF11&lt;0,0,AF11*$E11)</f>
        <v>0</v>
      </c>
      <c r="AI11" s="682">
        <v>0</v>
      </c>
      <c r="AJ11" s="681">
        <f>IF(AD11-1&gt;0,AD11-1,0)</f>
        <v>0</v>
      </c>
      <c r="AK11" s="533">
        <f>IF(D11=0,0,IF(C11-S11-Y11-AE11-M11&lt;=0,0,'AT2 Lainat, alv'!AE11))</f>
        <v>0</v>
      </c>
      <c r="AL11" s="679">
        <f t="shared" si="14"/>
        <v>0</v>
      </c>
      <c r="AM11" s="679">
        <f>AG11+AI11-AK11</f>
        <v>0</v>
      </c>
      <c r="AN11" s="680">
        <f>IF($E11*AL11&lt;0,0,AL11*$E11)</f>
        <v>0</v>
      </c>
    </row>
    <row r="12" spans="2:40" x14ac:dyDescent="0.2">
      <c r="B12" s="653">
        <f>'2. T7 LAINAT'!B18</f>
        <v>0</v>
      </c>
      <c r="C12" s="654">
        <f>'2. T7 LAINAT'!C18</f>
        <v>0</v>
      </c>
      <c r="D12" s="655">
        <f>'2. T7 LAINAT'!D18</f>
        <v>0</v>
      </c>
      <c r="E12" s="656">
        <f>'2. T7 LAINAT'!E18</f>
        <v>0</v>
      </c>
      <c r="F12" s="1337"/>
      <c r="G12" s="1338"/>
      <c r="H12" s="1338"/>
      <c r="I12" s="1338"/>
      <c r="J12" s="1339"/>
      <c r="K12" s="657"/>
      <c r="L12" s="660"/>
      <c r="M12" s="658"/>
      <c r="N12" s="658"/>
      <c r="O12" s="658"/>
      <c r="P12" s="659"/>
      <c r="Q12" s="661">
        <f>'2. T7 LAINAT'!I18</f>
        <v>0</v>
      </c>
      <c r="R12" s="660">
        <f>IF(D12&gt;0,D12,0)</f>
        <v>0</v>
      </c>
      <c r="S12" s="658">
        <f>'2. T7 LAINAT'!J18</f>
        <v>0</v>
      </c>
      <c r="T12" s="658">
        <f t="shared" si="11"/>
        <v>0</v>
      </c>
      <c r="U12" s="658">
        <f t="shared" si="0"/>
        <v>0</v>
      </c>
      <c r="V12" s="659">
        <f t="shared" si="1"/>
        <v>0</v>
      </c>
      <c r="W12" s="661">
        <f>'2. T7 LAINAT'!L18</f>
        <v>0</v>
      </c>
      <c r="X12" s="660">
        <f t="shared" si="2"/>
        <v>0</v>
      </c>
      <c r="Y12" s="658">
        <f>'2. T7 LAINAT'!M18</f>
        <v>0</v>
      </c>
      <c r="Z12" s="658">
        <f t="shared" si="12"/>
        <v>0</v>
      </c>
      <c r="AA12" s="658">
        <f t="shared" si="3"/>
        <v>0</v>
      </c>
      <c r="AB12" s="659">
        <f t="shared" si="4"/>
        <v>0</v>
      </c>
      <c r="AC12" s="661">
        <f>'2. T7 LAINAT'!O18</f>
        <v>0</v>
      </c>
      <c r="AD12" s="660">
        <f>IF(X12-1&gt;0,X12-1,0)</f>
        <v>0</v>
      </c>
      <c r="AE12" s="662">
        <f>'2. T7 LAINAT'!P18</f>
        <v>0</v>
      </c>
      <c r="AF12" s="658">
        <f t="shared" si="13"/>
        <v>0</v>
      </c>
      <c r="AG12" s="658">
        <f t="shared" si="6"/>
        <v>0</v>
      </c>
      <c r="AH12" s="659">
        <f t="shared" si="7"/>
        <v>0</v>
      </c>
      <c r="AI12" s="661">
        <v>0</v>
      </c>
      <c r="AJ12" s="660">
        <f t="shared" si="8"/>
        <v>0</v>
      </c>
      <c r="AK12" s="662">
        <f>IF(D12=0,0,IF(C12-S12-Y12-AE12-M12&lt;=0,0,'AT2 Lainat, alv'!AE12))</f>
        <v>0</v>
      </c>
      <c r="AL12" s="658">
        <f t="shared" si="14"/>
        <v>0</v>
      </c>
      <c r="AM12" s="658">
        <f t="shared" si="9"/>
        <v>0</v>
      </c>
      <c r="AN12" s="658">
        <f t="shared" si="10"/>
        <v>0</v>
      </c>
    </row>
    <row r="13" spans="2:40" x14ac:dyDescent="0.2">
      <c r="B13" s="84">
        <f>'2. T7 LAINAT'!B19</f>
        <v>0</v>
      </c>
      <c r="C13" s="90">
        <f>'2. T7 LAINAT'!C19</f>
        <v>0</v>
      </c>
      <c r="D13" s="97">
        <f>'2. T7 LAINAT'!D19</f>
        <v>0</v>
      </c>
      <c r="E13" s="91">
        <f>'2. T7 LAINAT'!E19</f>
        <v>0</v>
      </c>
      <c r="F13" s="1331"/>
      <c r="G13" s="1332"/>
      <c r="H13" s="1332"/>
      <c r="I13" s="1332"/>
      <c r="J13" s="1333"/>
      <c r="K13" s="197"/>
      <c r="L13" s="198"/>
      <c r="M13" s="191"/>
      <c r="N13" s="191"/>
      <c r="O13" s="191"/>
      <c r="P13" s="168"/>
      <c r="Q13" s="169">
        <f>'2. T7 LAINAT'!I19</f>
        <v>0</v>
      </c>
      <c r="R13" s="198">
        <f>IF(D13&gt;0,D13,0)</f>
        <v>0</v>
      </c>
      <c r="S13" s="191">
        <f>'2. T7 LAINAT'!J19</f>
        <v>0</v>
      </c>
      <c r="T13" s="191">
        <f t="shared" si="11"/>
        <v>0</v>
      </c>
      <c r="U13" s="191">
        <f t="shared" si="0"/>
        <v>0</v>
      </c>
      <c r="V13" s="168">
        <f t="shared" si="1"/>
        <v>0</v>
      </c>
      <c r="W13" s="169">
        <f>'2. T7 LAINAT'!L19</f>
        <v>0</v>
      </c>
      <c r="X13" s="198">
        <f t="shared" si="2"/>
        <v>0</v>
      </c>
      <c r="Y13" s="191">
        <f>'2. T7 LAINAT'!M19</f>
        <v>0</v>
      </c>
      <c r="Z13" s="191">
        <f t="shared" si="12"/>
        <v>0</v>
      </c>
      <c r="AA13" s="191">
        <f>U13+W13-Y13</f>
        <v>0</v>
      </c>
      <c r="AB13" s="168">
        <f>IF($E13*Z13&lt;0,0,Z13*$E13)</f>
        <v>0</v>
      </c>
      <c r="AC13" s="169">
        <f>'2. T7 LAINAT'!O19</f>
        <v>0</v>
      </c>
      <c r="AD13" s="198">
        <f>IF(X13-1&gt;0,X13-1,0)</f>
        <v>0</v>
      </c>
      <c r="AE13" s="195">
        <f>'2. T7 LAINAT'!P19</f>
        <v>0</v>
      </c>
      <c r="AF13" s="191">
        <f t="shared" si="13"/>
        <v>0</v>
      </c>
      <c r="AG13" s="191">
        <f t="shared" si="6"/>
        <v>0</v>
      </c>
      <c r="AH13" s="168">
        <f t="shared" si="7"/>
        <v>0</v>
      </c>
      <c r="AI13" s="169">
        <v>0</v>
      </c>
      <c r="AJ13" s="198">
        <f t="shared" si="8"/>
        <v>0</v>
      </c>
      <c r="AK13" s="195">
        <f>IF(D13=0,0,IF(C13-S13-Y13-AE13-M13&lt;=0,0,'AT2 Lainat, alv'!AE13))</f>
        <v>0</v>
      </c>
      <c r="AL13" s="191">
        <f t="shared" si="14"/>
        <v>0</v>
      </c>
      <c r="AM13" s="191">
        <f t="shared" si="9"/>
        <v>0</v>
      </c>
      <c r="AN13" s="191">
        <f t="shared" si="10"/>
        <v>0</v>
      </c>
    </row>
    <row r="14" spans="2:40" x14ac:dyDescent="0.2">
      <c r="B14" s="84">
        <f>'2. T7 LAINAT'!B20</f>
        <v>0</v>
      </c>
      <c r="C14" s="90">
        <f>'2. T7 LAINAT'!C20</f>
        <v>0</v>
      </c>
      <c r="D14" s="97">
        <f>'2. T7 LAINAT'!D20</f>
        <v>0</v>
      </c>
      <c r="E14" s="91">
        <f>'2. T7 LAINAT'!E20</f>
        <v>0</v>
      </c>
      <c r="F14" s="1331"/>
      <c r="G14" s="1332"/>
      <c r="H14" s="1332"/>
      <c r="I14" s="1332"/>
      <c r="J14" s="1333"/>
      <c r="K14" s="197"/>
      <c r="L14" s="198"/>
      <c r="M14" s="191"/>
      <c r="N14" s="191"/>
      <c r="O14" s="191"/>
      <c r="P14" s="168"/>
      <c r="Q14" s="169">
        <f>'2. T7 LAINAT'!I20</f>
        <v>0</v>
      </c>
      <c r="R14" s="198">
        <f>IF(D14&gt;0,D14,0)</f>
        <v>0</v>
      </c>
      <c r="S14" s="191">
        <f>'2. T7 LAINAT'!J20</f>
        <v>0</v>
      </c>
      <c r="T14" s="191">
        <f t="shared" si="11"/>
        <v>0</v>
      </c>
      <c r="U14" s="191">
        <f t="shared" si="0"/>
        <v>0</v>
      </c>
      <c r="V14" s="168">
        <f t="shared" si="1"/>
        <v>0</v>
      </c>
      <c r="W14" s="169">
        <f>'2. T7 LAINAT'!L20</f>
        <v>0</v>
      </c>
      <c r="X14" s="198">
        <f t="shared" si="2"/>
        <v>0</v>
      </c>
      <c r="Y14" s="191">
        <f>'2. T7 LAINAT'!M20</f>
        <v>0</v>
      </c>
      <c r="Z14" s="191">
        <f t="shared" si="12"/>
        <v>0</v>
      </c>
      <c r="AA14" s="191">
        <f t="shared" si="3"/>
        <v>0</v>
      </c>
      <c r="AB14" s="168">
        <f t="shared" si="4"/>
        <v>0</v>
      </c>
      <c r="AC14" s="169">
        <f>'2. T7 LAINAT'!O20</f>
        <v>0</v>
      </c>
      <c r="AD14" s="198">
        <f>IF(X14-1&gt;0,X14-1,0)</f>
        <v>0</v>
      </c>
      <c r="AE14" s="195">
        <f>'2. T7 LAINAT'!P20</f>
        <v>0</v>
      </c>
      <c r="AF14" s="191">
        <f t="shared" si="13"/>
        <v>0</v>
      </c>
      <c r="AG14" s="191">
        <f t="shared" si="6"/>
        <v>0</v>
      </c>
      <c r="AH14" s="168">
        <f t="shared" si="7"/>
        <v>0</v>
      </c>
      <c r="AI14" s="169">
        <v>0</v>
      </c>
      <c r="AJ14" s="198">
        <f t="shared" si="8"/>
        <v>0</v>
      </c>
      <c r="AK14" s="195">
        <f>IF(D14=0,0,IF(C14-S14-Y14-AE14-M14&lt;=0,0,'AT2 Lainat, alv'!AE14))</f>
        <v>0</v>
      </c>
      <c r="AL14" s="191">
        <f t="shared" si="14"/>
        <v>0</v>
      </c>
      <c r="AM14" s="191">
        <f t="shared" si="9"/>
        <v>0</v>
      </c>
      <c r="AN14" s="191">
        <f t="shared" si="10"/>
        <v>0</v>
      </c>
    </row>
    <row r="15" spans="2:40" ht="13.5" thickBot="1" x14ac:dyDescent="0.25">
      <c r="B15" s="683">
        <f>'2. T7 LAINAT'!B21</f>
        <v>0</v>
      </c>
      <c r="C15" s="684">
        <f>'2. T7 LAINAT'!C21</f>
        <v>0</v>
      </c>
      <c r="D15" s="685">
        <f>'2. T7 LAINAT'!D21</f>
        <v>0</v>
      </c>
      <c r="E15" s="686">
        <f>'2. T7 LAINAT'!E21</f>
        <v>0</v>
      </c>
      <c r="F15" s="1340"/>
      <c r="G15" s="1341"/>
      <c r="H15" s="1341"/>
      <c r="I15" s="1341"/>
      <c r="J15" s="1342"/>
      <c r="K15" s="687"/>
      <c r="L15" s="690"/>
      <c r="M15" s="688"/>
      <c r="N15" s="688"/>
      <c r="O15" s="688"/>
      <c r="P15" s="689"/>
      <c r="Q15" s="691">
        <f>'2. T7 LAINAT'!I21</f>
        <v>0</v>
      </c>
      <c r="R15" s="690">
        <f>IF(D15&gt;0,D15,0)</f>
        <v>0</v>
      </c>
      <c r="S15" s="688">
        <f>'2. T7 LAINAT'!J21</f>
        <v>0</v>
      </c>
      <c r="T15" s="688">
        <f t="shared" si="11"/>
        <v>0</v>
      </c>
      <c r="U15" s="688">
        <f>O15+Q15-S15</f>
        <v>0</v>
      </c>
      <c r="V15" s="689">
        <f>IF($E15*T15&lt;0,0,T15*$E15)</f>
        <v>0</v>
      </c>
      <c r="W15" s="169">
        <f>'2. T7 LAINAT'!L21</f>
        <v>0</v>
      </c>
      <c r="X15" s="690">
        <f t="shared" si="2"/>
        <v>0</v>
      </c>
      <c r="Y15" s="688">
        <f>'2. T7 LAINAT'!M21</f>
        <v>0</v>
      </c>
      <c r="Z15" s="688">
        <f t="shared" si="12"/>
        <v>0</v>
      </c>
      <c r="AA15" s="688">
        <f>U15+W15-Y15</f>
        <v>0</v>
      </c>
      <c r="AB15" s="689">
        <f>IF($E15*Z15&lt;0,0,Z15*$E15)</f>
        <v>0</v>
      </c>
      <c r="AC15" s="691">
        <f>'2. T7 LAINAT'!O21</f>
        <v>0</v>
      </c>
      <c r="AD15" s="690">
        <f>IF(X15-1&gt;0,X15-1,0)</f>
        <v>0</v>
      </c>
      <c r="AE15" s="195">
        <f>'2. T7 LAINAT'!P21</f>
        <v>0</v>
      </c>
      <c r="AF15" s="688">
        <f t="shared" si="13"/>
        <v>0</v>
      </c>
      <c r="AG15" s="688">
        <f>AA15+AC15-AE15</f>
        <v>0</v>
      </c>
      <c r="AH15" s="689">
        <f>IF($E15*AF15&lt;0,0,AF15*$E15)</f>
        <v>0</v>
      </c>
      <c r="AI15" s="691"/>
      <c r="AJ15" s="690">
        <f t="shared" si="8"/>
        <v>0</v>
      </c>
      <c r="AK15" s="195">
        <f>IF(D15=0,0,IF(C15-S15-Y15-AE15-M15&lt;=0,0,'AT2 Lainat, alv'!AE15))</f>
        <v>0</v>
      </c>
      <c r="AL15" s="688">
        <f t="shared" si="14"/>
        <v>0</v>
      </c>
      <c r="AM15" s="688">
        <f>AG15+AI15-AK15</f>
        <v>0</v>
      </c>
      <c r="AN15" s="688">
        <f>IF($E15*AL15&lt;0,0,AL15*$E15)</f>
        <v>0</v>
      </c>
    </row>
    <row r="16" spans="2:40" x14ac:dyDescent="0.2">
      <c r="B16" s="663">
        <f>'2. T7 LAINAT'!B23</f>
        <v>0</v>
      </c>
      <c r="C16" s="664">
        <f>'2. T7 LAINAT'!C23</f>
        <v>0</v>
      </c>
      <c r="D16" s="665">
        <f>'2. T7 LAINAT'!D23</f>
        <v>0</v>
      </c>
      <c r="E16" s="666">
        <f>'2. T7 LAINAT'!E23</f>
        <v>0</v>
      </c>
      <c r="F16" s="1328"/>
      <c r="G16" s="1329"/>
      <c r="H16" s="1329"/>
      <c r="I16" s="1329"/>
      <c r="J16" s="1330"/>
      <c r="K16" s="667"/>
      <c r="L16" s="670"/>
      <c r="M16" s="668"/>
      <c r="N16" s="668"/>
      <c r="O16" s="668"/>
      <c r="P16" s="669"/>
      <c r="Q16" s="671"/>
      <c r="R16" s="670">
        <f>IF(F16=0,IF(K16=0,L16,$D16-1),$D16-2)</f>
        <v>0</v>
      </c>
      <c r="S16" s="668"/>
      <c r="T16" s="668"/>
      <c r="U16" s="668"/>
      <c r="V16" s="669"/>
      <c r="W16" s="671">
        <f>'2. T7 LAINAT'!L23</f>
        <v>0</v>
      </c>
      <c r="X16" s="670">
        <f>IF(D16&gt;0,D16,0)</f>
        <v>0</v>
      </c>
      <c r="Y16" s="668">
        <f>'2. T7 LAINAT'!M23</f>
        <v>0</v>
      </c>
      <c r="Z16" s="668">
        <f t="shared" si="12"/>
        <v>0</v>
      </c>
      <c r="AA16" s="668">
        <f t="shared" si="3"/>
        <v>0</v>
      </c>
      <c r="AB16" s="669">
        <f t="shared" si="4"/>
        <v>0</v>
      </c>
      <c r="AC16" s="671">
        <f>'2. T7 LAINAT'!O23</f>
        <v>0</v>
      </c>
      <c r="AD16" s="670">
        <f t="shared" si="5"/>
        <v>0</v>
      </c>
      <c r="AE16" s="672">
        <f>'2. T7 LAINAT'!P23</f>
        <v>0</v>
      </c>
      <c r="AF16" s="668">
        <f t="shared" si="13"/>
        <v>0</v>
      </c>
      <c r="AG16" s="668">
        <f t="shared" si="6"/>
        <v>0</v>
      </c>
      <c r="AH16" s="669">
        <f t="shared" si="7"/>
        <v>0</v>
      </c>
      <c r="AI16" s="671">
        <v>0</v>
      </c>
      <c r="AJ16" s="670">
        <f t="shared" si="8"/>
        <v>0</v>
      </c>
      <c r="AK16" s="672">
        <f>IF(D16=0,0,IF(C16-S16-Y16-AE16-M16&lt;=0,0,'AT2 Lainat, alv'!AE16))</f>
        <v>0</v>
      </c>
      <c r="AL16" s="668">
        <f t="shared" si="14"/>
        <v>0</v>
      </c>
      <c r="AM16" s="668">
        <f t="shared" si="9"/>
        <v>0</v>
      </c>
      <c r="AN16" s="669">
        <f t="shared" si="10"/>
        <v>0</v>
      </c>
    </row>
    <row r="17" spans="2:40" x14ac:dyDescent="0.2">
      <c r="B17" s="673">
        <f>'2. T7 LAINAT'!B24</f>
        <v>0</v>
      </c>
      <c r="C17" s="90">
        <f>'2. T7 LAINAT'!C24</f>
        <v>0</v>
      </c>
      <c r="D17" s="97">
        <f>'2. T7 LAINAT'!D24</f>
        <v>0</v>
      </c>
      <c r="E17" s="91">
        <f>'2. T7 LAINAT'!E24</f>
        <v>0</v>
      </c>
      <c r="F17" s="1331"/>
      <c r="G17" s="1332"/>
      <c r="H17" s="1332"/>
      <c r="I17" s="1332"/>
      <c r="J17" s="1333"/>
      <c r="K17" s="197"/>
      <c r="L17" s="198"/>
      <c r="M17" s="191"/>
      <c r="N17" s="191"/>
      <c r="O17" s="191"/>
      <c r="P17" s="168"/>
      <c r="Q17" s="169"/>
      <c r="R17" s="198"/>
      <c r="S17" s="191"/>
      <c r="T17" s="191"/>
      <c r="U17" s="191"/>
      <c r="V17" s="168"/>
      <c r="W17" s="169">
        <f>'2. T7 LAINAT'!L24</f>
        <v>0</v>
      </c>
      <c r="X17" s="198">
        <f>IF(D17&gt;0,D17,0)</f>
        <v>0</v>
      </c>
      <c r="Y17" s="191">
        <f>'2. T7 LAINAT'!M24</f>
        <v>0</v>
      </c>
      <c r="Z17" s="191">
        <f t="shared" si="12"/>
        <v>0</v>
      </c>
      <c r="AA17" s="191">
        <f>U17+W17-Y17</f>
        <v>0</v>
      </c>
      <c r="AB17" s="168">
        <f>IF($E17*Z17&lt;0,0,Z17*$E17)</f>
        <v>0</v>
      </c>
      <c r="AC17" s="169">
        <f>'2. T7 LAINAT'!O24</f>
        <v>0</v>
      </c>
      <c r="AD17" s="198">
        <f t="shared" si="5"/>
        <v>0</v>
      </c>
      <c r="AE17" s="195">
        <f>'2. T7 LAINAT'!P24</f>
        <v>0</v>
      </c>
      <c r="AF17" s="191">
        <f t="shared" si="13"/>
        <v>0</v>
      </c>
      <c r="AG17" s="191">
        <f t="shared" si="6"/>
        <v>0</v>
      </c>
      <c r="AH17" s="168">
        <f t="shared" si="7"/>
        <v>0</v>
      </c>
      <c r="AI17" s="169">
        <v>0</v>
      </c>
      <c r="AJ17" s="198">
        <f t="shared" si="8"/>
        <v>0</v>
      </c>
      <c r="AK17" s="195">
        <f>IF(D17=0,0,IF(C17-S17-Y17-AE17-M17&lt;=0,0,'AT2 Lainat, alv'!AE17))</f>
        <v>0</v>
      </c>
      <c r="AL17" s="191">
        <f t="shared" si="14"/>
        <v>0</v>
      </c>
      <c r="AM17" s="191">
        <f t="shared" si="9"/>
        <v>0</v>
      </c>
      <c r="AN17" s="168">
        <f t="shared" si="10"/>
        <v>0</v>
      </c>
    </row>
    <row r="18" spans="2:40" x14ac:dyDescent="0.2">
      <c r="B18" s="673">
        <f>'2. T7 LAINAT'!B25</f>
        <v>0</v>
      </c>
      <c r="C18" s="90">
        <f>'2. T7 LAINAT'!C25</f>
        <v>0</v>
      </c>
      <c r="D18" s="84">
        <f>'2. T7 LAINAT'!D25</f>
        <v>0</v>
      </c>
      <c r="E18" s="91">
        <f>'2. T7 LAINAT'!E25</f>
        <v>0</v>
      </c>
      <c r="F18" s="1331"/>
      <c r="G18" s="1332"/>
      <c r="H18" s="1332"/>
      <c r="I18" s="1332"/>
      <c r="J18" s="1333"/>
      <c r="K18" s="197"/>
      <c r="L18" s="198"/>
      <c r="M18" s="191"/>
      <c r="N18" s="191"/>
      <c r="O18" s="191"/>
      <c r="P18" s="168"/>
      <c r="Q18" s="169"/>
      <c r="R18" s="198"/>
      <c r="S18" s="191"/>
      <c r="T18" s="191"/>
      <c r="U18" s="191"/>
      <c r="V18" s="168"/>
      <c r="W18" s="169">
        <f>'2. T7 LAINAT'!L25</f>
        <v>0</v>
      </c>
      <c r="X18" s="198">
        <f>IF(D18&gt;0,D18,0)</f>
        <v>0</v>
      </c>
      <c r="Y18" s="191">
        <f>'2. T7 LAINAT'!M25</f>
        <v>0</v>
      </c>
      <c r="Z18" s="191">
        <f t="shared" si="12"/>
        <v>0</v>
      </c>
      <c r="AA18" s="191">
        <f>U18+W18-Y18</f>
        <v>0</v>
      </c>
      <c r="AB18" s="168">
        <f>IF($E18*Z18&lt;0,0,Z18*$E18)</f>
        <v>0</v>
      </c>
      <c r="AC18" s="169">
        <f>'2. T7 LAINAT'!O25</f>
        <v>0</v>
      </c>
      <c r="AD18" s="198">
        <f t="shared" si="5"/>
        <v>0</v>
      </c>
      <c r="AE18" s="195">
        <f>'2. T7 LAINAT'!P25</f>
        <v>0</v>
      </c>
      <c r="AF18" s="191">
        <f t="shared" si="13"/>
        <v>0</v>
      </c>
      <c r="AG18" s="191">
        <f t="shared" si="6"/>
        <v>0</v>
      </c>
      <c r="AH18" s="168">
        <f t="shared" si="7"/>
        <v>0</v>
      </c>
      <c r="AI18" s="169">
        <v>0</v>
      </c>
      <c r="AJ18" s="198">
        <f t="shared" si="8"/>
        <v>0</v>
      </c>
      <c r="AK18" s="195">
        <f>IF(D18=0,0,IF(C18-S18-Y18-AE18-M18&lt;=0,0,'AT2 Lainat, alv'!AE18))</f>
        <v>0</v>
      </c>
      <c r="AL18" s="191">
        <f t="shared" si="14"/>
        <v>0</v>
      </c>
      <c r="AM18" s="191">
        <f t="shared" si="9"/>
        <v>0</v>
      </c>
      <c r="AN18" s="168">
        <f t="shared" si="10"/>
        <v>0</v>
      </c>
    </row>
    <row r="19" spans="2:40" ht="13.5" thickBot="1" x14ac:dyDescent="0.25">
      <c r="B19" s="674">
        <f>'2. T7 LAINAT'!B26</f>
        <v>0</v>
      </c>
      <c r="C19" s="675">
        <f>'2. T7 LAINAT'!C26</f>
        <v>0</v>
      </c>
      <c r="D19" s="692">
        <f>'2. T7 LAINAT'!D26</f>
        <v>0</v>
      </c>
      <c r="E19" s="677">
        <f>'2. T7 LAINAT'!E26</f>
        <v>0</v>
      </c>
      <c r="F19" s="1334"/>
      <c r="G19" s="1335"/>
      <c r="H19" s="1335"/>
      <c r="I19" s="1335"/>
      <c r="J19" s="1336"/>
      <c r="K19" s="678"/>
      <c r="L19" s="681"/>
      <c r="M19" s="679"/>
      <c r="N19" s="679"/>
      <c r="O19" s="679"/>
      <c r="P19" s="680"/>
      <c r="Q19" s="682"/>
      <c r="R19" s="681"/>
      <c r="S19" s="679"/>
      <c r="T19" s="679"/>
      <c r="U19" s="679"/>
      <c r="V19" s="680"/>
      <c r="W19" s="682">
        <f>'2. T7 LAINAT'!L26</f>
        <v>0</v>
      </c>
      <c r="X19" s="681">
        <f>IF(D19&gt;0,D19,0)</f>
        <v>0</v>
      </c>
      <c r="Y19" s="679">
        <f>'2. T7 LAINAT'!M26</f>
        <v>0</v>
      </c>
      <c r="Z19" s="679">
        <f t="shared" si="12"/>
        <v>0</v>
      </c>
      <c r="AA19" s="679">
        <f>U19+W19-Y19</f>
        <v>0</v>
      </c>
      <c r="AB19" s="680">
        <f>IF($E19*Z19&lt;0,0,Z19*$E19)</f>
        <v>0</v>
      </c>
      <c r="AC19" s="169">
        <f>'2. T7 LAINAT'!O26</f>
        <v>0</v>
      </c>
      <c r="AD19" s="681">
        <f t="shared" si="5"/>
        <v>0</v>
      </c>
      <c r="AE19" s="533">
        <f>'2. T7 LAINAT'!P26</f>
        <v>0</v>
      </c>
      <c r="AF19" s="679">
        <f t="shared" si="13"/>
        <v>0</v>
      </c>
      <c r="AG19" s="679">
        <f>AA19+AC19-AE19</f>
        <v>0</v>
      </c>
      <c r="AH19" s="680">
        <f>IF($E19*AF19&lt;0,0,AF19*$E19)</f>
        <v>0</v>
      </c>
      <c r="AI19" s="682"/>
      <c r="AJ19" s="681">
        <f t="shared" si="8"/>
        <v>0</v>
      </c>
      <c r="AK19" s="533">
        <f>IF(D19=0,0,IF(C19-S19-Y19-AE19-M19&lt;=0,0,'AT2 Lainat, alv'!AE19))</f>
        <v>0</v>
      </c>
      <c r="AL19" s="679">
        <f t="shared" si="14"/>
        <v>0</v>
      </c>
      <c r="AM19" s="679">
        <f>AG19+AI19-AK19</f>
        <v>0</v>
      </c>
      <c r="AN19" s="680">
        <f>IF($E19*AL19&lt;0,0,AL19*$E19)</f>
        <v>0</v>
      </c>
    </row>
    <row r="20" spans="2:40" x14ac:dyDescent="0.2">
      <c r="B20" s="663">
        <f>'2. T7 LAINAT'!B28</f>
        <v>0</v>
      </c>
      <c r="C20" s="664">
        <f>'2. T7 LAINAT'!C28</f>
        <v>0</v>
      </c>
      <c r="D20" s="693">
        <f>'2. T7 LAINAT'!D28</f>
        <v>0</v>
      </c>
      <c r="E20" s="666">
        <f>'2. T7 LAINAT'!E28</f>
        <v>0</v>
      </c>
      <c r="F20" s="1328"/>
      <c r="G20" s="1329"/>
      <c r="H20" s="1329"/>
      <c r="I20" s="1329"/>
      <c r="J20" s="1330"/>
      <c r="K20" s="667"/>
      <c r="L20" s="670"/>
      <c r="M20" s="668"/>
      <c r="N20" s="668"/>
      <c r="O20" s="668"/>
      <c r="P20" s="669"/>
      <c r="Q20" s="671"/>
      <c r="R20" s="670"/>
      <c r="S20" s="668"/>
      <c r="T20" s="668"/>
      <c r="U20" s="668"/>
      <c r="V20" s="669"/>
      <c r="W20" s="671"/>
      <c r="X20" s="670"/>
      <c r="Y20" s="668"/>
      <c r="Z20" s="668"/>
      <c r="AA20" s="668"/>
      <c r="AB20" s="669"/>
      <c r="AC20" s="671">
        <f>'2. T7 LAINAT'!O28</f>
        <v>0</v>
      </c>
      <c r="AD20" s="670">
        <f>IF(D20&gt;0,D20,0)</f>
        <v>0</v>
      </c>
      <c r="AE20" s="672">
        <f>'2. T7 LAINAT'!P28</f>
        <v>0</v>
      </c>
      <c r="AF20" s="668">
        <f t="shared" si="13"/>
        <v>0</v>
      </c>
      <c r="AG20" s="668">
        <f t="shared" si="6"/>
        <v>0</v>
      </c>
      <c r="AH20" s="669">
        <f t="shared" si="7"/>
        <v>0</v>
      </c>
      <c r="AI20" s="671">
        <v>0</v>
      </c>
      <c r="AJ20" s="670">
        <f t="shared" si="8"/>
        <v>0</v>
      </c>
      <c r="AK20" s="672">
        <f>IF(D20=0,0,IF(C20-S20-Y20-AE20-M20&lt;=0,0,'AT2 Lainat, alv'!AE20))</f>
        <v>0</v>
      </c>
      <c r="AL20" s="668">
        <f t="shared" si="14"/>
        <v>0</v>
      </c>
      <c r="AM20" s="668">
        <f t="shared" si="9"/>
        <v>0</v>
      </c>
      <c r="AN20" s="669">
        <f t="shared" si="10"/>
        <v>0</v>
      </c>
    </row>
    <row r="21" spans="2:40" x14ac:dyDescent="0.2">
      <c r="B21" s="673">
        <f>'2. T7 LAINAT'!B29</f>
        <v>0</v>
      </c>
      <c r="C21" s="90">
        <f>'2. T7 LAINAT'!C29</f>
        <v>0</v>
      </c>
      <c r="D21" s="84">
        <f>'2. T7 LAINAT'!D29</f>
        <v>0</v>
      </c>
      <c r="E21" s="91">
        <f>'2. T7 LAINAT'!E29</f>
        <v>0</v>
      </c>
      <c r="F21" s="1331"/>
      <c r="G21" s="1332"/>
      <c r="H21" s="1332"/>
      <c r="I21" s="1332"/>
      <c r="J21" s="1333"/>
      <c r="K21" s="197"/>
      <c r="L21" s="198"/>
      <c r="M21" s="191"/>
      <c r="N21" s="191"/>
      <c r="O21" s="191"/>
      <c r="P21" s="168"/>
      <c r="Q21" s="169"/>
      <c r="R21" s="198"/>
      <c r="S21" s="191"/>
      <c r="T21" s="191"/>
      <c r="U21" s="191"/>
      <c r="V21" s="168"/>
      <c r="W21" s="169"/>
      <c r="X21" s="198"/>
      <c r="Y21" s="191"/>
      <c r="Z21" s="191"/>
      <c r="AA21" s="191"/>
      <c r="AB21" s="168"/>
      <c r="AC21" s="169">
        <f>'2. T7 LAINAT'!O29</f>
        <v>0</v>
      </c>
      <c r="AD21" s="198">
        <f>IF(D21&gt;0,D21,0)</f>
        <v>0</v>
      </c>
      <c r="AE21" s="195">
        <f>'2. T7 LAINAT'!P29</f>
        <v>0</v>
      </c>
      <c r="AF21" s="191">
        <f t="shared" si="13"/>
        <v>0</v>
      </c>
      <c r="AG21" s="191">
        <f t="shared" si="6"/>
        <v>0</v>
      </c>
      <c r="AH21" s="168">
        <f t="shared" si="7"/>
        <v>0</v>
      </c>
      <c r="AI21" s="169">
        <v>0</v>
      </c>
      <c r="AJ21" s="198">
        <f t="shared" si="8"/>
        <v>0</v>
      </c>
      <c r="AK21" s="195">
        <f>IF(D21=0,0,IF(C21-S21-Y21-AE21-M21&lt;=0,0,'AT2 Lainat, alv'!AE21))</f>
        <v>0</v>
      </c>
      <c r="AL21" s="191">
        <f t="shared" si="14"/>
        <v>0</v>
      </c>
      <c r="AM21" s="191">
        <f t="shared" si="9"/>
        <v>0</v>
      </c>
      <c r="AN21" s="168">
        <f t="shared" si="10"/>
        <v>0</v>
      </c>
    </row>
    <row r="22" spans="2:40" x14ac:dyDescent="0.2">
      <c r="B22" s="673">
        <f>'2. T7 LAINAT'!B30</f>
        <v>0</v>
      </c>
      <c r="C22" s="90">
        <f>'2. T7 LAINAT'!C30</f>
        <v>0</v>
      </c>
      <c r="D22" s="84">
        <f>'2. T7 LAINAT'!D30</f>
        <v>0</v>
      </c>
      <c r="E22" s="91">
        <f>'2. T7 LAINAT'!E30</f>
        <v>0</v>
      </c>
      <c r="F22" s="1331"/>
      <c r="G22" s="1332"/>
      <c r="H22" s="1332"/>
      <c r="I22" s="1332"/>
      <c r="J22" s="1333"/>
      <c r="K22" s="197"/>
      <c r="L22" s="198"/>
      <c r="M22" s="191"/>
      <c r="N22" s="191"/>
      <c r="O22" s="191"/>
      <c r="P22" s="168"/>
      <c r="Q22" s="169"/>
      <c r="R22" s="198"/>
      <c r="S22" s="191"/>
      <c r="T22" s="191"/>
      <c r="U22" s="191"/>
      <c r="V22" s="168"/>
      <c r="W22" s="169"/>
      <c r="X22" s="198"/>
      <c r="Y22" s="191"/>
      <c r="Z22" s="191"/>
      <c r="AA22" s="191"/>
      <c r="AB22" s="168"/>
      <c r="AC22" s="169">
        <f>'2. T7 LAINAT'!O30</f>
        <v>0</v>
      </c>
      <c r="AD22" s="198">
        <f>IF(D22&gt;0,D22,0)</f>
        <v>0</v>
      </c>
      <c r="AE22" s="195">
        <f>'2. T7 LAINAT'!P30</f>
        <v>0</v>
      </c>
      <c r="AF22" s="191">
        <f t="shared" si="13"/>
        <v>0</v>
      </c>
      <c r="AG22" s="191">
        <f>AA22+AC22-AE22</f>
        <v>0</v>
      </c>
      <c r="AH22" s="168">
        <f>IF($E22*AF22&lt;0,0,AF22*$E22)</f>
        <v>0</v>
      </c>
      <c r="AI22" s="169">
        <v>0</v>
      </c>
      <c r="AJ22" s="198">
        <f t="shared" si="8"/>
        <v>0</v>
      </c>
      <c r="AK22" s="195">
        <f>IF(D22=0,0,IF(C22-S22-Y22-AE22-M22&lt;=0,0,'AT2 Lainat, alv'!AE22))</f>
        <v>0</v>
      </c>
      <c r="AL22" s="191">
        <f t="shared" si="14"/>
        <v>0</v>
      </c>
      <c r="AM22" s="191">
        <f t="shared" si="9"/>
        <v>0</v>
      </c>
      <c r="AN22" s="168">
        <f t="shared" si="10"/>
        <v>0</v>
      </c>
    </row>
    <row r="23" spans="2:40" ht="13.5" thickBot="1" x14ac:dyDescent="0.25">
      <c r="B23" s="674">
        <f>'2. T7 LAINAT'!B31</f>
        <v>0</v>
      </c>
      <c r="C23" s="675">
        <f>'2. T7 LAINAT'!C31</f>
        <v>0</v>
      </c>
      <c r="D23" s="692">
        <f>'2. T7 LAINAT'!D31</f>
        <v>0</v>
      </c>
      <c r="E23" s="677">
        <f>'2. T7 LAINAT'!E31</f>
        <v>0</v>
      </c>
      <c r="F23" s="1343"/>
      <c r="G23" s="1344"/>
      <c r="H23" s="1344"/>
      <c r="I23" s="1344"/>
      <c r="J23" s="1344"/>
      <c r="K23" s="694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682">
        <f>'2. T7 LAINAT'!O31</f>
        <v>0</v>
      </c>
      <c r="AD23" s="681">
        <f>IF(D23&gt;0,D23,0)</f>
        <v>0</v>
      </c>
      <c r="AE23" s="533">
        <f>'2. T7 LAINAT'!P31</f>
        <v>0</v>
      </c>
      <c r="AF23" s="679">
        <f t="shared" si="13"/>
        <v>0</v>
      </c>
      <c r="AG23" s="679">
        <f>AA23+AC23-AE23</f>
        <v>0</v>
      </c>
      <c r="AH23" s="680">
        <f>IF($E23*AF23&lt;0,0,AF23*$E23)</f>
        <v>0</v>
      </c>
      <c r="AI23" s="682">
        <v>0</v>
      </c>
      <c r="AJ23" s="681">
        <f t="shared" si="8"/>
        <v>0</v>
      </c>
      <c r="AK23" s="533">
        <f>IF(D23=0,0,IF(C23-S23-Y23-AE23-M23&lt;=0,0,'AT2 Lainat, alv'!AE23))</f>
        <v>0</v>
      </c>
      <c r="AL23" s="679">
        <f t="shared" si="14"/>
        <v>0</v>
      </c>
      <c r="AM23" s="679">
        <f>AG23+AI23-AK23</f>
        <v>0</v>
      </c>
      <c r="AN23" s="680">
        <f>IF($E23*AL23&lt;0,0,AL23*$E23)</f>
        <v>0</v>
      </c>
    </row>
    <row r="24" spans="2:40" s="2" customFormat="1" x14ac:dyDescent="0.2">
      <c r="B24" s="2" t="s">
        <v>73</v>
      </c>
      <c r="C24" s="244">
        <f>SUM(C8:C22)</f>
        <v>0</v>
      </c>
      <c r="D24" s="245"/>
      <c r="F24" s="1345"/>
      <c r="G24" s="1345">
        <f>SUM(G8:G23)</f>
        <v>0</v>
      </c>
      <c r="H24" s="1345"/>
      <c r="I24" s="1345">
        <f>SUM(I8:I23)</f>
        <v>0</v>
      </c>
      <c r="J24" s="1345">
        <f>SUM(J7:J23)</f>
        <v>0</v>
      </c>
      <c r="K24" s="170">
        <f>SUM(K7:K23)</f>
        <v>0</v>
      </c>
      <c r="L24" s="170" t="s">
        <v>0</v>
      </c>
      <c r="M24" s="170">
        <f>SUM(M8:M23)</f>
        <v>0</v>
      </c>
      <c r="N24" s="170">
        <f>SUM(N8:N23)</f>
        <v>0</v>
      </c>
      <c r="O24" s="170">
        <f>SUM(O8:O23)</f>
        <v>0</v>
      </c>
      <c r="P24" s="170">
        <f>SUM(P8:P23)</f>
        <v>0</v>
      </c>
      <c r="Q24" s="170">
        <f>SUM(Q7:Q23)</f>
        <v>0</v>
      </c>
      <c r="R24" s="170">
        <f>SUM(R7:R23)</f>
        <v>0</v>
      </c>
      <c r="S24" s="170">
        <f>SUM(S8:S23)</f>
        <v>0</v>
      </c>
      <c r="T24" s="170">
        <f>SUM(T8:T23)</f>
        <v>0</v>
      </c>
      <c r="U24" s="170">
        <f>SUM(U8:U23)</f>
        <v>0</v>
      </c>
      <c r="V24" s="170">
        <f>SUM(V8:V23)</f>
        <v>0</v>
      </c>
      <c r="W24" s="170">
        <f>SUM(W8:W23)</f>
        <v>0</v>
      </c>
      <c r="X24" s="170" t="s">
        <v>0</v>
      </c>
      <c r="Y24" s="170">
        <f>SUM(Y8:Y23)</f>
        <v>0</v>
      </c>
      <c r="Z24" s="170">
        <f>SUM(Z8:Z23)</f>
        <v>0</v>
      </c>
      <c r="AA24" s="170">
        <f>SUM(AA8:AA23)</f>
        <v>0</v>
      </c>
      <c r="AB24" s="170">
        <f>SUM(AB8:AB23)</f>
        <v>0</v>
      </c>
      <c r="AC24" s="170">
        <f>SUM(AC8:AC23)</f>
        <v>0</v>
      </c>
      <c r="AD24" s="170" t="s">
        <v>0</v>
      </c>
      <c r="AE24" s="170">
        <f>SUM(AE8:AE23)</f>
        <v>0</v>
      </c>
      <c r="AF24" s="170">
        <f>SUM(AF8:AF23)</f>
        <v>0</v>
      </c>
      <c r="AG24" s="170">
        <f>SUM(AG8:AG23)</f>
        <v>0</v>
      </c>
      <c r="AH24" s="170">
        <f>SUM(AH8:AH23)</f>
        <v>0</v>
      </c>
      <c r="AI24" s="170">
        <f>SUM(AI8:AI23)</f>
        <v>0</v>
      </c>
      <c r="AJ24" s="170" t="s">
        <v>0</v>
      </c>
      <c r="AK24" s="170">
        <f>SUM(AK8:AK23)</f>
        <v>0</v>
      </c>
      <c r="AL24" s="170">
        <f>SUM(AL8:AL23)</f>
        <v>0</v>
      </c>
      <c r="AM24" s="170">
        <f>SUM(AM8:AM23)</f>
        <v>0</v>
      </c>
      <c r="AN24" s="170">
        <f>SUM(AN8:AN23)</f>
        <v>0</v>
      </c>
    </row>
    <row r="25" spans="2:40" s="2" customFormat="1" x14ac:dyDescent="0.2">
      <c r="C25" s="244"/>
      <c r="D25" s="245"/>
      <c r="F25" s="1345"/>
      <c r="G25" s="1345"/>
      <c r="H25" s="1345"/>
      <c r="I25" s="1345"/>
      <c r="J25" s="1345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</row>
    <row r="26" spans="2:40" s="2" customFormat="1" ht="13.5" thickBot="1" x14ac:dyDescent="0.25">
      <c r="B26" s="2" t="s">
        <v>456</v>
      </c>
      <c r="C26" s="244"/>
      <c r="D26" s="245"/>
      <c r="F26" s="1346"/>
      <c r="G26" s="1345"/>
      <c r="H26" s="1347"/>
      <c r="I26" s="1346"/>
      <c r="J26" s="1346"/>
      <c r="K26" s="244"/>
      <c r="L26" s="170"/>
      <c r="M26" s="6" t="s">
        <v>66</v>
      </c>
      <c r="N26" s="244"/>
      <c r="O26" s="244"/>
      <c r="P26" s="244"/>
      <c r="Q26" s="244"/>
      <c r="R26" s="170"/>
      <c r="S26" s="6" t="s">
        <v>66</v>
      </c>
      <c r="T26" s="244"/>
      <c r="U26" s="244"/>
      <c r="V26" s="244"/>
      <c r="W26" s="244"/>
      <c r="X26" s="170"/>
      <c r="Y26" s="6" t="s">
        <v>66</v>
      </c>
      <c r="Z26" s="244"/>
      <c r="AA26" s="244"/>
      <c r="AB26" s="244"/>
      <c r="AC26" s="244"/>
      <c r="AD26" s="170">
        <f>SUM(AD9:AD24)</f>
        <v>0</v>
      </c>
      <c r="AE26" s="6" t="s">
        <v>66</v>
      </c>
      <c r="AF26" s="244"/>
      <c r="AG26" s="244"/>
      <c r="AH26" s="244"/>
      <c r="AI26" s="244"/>
      <c r="AJ26" s="170"/>
      <c r="AK26" s="6" t="s">
        <v>66</v>
      </c>
      <c r="AL26" s="170"/>
      <c r="AM26" s="170"/>
      <c r="AN26" s="170"/>
    </row>
    <row r="27" spans="2:40" s="2" customFormat="1" x14ac:dyDescent="0.2">
      <c r="D27" s="6" t="s">
        <v>77</v>
      </c>
      <c r="F27" s="2308"/>
      <c r="G27" s="2306"/>
      <c r="H27" s="2306"/>
      <c r="I27" s="2306"/>
      <c r="J27" s="2306"/>
      <c r="K27" s="2298" t="str">
        <f>K3</f>
        <v>Ennuste 1</v>
      </c>
      <c r="L27" s="2299"/>
      <c r="M27" s="2299"/>
      <c r="N27" s="2299"/>
      <c r="O27" s="2299"/>
      <c r="P27" s="2300"/>
      <c r="Q27" s="2298" t="str">
        <f>Q3</f>
        <v>Ennuste 2</v>
      </c>
      <c r="R27" s="2299"/>
      <c r="S27" s="2299"/>
      <c r="T27" s="2299"/>
      <c r="U27" s="2299"/>
      <c r="V27" s="2300"/>
      <c r="W27" s="2298" t="str">
        <f>W3</f>
        <v>Ennuste 3</v>
      </c>
      <c r="X27" s="2299"/>
      <c r="Y27" s="2299"/>
      <c r="Z27" s="2299"/>
      <c r="AA27" s="2299"/>
      <c r="AB27" s="2300"/>
      <c r="AC27" s="2298" t="s">
        <v>188</v>
      </c>
      <c r="AD27" s="2299"/>
      <c r="AE27" s="2299"/>
      <c r="AF27" s="2299"/>
      <c r="AG27" s="2299"/>
      <c r="AH27" s="2300"/>
      <c r="AI27" s="2298" t="s">
        <v>198</v>
      </c>
      <c r="AJ27" s="2299"/>
      <c r="AK27" s="2299"/>
      <c r="AL27" s="2299"/>
      <c r="AM27" s="2299"/>
      <c r="AN27" s="2300"/>
    </row>
    <row r="28" spans="2:40" ht="13.5" thickBot="1" x14ac:dyDescent="0.25">
      <c r="C28" s="6" t="s">
        <v>70</v>
      </c>
      <c r="D28" s="6" t="s">
        <v>76</v>
      </c>
      <c r="E28" s="6" t="s">
        <v>67</v>
      </c>
      <c r="F28" s="2313"/>
      <c r="G28" s="2314"/>
      <c r="H28" s="2314"/>
      <c r="I28" s="2314"/>
      <c r="J28" s="2314"/>
      <c r="K28" s="93" t="s">
        <v>71</v>
      </c>
      <c r="L28" s="89" t="s">
        <v>0</v>
      </c>
      <c r="M28" s="89" t="s">
        <v>75</v>
      </c>
      <c r="N28" s="89" t="s">
        <v>0</v>
      </c>
      <c r="O28" s="89" t="s">
        <v>72</v>
      </c>
      <c r="P28" s="94" t="s">
        <v>67</v>
      </c>
      <c r="Q28" s="93" t="s">
        <v>71</v>
      </c>
      <c r="R28" s="89" t="s">
        <v>0</v>
      </c>
      <c r="S28" s="89" t="s">
        <v>75</v>
      </c>
      <c r="T28" s="89" t="s">
        <v>0</v>
      </c>
      <c r="U28" s="89" t="s">
        <v>72</v>
      </c>
      <c r="V28" s="94" t="s">
        <v>67</v>
      </c>
      <c r="W28" s="93" t="s">
        <v>71</v>
      </c>
      <c r="X28" s="89" t="s">
        <v>0</v>
      </c>
      <c r="Y28" s="89" t="s">
        <v>75</v>
      </c>
      <c r="Z28" s="89" t="s">
        <v>0</v>
      </c>
      <c r="AA28" s="89" t="s">
        <v>72</v>
      </c>
      <c r="AB28" s="94" t="s">
        <v>67</v>
      </c>
      <c r="AC28" s="93" t="s">
        <v>71</v>
      </c>
      <c r="AD28" s="89" t="s">
        <v>0</v>
      </c>
      <c r="AE28" s="89" t="s">
        <v>75</v>
      </c>
      <c r="AF28" s="89" t="s">
        <v>0</v>
      </c>
      <c r="AG28" s="89" t="s">
        <v>72</v>
      </c>
      <c r="AH28" s="94" t="s">
        <v>67</v>
      </c>
      <c r="AI28" s="93" t="s">
        <v>71</v>
      </c>
      <c r="AJ28" s="89" t="s">
        <v>0</v>
      </c>
      <c r="AK28" s="89" t="s">
        <v>75</v>
      </c>
      <c r="AL28" s="89" t="s">
        <v>0</v>
      </c>
      <c r="AM28" s="89" t="s">
        <v>72</v>
      </c>
      <c r="AN28" s="94" t="s">
        <v>67</v>
      </c>
    </row>
    <row r="29" spans="2:40" x14ac:dyDescent="0.2">
      <c r="B29" s="1313" t="s">
        <v>163</v>
      </c>
      <c r="C29" s="1314">
        <f>'2. T7 LAINAT'!C34</f>
        <v>0</v>
      </c>
      <c r="D29" s="1315">
        <f>'2. T7 LAINAT'!D34*12</f>
        <v>0</v>
      </c>
      <c r="E29" s="1316">
        <f>'2. T7 LAINAT'!E34</f>
        <v>0</v>
      </c>
      <c r="F29" s="1348"/>
      <c r="G29" s="1349"/>
      <c r="H29" s="1348"/>
      <c r="I29" s="1348"/>
      <c r="J29" s="1348"/>
      <c r="K29" s="1365">
        <f>'2. T7 LAINAT'!F34</f>
        <v>0</v>
      </c>
      <c r="L29" s="1356"/>
      <c r="M29" s="1356">
        <f>IF($E29=0,0,-CUMPRINC($E29/12,$D29,$C29,K30,K31,0))</f>
        <v>0</v>
      </c>
      <c r="N29" s="1356"/>
      <c r="O29" s="1356">
        <f>K29-M29</f>
        <v>0</v>
      </c>
      <c r="P29" s="1357">
        <f>IF($D29&lt;K30,0,IF($E29=0,0,-CUMIPMT($E29/12,$D29,$C29,K30,K31,0)))</f>
        <v>0</v>
      </c>
      <c r="Q29" s="1355"/>
      <c r="R29" s="1356"/>
      <c r="S29" s="1356">
        <f>IF($D29&lt;Q30,0,IF($E29=0,0,-CUMPRINC($E29/12,$D29,$C29,Q30,Q31,0)))</f>
        <v>0</v>
      </c>
      <c r="T29" s="1356"/>
      <c r="U29" s="1356">
        <f>O29-S29</f>
        <v>0</v>
      </c>
      <c r="V29" s="1357">
        <f>IF($D29&lt;Q30,0,IF($E29=0,0,-CUMIPMT($E29/12,$D29,$C29,Q30,Q31,0)))</f>
        <v>0</v>
      </c>
      <c r="W29" s="1355"/>
      <c r="X29" s="1356"/>
      <c r="Y29" s="1356">
        <f>IF($D29&lt;W30,0,IF($E29=0,0,-CUMPRINC($E29/12,$D29,$C29,W30,W31,0)))</f>
        <v>0</v>
      </c>
      <c r="Z29" s="1356"/>
      <c r="AA29" s="1356">
        <f>U29-Y29</f>
        <v>0</v>
      </c>
      <c r="AB29" s="1357">
        <f>IF($D29&lt;W30,0,IF($E29=0,0,-CUMIPMT($E29/12,$D29,$C29,W30,W31,0)))</f>
        <v>0</v>
      </c>
      <c r="AC29" s="1355"/>
      <c r="AD29" s="1356"/>
      <c r="AE29" s="1356">
        <f>IF($D29&lt;AC30,0,IF($E29=0,0,-CUMPRINC($E29/12,$D29,$C29,AC30,AC31,0)))</f>
        <v>0</v>
      </c>
      <c r="AF29" s="1356"/>
      <c r="AG29" s="1356">
        <f>AA29-AE29</f>
        <v>0</v>
      </c>
      <c r="AH29" s="1357">
        <f>IF($D29&lt;AC30,0,IF($E29=0,0,-CUMIPMT($E29/12,$D29,$C29,AC30,AC31,0)))</f>
        <v>0</v>
      </c>
      <c r="AI29" s="1355"/>
      <c r="AJ29" s="1356"/>
      <c r="AK29" s="1356">
        <f>IF($D29&lt;AI30,0,IF($E29=0,0,-CUMPRINC($E29/12,$D29,$C29,AI30,AI31,0)))</f>
        <v>0</v>
      </c>
      <c r="AL29" s="1356"/>
      <c r="AM29" s="1356">
        <f>AG29-AK29</f>
        <v>0</v>
      </c>
      <c r="AN29" s="1357">
        <f>IF($D29&lt;AI30,0,IF($E29=0,0,-CUMIPMT($E29/12,$D29,$C29,AI30,AI31,0)))</f>
        <v>0</v>
      </c>
    </row>
    <row r="30" spans="2:40" x14ac:dyDescent="0.2">
      <c r="B30" s="1317" t="s">
        <v>161</v>
      </c>
      <c r="C30" s="1010"/>
      <c r="D30" s="1318"/>
      <c r="E30" s="1010"/>
      <c r="F30" s="1350"/>
      <c r="G30" s="1351"/>
      <c r="H30" s="1350"/>
      <c r="I30" s="1350"/>
      <c r="J30" s="1350"/>
      <c r="K30" s="169">
        <v>1</v>
      </c>
      <c r="L30" s="1363"/>
      <c r="M30" s="191"/>
      <c r="N30" s="191"/>
      <c r="O30" s="191"/>
      <c r="P30" s="168"/>
      <c r="Q30" s="169">
        <v>13</v>
      </c>
      <c r="R30" s="1363"/>
      <c r="S30" s="191"/>
      <c r="T30" s="191"/>
      <c r="U30" s="191"/>
      <c r="V30" s="168"/>
      <c r="W30" s="169">
        <v>25</v>
      </c>
      <c r="X30" s="191"/>
      <c r="Y30" s="191"/>
      <c r="Z30" s="191"/>
      <c r="AA30" s="191"/>
      <c r="AB30" s="168"/>
      <c r="AC30" s="673">
        <v>37</v>
      </c>
      <c r="AD30" s="84"/>
      <c r="AE30" s="84"/>
      <c r="AF30" s="84"/>
      <c r="AG30" s="84"/>
      <c r="AH30" s="1358"/>
      <c r="AI30" s="673">
        <v>49</v>
      </c>
      <c r="AJ30" s="84"/>
      <c r="AK30" s="84"/>
      <c r="AL30" s="84"/>
      <c r="AM30" s="84"/>
      <c r="AN30" s="1358"/>
    </row>
    <row r="31" spans="2:40" ht="13.5" thickBot="1" x14ac:dyDescent="0.25">
      <c r="B31" s="1319" t="s">
        <v>162</v>
      </c>
      <c r="C31" s="1320"/>
      <c r="D31" s="1321"/>
      <c r="E31" s="1320"/>
      <c r="F31" s="1352"/>
      <c r="G31" s="1353"/>
      <c r="H31" s="1352"/>
      <c r="I31" s="1352"/>
      <c r="J31" s="1352"/>
      <c r="K31" s="682">
        <v>12</v>
      </c>
      <c r="L31" s="1364"/>
      <c r="M31" s="679"/>
      <c r="N31" s="679"/>
      <c r="O31" s="679"/>
      <c r="P31" s="680"/>
      <c r="Q31" s="682">
        <v>24</v>
      </c>
      <c r="R31" s="1364"/>
      <c r="S31" s="679"/>
      <c r="T31" s="679"/>
      <c r="U31" s="679"/>
      <c r="V31" s="680"/>
      <c r="W31" s="682">
        <v>36</v>
      </c>
      <c r="X31" s="679"/>
      <c r="Y31" s="679"/>
      <c r="Z31" s="679"/>
      <c r="AA31" s="679"/>
      <c r="AB31" s="680"/>
      <c r="AC31" s="674">
        <v>48</v>
      </c>
      <c r="AD31" s="692"/>
      <c r="AE31" s="692"/>
      <c r="AF31" s="692"/>
      <c r="AG31" s="692"/>
      <c r="AH31" s="1359"/>
      <c r="AI31" s="674">
        <v>60</v>
      </c>
      <c r="AJ31" s="692"/>
      <c r="AK31" s="692"/>
      <c r="AL31" s="692"/>
      <c r="AM31" s="692"/>
      <c r="AN31" s="1359"/>
    </row>
    <row r="32" spans="2:40" s="2" customFormat="1" x14ac:dyDescent="0.2">
      <c r="B32" s="1313" t="s">
        <v>164</v>
      </c>
      <c r="C32" s="1314">
        <f>'2. T7 LAINAT'!C35</f>
        <v>0</v>
      </c>
      <c r="D32" s="1315">
        <f>'2. T7 LAINAT'!D35*12</f>
        <v>0</v>
      </c>
      <c r="E32" s="1316">
        <f>'2. T7 LAINAT'!E35</f>
        <v>0</v>
      </c>
      <c r="F32" s="1348"/>
      <c r="G32" s="1349"/>
      <c r="H32" s="1348"/>
      <c r="I32" s="1348"/>
      <c r="J32" s="1348"/>
      <c r="K32" s="1365">
        <f>'2. T7 LAINAT'!F35</f>
        <v>0</v>
      </c>
      <c r="L32" s="1356"/>
      <c r="M32" s="1356">
        <f>IF($E32=0,0,IF($K32=0,0,-CUMPRINC($E32/12,$D32,$C32,Q33,Q34,0)))</f>
        <v>0</v>
      </c>
      <c r="N32" s="1356"/>
      <c r="O32" s="1356"/>
      <c r="P32" s="1357">
        <v>0</v>
      </c>
      <c r="Q32" s="1355">
        <f>'2. T7 LAINAT'!I35</f>
        <v>0</v>
      </c>
      <c r="R32" s="1356"/>
      <c r="S32" s="1356">
        <f>IF($D32&lt;Q33,0,IF($E32=0,0,-CUMPRINC($E32/12,$D32,$C32,Q33,Q34,0)))</f>
        <v>0</v>
      </c>
      <c r="T32" s="1356"/>
      <c r="U32" s="1356">
        <f>Q32-S32</f>
        <v>0</v>
      </c>
      <c r="V32" s="1357">
        <f>IF($D32&lt;Q33,0,IF($E32=0,0,-CUMIPMT($E32/12,$D32,$C32,Q33,Q34,0)))</f>
        <v>0</v>
      </c>
      <c r="W32" s="1355"/>
      <c r="X32" s="1356"/>
      <c r="Y32" s="1356">
        <f>IF($D32&lt;W33,0,IF($E32=0,0,-CUMPRINC($E32/12,$D32,$C32,W33,W34,0)))</f>
        <v>0</v>
      </c>
      <c r="Z32" s="1356"/>
      <c r="AA32" s="1356">
        <f>U32-Y32</f>
        <v>0</v>
      </c>
      <c r="AB32" s="1357">
        <f>IF($D32&lt;W33,0,IF($E32=0,0,-CUMIPMT($E32/12,$D32,$C32,W33,W34,0)))</f>
        <v>0</v>
      </c>
      <c r="AC32" s="1355"/>
      <c r="AD32" s="1356"/>
      <c r="AE32" s="1356">
        <f>IF($D32&lt;AC33,0,IF($E32=0,0,-CUMPRINC($E32/12,$D32,$C32,AC33,AC34,0)))</f>
        <v>0</v>
      </c>
      <c r="AF32" s="1356"/>
      <c r="AG32" s="1356">
        <f>AA32-AE32</f>
        <v>0</v>
      </c>
      <c r="AH32" s="1357">
        <f>IF($D32&lt;AC33,0,IF($E32=0,0,-CUMIPMT($E32/12,$D32,$C32,AC33,AC34,0)))</f>
        <v>0</v>
      </c>
      <c r="AI32" s="1355"/>
      <c r="AJ32" s="1356"/>
      <c r="AK32" s="1356">
        <f>IF($D32&lt;AI33,0,IF($E32=0,0,-CUMPRINC($E32/12,$D32,$C32,AI33,AI34,0)))</f>
        <v>0</v>
      </c>
      <c r="AL32" s="1356"/>
      <c r="AM32" s="1356">
        <f>AG32-AK32</f>
        <v>0</v>
      </c>
      <c r="AN32" s="1357">
        <f>IF($D32&lt;AI33,0,IF($E32=0,0,-CUMIPMT($E32/12,$D32,$C32,AI33,AI34,0)))</f>
        <v>0</v>
      </c>
    </row>
    <row r="33" spans="2:40" x14ac:dyDescent="0.2">
      <c r="B33" s="1317" t="s">
        <v>161</v>
      </c>
      <c r="C33" s="1010"/>
      <c r="D33" s="1318"/>
      <c r="E33" s="1010"/>
      <c r="F33" s="1350"/>
      <c r="G33" s="1351"/>
      <c r="H33" s="1350"/>
      <c r="I33" s="1350"/>
      <c r="J33" s="1350"/>
      <c r="K33" s="169"/>
      <c r="L33" s="1363"/>
      <c r="M33" s="191"/>
      <c r="N33" s="191"/>
      <c r="O33" s="191"/>
      <c r="P33" s="168"/>
      <c r="Q33" s="169">
        <v>1</v>
      </c>
      <c r="R33" s="1363"/>
      <c r="S33" s="191"/>
      <c r="T33" s="191"/>
      <c r="U33" s="191"/>
      <c r="V33" s="168"/>
      <c r="W33" s="169">
        <v>13</v>
      </c>
      <c r="X33" s="191"/>
      <c r="Y33" s="191"/>
      <c r="Z33" s="191"/>
      <c r="AA33" s="191"/>
      <c r="AB33" s="168"/>
      <c r="AC33" s="673">
        <v>25</v>
      </c>
      <c r="AD33" s="84"/>
      <c r="AE33" s="84"/>
      <c r="AF33" s="84"/>
      <c r="AG33" s="84"/>
      <c r="AH33" s="1358"/>
      <c r="AI33" s="673">
        <v>37</v>
      </c>
      <c r="AJ33" s="84"/>
      <c r="AK33" s="84"/>
      <c r="AL33" s="84"/>
      <c r="AM33" s="84"/>
      <c r="AN33" s="1358"/>
    </row>
    <row r="34" spans="2:40" ht="13.5" thickBot="1" x14ac:dyDescent="0.25">
      <c r="B34" s="1319" t="s">
        <v>162</v>
      </c>
      <c r="C34" s="1320"/>
      <c r="D34" s="1321"/>
      <c r="E34" s="1320"/>
      <c r="F34" s="1352"/>
      <c r="G34" s="1353"/>
      <c r="H34" s="1352"/>
      <c r="I34" s="1352"/>
      <c r="J34" s="1352"/>
      <c r="K34" s="682"/>
      <c r="L34" s="1364"/>
      <c r="M34" s="679"/>
      <c r="N34" s="679"/>
      <c r="O34" s="679"/>
      <c r="P34" s="680"/>
      <c r="Q34" s="682">
        <v>12</v>
      </c>
      <c r="R34" s="1364"/>
      <c r="S34" s="679"/>
      <c r="T34" s="679"/>
      <c r="U34" s="679"/>
      <c r="V34" s="680"/>
      <c r="W34" s="682">
        <v>24</v>
      </c>
      <c r="X34" s="679"/>
      <c r="Y34" s="679"/>
      <c r="Z34" s="679"/>
      <c r="AA34" s="679"/>
      <c r="AB34" s="680"/>
      <c r="AC34" s="674">
        <v>36</v>
      </c>
      <c r="AD34" s="692"/>
      <c r="AE34" s="692"/>
      <c r="AF34" s="692"/>
      <c r="AG34" s="692"/>
      <c r="AH34" s="1359"/>
      <c r="AI34" s="674">
        <v>48</v>
      </c>
      <c r="AJ34" s="692"/>
      <c r="AK34" s="692"/>
      <c r="AL34" s="692"/>
      <c r="AM34" s="692"/>
      <c r="AN34" s="1359"/>
    </row>
    <row r="35" spans="2:40" x14ac:dyDescent="0.2">
      <c r="B35" s="1313" t="s">
        <v>165</v>
      </c>
      <c r="C35" s="1314">
        <f>'2. T7 LAINAT'!C36</f>
        <v>0</v>
      </c>
      <c r="D35" s="1315">
        <f>'2. T7 LAINAT'!D36*12</f>
        <v>0</v>
      </c>
      <c r="E35" s="1316">
        <f>'2. T7 LAINAT'!E36</f>
        <v>0</v>
      </c>
      <c r="F35" s="1348"/>
      <c r="G35" s="1349"/>
      <c r="H35" s="1348"/>
      <c r="I35" s="1354" t="s">
        <v>0</v>
      </c>
      <c r="J35" s="1348"/>
      <c r="K35" s="1365"/>
      <c r="L35" s="1356"/>
      <c r="M35" s="1356"/>
      <c r="N35" s="1356"/>
      <c r="O35" s="1356"/>
      <c r="P35" s="1357"/>
      <c r="Q35" s="1355"/>
      <c r="R35" s="1356"/>
      <c r="S35" s="1356"/>
      <c r="T35" s="1356"/>
      <c r="U35" s="1356"/>
      <c r="V35" s="1357"/>
      <c r="W35" s="1355">
        <f>'2. T7 LAINAT'!L36</f>
        <v>0</v>
      </c>
      <c r="X35" s="1356"/>
      <c r="Y35" s="1356">
        <f>IF($D35&lt;W36,0,IF($E35=0,0,-CUMPRINC($E35/12,$D35,$C35,W36,W37,0)))</f>
        <v>0</v>
      </c>
      <c r="Z35" s="1356"/>
      <c r="AA35" s="1356">
        <f>W35-Y35</f>
        <v>0</v>
      </c>
      <c r="AB35" s="1357">
        <f>IF($D35&lt;W36,0,IF($E35=0,0,-CUMIPMT($E35/12,$D35,$C35,W36,W37,0)))</f>
        <v>0</v>
      </c>
      <c r="AC35" s="1355"/>
      <c r="AD35" s="1356"/>
      <c r="AE35" s="1356">
        <f>IF($D35&lt;AC36,0,IF($E35=0,0,-CUMPRINC($E35/12,$D35,$C35,AC36,AC37,0)))</f>
        <v>0</v>
      </c>
      <c r="AF35" s="1356"/>
      <c r="AG35" s="1356">
        <f>AA35-AE35</f>
        <v>0</v>
      </c>
      <c r="AH35" s="1357">
        <f>IF($D35&lt;AC36,0,IF($E35=0,0,-CUMIPMT($E35/12,$D35,$C35,AC36,AC37,0)))</f>
        <v>0</v>
      </c>
      <c r="AI35" s="1355"/>
      <c r="AJ35" s="1356"/>
      <c r="AK35" s="1356">
        <f>IF($D35&lt;AI36,0,IF($E35=0,0,-CUMPRINC($E35/12,$D35,$C35,AI36,AI37,0)))</f>
        <v>0</v>
      </c>
      <c r="AL35" s="1356"/>
      <c r="AM35" s="1356">
        <f>AG35-AK35</f>
        <v>0</v>
      </c>
      <c r="AN35" s="1357">
        <f>IF($D35&lt;AI36,0,IF($E35=0,0,-CUMIPMT($E35/12,$D35,$C35,AI36,AI37,0)))</f>
        <v>0</v>
      </c>
    </row>
    <row r="36" spans="2:40" x14ac:dyDescent="0.2">
      <c r="B36" s="1317" t="s">
        <v>161</v>
      </c>
      <c r="C36" s="1010"/>
      <c r="D36" s="1318"/>
      <c r="E36" s="1010"/>
      <c r="F36" s="1350"/>
      <c r="G36" s="1351"/>
      <c r="H36" s="1350"/>
      <c r="I36" s="1350"/>
      <c r="J36" s="1350"/>
      <c r="K36" s="169"/>
      <c r="L36" s="1363"/>
      <c r="M36" s="191"/>
      <c r="N36" s="191"/>
      <c r="O36" s="191"/>
      <c r="P36" s="168"/>
      <c r="Q36" s="169"/>
      <c r="R36" s="1363"/>
      <c r="S36" s="191"/>
      <c r="T36" s="191"/>
      <c r="U36" s="191"/>
      <c r="V36" s="168"/>
      <c r="W36" s="169">
        <v>1</v>
      </c>
      <c r="X36" s="191"/>
      <c r="Y36" s="191"/>
      <c r="Z36" s="191"/>
      <c r="AA36" s="191"/>
      <c r="AB36" s="168"/>
      <c r="AC36" s="673">
        <v>13</v>
      </c>
      <c r="AD36" s="84"/>
      <c r="AE36" s="84"/>
      <c r="AF36" s="84"/>
      <c r="AG36" s="84"/>
      <c r="AH36" s="1358"/>
      <c r="AI36" s="673">
        <v>25</v>
      </c>
      <c r="AJ36" s="84"/>
      <c r="AK36" s="84"/>
      <c r="AL36" s="84"/>
      <c r="AM36" s="84"/>
      <c r="AN36" s="1358"/>
    </row>
    <row r="37" spans="2:40" ht="13.5" thickBot="1" x14ac:dyDescent="0.25">
      <c r="B37" s="1319" t="s">
        <v>162</v>
      </c>
      <c r="C37" s="1320"/>
      <c r="D37" s="1321"/>
      <c r="E37" s="1320"/>
      <c r="F37" s="1352"/>
      <c r="G37" s="1353"/>
      <c r="H37" s="1352"/>
      <c r="I37" s="1352"/>
      <c r="J37" s="1352"/>
      <c r="K37" s="682"/>
      <c r="L37" s="1364"/>
      <c r="M37" s="679"/>
      <c r="N37" s="679"/>
      <c r="O37" s="679"/>
      <c r="P37" s="680"/>
      <c r="Q37" s="682"/>
      <c r="R37" s="1364"/>
      <c r="S37" s="679"/>
      <c r="T37" s="679"/>
      <c r="U37" s="679"/>
      <c r="V37" s="680"/>
      <c r="W37" s="682">
        <v>12</v>
      </c>
      <c r="X37" s="679"/>
      <c r="Y37" s="679"/>
      <c r="Z37" s="679"/>
      <c r="AA37" s="679"/>
      <c r="AB37" s="680"/>
      <c r="AC37" s="674">
        <v>24</v>
      </c>
      <c r="AD37" s="692"/>
      <c r="AE37" s="692"/>
      <c r="AF37" s="692"/>
      <c r="AG37" s="692"/>
      <c r="AH37" s="1359"/>
      <c r="AI37" s="674">
        <v>36</v>
      </c>
      <c r="AJ37" s="692"/>
      <c r="AK37" s="692"/>
      <c r="AL37" s="692"/>
      <c r="AM37" s="692"/>
      <c r="AN37" s="1359"/>
    </row>
    <row r="38" spans="2:40" x14ac:dyDescent="0.2">
      <c r="B38" s="1313" t="s">
        <v>199</v>
      </c>
      <c r="C38" s="1314">
        <f>'2. T7 LAINAT'!C37</f>
        <v>0</v>
      </c>
      <c r="D38" s="1315">
        <f>'2. T7 LAINAT'!D37*12</f>
        <v>0</v>
      </c>
      <c r="E38" s="1316">
        <f>'2. T7 LAINAT'!E37</f>
        <v>0</v>
      </c>
      <c r="F38" s="1348"/>
      <c r="G38" s="1349"/>
      <c r="H38" s="1348"/>
      <c r="I38" s="1348"/>
      <c r="J38" s="1348"/>
      <c r="K38" s="1365"/>
      <c r="L38" s="1356"/>
      <c r="M38" s="1356"/>
      <c r="N38" s="1356"/>
      <c r="O38" s="1356"/>
      <c r="P38" s="1357"/>
      <c r="Q38" s="1355"/>
      <c r="R38" s="1356"/>
      <c r="S38" s="1356"/>
      <c r="T38" s="1356"/>
      <c r="U38" s="1356"/>
      <c r="V38" s="1357"/>
      <c r="W38" s="1355">
        <f>'2. T7 LAINAT'!L39</f>
        <v>0</v>
      </c>
      <c r="X38" s="1356"/>
      <c r="Y38" s="1356">
        <f>IF($E38=0,0,IF(W38=0,0,-CUMPRINC($E38/12,$D38,$C38,W39,W40,0)))</f>
        <v>0</v>
      </c>
      <c r="Z38" s="1356"/>
      <c r="AA38" s="1356">
        <f>W38-Y38</f>
        <v>0</v>
      </c>
      <c r="AB38" s="1357">
        <f>IF($E38=0,0,IF($W38=0,0,-CUMIPMT($E38/12,$D38,$C38,W39,W40,0)))</f>
        <v>0</v>
      </c>
      <c r="AC38" s="1355">
        <f>'2. T7 LAINAT'!O37</f>
        <v>0</v>
      </c>
      <c r="AD38" s="1356"/>
      <c r="AE38" s="1356">
        <f>IF($D38&lt;AC39,0,IF($E38=0,0,-CUMPRINC($E38/12,$D38,$C38,AC39,AC40,0)))</f>
        <v>0</v>
      </c>
      <c r="AF38" s="1356"/>
      <c r="AG38" s="1356">
        <f>AC38-AE38</f>
        <v>0</v>
      </c>
      <c r="AH38" s="1357">
        <f>IF($D38&lt;AC39,0,IF($E38=0,0,-CUMIPMT($E38/12,$D38,$C38,AC39,AC40,0)))</f>
        <v>0</v>
      </c>
      <c r="AI38" s="1355"/>
      <c r="AJ38" s="1356"/>
      <c r="AK38" s="1356">
        <f>IF($D38&lt;AI39,0,IF($E38=0,0,-CUMPRINC($E38/12,$D38,$C38,AI39,AI40,0)))</f>
        <v>0</v>
      </c>
      <c r="AL38" s="1356"/>
      <c r="AM38" s="1356">
        <f>AG38-AK38</f>
        <v>0</v>
      </c>
      <c r="AN38" s="1357">
        <f>IF($D38&lt;AI39,0,IF($E38=0,0,-CUMIPMT($E38/12,$D38,$C38,AI39,AI40,0)))</f>
        <v>0</v>
      </c>
    </row>
    <row r="39" spans="2:40" x14ac:dyDescent="0.2">
      <c r="B39" s="1317" t="s">
        <v>161</v>
      </c>
      <c r="C39" s="1010"/>
      <c r="D39" s="1318"/>
      <c r="E39" s="1010"/>
      <c r="F39" s="1350"/>
      <c r="G39" s="1351"/>
      <c r="H39" s="1350"/>
      <c r="I39" s="1350"/>
      <c r="J39" s="1350"/>
      <c r="K39" s="169"/>
      <c r="L39" s="1363"/>
      <c r="M39" s="191"/>
      <c r="N39" s="191"/>
      <c r="O39" s="191"/>
      <c r="P39" s="168"/>
      <c r="Q39" s="169"/>
      <c r="R39" s="1363"/>
      <c r="S39" s="191"/>
      <c r="T39" s="191"/>
      <c r="U39" s="191"/>
      <c r="V39" s="168"/>
      <c r="W39" s="169"/>
      <c r="X39" s="191"/>
      <c r="Y39" s="191"/>
      <c r="Z39" s="191"/>
      <c r="AA39" s="191"/>
      <c r="AB39" s="168"/>
      <c r="AC39" s="673">
        <v>1</v>
      </c>
      <c r="AD39" s="84"/>
      <c r="AE39" s="84"/>
      <c r="AF39" s="84"/>
      <c r="AG39" s="84"/>
      <c r="AH39" s="1358"/>
      <c r="AI39" s="673">
        <v>13</v>
      </c>
      <c r="AJ39" s="84"/>
      <c r="AK39" s="84"/>
      <c r="AL39" s="84"/>
      <c r="AM39" s="84"/>
      <c r="AN39" s="1358"/>
    </row>
    <row r="40" spans="2:40" ht="13.5" thickBot="1" x14ac:dyDescent="0.25">
      <c r="B40" s="1319" t="s">
        <v>162</v>
      </c>
      <c r="C40" s="1320"/>
      <c r="D40" s="1321"/>
      <c r="E40" s="1320"/>
      <c r="F40" s="1352"/>
      <c r="G40" s="1353"/>
      <c r="H40" s="1352"/>
      <c r="I40" s="1352"/>
      <c r="J40" s="1352"/>
      <c r="K40" s="682"/>
      <c r="L40" s="1364"/>
      <c r="M40" s="679"/>
      <c r="N40" s="679"/>
      <c r="O40" s="679"/>
      <c r="P40" s="680"/>
      <c r="Q40" s="682"/>
      <c r="R40" s="1364"/>
      <c r="S40" s="679"/>
      <c r="T40" s="679"/>
      <c r="U40" s="679"/>
      <c r="V40" s="680"/>
      <c r="W40" s="682"/>
      <c r="X40" s="679"/>
      <c r="Y40" s="679"/>
      <c r="Z40" s="679"/>
      <c r="AA40" s="679"/>
      <c r="AB40" s="680"/>
      <c r="AC40" s="674">
        <v>12</v>
      </c>
      <c r="AD40" s="692"/>
      <c r="AE40" s="692"/>
      <c r="AF40" s="692"/>
      <c r="AG40" s="692"/>
      <c r="AH40" s="1359"/>
      <c r="AI40" s="674">
        <v>24</v>
      </c>
      <c r="AJ40" s="692"/>
      <c r="AK40" s="692"/>
      <c r="AL40" s="692"/>
      <c r="AM40" s="692"/>
      <c r="AN40" s="1359"/>
    </row>
    <row r="41" spans="2:40" s="2" customFormat="1" x14ac:dyDescent="0.2">
      <c r="B41" s="192" t="s">
        <v>187</v>
      </c>
      <c r="C41" s="193"/>
      <c r="D41" s="194"/>
      <c r="E41" s="1745"/>
      <c r="F41" s="1745"/>
      <c r="G41" s="1746"/>
      <c r="H41" s="1745"/>
      <c r="I41" s="1745"/>
      <c r="J41" s="1745"/>
      <c r="K41" s="1360">
        <f>K29+K32+K35+K38</f>
        <v>0</v>
      </c>
      <c r="L41" s="1361"/>
      <c r="M41" s="1361">
        <f>SUM(M29:M37)</f>
        <v>0</v>
      </c>
      <c r="N41" s="1361"/>
      <c r="O41" s="1361">
        <f>SUM(O29:O37)</f>
        <v>0</v>
      </c>
      <c r="P41" s="1362">
        <f>SUM(P29:P37)</f>
        <v>0</v>
      </c>
      <c r="Q41" s="1360">
        <f>Q29+Q32+Q35+Q38</f>
        <v>0</v>
      </c>
      <c r="R41" s="1361"/>
      <c r="S41" s="1361">
        <f>SUM(S29:S37)</f>
        <v>0</v>
      </c>
      <c r="T41" s="1361"/>
      <c r="U41" s="1361">
        <f>SUM(U29:U37)</f>
        <v>0</v>
      </c>
      <c r="V41" s="1362">
        <f>SUM(V29:V37)</f>
        <v>0</v>
      </c>
      <c r="W41" s="1360">
        <f>W29+W32+W35+W38</f>
        <v>0</v>
      </c>
      <c r="X41" s="1361"/>
      <c r="Y41" s="1361">
        <f>SUM(Y29:Y38)</f>
        <v>0</v>
      </c>
      <c r="Z41" s="1361"/>
      <c r="AA41" s="1361">
        <f>SUM(AA29:AA37)</f>
        <v>0</v>
      </c>
      <c r="AB41" s="1362">
        <f>SUM(AB29:AB37)</f>
        <v>0</v>
      </c>
      <c r="AC41" s="1360">
        <f>AC29+AC32+AC35+AC38</f>
        <v>0</v>
      </c>
      <c r="AD41" s="1361"/>
      <c r="AE41" s="1361">
        <f>AE29+AE32+AE35+AE38</f>
        <v>0</v>
      </c>
      <c r="AF41" s="1361"/>
      <c r="AG41" s="1361">
        <f>AG29+AG32+AG35+AG38</f>
        <v>0</v>
      </c>
      <c r="AH41" s="1362">
        <f>AH29+AH32+AH35+AH38</f>
        <v>0</v>
      </c>
      <c r="AI41" s="1360">
        <f>AI29+AI32+AI35+AI38</f>
        <v>0</v>
      </c>
      <c r="AJ41" s="1361"/>
      <c r="AK41" s="1361">
        <f>AK29+AK32+AK35+AK38</f>
        <v>0</v>
      </c>
      <c r="AL41" s="1361"/>
      <c r="AM41" s="1361">
        <f>AM29+AM32+AM35+AM38</f>
        <v>0</v>
      </c>
      <c r="AN41" s="1362">
        <f>AN29+AN32+AN35+AN38</f>
        <v>0</v>
      </c>
    </row>
    <row r="42" spans="2:40" s="2" customFormat="1" x14ac:dyDescent="0.2">
      <c r="B42" s="167"/>
      <c r="D42" s="245"/>
      <c r="E42" s="1566"/>
      <c r="F42" s="1745"/>
      <c r="G42" s="1746"/>
      <c r="H42" s="1745"/>
      <c r="I42" s="1745"/>
      <c r="J42" s="1745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</row>
    <row r="43" spans="2:40" s="2" customFormat="1" x14ac:dyDescent="0.2">
      <c r="B43" s="167"/>
      <c r="D43" s="245"/>
      <c r="E43" s="1566"/>
      <c r="F43" s="1747"/>
      <c r="G43" s="1743"/>
      <c r="H43" s="1748"/>
      <c r="I43" s="1747"/>
      <c r="J43" s="1747"/>
      <c r="K43" s="170"/>
      <c r="L43" s="170"/>
      <c r="M43" s="6"/>
      <c r="N43" s="244"/>
      <c r="O43" s="244"/>
      <c r="P43" s="170"/>
      <c r="Q43" s="170"/>
      <c r="R43" s="170"/>
      <c r="S43" s="6"/>
      <c r="T43" s="244"/>
      <c r="U43" s="244"/>
      <c r="V43" s="170"/>
      <c r="W43" s="170"/>
      <c r="X43" s="170"/>
      <c r="Y43" s="6"/>
      <c r="Z43" s="244"/>
      <c r="AA43" s="244"/>
      <c r="AB43" s="170"/>
      <c r="AC43" s="170"/>
      <c r="AD43" s="170"/>
      <c r="AE43" s="6"/>
      <c r="AF43" s="244"/>
      <c r="AG43" s="244"/>
      <c r="AH43" s="170"/>
      <c r="AI43" s="170"/>
      <c r="AJ43" s="170"/>
      <c r="AK43" s="6"/>
      <c r="AL43" s="244"/>
      <c r="AM43" s="244"/>
      <c r="AN43" s="170"/>
    </row>
    <row r="44" spans="2:40" s="2" customFormat="1" x14ac:dyDescent="0.2">
      <c r="B44" s="167"/>
      <c r="D44" s="245"/>
      <c r="E44" s="1566"/>
      <c r="F44" s="1749"/>
      <c r="G44" s="1743"/>
      <c r="H44" s="1748"/>
      <c r="I44" s="247"/>
      <c r="J44" s="247"/>
      <c r="K44" s="1556"/>
      <c r="L44" s="170"/>
      <c r="M44" s="6"/>
      <c r="N44" s="1007"/>
      <c r="O44" s="1007"/>
      <c r="P44" s="170"/>
      <c r="Q44" s="1556"/>
      <c r="R44" s="170"/>
      <c r="S44" s="6"/>
      <c r="T44" s="1007"/>
      <c r="U44" s="1007"/>
      <c r="V44" s="170"/>
      <c r="W44" s="1556"/>
      <c r="X44" s="170"/>
      <c r="Y44" s="6"/>
      <c r="Z44" s="1007"/>
      <c r="AA44" s="1007"/>
      <c r="AB44" s="170"/>
      <c r="AC44" s="1556"/>
      <c r="AD44" s="170"/>
      <c r="AE44" s="6"/>
      <c r="AF44" s="1007"/>
      <c r="AG44" s="1007"/>
      <c r="AH44" s="170"/>
      <c r="AI44" s="1556"/>
      <c r="AJ44" s="170"/>
      <c r="AK44" s="6"/>
      <c r="AL44" s="1007"/>
      <c r="AM44" s="1007"/>
      <c r="AN44" s="170"/>
    </row>
    <row r="45" spans="2:40" s="2" customFormat="1" x14ac:dyDescent="0.2">
      <c r="B45" s="1565"/>
      <c r="C45" s="1566"/>
      <c r="D45" s="1567"/>
      <c r="E45" s="1566"/>
      <c r="F45" s="1566"/>
      <c r="G45" s="1742"/>
      <c r="H45" s="1566"/>
      <c r="I45" s="1743"/>
      <c r="J45" s="1743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  <c r="AK45" s="170"/>
      <c r="AL45" s="170"/>
      <c r="AM45" s="170"/>
      <c r="AN45" s="170"/>
    </row>
    <row r="46" spans="2:40" s="2" customFormat="1" x14ac:dyDescent="0.2">
      <c r="B46" s="167"/>
      <c r="D46" s="245"/>
      <c r="E46" s="1566"/>
      <c r="F46" s="1566"/>
      <c r="G46" s="1742"/>
      <c r="H46" s="1566"/>
      <c r="I46" s="1566"/>
      <c r="J46" s="1566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  <c r="AK46" s="170"/>
      <c r="AL46" s="170"/>
      <c r="AM46" s="170"/>
      <c r="AN46" s="170"/>
    </row>
    <row r="47" spans="2:40" s="2" customFormat="1" x14ac:dyDescent="0.2">
      <c r="B47" s="167"/>
      <c r="D47" s="245"/>
      <c r="E47" s="1566"/>
      <c r="F47" s="1566"/>
      <c r="G47" s="1742"/>
      <c r="H47" s="1566"/>
      <c r="I47" s="1566"/>
      <c r="J47" s="1566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L47" s="170"/>
      <c r="AM47" s="170"/>
      <c r="AN47" s="170"/>
    </row>
    <row r="48" spans="2:40" s="2" customFormat="1" x14ac:dyDescent="0.2">
      <c r="B48" s="167"/>
      <c r="D48" s="245"/>
      <c r="E48" s="1566"/>
      <c r="F48" s="1566"/>
      <c r="G48" s="1742"/>
      <c r="H48" s="1566"/>
      <c r="I48" s="1566"/>
      <c r="J48" s="1566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0"/>
    </row>
    <row r="49" spans="2:40" s="2" customFormat="1" x14ac:dyDescent="0.2">
      <c r="B49" s="167"/>
      <c r="D49" s="245"/>
      <c r="E49" s="1566"/>
      <c r="F49" s="1566"/>
      <c r="G49" s="1742"/>
      <c r="H49" s="1566"/>
      <c r="I49" s="1566"/>
      <c r="J49" s="1566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  <c r="AK49" s="170"/>
      <c r="AL49" s="170"/>
      <c r="AM49" s="170"/>
      <c r="AN49" s="170"/>
    </row>
    <row r="50" spans="2:40" s="2" customFormat="1" x14ac:dyDescent="0.2">
      <c r="B50" s="167"/>
      <c r="D50" s="245"/>
      <c r="G50" s="1744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0"/>
      <c r="AN50" s="170"/>
    </row>
    <row r="51" spans="2:40" s="2" customFormat="1" x14ac:dyDescent="0.2">
      <c r="B51" s="167"/>
      <c r="D51" s="245"/>
      <c r="G51" s="1744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  <c r="AJ51" s="170"/>
      <c r="AK51" s="170"/>
      <c r="AL51" s="170"/>
      <c r="AM51" s="170"/>
      <c r="AN51" s="170"/>
    </row>
    <row r="52" spans="2:40" x14ac:dyDescent="0.2">
      <c r="B52" s="139"/>
      <c r="C52" s="120"/>
      <c r="D52" s="1312"/>
      <c r="E52" s="1312"/>
      <c r="F52" s="1312"/>
      <c r="G52" s="1312"/>
      <c r="H52" s="1312"/>
      <c r="I52" s="1312"/>
      <c r="K52" s="1312"/>
      <c r="L52" s="1312"/>
      <c r="M52" s="1312"/>
      <c r="N52" s="1312"/>
      <c r="O52" s="1312"/>
    </row>
    <row r="53" spans="2:40" x14ac:dyDescent="0.2">
      <c r="B53" s="112"/>
      <c r="C53" s="120"/>
      <c r="D53" s="121"/>
      <c r="E53" s="121"/>
      <c r="F53" s="121"/>
    </row>
    <row r="54" spans="2:40" s="2" customFormat="1" ht="22.9" customHeight="1" x14ac:dyDescent="0.2">
      <c r="B54" s="2315" t="s">
        <v>229</v>
      </c>
      <c r="C54" s="2316"/>
      <c r="D54" s="2317"/>
      <c r="E54" s="1647">
        <f>'7. T2 TULOSSUUN.'!G8</f>
        <v>2027</v>
      </c>
      <c r="F54" s="1647"/>
      <c r="G54" s="1647">
        <f>'7. T2 TULOSSUUN.'!I8</f>
        <v>2028</v>
      </c>
      <c r="H54" s="1647"/>
      <c r="I54" s="1647">
        <f>'7. T2 TULOSSUUN.'!K8</f>
        <v>2029</v>
      </c>
      <c r="J54" s="1647"/>
      <c r="K54" s="1647">
        <f>'7. T2 TULOSSUUN.'!M8</f>
        <v>2030</v>
      </c>
      <c r="L54" s="184"/>
    </row>
    <row r="55" spans="2:40" ht="15" customHeight="1" x14ac:dyDescent="0.2">
      <c r="B55" s="1648" t="s">
        <v>664</v>
      </c>
      <c r="C55" s="1311" t="s">
        <v>665</v>
      </c>
      <c r="D55" s="1649">
        <v>0</v>
      </c>
      <c r="E55" s="2295">
        <f>'3. E1 KUSTANNUKSET'!D47+'3. E1 KUSTANNUKSET'!D50+'3. E1 KUSTANNUKSET'!D56+'3. E1 KUSTANNUKSET'!D57+'3. E1 KUSTANNUKSET'!D58+'3. E1 KUSTANNUKSET'!D59+'3. E1 KUSTANNUKSET'!D60+'3. E1 KUSTANNUKSET'!D61+'3. E1 KUSTANNUKSET'!D62+'3. E1 KUSTANNUKSET'!D71+'3. E1 KUSTANNUKSET'!D78+'3. E1 KUSTANNUKSET'!D79+'3. E1 KUSTANNUKSET'!D81+'3. E1 KUSTANNUKSET'!D82+'3. E1 KUSTANNUKSET'!D94+'3. E1 KUSTANNUKSET'!D95+'3. E1 KUSTANNUKSET'!D101-'3. E1 KUSTANNUKSET'!D103+'3. E1 KUSTANNUKSET'!D106-'3. E1 KUSTANNUKSET'!D110+'3. E1 KUSTANNUKSET'!D116+'3. E1 KUSTANNUKSET'!D117+'3. E1 KUSTANNUKSET'!D124+'3. E1 KUSTANNUKSET'!D125+'3. E1 KUSTANNUKSET'!D126+'3. E1 KUSTANNUKSET'!D129</f>
        <v>0</v>
      </c>
      <c r="F55" s="2296"/>
      <c r="G55" s="2297">
        <f>'3. E1 KUSTANNUKSET'!F47+'3. E1 KUSTANNUKSET'!F50+'3. E1 KUSTANNUKSET'!F56+'3. E1 KUSTANNUKSET'!F57+'3. E1 KUSTANNUKSET'!F58+'3. E1 KUSTANNUKSET'!F59+'3. E1 KUSTANNUKSET'!F60+'3. E1 KUSTANNUKSET'!F61+'3. E1 KUSTANNUKSET'!F62+'3. E1 KUSTANNUKSET'!F71+'3. E1 KUSTANNUKSET'!F78+'3. E1 KUSTANNUKSET'!F79+'3. E1 KUSTANNUKSET'!F81+'3. E1 KUSTANNUKSET'!F82+'3. E1 KUSTANNUKSET'!F94+'3. E1 KUSTANNUKSET'!F95+'3. E1 KUSTANNUKSET'!F101-'3. E1 KUSTANNUKSET'!F103+'3. E1 KUSTANNUKSET'!F106-'3. E1 KUSTANNUKSET'!F110+'3. E1 KUSTANNUKSET'!F116+'3. E1 KUSTANNUKSET'!F117+'3. E1 KUSTANNUKSET'!F124+'3. E1 KUSTANNUKSET'!F125+'3. E1 KUSTANNUKSET'!F126+'3. E1 KUSTANNUKSET'!F129</f>
        <v>0</v>
      </c>
      <c r="H55" s="2296"/>
      <c r="I55" s="2297">
        <f>'3. E1 KUSTANNUKSET'!H47+'3. E1 KUSTANNUKSET'!H50+'3. E1 KUSTANNUKSET'!H56+'3. E1 KUSTANNUKSET'!H57+'3. E1 KUSTANNUKSET'!H58+'3. E1 KUSTANNUKSET'!H59+'3. E1 KUSTANNUKSET'!H60+'3. E1 KUSTANNUKSET'!H61+'3. E1 KUSTANNUKSET'!H62+'3. E1 KUSTANNUKSET'!H71+'3. E1 KUSTANNUKSET'!H78+'3. E1 KUSTANNUKSET'!H79+'3. E1 KUSTANNUKSET'!H81+'3. E1 KUSTANNUKSET'!H82+'3. E1 KUSTANNUKSET'!H94+'3. E1 KUSTANNUKSET'!H95+'3. E1 KUSTANNUKSET'!H101-'3. E1 KUSTANNUKSET'!H103+'3. E1 KUSTANNUKSET'!H106-'3. E1 KUSTANNUKSET'!H110+'3. E1 KUSTANNUKSET'!H116+'3. E1 KUSTANNUKSET'!H117+'3. E1 KUSTANNUKSET'!H124+'3. E1 KUSTANNUKSET'!H125+'3. E1 KUSTANNUKSET'!H126+'3. E1 KUSTANNUKSET'!H129</f>
        <v>0</v>
      </c>
      <c r="J55" s="2296"/>
      <c r="K55" s="2297">
        <f>'3. E1 KUSTANNUKSET'!J47+'3. E1 KUSTANNUKSET'!J50+'3. E1 KUSTANNUKSET'!J56+'3. E1 KUSTANNUKSET'!J57+'3. E1 KUSTANNUKSET'!J58+'3. E1 KUSTANNUKSET'!J59+'3. E1 KUSTANNUKSET'!J60+'3. E1 KUSTANNUKSET'!J61+'3. E1 KUSTANNUKSET'!J62+'3. E1 KUSTANNUKSET'!J71+'3. E1 KUSTANNUKSET'!J78+'3. E1 KUSTANNUKSET'!J79+'3. E1 KUSTANNUKSET'!J81+'3. E1 KUSTANNUKSET'!J82+'3. E1 KUSTANNUKSET'!J94+'3. E1 KUSTANNUKSET'!J95+'3. E1 KUSTANNUKSET'!J101-'3. E1 KUSTANNUKSET'!J103+'3. E1 KUSTANNUKSET'!J106-'3. E1 KUSTANNUKSET'!J110+'3. E1 KUSTANNUKSET'!J116+'3. E1 KUSTANNUKSET'!J117+'3. E1 KUSTANNUKSET'!J124+'3. E1 KUSTANNUKSET'!J125+'3. E1 KUSTANNUKSET'!J126+'3. E1 KUSTANNUKSET'!J129</f>
        <v>0</v>
      </c>
      <c r="L55" s="2296"/>
    </row>
    <row r="56" spans="2:40" ht="15" customHeight="1" x14ac:dyDescent="0.2">
      <c r="B56" s="1648"/>
      <c r="C56" s="1311" t="s">
        <v>666</v>
      </c>
      <c r="D56" s="1649">
        <v>0.255</v>
      </c>
      <c r="E56" s="2295">
        <f>E55+$D56*E55</f>
        <v>0</v>
      </c>
      <c r="F56" s="2318"/>
      <c r="G56" s="2295">
        <f>G55+$D56*G55</f>
        <v>0</v>
      </c>
      <c r="H56" s="2318"/>
      <c r="I56" s="2295">
        <f>I55+$D56*I55</f>
        <v>0</v>
      </c>
      <c r="J56" s="2318"/>
      <c r="K56" s="2295">
        <f>K55+$D56*K55</f>
        <v>0</v>
      </c>
      <c r="L56" s="2318"/>
    </row>
    <row r="57" spans="2:40" ht="15" customHeight="1" x14ac:dyDescent="0.2">
      <c r="B57" s="1648" t="s">
        <v>676</v>
      </c>
      <c r="C57" s="1311" t="s">
        <v>665</v>
      </c>
      <c r="D57" s="1649">
        <v>0</v>
      </c>
      <c r="E57" s="2295">
        <f>'3. E1 KUSTANNUKSET'!D112+'3. E1 KUSTANNUKSET'!D87+'3. E1 KUSTANNUKSET'!D89</f>
        <v>0</v>
      </c>
      <c r="F57" s="2318"/>
      <c r="G57" s="2295">
        <f>'3. E1 KUSTANNUKSET'!F112+'3. E1 KUSTANNUKSET'!F87+'3. E1 KUSTANNUKSET'!F89</f>
        <v>0</v>
      </c>
      <c r="H57" s="2318"/>
      <c r="I57" s="2295">
        <f>'3. E1 KUSTANNUKSET'!H112+'3. E1 KUSTANNUKSET'!H87+'3. E1 KUSTANNUKSET'!H89</f>
        <v>0</v>
      </c>
      <c r="J57" s="2318"/>
      <c r="K57" s="2295">
        <f>'3. E1 KUSTANNUKSET'!J112+'3. E1 KUSTANNUKSET'!J87+'3. E1 KUSTANNUKSET'!J89</f>
        <v>0</v>
      </c>
      <c r="L57" s="2318"/>
      <c r="N57">
        <v>0</v>
      </c>
    </row>
    <row r="58" spans="2:40" ht="15" customHeight="1" x14ac:dyDescent="0.2">
      <c r="B58" s="1648"/>
      <c r="C58" s="1311" t="s">
        <v>666</v>
      </c>
      <c r="D58" s="1649">
        <v>0.14000000000000001</v>
      </c>
      <c r="E58" s="2295">
        <f>E57+$D58*E57</f>
        <v>0</v>
      </c>
      <c r="F58" s="2318"/>
      <c r="G58" s="2295">
        <f>G57+$D58*G57</f>
        <v>0</v>
      </c>
      <c r="H58" s="2318"/>
      <c r="I58" s="2295">
        <f>I57+$D58*I57</f>
        <v>0</v>
      </c>
      <c r="J58" s="2318"/>
      <c r="K58" s="2295">
        <f>K57+$D58*K57</f>
        <v>0</v>
      </c>
      <c r="L58" s="2318"/>
      <c r="P58">
        <v>0</v>
      </c>
    </row>
    <row r="59" spans="2:40" ht="15" customHeight="1" x14ac:dyDescent="0.2">
      <c r="B59" s="1648" t="s">
        <v>667</v>
      </c>
      <c r="C59" s="1311" t="s">
        <v>665</v>
      </c>
      <c r="D59" s="1649">
        <v>0</v>
      </c>
      <c r="E59" s="2295">
        <f>'3. E1 KUSTANNUKSET'!D113</f>
        <v>0</v>
      </c>
      <c r="F59" s="2318"/>
      <c r="G59" s="2295">
        <f>'3. E1 KUSTANNUKSET'!F113</f>
        <v>0</v>
      </c>
      <c r="H59" s="2318"/>
      <c r="I59" s="2295">
        <f>'3. E1 KUSTANNUKSET'!H113</f>
        <v>0</v>
      </c>
      <c r="J59" s="2318"/>
      <c r="K59" s="2295">
        <f>'3. E1 KUSTANNUKSET'!J113</f>
        <v>0</v>
      </c>
      <c r="L59" s="2318"/>
    </row>
    <row r="60" spans="2:40" ht="15" customHeight="1" x14ac:dyDescent="0.2">
      <c r="B60" s="1648"/>
      <c r="C60" s="1311" t="s">
        <v>666</v>
      </c>
      <c r="D60" s="1649">
        <v>0.1</v>
      </c>
      <c r="E60" s="2295">
        <f>E59+$D60*E59</f>
        <v>0</v>
      </c>
      <c r="F60" s="2318"/>
      <c r="G60" s="2295">
        <f>G59+$D60*G59</f>
        <v>0</v>
      </c>
      <c r="H60" s="2318"/>
      <c r="I60" s="2295">
        <f>I59+$D60*I59</f>
        <v>0</v>
      </c>
      <c r="J60" s="2318"/>
      <c r="K60" s="2295">
        <f>K59+$D60*K59</f>
        <v>0</v>
      </c>
      <c r="L60" s="2318"/>
    </row>
    <row r="61" spans="2:40" ht="15" customHeight="1" x14ac:dyDescent="0.2">
      <c r="B61" s="2327" t="s">
        <v>668</v>
      </c>
      <c r="C61" s="2327"/>
      <c r="D61" s="2328"/>
      <c r="E61" s="2323">
        <f>E56+E58+E60</f>
        <v>0</v>
      </c>
      <c r="F61" s="2324"/>
      <c r="G61" s="2323">
        <f>G56+G58+G60</f>
        <v>0</v>
      </c>
      <c r="H61" s="2324"/>
      <c r="I61" s="2323">
        <f>I56+I58+I60</f>
        <v>0</v>
      </c>
      <c r="J61" s="2324"/>
      <c r="K61" s="2323">
        <f>K56+K58+K60</f>
        <v>0</v>
      </c>
      <c r="L61" s="2324"/>
    </row>
    <row r="62" spans="2:40" ht="15" customHeight="1" x14ac:dyDescent="0.2">
      <c r="B62" s="2327" t="s">
        <v>669</v>
      </c>
      <c r="C62" s="2327"/>
      <c r="D62" s="2328"/>
      <c r="E62" s="2323">
        <f>E55+E57+E59</f>
        <v>0</v>
      </c>
      <c r="F62" s="2324"/>
      <c r="G62" s="2323">
        <f>G55+G57+G59</f>
        <v>0</v>
      </c>
      <c r="H62" s="2324"/>
      <c r="I62" s="2323">
        <f>I55+I57+I59</f>
        <v>0</v>
      </c>
      <c r="J62" s="2324"/>
      <c r="K62" s="2323">
        <f>K55+K57+K59</f>
        <v>0</v>
      </c>
      <c r="L62" s="2324"/>
    </row>
    <row r="63" spans="2:40" ht="15" customHeight="1" x14ac:dyDescent="0.2">
      <c r="B63" s="2327" t="s">
        <v>670</v>
      </c>
      <c r="C63" s="2327"/>
      <c r="D63" s="2328"/>
      <c r="E63" s="2321">
        <f>IF(E62=0,0,E64/E62)</f>
        <v>0</v>
      </c>
      <c r="F63" s="2322"/>
      <c r="G63" s="2321">
        <f>IF(G62=0,0,G64/G62)</f>
        <v>0</v>
      </c>
      <c r="H63" s="2322"/>
      <c r="I63" s="2321">
        <f>IF(I62=0,0,I64/I62)</f>
        <v>0</v>
      </c>
      <c r="J63" s="2322"/>
      <c r="K63" s="2321">
        <f>IF(K62=0,0,K64/K62)</f>
        <v>0</v>
      </c>
      <c r="L63" s="2322"/>
    </row>
    <row r="64" spans="2:40" ht="13.5" customHeight="1" x14ac:dyDescent="0.2">
      <c r="B64" s="2325" t="s">
        <v>663</v>
      </c>
      <c r="C64" s="2325"/>
      <c r="D64" s="2326"/>
      <c r="E64" s="2311">
        <f>E56+E58+E60-E55-E57-E59</f>
        <v>0</v>
      </c>
      <c r="F64" s="2312"/>
      <c r="G64" s="2311">
        <f>G56+G58+G60-G55-G57-G59</f>
        <v>0</v>
      </c>
      <c r="H64" s="2312"/>
      <c r="I64" s="2311">
        <f>I56+I58+I60-I55-I57-I59</f>
        <v>0</v>
      </c>
      <c r="J64" s="2312"/>
      <c r="K64" s="2311">
        <f>K56+K58+K60-K55-K57-K59</f>
        <v>0</v>
      </c>
      <c r="L64" s="2312"/>
    </row>
    <row r="65" spans="2:20" ht="13.5" customHeight="1" x14ac:dyDescent="0.2">
      <c r="B65" s="1653"/>
      <c r="C65" s="1653"/>
      <c r="D65" s="1653"/>
      <c r="E65" s="1654"/>
      <c r="F65" s="1654"/>
      <c r="G65" s="1654"/>
      <c r="H65" s="1654"/>
      <c r="I65" s="1654"/>
      <c r="J65" s="1654"/>
      <c r="K65" s="1654"/>
      <c r="L65" s="1654"/>
    </row>
    <row r="66" spans="2:20" ht="15" customHeight="1" x14ac:dyDescent="0.2">
      <c r="B66" s="2329" t="s">
        <v>397</v>
      </c>
      <c r="C66" s="2330"/>
      <c r="D66" s="2331"/>
      <c r="E66" s="2309">
        <f>'3. E1 KUSTANNUKSET'!D48+'3. E1 KUSTANNUKSET'!D49+'3. E1 KUSTANNUKSET'!D51+'3. E1 KUSTANNUKSET'!D63*0.003+'3. E1 KUSTANNUKSET'!D64+'3. E1 KUSTANNUKSET'!D80+'3. E1 KUSTANNUKSET'!D88+'3. E1 KUSTANNUKSET'!D90+'3. E1 KUSTANNUKSET'!D93+'3. E1 KUSTANNUKSET'!D103+'3. E1 KUSTANNUKSET'!D110+'3. E1 KUSTANNUKSET'!D114+'3. E1 KUSTANNUKSET'!D118+'3. E1 KUSTANNUKSET'!D119+'3. E1 KUSTANNUKSET'!D120+'3. E1 KUSTANNUKSET'!D127+'3. E1 KUSTANNUKSET'!D128+'3. E1 KUSTANNUKSET'!D131</f>
        <v>0</v>
      </c>
      <c r="F66" s="2310"/>
      <c r="G66" s="2309">
        <f>'3. E1 KUSTANNUKSET'!F48+'3. E1 KUSTANNUKSET'!F49+'3. E1 KUSTANNUKSET'!F51+'3. E1 KUSTANNUKSET'!F63*0.003+'3. E1 KUSTANNUKSET'!F64+'3. E1 KUSTANNUKSET'!F80+'3. E1 KUSTANNUKSET'!F88+'3. E1 KUSTANNUKSET'!F90+'3. E1 KUSTANNUKSET'!F93+'3. E1 KUSTANNUKSET'!F103+'3. E1 KUSTANNUKSET'!F110+'3. E1 KUSTANNUKSET'!F114+'3. E1 KUSTANNUKSET'!F118+'3. E1 KUSTANNUKSET'!F119+'3. E1 KUSTANNUKSET'!F120+'3. E1 KUSTANNUKSET'!F127+'3. E1 KUSTANNUKSET'!F128+'3. E1 KUSTANNUKSET'!F131</f>
        <v>0</v>
      </c>
      <c r="H66" s="2310"/>
      <c r="I66" s="2309">
        <f>'3. E1 KUSTANNUKSET'!H48+'3. E1 KUSTANNUKSET'!H49+'3. E1 KUSTANNUKSET'!H51+'3. E1 KUSTANNUKSET'!H63*0.003+'3. E1 KUSTANNUKSET'!H64+'3. E1 KUSTANNUKSET'!H80+'3. E1 KUSTANNUKSET'!H88+'3. E1 KUSTANNUKSET'!H90+'3. E1 KUSTANNUKSET'!H93+'3. E1 KUSTANNUKSET'!H103+'3. E1 KUSTANNUKSET'!H110+'3. E1 KUSTANNUKSET'!H114+'3. E1 KUSTANNUKSET'!H118+'3. E1 KUSTANNUKSET'!H119+'3. E1 KUSTANNUKSET'!H120+'3. E1 KUSTANNUKSET'!H127+'3. E1 KUSTANNUKSET'!H128+'3. E1 KUSTANNUKSET'!H131</f>
        <v>0</v>
      </c>
      <c r="J66" s="2310"/>
      <c r="K66" s="2309">
        <f>'3. E1 KUSTANNUKSET'!J48+'3. E1 KUSTANNUKSET'!J49+'3. E1 KUSTANNUKSET'!J51+'3. E1 KUSTANNUKSET'!J63*0.003+'3. E1 KUSTANNUKSET'!J64+'3. E1 KUSTANNUKSET'!J80+'3. E1 KUSTANNUKSET'!J88+'3. E1 KUSTANNUKSET'!J90+'3. E1 KUSTANNUKSET'!J93+'3. E1 KUSTANNUKSET'!J103+'3. E1 KUSTANNUKSET'!J110+'3. E1 KUSTANNUKSET'!J114+'3. E1 KUSTANNUKSET'!J118+'3. E1 KUSTANNUKSET'!J119+'3. E1 KUSTANNUKSET'!J120+'3. E1 KUSTANNUKSET'!J127+'3. E1 KUSTANNUKSET'!J128+'3. E1 KUSTANNUKSET'!J131</f>
        <v>0</v>
      </c>
      <c r="L66" s="2310"/>
    </row>
    <row r="67" spans="2:20" x14ac:dyDescent="0.2">
      <c r="B67" s="4"/>
      <c r="C67" s="120"/>
      <c r="D67" s="121"/>
      <c r="E67" s="121"/>
      <c r="F67" s="121"/>
    </row>
    <row r="68" spans="2:20" x14ac:dyDescent="0.2">
      <c r="B68" s="1"/>
      <c r="C68" s="51"/>
      <c r="D68" s="51"/>
      <c r="E68" s="51"/>
      <c r="F68" s="51"/>
      <c r="G68" s="51"/>
      <c r="H68" s="51"/>
      <c r="J68" s="1657"/>
      <c r="K68" s="2"/>
      <c r="L68" s="2"/>
      <c r="M68" s="1658"/>
      <c r="N68" s="2"/>
      <c r="O68" s="7"/>
      <c r="P68" s="2"/>
      <c r="Q68" s="7"/>
      <c r="R68" s="2"/>
    </row>
    <row r="69" spans="2:20" x14ac:dyDescent="0.2">
      <c r="B69" s="187"/>
      <c r="D69" s="121"/>
      <c r="J69" s="1659"/>
      <c r="K69" s="2319"/>
      <c r="L69" s="2319"/>
      <c r="M69" s="2319"/>
      <c r="N69" s="2319"/>
      <c r="O69" s="2319"/>
      <c r="P69" s="2319"/>
      <c r="Q69" s="2319"/>
      <c r="R69" s="2319"/>
      <c r="S69" s="2319"/>
      <c r="T69" s="2319"/>
    </row>
    <row r="70" spans="2:20" x14ac:dyDescent="0.2">
      <c r="B70" s="187"/>
      <c r="D70" s="121"/>
      <c r="E70" s="121"/>
      <c r="F70" s="121"/>
      <c r="G70" s="121"/>
      <c r="J70" s="1660"/>
      <c r="K70" s="2320"/>
      <c r="L70" s="2320"/>
      <c r="M70" s="2320"/>
      <c r="N70" s="2320"/>
      <c r="O70" s="2320"/>
      <c r="P70" s="2320"/>
      <c r="Q70" s="2320"/>
      <c r="R70" s="2320"/>
      <c r="S70" s="2320"/>
      <c r="T70" s="2320"/>
    </row>
    <row r="71" spans="2:20" x14ac:dyDescent="0.2">
      <c r="B71" s="112"/>
      <c r="C71" s="120"/>
      <c r="D71" s="121"/>
      <c r="E71" s="121"/>
      <c r="F71" s="121"/>
      <c r="G71" s="121"/>
      <c r="H71" s="39"/>
      <c r="I71" s="1661"/>
      <c r="J71" s="1662"/>
      <c r="K71" s="1663"/>
      <c r="L71" s="1"/>
      <c r="M71" s="104"/>
      <c r="N71" s="1"/>
      <c r="O71" s="104"/>
      <c r="P71" s="1"/>
      <c r="Q71" s="104"/>
      <c r="R71" s="1"/>
      <c r="S71" s="104"/>
    </row>
    <row r="72" spans="2:20" x14ac:dyDescent="0.2">
      <c r="B72" s="114"/>
      <c r="C72" s="120"/>
      <c r="D72" s="121"/>
      <c r="E72" s="121"/>
      <c r="F72" s="121"/>
      <c r="G72" s="121"/>
      <c r="H72" s="121"/>
      <c r="I72" s="1664"/>
      <c r="J72" s="1659"/>
      <c r="K72" s="6"/>
      <c r="L72" s="2"/>
      <c r="M72" s="7"/>
      <c r="N72" s="104"/>
      <c r="O72" s="7"/>
      <c r="P72" s="104"/>
      <c r="Q72" s="7"/>
      <c r="R72" s="1"/>
      <c r="S72" s="7"/>
    </row>
    <row r="73" spans="2:20" x14ac:dyDescent="0.2">
      <c r="B73" s="112"/>
      <c r="C73" s="120"/>
      <c r="D73" s="121"/>
      <c r="E73" s="121"/>
      <c r="F73" s="121"/>
      <c r="G73" s="121"/>
      <c r="J73" s="1657"/>
      <c r="K73" s="1"/>
      <c r="L73" s="1"/>
      <c r="M73" s="1665"/>
      <c r="N73" s="1"/>
      <c r="O73" s="1665"/>
      <c r="P73" s="1"/>
      <c r="Q73" s="1665"/>
      <c r="R73" s="1"/>
    </row>
    <row r="74" spans="2:20" x14ac:dyDescent="0.2">
      <c r="B74" s="112"/>
      <c r="C74" s="120"/>
      <c r="D74" s="121"/>
      <c r="E74" s="121"/>
      <c r="F74" s="121"/>
      <c r="G74" s="121"/>
    </row>
    <row r="75" spans="2:20" x14ac:dyDescent="0.2">
      <c r="B75" s="112"/>
      <c r="C75" s="120"/>
      <c r="D75" s="121"/>
      <c r="E75" s="121"/>
      <c r="F75" s="121"/>
      <c r="G75" s="121"/>
    </row>
    <row r="76" spans="2:20" s="2" customFormat="1" x14ac:dyDescent="0.2">
      <c r="B76" s="112"/>
      <c r="C76" s="120"/>
      <c r="D76" s="121"/>
      <c r="E76" s="121"/>
      <c r="F76" s="121"/>
      <c r="G76" s="121"/>
    </row>
    <row r="77" spans="2:20" x14ac:dyDescent="0.2">
      <c r="B77" s="112"/>
      <c r="C77" s="120"/>
      <c r="D77" s="121"/>
      <c r="E77" s="121"/>
      <c r="F77" s="121"/>
      <c r="G77" s="121"/>
    </row>
    <row r="78" spans="2:20" x14ac:dyDescent="0.2">
      <c r="B78" s="112"/>
      <c r="C78" s="120"/>
      <c r="D78" s="121"/>
      <c r="E78" s="121"/>
      <c r="F78" s="121"/>
      <c r="G78" s="121"/>
    </row>
    <row r="79" spans="2:20" x14ac:dyDescent="0.2">
      <c r="B79" s="112"/>
      <c r="C79" s="120"/>
      <c r="D79" s="121"/>
      <c r="E79" s="121"/>
      <c r="F79" s="121"/>
      <c r="G79" s="121"/>
    </row>
    <row r="80" spans="2:20" x14ac:dyDescent="0.2">
      <c r="B80" s="112"/>
      <c r="C80" s="120"/>
      <c r="D80" s="121"/>
      <c r="E80" s="121"/>
      <c r="F80" s="121"/>
      <c r="G80" s="121"/>
    </row>
    <row r="81" spans="2:7" x14ac:dyDescent="0.2">
      <c r="B81" s="112"/>
      <c r="C81" s="120"/>
      <c r="D81" s="121"/>
      <c r="E81" s="121"/>
      <c r="F81" s="121"/>
      <c r="G81" s="121"/>
    </row>
    <row r="82" spans="2:7" x14ac:dyDescent="0.2">
      <c r="B82" s="112"/>
      <c r="C82" s="120"/>
      <c r="D82" s="121"/>
      <c r="E82" s="121"/>
      <c r="F82" s="121"/>
      <c r="G82" s="121"/>
    </row>
    <row r="83" spans="2:7" x14ac:dyDescent="0.2">
      <c r="B83" s="112"/>
      <c r="C83" s="120"/>
      <c r="D83" s="121"/>
      <c r="E83" s="121"/>
      <c r="F83" s="121"/>
      <c r="G83" s="121"/>
    </row>
    <row r="84" spans="2:7" x14ac:dyDescent="0.2">
      <c r="B84" s="112"/>
      <c r="C84" s="120"/>
      <c r="D84" s="121"/>
      <c r="E84" s="121"/>
      <c r="F84" s="121"/>
      <c r="G84" s="121"/>
    </row>
    <row r="85" spans="2:7" x14ac:dyDescent="0.2">
      <c r="B85" s="112"/>
      <c r="C85" s="120"/>
      <c r="D85" s="121"/>
      <c r="E85" s="121"/>
      <c r="F85" s="121"/>
      <c r="G85" s="121"/>
    </row>
    <row r="86" spans="2:7" x14ac:dyDescent="0.2">
      <c r="B86" s="112"/>
      <c r="C86" s="120"/>
      <c r="D86" s="121"/>
      <c r="E86" s="121"/>
      <c r="F86" s="121"/>
      <c r="G86" s="121"/>
    </row>
    <row r="87" spans="2:7" x14ac:dyDescent="0.2">
      <c r="B87" s="112"/>
      <c r="C87" s="120"/>
      <c r="D87" s="121"/>
      <c r="E87" s="121"/>
      <c r="F87" s="121"/>
      <c r="G87" s="121"/>
    </row>
    <row r="88" spans="2:7" x14ac:dyDescent="0.2">
      <c r="B88" s="112"/>
      <c r="C88" s="120"/>
      <c r="D88" s="121"/>
      <c r="E88" s="121"/>
      <c r="F88" s="121"/>
      <c r="G88" s="121"/>
    </row>
    <row r="89" spans="2:7" x14ac:dyDescent="0.2">
      <c r="B89" s="112"/>
      <c r="C89" s="120"/>
      <c r="D89" s="121"/>
      <c r="E89" s="121"/>
      <c r="F89" s="121"/>
      <c r="G89" s="121"/>
    </row>
    <row r="90" spans="2:7" x14ac:dyDescent="0.2">
      <c r="B90" s="112"/>
      <c r="C90" s="120"/>
      <c r="D90" s="121"/>
      <c r="E90" s="121"/>
      <c r="F90" s="121"/>
      <c r="G90" s="121"/>
    </row>
    <row r="91" spans="2:7" x14ac:dyDescent="0.2">
      <c r="B91" s="110"/>
      <c r="C91" s="124"/>
      <c r="D91" s="124"/>
      <c r="E91" s="124"/>
      <c r="F91" s="124"/>
      <c r="G91" s="124"/>
    </row>
    <row r="92" spans="2:7" x14ac:dyDescent="0.2">
      <c r="B92" s="2"/>
      <c r="D92" s="124"/>
      <c r="E92" s="124"/>
      <c r="F92" s="124"/>
      <c r="G92" s="124"/>
    </row>
    <row r="93" spans="2:7" x14ac:dyDescent="0.2">
      <c r="B93" s="115"/>
      <c r="C93" s="124"/>
      <c r="D93" s="124"/>
      <c r="E93" s="124"/>
      <c r="F93" s="124"/>
      <c r="G93" s="124"/>
    </row>
    <row r="94" spans="2:7" x14ac:dyDescent="0.2">
      <c r="B94" s="110"/>
    </row>
    <row r="95" spans="2:7" s="2" customFormat="1" x14ac:dyDescent="0.2">
      <c r="B95" s="110"/>
      <c r="C95" s="121"/>
      <c r="D95" s="125"/>
      <c r="E95" s="125"/>
      <c r="F95" s="125"/>
    </row>
    <row r="96" spans="2:7" x14ac:dyDescent="0.2">
      <c r="B96" s="111"/>
      <c r="C96" s="117"/>
      <c r="D96" s="223"/>
      <c r="E96" s="223"/>
      <c r="F96" s="223"/>
    </row>
    <row r="97" spans="2:6" x14ac:dyDescent="0.2">
      <c r="B97" s="2"/>
      <c r="C97" s="118"/>
      <c r="D97" s="118"/>
      <c r="E97" s="118"/>
      <c r="F97" s="118"/>
    </row>
    <row r="98" spans="2:6" x14ac:dyDescent="0.2">
      <c r="B98" s="2"/>
      <c r="C98" s="120"/>
      <c r="D98" s="121"/>
      <c r="E98" s="121"/>
      <c r="F98" s="121"/>
    </row>
    <row r="99" spans="2:6" x14ac:dyDescent="0.2">
      <c r="B99" s="1"/>
      <c r="C99" s="120"/>
      <c r="D99" s="120"/>
      <c r="E99" s="120"/>
      <c r="F99" s="120"/>
    </row>
    <row r="100" spans="2:6" x14ac:dyDescent="0.2">
      <c r="B100" s="112"/>
      <c r="D100"/>
    </row>
    <row r="101" spans="2:6" x14ac:dyDescent="0.2">
      <c r="B101" s="112"/>
      <c r="C101" s="121"/>
      <c r="D101" s="121"/>
      <c r="E101" s="121"/>
      <c r="F101" s="121"/>
    </row>
    <row r="102" spans="2:6" x14ac:dyDescent="0.2">
      <c r="B102" s="112"/>
      <c r="C102" s="120"/>
      <c r="D102" s="121"/>
      <c r="E102" s="121"/>
      <c r="F102" s="121"/>
    </row>
    <row r="103" spans="2:6" x14ac:dyDescent="0.2">
      <c r="B103" s="113"/>
      <c r="C103" s="120"/>
      <c r="D103" s="121"/>
      <c r="E103" s="121"/>
      <c r="F103" s="121"/>
    </row>
    <row r="104" spans="2:6" x14ac:dyDescent="0.2">
      <c r="B104" s="112"/>
      <c r="C104" s="120"/>
      <c r="D104" s="121"/>
      <c r="E104" s="121"/>
      <c r="F104" s="121"/>
    </row>
    <row r="105" spans="2:6" s="65" customFormat="1" x14ac:dyDescent="0.2">
      <c r="C105" s="126"/>
      <c r="D105" s="126"/>
      <c r="E105" s="126"/>
      <c r="F105" s="126"/>
    </row>
    <row r="106" spans="2:6" x14ac:dyDescent="0.2">
      <c r="B106" s="111"/>
      <c r="C106" s="117"/>
      <c r="D106" s="117"/>
      <c r="E106" s="117"/>
      <c r="F106" s="117"/>
    </row>
    <row r="107" spans="2:6" x14ac:dyDescent="0.2">
      <c r="B107" s="1"/>
      <c r="C107" s="116"/>
      <c r="D107" s="116"/>
      <c r="E107" s="116"/>
      <c r="F107" s="116"/>
    </row>
    <row r="108" spans="2:6" x14ac:dyDescent="0.2">
      <c r="B108" s="1"/>
      <c r="C108" s="120"/>
      <c r="D108" s="120"/>
      <c r="E108" s="120"/>
      <c r="F108" s="120"/>
    </row>
    <row r="109" spans="2:6" x14ac:dyDescent="0.2">
      <c r="B109" s="1"/>
      <c r="C109" s="120"/>
      <c r="D109" s="120"/>
      <c r="E109" s="120"/>
      <c r="F109" s="120"/>
    </row>
    <row r="110" spans="2:6" x14ac:dyDescent="0.2">
      <c r="B110" s="112"/>
      <c r="D110"/>
    </row>
    <row r="111" spans="2:6" x14ac:dyDescent="0.2">
      <c r="B111" s="112"/>
      <c r="C111" s="121"/>
      <c r="D111" s="121"/>
      <c r="E111" s="121"/>
      <c r="F111" s="121"/>
    </row>
    <row r="112" spans="2:6" x14ac:dyDescent="0.2">
      <c r="B112" s="112"/>
      <c r="C112" s="120"/>
      <c r="D112" s="121"/>
      <c r="E112" s="121"/>
      <c r="F112" s="121"/>
    </row>
    <row r="113" spans="2:6" x14ac:dyDescent="0.2">
      <c r="B113" s="113"/>
      <c r="C113" s="120"/>
      <c r="D113" s="121"/>
      <c r="E113" s="121"/>
      <c r="F113" s="121"/>
    </row>
    <row r="114" spans="2:6" x14ac:dyDescent="0.2">
      <c r="B114" s="112"/>
      <c r="C114" s="120"/>
      <c r="D114" s="121"/>
      <c r="E114" s="121"/>
      <c r="F114" s="121"/>
    </row>
    <row r="115" spans="2:6" x14ac:dyDescent="0.2">
      <c r="B115" s="112"/>
      <c r="C115" s="120"/>
      <c r="D115" s="121"/>
      <c r="E115" s="121"/>
      <c r="F115" s="121"/>
    </row>
    <row r="116" spans="2:6" x14ac:dyDescent="0.2">
      <c r="B116" s="110"/>
      <c r="C116" s="120"/>
      <c r="D116" s="121"/>
      <c r="E116" s="121"/>
      <c r="F116" s="121"/>
    </row>
    <row r="117" spans="2:6" s="2" customFormat="1" x14ac:dyDescent="0.2">
      <c r="C117" s="2301"/>
      <c r="D117" s="2301"/>
      <c r="E117" s="125"/>
      <c r="F117" s="125"/>
    </row>
    <row r="118" spans="2:6" x14ac:dyDescent="0.2">
      <c r="B118" s="111"/>
      <c r="C118" s="117"/>
      <c r="D118" s="117"/>
      <c r="E118" s="117"/>
      <c r="F118" s="117"/>
    </row>
    <row r="119" spans="2:6" x14ac:dyDescent="0.2">
      <c r="B119" s="1"/>
      <c r="C119" s="116"/>
      <c r="D119" s="116"/>
      <c r="E119" s="116"/>
      <c r="F119" s="116"/>
    </row>
    <row r="120" spans="2:6" x14ac:dyDescent="0.2">
      <c r="B120" s="1"/>
      <c r="C120" s="116"/>
      <c r="D120" s="116"/>
      <c r="E120" s="116"/>
      <c r="F120" s="116"/>
    </row>
    <row r="121" spans="2:6" x14ac:dyDescent="0.2">
      <c r="B121" s="1"/>
      <c r="C121" s="122"/>
      <c r="D121" s="122"/>
      <c r="E121" s="122"/>
      <c r="F121" s="122"/>
    </row>
    <row r="122" spans="2:6" x14ac:dyDescent="0.2">
      <c r="B122" s="1"/>
      <c r="C122" s="118"/>
      <c r="D122" s="118"/>
      <c r="E122" s="118"/>
      <c r="F122" s="118"/>
    </row>
    <row r="123" spans="2:6" x14ac:dyDescent="0.2">
      <c r="B123" s="1"/>
      <c r="C123" s="119"/>
      <c r="D123" s="119"/>
      <c r="E123" s="119"/>
      <c r="F123" s="119"/>
    </row>
    <row r="124" spans="2:6" x14ac:dyDescent="0.2">
      <c r="B124" s="1"/>
      <c r="C124" s="119"/>
      <c r="D124" s="119"/>
      <c r="E124" s="119"/>
      <c r="F124" s="119"/>
    </row>
    <row r="125" spans="2:6" x14ac:dyDescent="0.2">
      <c r="B125" s="1"/>
      <c r="C125" s="21"/>
      <c r="D125" s="21"/>
      <c r="E125" s="21"/>
      <c r="F125" s="21"/>
    </row>
    <row r="126" spans="2:6" x14ac:dyDescent="0.2">
      <c r="B126" s="1"/>
      <c r="C126" s="123"/>
      <c r="D126" s="123"/>
      <c r="E126" s="123"/>
      <c r="F126" s="123"/>
    </row>
    <row r="127" spans="2:6" x14ac:dyDescent="0.2">
      <c r="B127" s="2"/>
      <c r="C127" s="124"/>
      <c r="D127" s="124"/>
      <c r="E127" s="124"/>
      <c r="F127" s="124"/>
    </row>
    <row r="128" spans="2:6" x14ac:dyDescent="0.2">
      <c r="B128" s="112"/>
      <c r="D128"/>
    </row>
    <row r="129" spans="2:6" x14ac:dyDescent="0.2">
      <c r="B129" s="112"/>
      <c r="C129" s="120"/>
      <c r="D129" s="120"/>
      <c r="E129" s="120"/>
      <c r="F129" s="120"/>
    </row>
    <row r="130" spans="2:6" x14ac:dyDescent="0.2">
      <c r="B130" s="112"/>
      <c r="C130" s="120"/>
      <c r="D130" s="121"/>
      <c r="E130" s="121"/>
      <c r="F130" s="121"/>
    </row>
    <row r="131" spans="2:6" x14ac:dyDescent="0.2">
      <c r="B131" s="114"/>
      <c r="C131" s="120"/>
      <c r="D131" s="121"/>
      <c r="E131" s="121"/>
      <c r="F131" s="121"/>
    </row>
    <row r="132" spans="2:6" x14ac:dyDescent="0.2">
      <c r="B132" s="115"/>
      <c r="C132" s="124"/>
      <c r="D132" s="124"/>
      <c r="E132" s="124"/>
      <c r="F132" s="124"/>
    </row>
    <row r="133" spans="2:6" x14ac:dyDescent="0.2">
      <c r="B133" s="112"/>
      <c r="C133" s="121"/>
      <c r="D133" s="121"/>
      <c r="E133" s="121"/>
      <c r="F133" s="121"/>
    </row>
    <row r="134" spans="2:6" x14ac:dyDescent="0.2">
      <c r="B134" s="115"/>
      <c r="C134" s="124"/>
      <c r="D134" s="124"/>
      <c r="E134" s="124"/>
      <c r="F134" s="124"/>
    </row>
  </sheetData>
  <sheetProtection algorithmName="SHA-512" hashValue="DZ+WUlwGdOtkpD4atriYOPD6T+f+SneJ6akbAgxMDQ2bE0x2FqA7Ircn8rQ3SdohqxT64ID3uM1Er58pF5MNlQ==" saltValue="vIhNkhhWsjU936ozbR3bxA==" spinCount="100000" sheet="1" objects="1" scenarios="1" selectLockedCells="1" selectUnlockedCells="1"/>
  <mergeCells count="80">
    <mergeCell ref="B66:D66"/>
    <mergeCell ref="E56:F56"/>
    <mergeCell ref="G56:H56"/>
    <mergeCell ref="I56:J56"/>
    <mergeCell ref="K56:L56"/>
    <mergeCell ref="E58:F58"/>
    <mergeCell ref="G58:H58"/>
    <mergeCell ref="I58:J58"/>
    <mergeCell ref="K58:L58"/>
    <mergeCell ref="E60:F60"/>
    <mergeCell ref="G60:H60"/>
    <mergeCell ref="I60:J60"/>
    <mergeCell ref="K60:L60"/>
    <mergeCell ref="B62:D62"/>
    <mergeCell ref="E62:F62"/>
    <mergeCell ref="K62:L62"/>
    <mergeCell ref="G57:H57"/>
    <mergeCell ref="I57:J57"/>
    <mergeCell ref="B64:D64"/>
    <mergeCell ref="B61:D61"/>
    <mergeCell ref="E61:F61"/>
    <mergeCell ref="G61:H61"/>
    <mergeCell ref="I61:J61"/>
    <mergeCell ref="G62:H62"/>
    <mergeCell ref="I62:J62"/>
    <mergeCell ref="B63:D63"/>
    <mergeCell ref="E63:F63"/>
    <mergeCell ref="G63:H63"/>
    <mergeCell ref="I63:J63"/>
    <mergeCell ref="K63:L63"/>
    <mergeCell ref="K27:P27"/>
    <mergeCell ref="Q27:V27"/>
    <mergeCell ref="W27:AB27"/>
    <mergeCell ref="AC27:AH27"/>
    <mergeCell ref="K55:L55"/>
    <mergeCell ref="K57:L57"/>
    <mergeCell ref="K59:L59"/>
    <mergeCell ref="K61:L61"/>
    <mergeCell ref="S70:T70"/>
    <mergeCell ref="Q70:R70"/>
    <mergeCell ref="K70:L70"/>
    <mergeCell ref="M70:N70"/>
    <mergeCell ref="Q69:R69"/>
    <mergeCell ref="O70:P70"/>
    <mergeCell ref="K69:L69"/>
    <mergeCell ref="K66:L66"/>
    <mergeCell ref="S69:T69"/>
    <mergeCell ref="M69:N69"/>
    <mergeCell ref="O69:P69"/>
    <mergeCell ref="K64:L64"/>
    <mergeCell ref="C117:D117"/>
    <mergeCell ref="F4:J4"/>
    <mergeCell ref="F3:J3"/>
    <mergeCell ref="F27:J27"/>
    <mergeCell ref="E66:F66"/>
    <mergeCell ref="E64:F64"/>
    <mergeCell ref="G64:H64"/>
    <mergeCell ref="F28:J28"/>
    <mergeCell ref="I66:J66"/>
    <mergeCell ref="G66:H66"/>
    <mergeCell ref="I64:J64"/>
    <mergeCell ref="B54:D54"/>
    <mergeCell ref="E59:F59"/>
    <mergeCell ref="G59:H59"/>
    <mergeCell ref="I59:J59"/>
    <mergeCell ref="E57:F57"/>
    <mergeCell ref="AI3:AN3"/>
    <mergeCell ref="AI4:AN4"/>
    <mergeCell ref="E55:F55"/>
    <mergeCell ref="G55:H55"/>
    <mergeCell ref="I55:J55"/>
    <mergeCell ref="K3:P3"/>
    <mergeCell ref="Q3:V3"/>
    <mergeCell ref="AC3:AH3"/>
    <mergeCell ref="AC4:AH4"/>
    <mergeCell ref="W3:AB3"/>
    <mergeCell ref="K4:P4"/>
    <mergeCell ref="Q4:V4"/>
    <mergeCell ref="W4:AB4"/>
    <mergeCell ref="AI27:AN27"/>
  </mergeCells>
  <pageMargins left="0.7" right="0.7" top="0.75" bottom="0.75" header="0.3" footer="0.3"/>
  <pageSetup paperSize="9" orientation="portrait" verticalDpi="4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1"/>
  </sheetPr>
  <dimension ref="A2:V325"/>
  <sheetViews>
    <sheetView showGridLines="0" showZeros="0" zoomScale="115" zoomScaleNormal="115" workbookViewId="0">
      <selection activeCell="M20" sqref="M20"/>
    </sheetView>
  </sheetViews>
  <sheetFormatPr defaultRowHeight="12.75" x14ac:dyDescent="0.2"/>
  <cols>
    <col min="1" max="1" width="10.5703125" customWidth="1"/>
    <col min="2" max="2" width="3" customWidth="1"/>
    <col min="3" max="3" width="23" customWidth="1"/>
    <col min="4" max="4" width="6.7109375" customWidth="1"/>
    <col min="5" max="5" width="6.28515625" customWidth="1"/>
    <col min="6" max="6" width="5.85546875" customWidth="1"/>
    <col min="7" max="11" width="7.28515625" customWidth="1"/>
    <col min="12" max="18" width="6.7109375" customWidth="1"/>
  </cols>
  <sheetData>
    <row r="2" spans="2:18" ht="15" x14ac:dyDescent="0.2">
      <c r="B2" s="1267" t="s">
        <v>440</v>
      </c>
      <c r="C2" s="638"/>
      <c r="D2" s="572"/>
      <c r="E2" s="572"/>
      <c r="F2" s="572"/>
      <c r="G2" s="572"/>
      <c r="H2" s="2"/>
      <c r="I2" s="2"/>
      <c r="J2" s="2"/>
      <c r="K2" s="328"/>
      <c r="L2" s="2114" t="s">
        <v>35</v>
      </c>
      <c r="M2" s="2114"/>
      <c r="N2" s="129"/>
      <c r="O2" s="129"/>
      <c r="P2" s="129"/>
      <c r="Q2" s="129"/>
      <c r="R2" s="129"/>
    </row>
    <row r="3" spans="2:18" ht="12" customHeight="1" x14ac:dyDescent="0.2">
      <c r="B3" s="572"/>
      <c r="C3" s="572"/>
      <c r="D3" s="572"/>
      <c r="E3" s="572"/>
      <c r="F3" s="572"/>
      <c r="G3" s="572"/>
      <c r="H3" s="129"/>
      <c r="I3" s="129"/>
      <c r="J3" s="230"/>
      <c r="K3" s="328"/>
      <c r="L3" s="2504">
        <f>'1. T1 INVESTOINTISUUN.'!F4</f>
        <v>0</v>
      </c>
      <c r="M3" s="2504"/>
      <c r="N3" s="129"/>
      <c r="O3" s="129"/>
      <c r="P3" s="129"/>
      <c r="Q3" s="129"/>
      <c r="R3" s="129"/>
    </row>
    <row r="4" spans="2:18" ht="4.9000000000000004" customHeight="1" x14ac:dyDescent="0.2">
      <c r="B4" s="572"/>
      <c r="C4" s="572"/>
      <c r="D4" s="572"/>
      <c r="E4" s="572"/>
      <c r="F4" s="572"/>
      <c r="G4" s="572"/>
      <c r="H4" s="129"/>
      <c r="I4" s="129"/>
      <c r="J4" s="230"/>
      <c r="K4" s="328"/>
      <c r="L4" s="1268"/>
      <c r="M4" s="1268"/>
      <c r="N4" s="129"/>
      <c r="O4" s="129"/>
      <c r="P4" s="129"/>
      <c r="Q4" s="129"/>
      <c r="R4" s="129"/>
    </row>
    <row r="5" spans="2:18" ht="6.6" customHeight="1" x14ac:dyDescent="0.2">
      <c r="B5" s="410"/>
      <c r="C5" s="328"/>
      <c r="D5" s="328"/>
      <c r="E5" s="328"/>
      <c r="F5" s="328"/>
      <c r="G5" s="328"/>
      <c r="H5" s="2505"/>
      <c r="I5" s="2506"/>
      <c r="J5" s="410"/>
      <c r="K5" s="411"/>
      <c r="L5" s="129"/>
      <c r="M5" s="129"/>
      <c r="N5" s="129"/>
      <c r="O5" s="129"/>
      <c r="P5" s="129"/>
      <c r="Q5" s="129"/>
      <c r="R5" s="129"/>
    </row>
    <row r="6" spans="2:18" ht="13.9" customHeight="1" x14ac:dyDescent="0.2">
      <c r="B6" s="1269" t="s">
        <v>476</v>
      </c>
      <c r="C6" s="1262"/>
      <c r="D6" s="1262"/>
      <c r="E6" s="1262"/>
      <c r="F6" s="1262"/>
      <c r="G6" s="1262"/>
      <c r="H6" s="1262"/>
      <c r="I6" s="1262"/>
      <c r="J6" s="1262"/>
      <c r="K6" s="1262"/>
      <c r="L6" s="2488" t="s">
        <v>460</v>
      </c>
      <c r="M6" s="2488"/>
      <c r="N6" s="2488"/>
      <c r="O6" s="2488"/>
      <c r="P6" s="2488"/>
      <c r="Q6" s="2488"/>
      <c r="R6" s="2488"/>
    </row>
    <row r="7" spans="2:18" ht="13.9" customHeight="1" x14ac:dyDescent="0.2">
      <c r="B7" s="2117">
        <f>'1. T1 INVESTOINTISUUN.'!B7</f>
        <v>0</v>
      </c>
      <c r="C7" s="2117"/>
      <c r="D7" s="2117"/>
      <c r="E7" s="2117"/>
      <c r="F7" s="2117"/>
      <c r="G7" s="2117"/>
      <c r="H7" s="2117"/>
      <c r="I7" s="598"/>
      <c r="J7" s="598"/>
      <c r="K7" s="598"/>
      <c r="L7" s="2490">
        <f>'1. T1 INVESTOINTISUUN.'!F7</f>
        <v>0</v>
      </c>
      <c r="M7" s="2490"/>
      <c r="N7" s="2490"/>
      <c r="O7" s="2490"/>
      <c r="P7" s="2490"/>
      <c r="Q7" s="2490"/>
      <c r="R7" s="2490"/>
    </row>
    <row r="8" spans="2:18" ht="13.9" customHeight="1" x14ac:dyDescent="0.2">
      <c r="B8" s="1270" t="s">
        <v>477</v>
      </c>
      <c r="C8" s="1265"/>
      <c r="D8" s="1265"/>
      <c r="E8" s="1265"/>
      <c r="F8" s="1265"/>
      <c r="G8" s="1265"/>
      <c r="H8" s="1265"/>
      <c r="I8" s="1263"/>
      <c r="J8" s="1263"/>
      <c r="K8" s="1263"/>
      <c r="L8" s="2488" t="s">
        <v>461</v>
      </c>
      <c r="M8" s="2488"/>
      <c r="N8" s="2488"/>
      <c r="O8" s="2488"/>
      <c r="P8" s="2488"/>
      <c r="Q8" s="2488"/>
      <c r="R8" s="2488"/>
    </row>
    <row r="9" spans="2:18" ht="13.9" customHeight="1" x14ac:dyDescent="0.2">
      <c r="B9" s="2338">
        <f>'1. T1 INVESTOINTISUUN.'!B9</f>
        <v>0</v>
      </c>
      <c r="C9" s="2338"/>
      <c r="D9" s="2338"/>
      <c r="E9" s="2338"/>
      <c r="F9" s="2338"/>
      <c r="G9" s="2338"/>
      <c r="H9" s="2338"/>
      <c r="I9" s="598"/>
      <c r="J9" s="598"/>
      <c r="K9" s="598"/>
      <c r="L9" s="2489">
        <f>'1. T1 INVESTOINTISUUN.'!F9</f>
        <v>0</v>
      </c>
      <c r="M9" s="2490"/>
      <c r="N9" s="2490"/>
      <c r="O9" s="2490"/>
      <c r="P9" s="2490"/>
      <c r="Q9" s="2490"/>
      <c r="R9" s="2490"/>
    </row>
    <row r="10" spans="2:18" ht="13.9" customHeight="1" x14ac:dyDescent="0.2">
      <c r="B10" s="1269" t="s">
        <v>478</v>
      </c>
      <c r="C10" s="1266"/>
      <c r="D10" s="1266"/>
      <c r="E10" s="1266"/>
      <c r="F10" s="1266"/>
      <c r="G10" s="1266"/>
      <c r="H10" s="1266"/>
      <c r="I10" s="1264"/>
      <c r="J10" s="1264"/>
      <c r="K10" s="1264"/>
      <c r="L10" s="2488" t="s">
        <v>464</v>
      </c>
      <c r="M10" s="2488"/>
      <c r="N10" s="2488"/>
      <c r="O10" s="2488"/>
      <c r="P10" s="2488"/>
      <c r="Q10" s="2488"/>
      <c r="R10" s="2488"/>
    </row>
    <row r="11" spans="2:18" ht="13.15" customHeight="1" x14ac:dyDescent="0.2">
      <c r="B11" s="2630">
        <f>'1. T1 INVESTOINTISUUN.'!B11</f>
        <v>0</v>
      </c>
      <c r="C11" s="2630"/>
      <c r="D11" s="2630"/>
      <c r="E11" s="2630"/>
      <c r="F11" s="2630"/>
      <c r="G11" s="2630"/>
      <c r="H11" s="2630"/>
      <c r="I11" s="417"/>
      <c r="J11" s="417"/>
      <c r="K11" s="417"/>
      <c r="L11" s="2491">
        <f>'1. T1 INVESTOINTISUUN.'!F11</f>
        <v>0</v>
      </c>
      <c r="M11" s="2491"/>
      <c r="N11" s="2491"/>
      <c r="O11" s="2491"/>
      <c r="P11" s="2491"/>
      <c r="Q11" s="2491"/>
      <c r="R11" s="2491"/>
    </row>
    <row r="12" spans="2:18" ht="13.15" customHeight="1" x14ac:dyDescent="0.2">
      <c r="B12" s="1187">
        <f>'1. T1 INVESTOINTISUUN.'!B12</f>
        <v>0</v>
      </c>
      <c r="C12" s="1187"/>
      <c r="D12" s="1187"/>
      <c r="E12" s="1187"/>
      <c r="F12" s="1187"/>
      <c r="G12" s="1187"/>
      <c r="H12" s="1187"/>
      <c r="I12" s="417"/>
      <c r="J12" s="417"/>
      <c r="K12" s="417"/>
      <c r="L12" s="2488" t="s">
        <v>463</v>
      </c>
      <c r="M12" s="2488"/>
      <c r="N12" s="2488"/>
      <c r="O12" s="2488"/>
      <c r="P12" s="2488"/>
      <c r="Q12" s="2488"/>
      <c r="R12" s="2488"/>
    </row>
    <row r="13" spans="2:18" ht="13.15" customHeight="1" x14ac:dyDescent="0.2">
      <c r="B13" s="2631">
        <f>'1. T1 INVESTOINTISUUN.'!B13</f>
        <v>0</v>
      </c>
      <c r="C13" s="2631"/>
      <c r="D13" s="2631"/>
      <c r="E13" s="2631"/>
      <c r="F13" s="2631"/>
      <c r="G13" s="2631"/>
      <c r="H13" s="2631"/>
      <c r="I13" s="417"/>
      <c r="J13" s="417"/>
      <c r="K13" s="417"/>
      <c r="L13" s="2491">
        <f>'1. T1 INVESTOINTISUUN.'!F13</f>
        <v>0</v>
      </c>
      <c r="M13" s="2491"/>
      <c r="N13" s="2491"/>
      <c r="O13" s="2491"/>
      <c r="P13" s="2491"/>
      <c r="Q13" s="2491"/>
      <c r="R13" s="2491"/>
    </row>
    <row r="14" spans="2:18" ht="6" customHeight="1" x14ac:dyDescent="0.2">
      <c r="B14" s="410"/>
      <c r="C14" s="328"/>
      <c r="D14" s="328"/>
      <c r="E14" s="328"/>
      <c r="F14" s="328"/>
      <c r="G14" s="328"/>
      <c r="H14" s="328"/>
      <c r="I14" s="328"/>
      <c r="J14" s="328"/>
      <c r="K14" s="328"/>
      <c r="L14" s="129"/>
      <c r="M14" s="129"/>
      <c r="N14" s="129"/>
      <c r="O14" s="129"/>
      <c r="P14" s="129"/>
      <c r="Q14" s="129"/>
      <c r="R14" s="129"/>
    </row>
    <row r="15" spans="2:18" ht="11.25" customHeight="1" x14ac:dyDescent="0.2">
      <c r="B15" s="2518" t="s">
        <v>424</v>
      </c>
      <c r="C15" s="2519"/>
      <c r="D15" s="2519"/>
      <c r="E15" s="2519"/>
      <c r="F15" s="2520"/>
      <c r="G15" s="1185" t="s">
        <v>281</v>
      </c>
      <c r="H15" s="1185" t="s">
        <v>282</v>
      </c>
      <c r="I15" s="1185" t="s">
        <v>283</v>
      </c>
      <c r="J15" s="1185" t="s">
        <v>284</v>
      </c>
      <c r="K15" s="2512" t="s">
        <v>285</v>
      </c>
      <c r="L15" s="2514" t="s">
        <v>364</v>
      </c>
      <c r="M15" s="2514"/>
      <c r="N15" s="2514"/>
      <c r="O15" s="2514"/>
      <c r="P15" s="2514"/>
      <c r="Q15" s="2514"/>
      <c r="R15" s="2515"/>
    </row>
    <row r="16" spans="2:18" ht="11.25" customHeight="1" x14ac:dyDescent="0.2">
      <c r="B16" s="2521"/>
      <c r="C16" s="2522"/>
      <c r="D16" s="2522"/>
      <c r="E16" s="2522"/>
      <c r="F16" s="2523"/>
      <c r="G16" s="1196">
        <f>'1. T1 INVESTOINTISUUN.'!E16</f>
        <v>2027</v>
      </c>
      <c r="H16" s="1196">
        <f>'1. T1 INVESTOINTISUUN.'!F16</f>
        <v>2028</v>
      </c>
      <c r="I16" s="1196">
        <f>'1. T1 INVESTOINTISUUN.'!G16</f>
        <v>2029</v>
      </c>
      <c r="J16" s="1196">
        <f>'1. T1 INVESTOINTISUUN.'!H16</f>
        <v>2030</v>
      </c>
      <c r="K16" s="2513"/>
      <c r="L16" s="2516"/>
      <c r="M16" s="2516"/>
      <c r="N16" s="2516"/>
      <c r="O16" s="2516"/>
      <c r="P16" s="2516"/>
      <c r="Q16" s="2516"/>
      <c r="R16" s="2517"/>
    </row>
    <row r="17" spans="2:22" ht="12" customHeight="1" x14ac:dyDescent="0.2">
      <c r="B17" s="626" t="s">
        <v>2</v>
      </c>
      <c r="C17" s="2073" t="s">
        <v>79</v>
      </c>
      <c r="D17" s="2073"/>
      <c r="E17" s="2073"/>
      <c r="F17" s="2524"/>
      <c r="G17" s="629">
        <f>'1. T1 INVESTOINTISUUN.'!E17/1000</f>
        <v>0</v>
      </c>
      <c r="H17" s="629">
        <f>'1. T1 INVESTOINTISUUN.'!F17/1000</f>
        <v>0</v>
      </c>
      <c r="I17" s="629">
        <f>'1. T1 INVESTOINTISUUN.'!G17/1000</f>
        <v>0</v>
      </c>
      <c r="J17" s="629">
        <f>'1. T1 INVESTOINTISUUN.'!H17/1000</f>
        <v>0</v>
      </c>
      <c r="K17" s="629">
        <f>'1. T1 INVESTOINTISUUN.'!I17/1000</f>
        <v>0</v>
      </c>
      <c r="L17" s="517"/>
      <c r="M17" s="1186"/>
      <c r="N17" s="1186"/>
      <c r="O17" s="1186"/>
      <c r="P17" s="1186"/>
      <c r="Q17" s="1186"/>
      <c r="R17" s="518"/>
    </row>
    <row r="18" spans="2:22" ht="12" customHeight="1" x14ac:dyDescent="0.2">
      <c r="B18" s="626"/>
      <c r="C18" s="2472" t="s">
        <v>825</v>
      </c>
      <c r="D18" s="2472"/>
      <c r="E18" s="2472"/>
      <c r="F18" s="2473"/>
      <c r="G18" s="600">
        <f>'1. T1 INVESTOINTISUUN.'!E19</f>
        <v>0</v>
      </c>
      <c r="H18" s="600">
        <f>'1. T1 INVESTOINTISUUN.'!F19</f>
        <v>0</v>
      </c>
      <c r="I18" s="600">
        <f>'1. T1 INVESTOINTISUUN.'!G19</f>
        <v>0</v>
      </c>
      <c r="J18" s="600">
        <f>'1. T1 INVESTOINTISUUN.'!H19</f>
        <v>0</v>
      </c>
      <c r="K18" s="645"/>
      <c r="L18" s="517"/>
      <c r="M18" s="1186"/>
      <c r="N18" s="1186"/>
      <c r="O18" s="1186"/>
      <c r="P18" s="1186"/>
      <c r="Q18" s="1186"/>
      <c r="R18" s="518"/>
    </row>
    <row r="19" spans="2:22" ht="12" customHeight="1" x14ac:dyDescent="0.2">
      <c r="B19" s="626" t="s">
        <v>3</v>
      </c>
      <c r="C19" s="2470" t="s">
        <v>837</v>
      </c>
      <c r="D19" s="2470"/>
      <c r="E19" s="2470"/>
      <c r="F19" s="2471"/>
      <c r="G19" s="763">
        <f>'1. T1 INVESTOINTISUUN.'!E20/1000</f>
        <v>0</v>
      </c>
      <c r="H19" s="763">
        <f>'1. T1 INVESTOINTISUUN.'!F20/1000</f>
        <v>0</v>
      </c>
      <c r="I19" s="763">
        <f>'1. T1 INVESTOINTISUUN.'!G20/1000</f>
        <v>0</v>
      </c>
      <c r="J19" s="763">
        <f>'1. T1 INVESTOINTISUUN.'!H20/1000</f>
        <v>0</v>
      </c>
      <c r="K19" s="763">
        <f>'1. T1 INVESTOINTISUUN.'!I20/1000</f>
        <v>0</v>
      </c>
      <c r="L19" s="517">
        <f>'1. T1 INVESTOINTISUUN.'!K20</f>
        <v>0</v>
      </c>
      <c r="M19" s="1186"/>
      <c r="N19" s="1186"/>
      <c r="O19" s="1186"/>
      <c r="P19" s="1186"/>
      <c r="Q19" s="1186"/>
      <c r="R19" s="518"/>
    </row>
    <row r="20" spans="2:22" ht="12" customHeight="1" x14ac:dyDescent="0.2">
      <c r="B20" s="626"/>
      <c r="C20" s="2472" t="str">
        <f>C18</f>
        <v>• avustus-%</v>
      </c>
      <c r="D20" s="2472"/>
      <c r="E20" s="2472"/>
      <c r="F20" s="2473"/>
      <c r="G20" s="600">
        <f>'1. T1 INVESTOINTISUUN.'!E23</f>
        <v>0</v>
      </c>
      <c r="H20" s="600">
        <f>'1. T1 INVESTOINTISUUN.'!F23</f>
        <v>0</v>
      </c>
      <c r="I20" s="600">
        <f>'1. T1 INVESTOINTISUUN.'!G23</f>
        <v>0</v>
      </c>
      <c r="J20" s="600">
        <f>'1. T1 INVESTOINTISUUN.'!H23</f>
        <v>0</v>
      </c>
      <c r="K20" s="645"/>
      <c r="L20" s="517"/>
      <c r="M20" s="1186"/>
      <c r="N20" s="1186"/>
      <c r="O20" s="1186"/>
      <c r="P20" s="1186"/>
      <c r="Q20" s="1186"/>
      <c r="R20" s="518"/>
    </row>
    <row r="21" spans="2:22" ht="12" customHeight="1" x14ac:dyDescent="0.2">
      <c r="B21" s="626" t="s">
        <v>4</v>
      </c>
      <c r="C21" s="2470" t="s">
        <v>836</v>
      </c>
      <c r="D21" s="2470"/>
      <c r="E21" s="2470"/>
      <c r="F21" s="2471"/>
      <c r="G21" s="763">
        <f>'1. T1 INVESTOINTISUUN.'!E24/1000</f>
        <v>0</v>
      </c>
      <c r="H21" s="763">
        <f>'1. T1 INVESTOINTISUUN.'!F24/1000</f>
        <v>0</v>
      </c>
      <c r="I21" s="763">
        <f>'1. T1 INVESTOINTISUUN.'!G24/1000</f>
        <v>0</v>
      </c>
      <c r="J21" s="763">
        <f>'1. T1 INVESTOINTISUUN.'!H24/1000</f>
        <v>0</v>
      </c>
      <c r="K21" s="763">
        <f>'1. T1 INVESTOINTISUUN.'!I24/1000</f>
        <v>0</v>
      </c>
      <c r="L21" s="517">
        <f>'1. T1 INVESTOINTISUUN.'!K24</f>
        <v>0</v>
      </c>
      <c r="M21" s="1186"/>
      <c r="N21" s="1186"/>
      <c r="O21" s="1186"/>
      <c r="P21" s="1186"/>
      <c r="Q21" s="1186"/>
      <c r="R21" s="518"/>
    </row>
    <row r="22" spans="2:22" ht="12" customHeight="1" x14ac:dyDescent="0.2">
      <c r="B22" s="626"/>
      <c r="C22" s="2472" t="str">
        <f>C18</f>
        <v>• avustus-%</v>
      </c>
      <c r="D22" s="2472"/>
      <c r="E22" s="2472"/>
      <c r="F22" s="2473"/>
      <c r="G22" s="600">
        <f>'1. T1 INVESTOINTISUUN.'!E26</f>
        <v>0</v>
      </c>
      <c r="H22" s="600">
        <f>'1. T1 INVESTOINTISUUN.'!F26</f>
        <v>0</v>
      </c>
      <c r="I22" s="600">
        <f>'1. T1 INVESTOINTISUUN.'!G26</f>
        <v>0</v>
      </c>
      <c r="J22" s="600">
        <f>'1. T1 INVESTOINTISUUN.'!H26</f>
        <v>0</v>
      </c>
      <c r="K22" s="645"/>
      <c r="L22" s="517"/>
      <c r="M22" s="1186"/>
      <c r="N22" s="1186"/>
      <c r="O22" s="1186"/>
      <c r="P22" s="1186"/>
      <c r="Q22" s="1186"/>
      <c r="R22" s="518"/>
    </row>
    <row r="23" spans="2:22" ht="12" customHeight="1" x14ac:dyDescent="0.2">
      <c r="B23" s="626" t="s">
        <v>5</v>
      </c>
      <c r="C23" s="2470" t="s">
        <v>835</v>
      </c>
      <c r="D23" s="2470"/>
      <c r="E23" s="2470"/>
      <c r="F23" s="2471"/>
      <c r="G23" s="763">
        <f>'1. T1 INVESTOINTISUUN.'!E27/1000</f>
        <v>0</v>
      </c>
      <c r="H23" s="763">
        <f>'1. T1 INVESTOINTISUUN.'!F27/1000</f>
        <v>0</v>
      </c>
      <c r="I23" s="763">
        <f>'1. T1 INVESTOINTISUUN.'!G27/1000</f>
        <v>0</v>
      </c>
      <c r="J23" s="763">
        <f>'1. T1 INVESTOINTISUUN.'!H27/1000</f>
        <v>0</v>
      </c>
      <c r="K23" s="763">
        <f>'1. T1 INVESTOINTISUUN.'!I27/1000</f>
        <v>0</v>
      </c>
      <c r="L23" s="517">
        <f>'1. T1 INVESTOINTISUUN.'!K27</f>
        <v>0</v>
      </c>
      <c r="M23" s="1186"/>
      <c r="N23" s="1186"/>
      <c r="O23" s="1186"/>
      <c r="P23" s="1186"/>
      <c r="Q23" s="1186"/>
      <c r="R23" s="518"/>
    </row>
    <row r="24" spans="2:22" ht="12" customHeight="1" x14ac:dyDescent="0.2">
      <c r="B24" s="626"/>
      <c r="C24" s="2472" t="str">
        <f>C18</f>
        <v>• avustus-%</v>
      </c>
      <c r="D24" s="2472"/>
      <c r="E24" s="2472"/>
      <c r="F24" s="2473"/>
      <c r="G24" s="600">
        <f>'1. T1 INVESTOINTISUUN.'!E29</f>
        <v>0</v>
      </c>
      <c r="H24" s="600">
        <f>'1. T1 INVESTOINTISUUN.'!F29</f>
        <v>0</v>
      </c>
      <c r="I24" s="600">
        <f>'1. T1 INVESTOINTISUUN.'!G29</f>
        <v>0</v>
      </c>
      <c r="J24" s="600">
        <f>'1. T1 INVESTOINTISUUN.'!H29</f>
        <v>0</v>
      </c>
      <c r="K24" s="645"/>
      <c r="L24" s="517"/>
      <c r="M24" s="1186"/>
      <c r="N24" s="1186"/>
      <c r="O24" s="1186"/>
      <c r="P24" s="1186"/>
      <c r="Q24" s="1186"/>
      <c r="R24" s="518"/>
    </row>
    <row r="25" spans="2:22" ht="12" customHeight="1" x14ac:dyDescent="0.2">
      <c r="B25" s="626" t="s">
        <v>6</v>
      </c>
      <c r="C25" s="2470" t="s">
        <v>834</v>
      </c>
      <c r="D25" s="2470"/>
      <c r="E25" s="2470"/>
      <c r="F25" s="2471"/>
      <c r="G25" s="763">
        <f>'1. T1 INVESTOINTISUUN.'!E30/1000</f>
        <v>0</v>
      </c>
      <c r="H25" s="763">
        <f>'1. T1 INVESTOINTISUUN.'!F30/1000</f>
        <v>0</v>
      </c>
      <c r="I25" s="763">
        <f>'1. T1 INVESTOINTISUUN.'!G30/1000</f>
        <v>0</v>
      </c>
      <c r="J25" s="763">
        <f>'1. T1 INVESTOINTISUUN.'!H30/1000</f>
        <v>0</v>
      </c>
      <c r="K25" s="763">
        <f>'1. T1 INVESTOINTISUUN.'!I30/1000</f>
        <v>0</v>
      </c>
      <c r="L25" s="517">
        <f>'1. T1 INVESTOINTISUUN.'!K30</f>
        <v>0</v>
      </c>
      <c r="M25" s="1186"/>
      <c r="N25" s="1186"/>
      <c r="O25" s="1186"/>
      <c r="P25" s="1186"/>
      <c r="Q25" s="1186"/>
      <c r="R25" s="518"/>
    </row>
    <row r="26" spans="2:22" ht="12" customHeight="1" x14ac:dyDescent="0.2">
      <c r="B26" s="626"/>
      <c r="C26" s="1758" t="str">
        <f>'1. T1 INVESTOINTISUUN.'!C31</f>
        <v xml:space="preserve"> • avustus-%</v>
      </c>
      <c r="D26" s="1257"/>
      <c r="E26" s="1257"/>
      <c r="F26" s="1258"/>
      <c r="G26" s="600">
        <f>'1. T1 INVESTOINTISUUN.'!E31</f>
        <v>0</v>
      </c>
      <c r="H26" s="600">
        <f>'1. T1 INVESTOINTISUUN.'!F31</f>
        <v>0</v>
      </c>
      <c r="I26" s="600">
        <f>'1. T1 INVESTOINTISUUN.'!G31</f>
        <v>0</v>
      </c>
      <c r="J26" s="600">
        <f>'1. T1 INVESTOINTISUUN.'!H31</f>
        <v>0</v>
      </c>
      <c r="K26" s="695"/>
      <c r="L26" s="517"/>
      <c r="M26" s="1186"/>
      <c r="N26" s="1186"/>
      <c r="O26" s="1186"/>
      <c r="P26" s="1186"/>
      <c r="Q26" s="1186"/>
      <c r="R26" s="518"/>
    </row>
    <row r="27" spans="2:22" ht="12" customHeight="1" x14ac:dyDescent="0.2">
      <c r="B27" s="626" t="s">
        <v>7</v>
      </c>
      <c r="C27" s="2470" t="s">
        <v>833</v>
      </c>
      <c r="D27" s="2470"/>
      <c r="E27" s="2470"/>
      <c r="F27" s="2471"/>
      <c r="G27" s="763">
        <f>'1. T1 INVESTOINTISUUN.'!E32/1000</f>
        <v>0</v>
      </c>
      <c r="H27" s="763">
        <f>'1. T1 INVESTOINTISUUN.'!F32/1000</f>
        <v>0</v>
      </c>
      <c r="I27" s="763">
        <f>'1. T1 INVESTOINTISUUN.'!G32/1000</f>
        <v>0</v>
      </c>
      <c r="J27" s="763">
        <f>'1. T1 INVESTOINTISUUN.'!H32/1000</f>
        <v>0</v>
      </c>
      <c r="K27" s="763">
        <f>'1. T1 INVESTOINTISUUN.'!I32/1000</f>
        <v>0</v>
      </c>
      <c r="L27" s="517">
        <f>'1. T1 INVESTOINTISUUN.'!K32</f>
        <v>0</v>
      </c>
      <c r="M27" s="1186"/>
      <c r="N27" s="1186"/>
      <c r="O27" s="1186"/>
      <c r="P27" s="1186"/>
      <c r="Q27" s="1186"/>
      <c r="R27" s="518"/>
    </row>
    <row r="28" spans="2:22" ht="12" customHeight="1" x14ac:dyDescent="0.2">
      <c r="B28" s="626"/>
      <c r="C28" s="2472" t="str">
        <f>C18</f>
        <v>• avustus-%</v>
      </c>
      <c r="D28" s="2472"/>
      <c r="E28" s="2472"/>
      <c r="F28" s="2473"/>
      <c r="G28" s="600">
        <f>'1. T1 INVESTOINTISUUN.'!E34</f>
        <v>0</v>
      </c>
      <c r="H28" s="600">
        <f>'1. T1 INVESTOINTISUUN.'!F34</f>
        <v>0</v>
      </c>
      <c r="I28" s="600">
        <f>'1. T1 INVESTOINTISUUN.'!G34</f>
        <v>0</v>
      </c>
      <c r="J28" s="600">
        <f>'1. T1 INVESTOINTISUUN.'!H34</f>
        <v>0</v>
      </c>
      <c r="K28" s="645"/>
      <c r="L28" s="517"/>
      <c r="M28" s="1186"/>
      <c r="N28" s="1186"/>
      <c r="O28" s="1186"/>
      <c r="P28" s="1186"/>
      <c r="Q28" s="1186"/>
      <c r="R28" s="518"/>
    </row>
    <row r="29" spans="2:22" ht="12" customHeight="1" x14ac:dyDescent="0.2">
      <c r="B29" s="626" t="s">
        <v>8</v>
      </c>
      <c r="C29" s="2470" t="s">
        <v>832</v>
      </c>
      <c r="D29" s="2470"/>
      <c r="E29" s="2470"/>
      <c r="F29" s="2471"/>
      <c r="G29" s="763">
        <f>'1. T1 INVESTOINTISUUN.'!E35/1000</f>
        <v>0</v>
      </c>
      <c r="H29" s="763">
        <f>'1. T1 INVESTOINTISUUN.'!F35/1000</f>
        <v>0</v>
      </c>
      <c r="I29" s="763">
        <f>'1. T1 INVESTOINTISUUN.'!G35/1000</f>
        <v>0</v>
      </c>
      <c r="J29" s="763">
        <f>'1. T1 INVESTOINTISUUN.'!H35/1000</f>
        <v>0</v>
      </c>
      <c r="K29" s="763">
        <f>'1. T1 INVESTOINTISUUN.'!I35/1000</f>
        <v>0</v>
      </c>
      <c r="L29" s="517">
        <f>'1. T1 INVESTOINTISUUN.'!K35</f>
        <v>0</v>
      </c>
      <c r="M29" s="1186"/>
      <c r="N29" s="1186"/>
      <c r="O29" s="1186"/>
      <c r="P29" s="1186"/>
      <c r="Q29" s="1186"/>
      <c r="R29" s="518"/>
    </row>
    <row r="30" spans="2:22" ht="12" customHeight="1" x14ac:dyDescent="0.2">
      <c r="B30" s="626"/>
      <c r="C30" s="2472" t="str">
        <f>C18</f>
        <v>• avustus-%</v>
      </c>
      <c r="D30" s="2472"/>
      <c r="E30" s="2472"/>
      <c r="F30" s="2473"/>
      <c r="G30" s="600">
        <f>'1. T1 INVESTOINTISUUN.'!E37</f>
        <v>0</v>
      </c>
      <c r="H30" s="600">
        <f>'1. T1 INVESTOINTISUUN.'!F37</f>
        <v>0</v>
      </c>
      <c r="I30" s="600">
        <f>'1. T1 INVESTOINTISUUN.'!G37</f>
        <v>0</v>
      </c>
      <c r="J30" s="600">
        <f>'1. T1 INVESTOINTISUUN.'!H37</f>
        <v>0</v>
      </c>
      <c r="K30" s="645"/>
      <c r="L30" s="517"/>
      <c r="M30" s="1186"/>
      <c r="N30" s="1186"/>
      <c r="O30" s="1186"/>
      <c r="P30" s="1186"/>
      <c r="Q30" s="1186"/>
      <c r="R30" s="518"/>
    </row>
    <row r="31" spans="2:22" ht="12" customHeight="1" x14ac:dyDescent="0.2">
      <c r="B31" s="626" t="s">
        <v>9</v>
      </c>
      <c r="C31" s="2470" t="s">
        <v>140</v>
      </c>
      <c r="D31" s="2470"/>
      <c r="E31" s="2470"/>
      <c r="F31" s="2471"/>
      <c r="G31" s="763">
        <f>'1. T1 INVESTOINTISUUN.'!E38/1000</f>
        <v>0</v>
      </c>
      <c r="H31" s="763">
        <f>'1. T1 INVESTOINTISUUN.'!F38/1000</f>
        <v>0</v>
      </c>
      <c r="I31" s="763">
        <f>'1. T1 INVESTOINTISUUN.'!G38/1000</f>
        <v>0</v>
      </c>
      <c r="J31" s="763">
        <f>'1. T1 INVESTOINTISUUN.'!H38/1000</f>
        <v>0</v>
      </c>
      <c r="K31" s="763">
        <f>'1. T1 INVESTOINTISUUN.'!I38/1000</f>
        <v>0</v>
      </c>
      <c r="L31" s="517">
        <f>'1. T1 INVESTOINTISUUN.'!K38</f>
        <v>0</v>
      </c>
      <c r="M31" s="1186"/>
      <c r="N31" s="1186"/>
      <c r="O31" s="1186"/>
      <c r="P31" s="1186"/>
      <c r="Q31" s="1186"/>
      <c r="R31" s="518"/>
    </row>
    <row r="32" spans="2:22" ht="12" customHeight="1" x14ac:dyDescent="0.2">
      <c r="B32" s="626" t="s">
        <v>10</v>
      </c>
      <c r="C32" s="2484" t="s">
        <v>831</v>
      </c>
      <c r="D32" s="2484"/>
      <c r="E32" s="2484"/>
      <c r="F32" s="2485"/>
      <c r="G32" s="763">
        <f>'1. T1 INVESTOINTISUUN.'!E39/1000</f>
        <v>0</v>
      </c>
      <c r="H32" s="763">
        <f>'1. T1 INVESTOINTISUUN.'!F39/1000</f>
        <v>0</v>
      </c>
      <c r="I32" s="763">
        <f>'1. T1 INVESTOINTISUUN.'!G39/1000</f>
        <v>0</v>
      </c>
      <c r="J32" s="763">
        <f>'1. T1 INVESTOINTISUUN.'!H39/1000</f>
        <v>0</v>
      </c>
      <c r="K32" s="763">
        <f>'1. T1 INVESTOINTISUUN.'!I39/1000</f>
        <v>0</v>
      </c>
      <c r="L32" s="517">
        <f>'1. T1 INVESTOINTISUUN.'!K40</f>
        <v>0</v>
      </c>
      <c r="M32" s="1186"/>
      <c r="N32" s="1186"/>
      <c r="O32" s="1186"/>
      <c r="P32" s="1186"/>
      <c r="Q32" s="1186"/>
      <c r="R32" s="518"/>
      <c r="V32" s="483" t="s">
        <v>0</v>
      </c>
    </row>
    <row r="33" spans="2:22" ht="12" customHeight="1" x14ac:dyDescent="0.2">
      <c r="B33" s="626" t="s">
        <v>11</v>
      </c>
      <c r="C33" s="2470" t="s">
        <v>465</v>
      </c>
      <c r="D33" s="2470"/>
      <c r="E33" s="2470"/>
      <c r="F33" s="2471"/>
      <c r="G33" s="763">
        <f>'1. T1 INVESTOINTISUUN.'!E40/1000</f>
        <v>0</v>
      </c>
      <c r="H33" s="695">
        <f>'1. T1 INVESTOINTISUUN.'!F40/1000</f>
        <v>0</v>
      </c>
      <c r="I33" s="695">
        <f>'1. T1 INVESTOINTISUUN.'!G40/1000</f>
        <v>0</v>
      </c>
      <c r="J33" s="695">
        <f>'1. T1 INVESTOINTISUUN.'!H40/1000</f>
        <v>0</v>
      </c>
      <c r="K33" s="763">
        <f>'1. T1 INVESTOINTISUUN.'!I41/1000</f>
        <v>0</v>
      </c>
      <c r="L33" s="517"/>
      <c r="M33" s="1186"/>
      <c r="N33" s="1186"/>
      <c r="O33" s="1186"/>
      <c r="P33" s="1186"/>
      <c r="Q33" s="1186"/>
      <c r="R33" s="518"/>
      <c r="V33" s="483"/>
    </row>
    <row r="34" spans="2:22" ht="15" customHeight="1" x14ac:dyDescent="0.2">
      <c r="B34" s="612" t="s">
        <v>109</v>
      </c>
      <c r="C34" s="2486" t="s">
        <v>36</v>
      </c>
      <c r="D34" s="2486"/>
      <c r="E34" s="2486"/>
      <c r="F34" s="2487"/>
      <c r="G34" s="1197">
        <f>'1. T1 INVESTOINTISUUN.'!E42/1000</f>
        <v>0</v>
      </c>
      <c r="H34" s="1197">
        <f>'1. T1 INVESTOINTISUUN.'!F42/1000</f>
        <v>0</v>
      </c>
      <c r="I34" s="1197">
        <f>'1. T1 INVESTOINTISUUN.'!G42/1000</f>
        <v>0</v>
      </c>
      <c r="J34" s="1197">
        <f>'1. T1 INVESTOINTISUUN.'!H42/1000</f>
        <v>0</v>
      </c>
      <c r="K34" s="1197">
        <f>'1. T1 INVESTOINTISUUN.'!I42/1000</f>
        <v>0</v>
      </c>
      <c r="L34" s="517">
        <f>'1. T1 INVESTOINTISUUN.'!K42</f>
        <v>0</v>
      </c>
      <c r="M34" s="1186"/>
      <c r="N34" s="1186"/>
      <c r="O34" s="1186"/>
      <c r="P34" s="1186"/>
      <c r="Q34" s="1186"/>
      <c r="R34" s="518"/>
    </row>
    <row r="35" spans="2:22" ht="11.25" customHeight="1" x14ac:dyDescent="0.2">
      <c r="B35" s="2339" t="s">
        <v>425</v>
      </c>
      <c r="C35" s="2340"/>
      <c r="D35" s="1200"/>
      <c r="E35" s="1200"/>
      <c r="F35" s="1200"/>
      <c r="G35" s="1201" t="s">
        <v>281</v>
      </c>
      <c r="H35" s="1201" t="s">
        <v>282</v>
      </c>
      <c r="I35" s="1201" t="s">
        <v>283</v>
      </c>
      <c r="J35" s="1201" t="s">
        <v>284</v>
      </c>
      <c r="K35" s="2474" t="s">
        <v>285</v>
      </c>
      <c r="L35" s="2476" t="s">
        <v>658</v>
      </c>
      <c r="M35" s="2476"/>
      <c r="N35" s="2476"/>
      <c r="O35" s="2476"/>
      <c r="P35" s="2476"/>
      <c r="Q35" s="2476"/>
      <c r="R35" s="2477"/>
    </row>
    <row r="36" spans="2:22" ht="11.25" customHeight="1" x14ac:dyDescent="0.2">
      <c r="B36" s="2343"/>
      <c r="C36" s="2344"/>
      <c r="D36" s="1202"/>
      <c r="E36" s="1202"/>
      <c r="F36" s="1202"/>
      <c r="G36" s="1203">
        <f>G16</f>
        <v>2027</v>
      </c>
      <c r="H36" s="1203">
        <f>H16</f>
        <v>2028</v>
      </c>
      <c r="I36" s="1203">
        <f>I16</f>
        <v>2029</v>
      </c>
      <c r="J36" s="1204">
        <f>J16</f>
        <v>2030</v>
      </c>
      <c r="K36" s="2475"/>
      <c r="L36" s="2478"/>
      <c r="M36" s="2478"/>
      <c r="N36" s="2478"/>
      <c r="O36" s="2478"/>
      <c r="P36" s="2478"/>
      <c r="Q36" s="2478"/>
      <c r="R36" s="2479"/>
    </row>
    <row r="37" spans="2:22" ht="12" customHeight="1" x14ac:dyDescent="0.2">
      <c r="B37" s="2507" t="s">
        <v>118</v>
      </c>
      <c r="C37" s="2486"/>
      <c r="D37" s="598"/>
      <c r="E37" s="598"/>
      <c r="F37" s="1069"/>
      <c r="G37" s="1198"/>
      <c r="H37" s="1198"/>
      <c r="I37" s="1198"/>
      <c r="J37" s="1198"/>
      <c r="K37" s="1199" t="s">
        <v>0</v>
      </c>
      <c r="L37" s="413"/>
      <c r="M37" s="1187"/>
      <c r="N37" s="1187"/>
      <c r="O37" s="1187"/>
      <c r="P37" s="1187"/>
      <c r="Q37" s="1187"/>
      <c r="R37" s="474"/>
    </row>
    <row r="38" spans="2:22" ht="12" customHeight="1" x14ac:dyDescent="0.2">
      <c r="B38" s="626" t="s">
        <v>110</v>
      </c>
      <c r="C38" s="697" t="s">
        <v>391</v>
      </c>
      <c r="D38" s="697"/>
      <c r="E38" s="697"/>
      <c r="F38" s="698"/>
      <c r="G38" s="628"/>
      <c r="H38" s="628"/>
      <c r="I38" s="628"/>
      <c r="J38" s="628"/>
      <c r="K38" s="629"/>
      <c r="L38" s="413" t="s">
        <v>659</v>
      </c>
      <c r="M38" s="1187"/>
      <c r="N38" s="1187"/>
      <c r="O38" s="1187"/>
      <c r="P38" s="1187"/>
      <c r="Q38" s="1187"/>
      <c r="R38" s="474"/>
    </row>
    <row r="39" spans="2:22" ht="12" customHeight="1" x14ac:dyDescent="0.2">
      <c r="B39" s="626"/>
      <c r="C39" s="610" t="s">
        <v>829</v>
      </c>
      <c r="D39" s="610"/>
      <c r="E39" s="610"/>
      <c r="F39" s="630"/>
      <c r="G39" s="763">
        <f>'1. T1 INVESTOINTISUUN.'!E48/1000</f>
        <v>0</v>
      </c>
      <c r="H39" s="763">
        <f>'1. T1 INVESTOINTISUUN.'!F48/1000</f>
        <v>0</v>
      </c>
      <c r="I39" s="763">
        <f>'1. T1 INVESTOINTISUUN.'!G48/1000</f>
        <v>0</v>
      </c>
      <c r="J39" s="763">
        <f>'1. T1 INVESTOINTISUUN.'!H48/1000</f>
        <v>0</v>
      </c>
      <c r="K39" s="763">
        <f>'1. T1 INVESTOINTISUUN.'!I48/1000</f>
        <v>0</v>
      </c>
      <c r="L39" s="413"/>
      <c r="M39" s="1187"/>
      <c r="N39" s="1187"/>
      <c r="O39" s="1187"/>
      <c r="P39" s="1187"/>
      <c r="Q39" s="1187"/>
      <c r="R39" s="474"/>
    </row>
    <row r="40" spans="2:22" ht="12" customHeight="1" x14ac:dyDescent="0.2">
      <c r="B40" s="626"/>
      <c r="C40" s="610" t="s">
        <v>830</v>
      </c>
      <c r="D40" s="610"/>
      <c r="E40" s="610"/>
      <c r="F40" s="630"/>
      <c r="G40" s="763">
        <f>'1. T1 INVESTOINTISUUN.'!E49/1000</f>
        <v>0</v>
      </c>
      <c r="H40" s="763">
        <f>'1. T1 INVESTOINTISUUN.'!F49/1000</f>
        <v>0</v>
      </c>
      <c r="I40" s="763">
        <f>'1. T1 INVESTOINTISUUN.'!G49/1000</f>
        <v>0</v>
      </c>
      <c r="J40" s="763">
        <f>'1. T1 INVESTOINTISUUN.'!H49/1000</f>
        <v>0</v>
      </c>
      <c r="K40" s="763">
        <f>'1. T1 INVESTOINTISUUN.'!I49/1000</f>
        <v>0</v>
      </c>
      <c r="L40" s="413"/>
      <c r="M40" s="1187"/>
      <c r="N40" s="1187"/>
      <c r="O40" s="1187"/>
      <c r="P40" s="1187"/>
      <c r="Q40" s="1187"/>
      <c r="R40" s="474"/>
    </row>
    <row r="41" spans="2:22" ht="12" customHeight="1" x14ac:dyDescent="0.2">
      <c r="B41" s="626" t="s">
        <v>293</v>
      </c>
      <c r="C41" s="608" t="s">
        <v>828</v>
      </c>
      <c r="D41" s="608"/>
      <c r="E41" s="608"/>
      <c r="F41" s="627"/>
      <c r="G41" s="763">
        <f>'1. T1 INVESTOINTISUUN.'!E50/1000</f>
        <v>0</v>
      </c>
      <c r="H41" s="763">
        <f>'1. T1 INVESTOINTISUUN.'!F50/1000</f>
        <v>0</v>
      </c>
      <c r="I41" s="763">
        <f>'1. T1 INVESTOINTISUUN.'!G50/1000</f>
        <v>0</v>
      </c>
      <c r="J41" s="763">
        <f>'1. T1 INVESTOINTISUUN.'!H50/1000</f>
        <v>0</v>
      </c>
      <c r="K41" s="763">
        <f>'1. T1 INVESTOINTISUUN.'!I50/1000</f>
        <v>0</v>
      </c>
      <c r="L41" s="413"/>
      <c r="M41" s="1187"/>
      <c r="N41" s="1187"/>
      <c r="O41" s="1187"/>
      <c r="P41" s="1187"/>
      <c r="Q41" s="1187"/>
      <c r="R41" s="474"/>
    </row>
    <row r="42" spans="2:22" ht="12" customHeight="1" x14ac:dyDescent="0.2">
      <c r="B42" s="626" t="s">
        <v>111</v>
      </c>
      <c r="C42" s="608" t="s">
        <v>827</v>
      </c>
      <c r="D42" s="608"/>
      <c r="E42" s="608"/>
      <c r="F42" s="627"/>
      <c r="G42" s="763">
        <f>'1. T1 INVESTOINTISUUN.'!E51/1000</f>
        <v>0</v>
      </c>
      <c r="H42" s="763">
        <f>'1. T1 INVESTOINTISUUN.'!F51/1000</f>
        <v>0</v>
      </c>
      <c r="I42" s="763">
        <f>'1. T1 INVESTOINTISUUN.'!G51/1000</f>
        <v>0</v>
      </c>
      <c r="J42" s="763">
        <f>'1. T1 INVESTOINTISUUN.'!H51/1000</f>
        <v>0</v>
      </c>
      <c r="K42" s="763">
        <f>'1. T1 INVESTOINTISUUN.'!I51/1000</f>
        <v>0</v>
      </c>
      <c r="L42" s="413"/>
      <c r="M42" s="1187"/>
      <c r="N42" s="1187"/>
      <c r="O42" s="1187"/>
      <c r="P42" s="1187"/>
      <c r="Q42" s="1187"/>
      <c r="R42" s="474"/>
    </row>
    <row r="43" spans="2:22" ht="12" customHeight="1" x14ac:dyDescent="0.2">
      <c r="B43" s="626" t="s">
        <v>112</v>
      </c>
      <c r="C43" s="610" t="s">
        <v>826</v>
      </c>
      <c r="D43" s="610"/>
      <c r="E43" s="610"/>
      <c r="F43" s="630"/>
      <c r="G43" s="763">
        <f>'1. T1 INVESTOINTISUUN.'!E52/1000</f>
        <v>0</v>
      </c>
      <c r="H43" s="763">
        <f>'1. T1 INVESTOINTISUUN.'!F52/1000</f>
        <v>0</v>
      </c>
      <c r="I43" s="763">
        <f>'1. T1 INVESTOINTISUUN.'!G52/1000</f>
        <v>0</v>
      </c>
      <c r="J43" s="763">
        <f>'1. T1 INVESTOINTISUUN.'!H52/1000</f>
        <v>0</v>
      </c>
      <c r="K43" s="631">
        <f>'1. T1 INVESTOINTISUUN.'!I52/1000</f>
        <v>0</v>
      </c>
      <c r="L43" s="412"/>
      <c r="M43" s="1187"/>
      <c r="N43" s="1187"/>
      <c r="O43" s="1187"/>
      <c r="P43" s="1187"/>
      <c r="Q43" s="1187"/>
      <c r="R43" s="474"/>
    </row>
    <row r="44" spans="2:22" ht="12" customHeight="1" x14ac:dyDescent="0.2">
      <c r="B44" s="2508" t="s">
        <v>37</v>
      </c>
      <c r="C44" s="2509"/>
      <c r="D44" s="1070"/>
      <c r="E44" s="1070"/>
      <c r="F44" s="701"/>
      <c r="G44" s="695"/>
      <c r="H44" s="695"/>
      <c r="I44" s="695"/>
      <c r="J44" s="695"/>
      <c r="K44" s="696"/>
      <c r="L44" s="2482"/>
      <c r="M44" s="2483"/>
      <c r="N44" s="1600"/>
      <c r="O44" s="2526"/>
      <c r="P44" s="2526"/>
      <c r="Q44" s="1187"/>
      <c r="R44" s="474"/>
    </row>
    <row r="45" spans="2:22" ht="12" customHeight="1" x14ac:dyDescent="0.2">
      <c r="B45" s="626" t="s">
        <v>113</v>
      </c>
      <c r="C45" s="699" t="str">
        <f>'1. T1 INVESTOINTISUUN.'!C55</f>
        <v xml:space="preserve">Pankki </v>
      </c>
      <c r="D45" s="699"/>
      <c r="E45" s="699"/>
      <c r="F45" s="700"/>
      <c r="G45" s="763">
        <f>'1. T1 INVESTOINTISUUN.'!E55/1000</f>
        <v>0</v>
      </c>
      <c r="H45" s="763">
        <f>'1. T1 INVESTOINTISUUN.'!F55/1000</f>
        <v>0</v>
      </c>
      <c r="I45" s="763">
        <f>'1. T1 INVESTOINTISUUN.'!G55/1000</f>
        <v>0</v>
      </c>
      <c r="J45" s="763">
        <f>'1. T1 INVESTOINTISUUN.'!H55/1000</f>
        <v>0</v>
      </c>
      <c r="K45" s="631">
        <f>'1. T1 INVESTOINTISUUN.'!I55/1000</f>
        <v>0</v>
      </c>
      <c r="L45" s="2480"/>
      <c r="M45" s="2481"/>
      <c r="N45" s="1598"/>
      <c r="O45" s="2525"/>
      <c r="P45" s="2525"/>
      <c r="Q45" s="1187"/>
      <c r="R45" s="474"/>
    </row>
    <row r="46" spans="2:22" ht="12" customHeight="1" x14ac:dyDescent="0.2">
      <c r="B46" s="626" t="s">
        <v>114</v>
      </c>
      <c r="C46" s="610" t="str">
        <f>'1. T1 INVESTOINTISUUN.'!C56</f>
        <v xml:space="preserve">Finnvera </v>
      </c>
      <c r="D46" s="610"/>
      <c r="E46" s="610"/>
      <c r="F46" s="630"/>
      <c r="G46" s="763">
        <f>'1. T1 INVESTOINTISUUN.'!E56/1000</f>
        <v>0</v>
      </c>
      <c r="H46" s="763">
        <f>'1. T1 INVESTOINTISUUN.'!F56/1000</f>
        <v>0</v>
      </c>
      <c r="I46" s="763">
        <f>'1. T1 INVESTOINTISUUN.'!G56/1000</f>
        <v>0</v>
      </c>
      <c r="J46" s="763">
        <f>'1. T1 INVESTOINTISUUN.'!H56/1000</f>
        <v>0</v>
      </c>
      <c r="K46" s="631">
        <f>'1. T1 INVESTOINTISUUN.'!I56/1000</f>
        <v>0</v>
      </c>
      <c r="L46" s="2480"/>
      <c r="M46" s="2481"/>
      <c r="N46" s="1598"/>
      <c r="O46" s="2525"/>
      <c r="P46" s="2525"/>
      <c r="Q46" s="1187"/>
      <c r="R46" s="474"/>
    </row>
    <row r="47" spans="2:22" ht="12" customHeight="1" x14ac:dyDescent="0.2">
      <c r="B47" s="626" t="s">
        <v>115</v>
      </c>
      <c r="C47" s="610" t="str">
        <f>'1. T1 INVESTOINTISUUN.'!C57</f>
        <v>Osamaksurahoitus, eläkelaina, yrittäjän oma laina tms.</v>
      </c>
      <c r="D47" s="610"/>
      <c r="E47" s="610"/>
      <c r="F47" s="630"/>
      <c r="G47" s="763">
        <f>'1. T1 INVESTOINTISUUN.'!E57/1000</f>
        <v>0</v>
      </c>
      <c r="H47" s="763">
        <f>'1. T1 INVESTOINTISUUN.'!F57/1000</f>
        <v>0</v>
      </c>
      <c r="I47" s="763">
        <f>'1. T1 INVESTOINTISUUN.'!G57/1000</f>
        <v>0</v>
      </c>
      <c r="J47" s="763">
        <f>'1. T1 INVESTOINTISUUN.'!H57/1000</f>
        <v>0</v>
      </c>
      <c r="K47" s="631">
        <f>'1. T1 INVESTOINTISUUN.'!I57/1000</f>
        <v>0</v>
      </c>
      <c r="L47" s="2480"/>
      <c r="M47" s="2481"/>
      <c r="N47" s="1598"/>
      <c r="O47" s="2525"/>
      <c r="P47" s="2525"/>
      <c r="Q47" s="1187"/>
      <c r="R47" s="474"/>
    </row>
    <row r="48" spans="2:22" ht="12" hidden="1" customHeight="1" x14ac:dyDescent="0.2">
      <c r="B48" s="626" t="s">
        <v>116</v>
      </c>
      <c r="C48" s="610" t="s">
        <v>349</v>
      </c>
      <c r="D48" s="610"/>
      <c r="E48" s="610"/>
      <c r="F48" s="630"/>
      <c r="G48" s="763">
        <f>'1. T1 INVESTOINTISUUN.'!E58/1000</f>
        <v>0</v>
      </c>
      <c r="H48" s="763">
        <f>'1. T1 INVESTOINTISUUN.'!F58/1000</f>
        <v>0</v>
      </c>
      <c r="I48" s="763">
        <f>'1. T1 INVESTOINTISUUN.'!G58/1000</f>
        <v>0</v>
      </c>
      <c r="J48" s="763">
        <f>'1. T1 INVESTOINTISUUN.'!H58/1000</f>
        <v>0</v>
      </c>
      <c r="K48" s="631">
        <f>'1. T1 INVESTOINTISUUN.'!I58/1000</f>
        <v>0</v>
      </c>
      <c r="L48" s="2480"/>
      <c r="M48" s="2481"/>
      <c r="N48" s="1598"/>
      <c r="O48" s="2525"/>
      <c r="P48" s="2525"/>
      <c r="Q48" s="1187"/>
      <c r="R48" s="474"/>
    </row>
    <row r="49" spans="1:18" ht="12" hidden="1" customHeight="1" x14ac:dyDescent="0.2">
      <c r="B49" s="626" t="s">
        <v>33</v>
      </c>
      <c r="C49" s="610" t="s">
        <v>350</v>
      </c>
      <c r="D49" s="610"/>
      <c r="E49" s="610"/>
      <c r="F49" s="630"/>
      <c r="G49" s="763">
        <f>'1. T1 INVESTOINTISUUN.'!E59/1000</f>
        <v>0</v>
      </c>
      <c r="H49" s="763">
        <f>'1. T1 INVESTOINTISUUN.'!F59/1000</f>
        <v>0</v>
      </c>
      <c r="I49" s="763">
        <f>'1. T1 INVESTOINTISUUN.'!G59/1000</f>
        <v>0</v>
      </c>
      <c r="J49" s="763">
        <f>'1. T1 INVESTOINTISUUN.'!H59/1000</f>
        <v>0</v>
      </c>
      <c r="K49" s="631">
        <f>'1. T1 INVESTOINTISUUN.'!I59/1000</f>
        <v>0</v>
      </c>
      <c r="L49" s="412"/>
      <c r="M49" s="1187"/>
      <c r="N49" s="1189"/>
      <c r="O49" s="1190"/>
      <c r="P49" s="1191"/>
      <c r="Q49" s="1187"/>
      <c r="R49" s="474"/>
    </row>
    <row r="50" spans="1:18" ht="12" customHeight="1" x14ac:dyDescent="0.2">
      <c r="B50" s="626" t="s">
        <v>116</v>
      </c>
      <c r="C50" s="608" t="s">
        <v>226</v>
      </c>
      <c r="D50" s="608"/>
      <c r="E50" s="608"/>
      <c r="F50" s="627"/>
      <c r="G50" s="763">
        <f>'1. T1 INVESTOINTISUUN.'!E60/1000</f>
        <v>0</v>
      </c>
      <c r="H50" s="763">
        <f>'1. T1 INVESTOINTISUUN.'!F60/1000</f>
        <v>0</v>
      </c>
      <c r="I50" s="763">
        <f>'1. T1 INVESTOINTISUUN.'!G60/1000</f>
        <v>0</v>
      </c>
      <c r="J50" s="763">
        <f>'1. T1 INVESTOINTISUUN.'!H60/1000</f>
        <v>0</v>
      </c>
      <c r="K50" s="631">
        <f>'1. T1 INVESTOINTISUUN.'!I60/1000</f>
        <v>0</v>
      </c>
      <c r="L50" s="412"/>
      <c r="M50" s="1187"/>
      <c r="N50" s="1187"/>
      <c r="O50" s="1187"/>
      <c r="P50" s="1187"/>
      <c r="Q50" s="1187"/>
      <c r="R50" s="474"/>
    </row>
    <row r="51" spans="1:18" ht="12" customHeight="1" x14ac:dyDescent="0.2">
      <c r="B51" s="626" t="s">
        <v>33</v>
      </c>
      <c r="C51" s="608" t="s">
        <v>227</v>
      </c>
      <c r="D51" s="608"/>
      <c r="E51" s="608"/>
      <c r="F51" s="627"/>
      <c r="G51" s="763">
        <f>'1. T1 INVESTOINTISUUN.'!E61/1000</f>
        <v>0</v>
      </c>
      <c r="H51" s="763">
        <f>'1. T1 INVESTOINTISUUN.'!F61/1000</f>
        <v>0</v>
      </c>
      <c r="I51" s="763">
        <f>'1. T1 INVESTOINTISUUN.'!G61/1000</f>
        <v>0</v>
      </c>
      <c r="J51" s="763">
        <f>'1. T1 INVESTOINTISUUN.'!H61/1000</f>
        <v>0</v>
      </c>
      <c r="K51" s="631">
        <f>'1. T1 INVESTOINTISUUN.'!I61/1000</f>
        <v>0</v>
      </c>
      <c r="L51" s="412"/>
      <c r="M51" s="1187"/>
      <c r="N51" s="1187"/>
      <c r="O51" s="1187">
        <v>0</v>
      </c>
      <c r="P51" s="1187"/>
      <c r="Q51" s="1187"/>
      <c r="R51" s="474"/>
    </row>
    <row r="52" spans="1:18" ht="15" customHeight="1" x14ac:dyDescent="0.2">
      <c r="B52" s="625" t="s">
        <v>311</v>
      </c>
      <c r="C52" s="1235" t="s">
        <v>228</v>
      </c>
      <c r="D52" s="603"/>
      <c r="E52" s="603"/>
      <c r="F52" s="603"/>
      <c r="G52" s="1066">
        <f>'1. T1 INVESTOINTISUUN.'!E62/1000</f>
        <v>0</v>
      </c>
      <c r="H52" s="1066">
        <f>'1. T1 INVESTOINTISUUN.'!F62/1000</f>
        <v>0</v>
      </c>
      <c r="I52" s="1066">
        <f>'1. T1 INVESTOINTISUUN.'!G62/1000</f>
        <v>0</v>
      </c>
      <c r="J52" s="1066">
        <f>'1. T1 INVESTOINTISUUN.'!H62/1000</f>
        <v>0</v>
      </c>
      <c r="K52" s="1192">
        <f>'1. T1 INVESTOINTISUUN.'!I62/1000</f>
        <v>0</v>
      </c>
      <c r="L52" s="1193"/>
      <c r="M52" s="1194"/>
      <c r="N52" s="1194"/>
      <c r="O52" s="1194"/>
      <c r="P52" s="1194"/>
      <c r="Q52" s="1194"/>
      <c r="R52" s="1195"/>
    </row>
    <row r="53" spans="1:18" ht="15" customHeight="1" x14ac:dyDescent="0.2">
      <c r="B53" s="1785"/>
      <c r="C53" s="1785"/>
      <c r="D53" s="1785"/>
      <c r="E53" s="1785"/>
      <c r="F53" s="1785"/>
      <c r="G53" s="1785"/>
      <c r="H53" s="1785"/>
      <c r="I53" s="1785"/>
      <c r="J53" s="1785"/>
      <c r="K53" s="1784">
        <v>0</v>
      </c>
      <c r="L53" s="1709"/>
      <c r="M53" s="1709"/>
      <c r="N53" s="1709"/>
      <c r="O53" s="1709"/>
      <c r="P53" s="1709"/>
      <c r="Q53" s="1709"/>
      <c r="R53" s="1709"/>
    </row>
    <row r="54" spans="1:18" ht="11.45" customHeight="1" x14ac:dyDescent="0.2">
      <c r="B54" s="129"/>
      <c r="C54" s="129"/>
      <c r="D54" s="129"/>
      <c r="E54" s="129"/>
      <c r="F54" s="129"/>
      <c r="G54" s="129"/>
      <c r="H54" s="129"/>
      <c r="I54" s="129" t="s">
        <v>0</v>
      </c>
      <c r="J54" s="129"/>
      <c r="K54" s="129"/>
      <c r="L54" s="129"/>
      <c r="M54" s="129"/>
      <c r="N54" s="129"/>
      <c r="O54" s="129"/>
      <c r="P54" s="129"/>
      <c r="Q54" s="129"/>
      <c r="R54" s="129"/>
    </row>
    <row r="55" spans="1:18" ht="11.25" customHeight="1" x14ac:dyDescent="0.2">
      <c r="B55" s="2339" t="s">
        <v>286</v>
      </c>
      <c r="C55" s="2340"/>
      <c r="D55" s="2340"/>
      <c r="E55" s="2340"/>
      <c r="F55" s="1205"/>
      <c r="G55" s="2510"/>
      <c r="H55" s="2510"/>
      <c r="I55" s="2510"/>
      <c r="J55" s="2511"/>
      <c r="K55" s="2500" t="s">
        <v>52</v>
      </c>
      <c r="L55" s="2501"/>
      <c r="M55" s="2500" t="s">
        <v>43</v>
      </c>
      <c r="N55" s="2501"/>
      <c r="O55" s="2500" t="s">
        <v>44</v>
      </c>
      <c r="P55" s="2501"/>
      <c r="Q55" s="2502" t="s">
        <v>188</v>
      </c>
      <c r="R55" s="2501"/>
    </row>
    <row r="56" spans="1:18" ht="11.25" customHeight="1" x14ac:dyDescent="0.2">
      <c r="A56">
        <v>0</v>
      </c>
      <c r="B56" s="2341"/>
      <c r="C56" s="2342"/>
      <c r="D56" s="2342"/>
      <c r="E56" s="2342"/>
      <c r="F56" s="1206"/>
      <c r="G56" s="2503"/>
      <c r="H56" s="2503"/>
      <c r="I56" s="2503"/>
      <c r="J56" s="2464"/>
      <c r="K56" s="2463">
        <f>G36</f>
        <v>2027</v>
      </c>
      <c r="L56" s="2464"/>
      <c r="M56" s="2463">
        <f>H36</f>
        <v>2028</v>
      </c>
      <c r="N56" s="2464"/>
      <c r="O56" s="2463">
        <f>I36</f>
        <v>2029</v>
      </c>
      <c r="P56" s="2464"/>
      <c r="Q56" s="2469">
        <f>J36</f>
        <v>2030</v>
      </c>
      <c r="R56" s="2464"/>
    </row>
    <row r="57" spans="1:18" ht="11.25" customHeight="1" x14ac:dyDescent="0.2">
      <c r="B57" s="2343"/>
      <c r="C57" s="2344"/>
      <c r="D57" s="2344"/>
      <c r="E57" s="2344"/>
      <c r="F57" s="1207"/>
      <c r="G57" s="1208"/>
      <c r="H57" s="1209"/>
      <c r="I57" s="1208"/>
      <c r="J57" s="1399"/>
      <c r="K57" s="1219" t="s">
        <v>287</v>
      </c>
      <c r="L57" s="1211" t="s">
        <v>13</v>
      </c>
      <c r="M57" s="1219" t="s">
        <v>287</v>
      </c>
      <c r="N57" s="1211" t="s">
        <v>13</v>
      </c>
      <c r="O57" s="1219" t="s">
        <v>287</v>
      </c>
      <c r="P57" s="1211" t="s">
        <v>13</v>
      </c>
      <c r="Q57" s="1210" t="s">
        <v>287</v>
      </c>
      <c r="R57" s="1211" t="s">
        <v>13</v>
      </c>
    </row>
    <row r="58" spans="1:18" ht="12.6" customHeight="1" x14ac:dyDescent="0.2">
      <c r="B58" s="1216"/>
      <c r="C58" s="1217" t="s">
        <v>288</v>
      </c>
      <c r="D58" s="1218"/>
      <c r="E58" s="1218"/>
      <c r="F58" s="1218"/>
      <c r="G58" s="2456"/>
      <c r="H58" s="2456"/>
      <c r="I58" s="2456"/>
      <c r="J58" s="2457"/>
      <c r="K58" s="2458">
        <f>'3. E1 KUSTANNUKSET'!D10</f>
        <v>12</v>
      </c>
      <c r="L58" s="2457"/>
      <c r="M58" s="2458" t="str">
        <f>'3. E1 KUSTANNUKSET'!F10</f>
        <v>12</v>
      </c>
      <c r="N58" s="2457"/>
      <c r="O58" s="2458" t="str">
        <f>'3. E1 KUSTANNUKSET'!H10</f>
        <v>12</v>
      </c>
      <c r="P58" s="2457"/>
      <c r="Q58" s="2456" t="str">
        <f>'3. E1 KUSTANNUKSET'!J10</f>
        <v>12</v>
      </c>
      <c r="R58" s="2457"/>
    </row>
    <row r="59" spans="1:18" ht="15" customHeight="1" x14ac:dyDescent="0.2">
      <c r="B59" s="612" t="s">
        <v>2</v>
      </c>
      <c r="C59" s="455" t="s">
        <v>20</v>
      </c>
      <c r="D59" s="455"/>
      <c r="E59" s="455"/>
      <c r="F59" s="455"/>
      <c r="G59" s="1212"/>
      <c r="H59" s="1213"/>
      <c r="I59" s="1214"/>
      <c r="J59" s="1400"/>
      <c r="K59" s="1405">
        <f>'7. T2 TULOSSUUN.'!G11/1000</f>
        <v>0</v>
      </c>
      <c r="L59" s="1215">
        <v>0</v>
      </c>
      <c r="M59" s="1405">
        <f>'7. T2 TULOSSUUN.'!I11/1000</f>
        <v>0</v>
      </c>
      <c r="N59" s="1215">
        <v>0</v>
      </c>
      <c r="O59" s="1405">
        <f>'7. T2 TULOSSUUN.'!K11/1000</f>
        <v>0</v>
      </c>
      <c r="P59" s="1215">
        <v>0</v>
      </c>
      <c r="Q59" s="925">
        <f>'7. T2 TULOSSUUN.'!M11/1000</f>
        <v>0</v>
      </c>
      <c r="R59" s="1215">
        <v>0</v>
      </c>
    </row>
    <row r="60" spans="1:18" ht="12" customHeight="1" x14ac:dyDescent="0.2">
      <c r="B60" s="612" t="s">
        <v>3</v>
      </c>
      <c r="C60" s="614" t="s">
        <v>21</v>
      </c>
      <c r="D60" s="614"/>
      <c r="E60" s="614"/>
      <c r="F60" s="614"/>
      <c r="G60" s="622"/>
      <c r="H60" s="728"/>
      <c r="I60" s="731"/>
      <c r="J60" s="1401"/>
      <c r="K60" s="763">
        <f>'7. T2 TULOSSUUN.'!G12/1000</f>
        <v>0</v>
      </c>
      <c r="L60" s="1062"/>
      <c r="M60" s="763">
        <f>'7. T2 TULOSSUUN.'!I12/1000</f>
        <v>0</v>
      </c>
      <c r="N60" s="1062"/>
      <c r="O60" s="763">
        <f>'7. T2 TULOSSUUN.'!K12/1000</f>
        <v>0</v>
      </c>
      <c r="P60" s="1062"/>
      <c r="Q60" s="1378">
        <f>'7. T2 TULOSSUUN.'!M12/1000</f>
        <v>0</v>
      </c>
      <c r="R60" s="1062"/>
    </row>
    <row r="61" spans="1:18" ht="12" customHeight="1" x14ac:dyDescent="0.2">
      <c r="B61" s="612" t="s">
        <v>4</v>
      </c>
      <c r="C61" s="614" t="s">
        <v>289</v>
      </c>
      <c r="D61" s="614"/>
      <c r="E61" s="614"/>
      <c r="F61" s="614"/>
      <c r="G61" s="622"/>
      <c r="H61" s="728"/>
      <c r="I61" s="731"/>
      <c r="J61" s="1401"/>
      <c r="K61" s="763">
        <f>'7. T2 TULOSSUUN.'!G13/1000</f>
        <v>0</v>
      </c>
      <c r="L61" s="1062"/>
      <c r="M61" s="763">
        <f>'7. T2 TULOSSUUN.'!I13/1000</f>
        <v>0</v>
      </c>
      <c r="N61" s="1062"/>
      <c r="O61" s="763">
        <f>'7. T2 TULOSSUUN.'!K13/1000</f>
        <v>0</v>
      </c>
      <c r="P61" s="1062"/>
      <c r="Q61" s="1378">
        <f>'7. T2 TULOSSUUN.'!M13/1000</f>
        <v>0</v>
      </c>
      <c r="R61" s="1062"/>
    </row>
    <row r="62" spans="1:18" ht="15" customHeight="1" x14ac:dyDescent="0.2">
      <c r="B62" s="612" t="s">
        <v>5</v>
      </c>
      <c r="C62" s="616" t="s">
        <v>25</v>
      </c>
      <c r="D62" s="616"/>
      <c r="E62" s="616"/>
      <c r="F62" s="616"/>
      <c r="G62" s="623"/>
      <c r="H62" s="729"/>
      <c r="I62" s="732"/>
      <c r="J62" s="1402"/>
      <c r="K62" s="1066">
        <f>'7. T2 TULOSSUUN.'!G14/1000</f>
        <v>0</v>
      </c>
      <c r="L62" s="1063">
        <v>100</v>
      </c>
      <c r="M62" s="1066">
        <f>'7. T2 TULOSSUUN.'!I14/1000</f>
        <v>0</v>
      </c>
      <c r="N62" s="1063">
        <v>100</v>
      </c>
      <c r="O62" s="1066">
        <f>'7. T2 TULOSSUUN.'!K14/1000</f>
        <v>0</v>
      </c>
      <c r="P62" s="1063">
        <v>100</v>
      </c>
      <c r="Q62" s="1406">
        <f>'7. T2 TULOSSUUN.'!M14/1000</f>
        <v>0</v>
      </c>
      <c r="R62" s="1063">
        <v>100</v>
      </c>
    </row>
    <row r="63" spans="1:18" ht="12" customHeight="1" x14ac:dyDescent="0.2">
      <c r="B63" s="612" t="s">
        <v>6</v>
      </c>
      <c r="C63" s="614" t="s">
        <v>22</v>
      </c>
      <c r="D63" s="614"/>
      <c r="E63" s="614"/>
      <c r="F63" s="614"/>
      <c r="G63" s="622"/>
      <c r="H63" s="728"/>
      <c r="I63" s="731"/>
      <c r="J63" s="1401"/>
      <c r="K63" s="763">
        <f>'7. T2 TULOSSUUN.'!G15/1000</f>
        <v>0</v>
      </c>
      <c r="L63" s="1064">
        <f>'7. T2 TULOSSUUN.'!H15</f>
        <v>0</v>
      </c>
      <c r="M63" s="763">
        <f>'7. T2 TULOSSUUN.'!I15/1000</f>
        <v>0</v>
      </c>
      <c r="N63" s="1064">
        <f>'7. T2 TULOSSUUN.'!J15</f>
        <v>0</v>
      </c>
      <c r="O63" s="763">
        <f>'7. T2 TULOSSUUN.'!K15/1000</f>
        <v>0</v>
      </c>
      <c r="P63" s="1064">
        <f>'7. T2 TULOSSUUN.'!L15</f>
        <v>0</v>
      </c>
      <c r="Q63" s="1378">
        <f>'7. T2 TULOSSUUN.'!M15/1000</f>
        <v>0</v>
      </c>
      <c r="R63" s="1064">
        <f>'7. T2 TULOSSUUN.'!N15</f>
        <v>0</v>
      </c>
    </row>
    <row r="64" spans="1:18" ht="12" customHeight="1" x14ac:dyDescent="0.2">
      <c r="B64" s="612" t="s">
        <v>7</v>
      </c>
      <c r="C64" s="614" t="s">
        <v>23</v>
      </c>
      <c r="D64" s="614"/>
      <c r="E64" s="614"/>
      <c r="F64" s="614"/>
      <c r="G64" s="622"/>
      <c r="H64" s="728"/>
      <c r="I64" s="731"/>
      <c r="J64" s="1401"/>
      <c r="K64" s="763">
        <f>'7. T2 TULOSSUUN.'!G16/1000</f>
        <v>0</v>
      </c>
      <c r="L64" s="1064">
        <f>'7. T2 TULOSSUUN.'!H16</f>
        <v>0</v>
      </c>
      <c r="M64" s="763">
        <f>'7. T2 TULOSSUUN.'!I16/1000</f>
        <v>0</v>
      </c>
      <c r="N64" s="1064">
        <f>'7. T2 TULOSSUUN.'!J16</f>
        <v>0</v>
      </c>
      <c r="O64" s="763">
        <f>'7. T2 TULOSSUUN.'!K16/1000</f>
        <v>0</v>
      </c>
      <c r="P64" s="1064">
        <f>'7. T2 TULOSSUUN.'!L16</f>
        <v>0</v>
      </c>
      <c r="Q64" s="1378">
        <f>'7. T2 TULOSSUUN.'!M16/1000</f>
        <v>0</v>
      </c>
      <c r="R64" s="1064">
        <f>'7. T2 TULOSSUUN.'!N16</f>
        <v>0</v>
      </c>
    </row>
    <row r="65" spans="2:18" ht="12" customHeight="1" x14ac:dyDescent="0.2">
      <c r="B65" s="612" t="s">
        <v>8</v>
      </c>
      <c r="C65" s="614" t="s">
        <v>290</v>
      </c>
      <c r="D65" s="614"/>
      <c r="E65" s="614"/>
      <c r="F65" s="614"/>
      <c r="G65" s="622"/>
      <c r="H65" s="728"/>
      <c r="I65" s="731"/>
      <c r="J65" s="1401"/>
      <c r="K65" s="763">
        <f>'7. T2 TULOSSUUN.'!G17/1000</f>
        <v>0</v>
      </c>
      <c r="L65" s="1064">
        <f>'7. T2 TULOSSUUN.'!H17</f>
        <v>0</v>
      </c>
      <c r="M65" s="763">
        <f>'7. T2 TULOSSUUN.'!I17/1000</f>
        <v>0</v>
      </c>
      <c r="N65" s="1064">
        <f>'7. T2 TULOSSUUN.'!J17</f>
        <v>0</v>
      </c>
      <c r="O65" s="763">
        <f>'7. T2 TULOSSUUN.'!K17/1000</f>
        <v>0</v>
      </c>
      <c r="P65" s="1064">
        <f>'7. T2 TULOSSUUN.'!L17</f>
        <v>0</v>
      </c>
      <c r="Q65" s="1378">
        <f>'7. T2 TULOSSUUN.'!M17/1000</f>
        <v>0</v>
      </c>
      <c r="R65" s="1064">
        <f>'7. T2 TULOSSUUN.'!N17</f>
        <v>0</v>
      </c>
    </row>
    <row r="66" spans="2:18" ht="12" customHeight="1" x14ac:dyDescent="0.2">
      <c r="B66" s="612" t="s">
        <v>9</v>
      </c>
      <c r="C66" s="545" t="s">
        <v>24</v>
      </c>
      <c r="D66" s="545"/>
      <c r="E66" s="545"/>
      <c r="F66" s="545"/>
      <c r="G66" s="622"/>
      <c r="H66" s="728"/>
      <c r="I66" s="731"/>
      <c r="J66" s="1401"/>
      <c r="K66" s="763">
        <f>'7. T2 TULOSSUUN.'!G18/1000</f>
        <v>0</v>
      </c>
      <c r="L66" s="1064">
        <f>'7. T2 TULOSSUUN.'!H18</f>
        <v>0</v>
      </c>
      <c r="M66" s="763">
        <f>'7. T2 TULOSSUUN.'!I18/1000</f>
        <v>0</v>
      </c>
      <c r="N66" s="1064">
        <f>'7. T2 TULOSSUUN.'!J18</f>
        <v>0</v>
      </c>
      <c r="O66" s="763">
        <f>'7. T2 TULOSSUUN.'!K18/1000</f>
        <v>0</v>
      </c>
      <c r="P66" s="1064">
        <f>'7. T2 TULOSSUUN.'!L18</f>
        <v>0</v>
      </c>
      <c r="Q66" s="1378">
        <f>'7. T2 TULOSSUUN.'!M18/1000</f>
        <v>0</v>
      </c>
      <c r="R66" s="1064">
        <f>'7. T2 TULOSSUUN.'!N18</f>
        <v>0</v>
      </c>
    </row>
    <row r="67" spans="2:18" ht="12" customHeight="1" x14ac:dyDescent="0.2">
      <c r="B67" s="612" t="s">
        <v>10</v>
      </c>
      <c r="C67" s="545" t="s">
        <v>40</v>
      </c>
      <c r="D67" s="545"/>
      <c r="E67" s="545"/>
      <c r="F67" s="545"/>
      <c r="G67" s="622"/>
      <c r="H67" s="728"/>
      <c r="I67" s="731"/>
      <c r="J67" s="1401"/>
      <c r="K67" s="763">
        <f>'7. T2 TULOSSUUN.'!G19/1000</f>
        <v>0</v>
      </c>
      <c r="L67" s="1064">
        <f>'7. T2 TULOSSUUN.'!H19</f>
        <v>0</v>
      </c>
      <c r="M67" s="763">
        <f>'7. T2 TULOSSUUN.'!I19/1000</f>
        <v>0</v>
      </c>
      <c r="N67" s="1064">
        <f>'7. T2 TULOSSUUN.'!J19</f>
        <v>0</v>
      </c>
      <c r="O67" s="763">
        <f>'7. T2 TULOSSUUN.'!K19/1000</f>
        <v>0</v>
      </c>
      <c r="P67" s="1064">
        <f>'7. T2 TULOSSUUN.'!L19</f>
        <v>0</v>
      </c>
      <c r="Q67" s="1378">
        <f>'7. T2 TULOSSUUN.'!M19/1000</f>
        <v>0</v>
      </c>
      <c r="R67" s="1064">
        <f>'7. T2 TULOSSUUN.'!N19</f>
        <v>0</v>
      </c>
    </row>
    <row r="68" spans="2:18" ht="15" customHeight="1" x14ac:dyDescent="0.2">
      <c r="B68" s="612" t="s">
        <v>11</v>
      </c>
      <c r="C68" s="615" t="s">
        <v>26</v>
      </c>
      <c r="D68" s="615"/>
      <c r="E68" s="615"/>
      <c r="F68" s="615"/>
      <c r="G68" s="623"/>
      <c r="H68" s="730"/>
      <c r="I68" s="732"/>
      <c r="J68" s="1403"/>
      <c r="K68" s="1066">
        <f>'7. T2 TULOSSUUN.'!G20/1000</f>
        <v>0</v>
      </c>
      <c r="L68" s="1065">
        <f>'7. T2 TULOSSUUN.'!H20</f>
        <v>0</v>
      </c>
      <c r="M68" s="1066">
        <f>'7. T2 TULOSSUUN.'!I20/1000</f>
        <v>0</v>
      </c>
      <c r="N68" s="1065">
        <f>'7. T2 TULOSSUUN.'!J20</f>
        <v>0</v>
      </c>
      <c r="O68" s="1066">
        <f>'7. T2 TULOSSUUN.'!K20/1000</f>
        <v>0</v>
      </c>
      <c r="P68" s="1065">
        <f>'7. T2 TULOSSUUN.'!L20</f>
        <v>0</v>
      </c>
      <c r="Q68" s="1406">
        <f>'7. T2 TULOSSUUN.'!M20/1000</f>
        <v>0</v>
      </c>
      <c r="R68" s="1065">
        <f>'7. T2 TULOSSUUN.'!N20</f>
        <v>0</v>
      </c>
    </row>
    <row r="69" spans="2:18" ht="12" customHeight="1" x14ac:dyDescent="0.2">
      <c r="B69" s="612" t="s">
        <v>109</v>
      </c>
      <c r="C69" s="545" t="s">
        <v>291</v>
      </c>
      <c r="D69" s="545"/>
      <c r="E69" s="545"/>
      <c r="F69" s="545"/>
      <c r="G69" s="622"/>
      <c r="H69" s="728"/>
      <c r="I69" s="731"/>
      <c r="J69" s="1401"/>
      <c r="K69" s="763">
        <f>'7. T2 TULOSSUUN.'!G21/1000</f>
        <v>0</v>
      </c>
      <c r="L69" s="1064">
        <f>'7. T2 TULOSSUUN.'!H21</f>
        <v>0</v>
      </c>
      <c r="M69" s="763">
        <f>'7. T2 TULOSSUUN.'!I21/1000</f>
        <v>0</v>
      </c>
      <c r="N69" s="1064">
        <f>'7. T2 TULOSSUUN.'!J21</f>
        <v>0</v>
      </c>
      <c r="O69" s="763">
        <f>'7. T2 TULOSSUUN.'!K21/1000</f>
        <v>0</v>
      </c>
      <c r="P69" s="1064">
        <f>'7. T2 TULOSSUUN.'!L21</f>
        <v>0</v>
      </c>
      <c r="Q69" s="1378">
        <f>'7. T2 TULOSSUUN.'!M21/1000</f>
        <v>0</v>
      </c>
      <c r="R69" s="1064">
        <f>'7. T2 TULOSSUUN.'!N21</f>
        <v>0</v>
      </c>
    </row>
    <row r="70" spans="2:18" ht="15" customHeight="1" x14ac:dyDescent="0.2">
      <c r="B70" s="612" t="s">
        <v>110</v>
      </c>
      <c r="C70" s="615" t="s">
        <v>292</v>
      </c>
      <c r="D70" s="615"/>
      <c r="E70" s="615"/>
      <c r="F70" s="615"/>
      <c r="G70" s="623"/>
      <c r="H70" s="730"/>
      <c r="I70" s="732"/>
      <c r="J70" s="1403"/>
      <c r="K70" s="1066">
        <f>'7. T2 TULOSSUUN.'!G22/1000</f>
        <v>0</v>
      </c>
      <c r="L70" s="1065">
        <f>'7. T2 TULOSSUUN.'!H22</f>
        <v>0</v>
      </c>
      <c r="M70" s="1066">
        <f>'7. T2 TULOSSUUN.'!I22/1000</f>
        <v>0</v>
      </c>
      <c r="N70" s="1065">
        <f>'7. T2 TULOSSUUN.'!J22</f>
        <v>0</v>
      </c>
      <c r="O70" s="1066">
        <f>'7. T2 TULOSSUUN.'!K22/1000</f>
        <v>0</v>
      </c>
      <c r="P70" s="1065">
        <f>'7. T2 TULOSSUUN.'!L22</f>
        <v>0</v>
      </c>
      <c r="Q70" s="1406">
        <f>'7. T2 TULOSSUUN.'!M22/1000</f>
        <v>0</v>
      </c>
      <c r="R70" s="1065">
        <f>'7. T2 TULOSSUUN.'!N22</f>
        <v>0</v>
      </c>
    </row>
    <row r="71" spans="2:18" ht="12" customHeight="1" x14ac:dyDescent="0.2">
      <c r="B71" s="612" t="s">
        <v>293</v>
      </c>
      <c r="C71" s="545" t="s">
        <v>42</v>
      </c>
      <c r="D71" s="545"/>
      <c r="E71" s="545"/>
      <c r="F71" s="545"/>
      <c r="G71" s="622"/>
      <c r="H71" s="728"/>
      <c r="I71" s="731"/>
      <c r="J71" s="1401"/>
      <c r="K71" s="763">
        <f>'7. T2 TULOSSUUN.'!G23/1000</f>
        <v>0</v>
      </c>
      <c r="L71" s="1064">
        <f>'7. T2 TULOSSUUN.'!H23</f>
        <v>0</v>
      </c>
      <c r="M71" s="763">
        <f>'7. T2 TULOSSUUN.'!I23/1000</f>
        <v>0</v>
      </c>
      <c r="N71" s="1064">
        <f>'7. T2 TULOSSUUN.'!J23</f>
        <v>0</v>
      </c>
      <c r="O71" s="763">
        <f>'7. T2 TULOSSUUN.'!K23/1000</f>
        <v>0</v>
      </c>
      <c r="P71" s="1064">
        <f>'7. T2 TULOSSUUN.'!L23</f>
        <v>0</v>
      </c>
      <c r="Q71" s="1378">
        <f>'7. T2 TULOSSUUN.'!M23/1000</f>
        <v>0</v>
      </c>
      <c r="R71" s="1064">
        <f>'7. T2 TULOSSUUN.'!N23</f>
        <v>0</v>
      </c>
    </row>
    <row r="72" spans="2:18" ht="12" customHeight="1" x14ac:dyDescent="0.2">
      <c r="B72" s="612" t="s">
        <v>111</v>
      </c>
      <c r="C72" s="614" t="s">
        <v>304</v>
      </c>
      <c r="D72" s="614"/>
      <c r="E72" s="614"/>
      <c r="F72" s="614"/>
      <c r="G72" s="622"/>
      <c r="H72" s="728"/>
      <c r="I72" s="731"/>
      <c r="J72" s="1401"/>
      <c r="K72" s="763">
        <f>'7. T2 TULOSSUUN.'!G24/1000</f>
        <v>0</v>
      </c>
      <c r="L72" s="1064">
        <f>'7. T2 TULOSSUUN.'!H24</f>
        <v>0</v>
      </c>
      <c r="M72" s="763">
        <f>'7. T2 TULOSSUUN.'!I24/1000</f>
        <v>0</v>
      </c>
      <c r="N72" s="1064">
        <f>'7. T2 TULOSSUUN.'!J24</f>
        <v>0</v>
      </c>
      <c r="O72" s="763">
        <f>'7. T2 TULOSSUUN.'!K24/1000</f>
        <v>0</v>
      </c>
      <c r="P72" s="1064">
        <f>'7. T2 TULOSSUUN.'!L24</f>
        <v>0</v>
      </c>
      <c r="Q72" s="1378">
        <f>'7. T2 TULOSSUUN.'!M24/1000</f>
        <v>0</v>
      </c>
      <c r="R72" s="1064">
        <f>'7. T2 TULOSSUUN.'!N24</f>
        <v>0</v>
      </c>
    </row>
    <row r="73" spans="2:18" ht="12" customHeight="1" x14ac:dyDescent="0.2">
      <c r="B73" s="612" t="s">
        <v>112</v>
      </c>
      <c r="C73" s="614" t="s">
        <v>305</v>
      </c>
      <c r="D73" s="614"/>
      <c r="E73" s="614"/>
      <c r="F73" s="614"/>
      <c r="G73" s="622"/>
      <c r="H73" s="728"/>
      <c r="I73" s="731"/>
      <c r="J73" s="1401"/>
      <c r="K73" s="763">
        <f>'7. T2 TULOSSUUN.'!G25/1000</f>
        <v>0</v>
      </c>
      <c r="L73" s="1064">
        <f>'7. T2 TULOSSUUN.'!H25</f>
        <v>0</v>
      </c>
      <c r="M73" s="763">
        <f>'7. T2 TULOSSUUN.'!I25/1000</f>
        <v>0</v>
      </c>
      <c r="N73" s="1064">
        <f>'7. T2 TULOSSUUN.'!J25</f>
        <v>0</v>
      </c>
      <c r="O73" s="763">
        <f>'7. T2 TULOSSUUN.'!K25/1000</f>
        <v>0</v>
      </c>
      <c r="P73" s="1064">
        <f>'7. T2 TULOSSUUN.'!L25</f>
        <v>0</v>
      </c>
      <c r="Q73" s="1378">
        <f>'7. T2 TULOSSUUN.'!M25/1000</f>
        <v>0</v>
      </c>
      <c r="R73" s="1064">
        <f>'7. T2 TULOSSUUN.'!N25</f>
        <v>0</v>
      </c>
    </row>
    <row r="74" spans="2:18" ht="15" customHeight="1" x14ac:dyDescent="0.2">
      <c r="B74" s="612" t="s">
        <v>113</v>
      </c>
      <c r="C74" s="615" t="s">
        <v>28</v>
      </c>
      <c r="D74" s="615"/>
      <c r="E74" s="615"/>
      <c r="F74" s="615"/>
      <c r="G74" s="623"/>
      <c r="H74" s="730"/>
      <c r="I74" s="732"/>
      <c r="J74" s="1403"/>
      <c r="K74" s="1066">
        <f>'7. T2 TULOSSUUN.'!G26/1000</f>
        <v>0</v>
      </c>
      <c r="L74" s="1065">
        <f>'7. T2 TULOSSUUN.'!H26</f>
        <v>0</v>
      </c>
      <c r="M74" s="1066">
        <f>'7. T2 TULOSSUUN.'!I26/1000</f>
        <v>0</v>
      </c>
      <c r="N74" s="1065">
        <f>'7. T2 TULOSSUUN.'!J26</f>
        <v>0</v>
      </c>
      <c r="O74" s="1066">
        <f>'7. T2 TULOSSUUN.'!K26/1000</f>
        <v>0</v>
      </c>
      <c r="P74" s="1065">
        <f>'7. T2 TULOSSUUN.'!L26</f>
        <v>0</v>
      </c>
      <c r="Q74" s="1406">
        <f>'7. T2 TULOSSUUN.'!M26/1000</f>
        <v>0</v>
      </c>
      <c r="R74" s="1065">
        <f>'7. T2 TULOSSUUN.'!N26</f>
        <v>0</v>
      </c>
    </row>
    <row r="75" spans="2:18" ht="12" customHeight="1" x14ac:dyDescent="0.2">
      <c r="B75" s="612" t="s">
        <v>114</v>
      </c>
      <c r="C75" s="614" t="s">
        <v>29</v>
      </c>
      <c r="D75" s="614"/>
      <c r="E75" s="614"/>
      <c r="F75" s="614"/>
      <c r="G75" s="622"/>
      <c r="H75" s="728"/>
      <c r="I75" s="731"/>
      <c r="J75" s="1401"/>
      <c r="K75" s="763">
        <f>'7. T2 TULOSSUUN.'!G27/1000</f>
        <v>0</v>
      </c>
      <c r="L75" s="1064">
        <f>'7. T2 TULOSSUUN.'!H27</f>
        <v>0</v>
      </c>
      <c r="M75" s="763">
        <f>'7. T2 TULOSSUUN.'!I27/1000</f>
        <v>0</v>
      </c>
      <c r="N75" s="1064">
        <f>'7. T2 TULOSSUUN.'!J27</f>
        <v>0</v>
      </c>
      <c r="O75" s="763">
        <f>'7. T2 TULOSSUUN.'!K27/1000</f>
        <v>0</v>
      </c>
      <c r="P75" s="1064">
        <f>'7. T2 TULOSSUUN.'!L27</f>
        <v>0</v>
      </c>
      <c r="Q75" s="1378">
        <f>'7. T2 TULOSSUUN.'!M27/1000</f>
        <v>0</v>
      </c>
      <c r="R75" s="1064">
        <f>'7. T2 TULOSSUUN.'!N27</f>
        <v>0</v>
      </c>
    </row>
    <row r="76" spans="2:18" ht="12" customHeight="1" x14ac:dyDescent="0.2">
      <c r="B76" s="612" t="s">
        <v>115</v>
      </c>
      <c r="C76" s="614" t="s">
        <v>49</v>
      </c>
      <c r="D76" s="614"/>
      <c r="E76" s="614"/>
      <c r="F76" s="614"/>
      <c r="G76" s="622"/>
      <c r="H76" s="728"/>
      <c r="I76" s="731"/>
      <c r="J76" s="1401"/>
      <c r="K76" s="763">
        <f>'7. T2 TULOSSUUN.'!G29/1000</f>
        <v>0</v>
      </c>
      <c r="L76" s="1064">
        <f>'7. T2 TULOSSUUN.'!H28</f>
        <v>0</v>
      </c>
      <c r="M76" s="763">
        <f>'7. T2 TULOSSUUN.'!I29/1000</f>
        <v>0</v>
      </c>
      <c r="N76" s="1064">
        <f>'7. T2 TULOSSUUN.'!J28</f>
        <v>0</v>
      </c>
      <c r="O76" s="763">
        <f>'7. T2 TULOSSUUN.'!K29/1000</f>
        <v>0</v>
      </c>
      <c r="P76" s="1064">
        <f>'7. T2 TULOSSUUN.'!L28</f>
        <v>0</v>
      </c>
      <c r="Q76" s="1378">
        <f>'7. T2 TULOSSUUN.'!M29/1000</f>
        <v>0</v>
      </c>
      <c r="R76" s="1064">
        <f>'7. T2 TULOSSUUN.'!N28</f>
        <v>0</v>
      </c>
    </row>
    <row r="77" spans="2:18" ht="12" customHeight="1" x14ac:dyDescent="0.2">
      <c r="B77" s="612" t="s">
        <v>116</v>
      </c>
      <c r="C77" s="614" t="s">
        <v>303</v>
      </c>
      <c r="D77" s="614"/>
      <c r="E77" s="614"/>
      <c r="F77" s="614"/>
      <c r="G77" s="622"/>
      <c r="H77" s="728"/>
      <c r="I77" s="731"/>
      <c r="J77" s="1401"/>
      <c r="K77" s="763">
        <f>'7. T2 TULOSSUUN.'!G30/1000</f>
        <v>0</v>
      </c>
      <c r="L77" s="1064">
        <f>'7. T2 TULOSSUUN.'!H29</f>
        <v>0</v>
      </c>
      <c r="M77" s="763">
        <f>'7. T2 TULOSSUUN.'!I30/1000</f>
        <v>0</v>
      </c>
      <c r="N77" s="1064">
        <f>'7. T2 TULOSSUUN.'!J29</f>
        <v>0</v>
      </c>
      <c r="O77" s="763">
        <f>'7. T2 TULOSSUUN.'!K30/1000</f>
        <v>0</v>
      </c>
      <c r="P77" s="1064">
        <f>'7. T2 TULOSSUUN.'!L29</f>
        <v>0</v>
      </c>
      <c r="Q77" s="1378">
        <f>'7. T2 TULOSSUUN.'!M30/1000</f>
        <v>0</v>
      </c>
      <c r="R77" s="1064">
        <f>'7. T2 TULOSSUUN.'!N29</f>
        <v>0</v>
      </c>
    </row>
    <row r="78" spans="2:18" ht="15.95" customHeight="1" x14ac:dyDescent="0.2">
      <c r="B78" s="625" t="s">
        <v>33</v>
      </c>
      <c r="C78" s="599" t="s">
        <v>32</v>
      </c>
      <c r="D78" s="599"/>
      <c r="E78" s="599"/>
      <c r="F78" s="599"/>
      <c r="G78" s="1279"/>
      <c r="H78" s="1280"/>
      <c r="I78" s="1281"/>
      <c r="J78" s="1404"/>
      <c r="K78" s="1066">
        <f>'7. T2 TULOSSUUN.'!G31/1000</f>
        <v>0</v>
      </c>
      <c r="L78" s="1065">
        <f>'7. T2 TULOSSUUN.'!H31</f>
        <v>0</v>
      </c>
      <c r="M78" s="1066">
        <f>'7. T2 TULOSSUUN.'!I31/1000</f>
        <v>0</v>
      </c>
      <c r="N78" s="1065">
        <f>'7. T2 TULOSSUUN.'!J31</f>
        <v>0</v>
      </c>
      <c r="O78" s="1066">
        <f>'7. T2 TULOSSUUN.'!K31/1000</f>
        <v>0</v>
      </c>
      <c r="P78" s="1065">
        <f>'7. T2 TULOSSUUN.'!L31</f>
        <v>0</v>
      </c>
      <c r="Q78" s="1406">
        <f>'7. T2 TULOSSUUN.'!M31/1000</f>
        <v>0</v>
      </c>
      <c r="R78" s="1065">
        <f>'7. T2 TULOSSUUN.'!N31</f>
        <v>0</v>
      </c>
    </row>
    <row r="79" spans="2:18" ht="15.95" customHeight="1" x14ac:dyDescent="0.2">
      <c r="B79" s="625"/>
      <c r="C79" s="624" t="s">
        <v>45</v>
      </c>
      <c r="D79" s="624"/>
      <c r="E79" s="624"/>
      <c r="F79" s="624"/>
      <c r="G79" s="2365"/>
      <c r="H79" s="2365"/>
      <c r="I79" s="2366"/>
      <c r="J79" s="2367"/>
      <c r="K79" s="2368">
        <f>'7. T2 TULOSSUUN.'!G33</f>
        <v>1</v>
      </c>
      <c r="L79" s="2368"/>
      <c r="M79" s="2368">
        <f>'7. T2 TULOSSUUN.'!I33</f>
        <v>1</v>
      </c>
      <c r="N79" s="2368"/>
      <c r="O79" s="2368">
        <f>'7. T2 TULOSSUUN.'!K33</f>
        <v>1</v>
      </c>
      <c r="P79" s="2368"/>
      <c r="Q79" s="2369">
        <f>'7. T2 TULOSSUUN.'!M33</f>
        <v>1</v>
      </c>
      <c r="R79" s="2368"/>
    </row>
    <row r="80" spans="2:18" ht="15.95" customHeight="1" x14ac:dyDescent="0.2">
      <c r="B80" s="625"/>
      <c r="C80" s="624" t="s">
        <v>430</v>
      </c>
      <c r="D80" s="624"/>
      <c r="E80" s="624"/>
      <c r="F80" s="624"/>
      <c r="G80" s="2353"/>
      <c r="H80" s="2353"/>
      <c r="I80" s="2370"/>
      <c r="J80" s="2371"/>
      <c r="K80" s="2364">
        <f>'5. T4 RAHOITUSSUUN.'!Q14</f>
        <v>0</v>
      </c>
      <c r="L80" s="2364"/>
      <c r="M80" s="2364">
        <f>'5. T4 RAHOITUSSUUN.'!R14</f>
        <v>0</v>
      </c>
      <c r="N80" s="2364"/>
      <c r="O80" s="2364">
        <f>'5. T4 RAHOITUSSUUN.'!S14</f>
        <v>0</v>
      </c>
      <c r="P80" s="2364"/>
      <c r="Q80" s="2364">
        <f>'5. T4 RAHOITUSSUUN.'!T14</f>
        <v>0</v>
      </c>
      <c r="R80" s="2364"/>
    </row>
    <row r="81" spans="2:18" ht="15.95" customHeight="1" x14ac:dyDescent="0.2">
      <c r="B81" s="2465" t="s">
        <v>876</v>
      </c>
      <c r="C81" s="2466"/>
      <c r="D81" s="2466"/>
      <c r="E81" s="2466"/>
      <c r="F81" s="2466"/>
      <c r="G81" s="2466"/>
      <c r="H81" s="2466"/>
      <c r="I81" s="2466"/>
      <c r="J81" s="2467"/>
      <c r="K81" s="2468">
        <v>0</v>
      </c>
      <c r="L81" s="2333"/>
      <c r="M81" s="2332">
        <v>0</v>
      </c>
      <c r="N81" s="2333"/>
      <c r="O81" s="2332">
        <v>0</v>
      </c>
      <c r="P81" s="2333"/>
      <c r="Q81" s="2332">
        <v>0</v>
      </c>
      <c r="R81" s="2333"/>
    </row>
    <row r="82" spans="2:18" ht="12" customHeight="1" x14ac:dyDescent="0.2">
      <c r="B82" s="230">
        <f>OHJE!F6</f>
        <v>0</v>
      </c>
      <c r="C82" s="415"/>
      <c r="D82" s="415"/>
      <c r="E82" s="415"/>
      <c r="F82" s="415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639"/>
    </row>
    <row r="83" spans="2:18" x14ac:dyDescent="0.2">
      <c r="B83" s="2334" t="str">
        <f>OHJE!G8</f>
        <v>Kehittämisyhtiö Witas Oy</v>
      </c>
      <c r="C83" s="2334"/>
      <c r="D83" s="2334"/>
      <c r="E83" s="2334"/>
      <c r="F83" s="2334"/>
      <c r="G83" s="2334"/>
      <c r="H83" s="2334"/>
      <c r="I83" s="2334"/>
      <c r="J83" s="2334"/>
      <c r="K83" s="2334"/>
      <c r="L83" s="2334"/>
      <c r="M83" s="2334"/>
      <c r="N83" s="641"/>
      <c r="O83" s="641"/>
      <c r="P83" s="641"/>
      <c r="Q83" s="418"/>
      <c r="R83" s="85" t="s">
        <v>438</v>
      </c>
    </row>
    <row r="84" spans="2:18" ht="12.4" customHeight="1" x14ac:dyDescent="0.2">
      <c r="B84" s="2335" t="s">
        <v>439</v>
      </c>
      <c r="C84" s="2335"/>
      <c r="D84" s="2335"/>
      <c r="E84" s="2335"/>
      <c r="F84" s="2335"/>
      <c r="G84" s="2335"/>
      <c r="H84" s="2335"/>
      <c r="I84" s="2335"/>
      <c r="J84" s="2335"/>
      <c r="K84" s="129"/>
      <c r="M84" s="2495"/>
      <c r="N84" s="2496"/>
      <c r="O84" s="129"/>
      <c r="P84" s="129"/>
      <c r="Q84" s="129"/>
      <c r="R84" s="129"/>
    </row>
    <row r="85" spans="2:18" ht="12.4" customHeight="1" x14ac:dyDescent="0.2">
      <c r="B85" s="1273"/>
      <c r="C85" s="1273"/>
      <c r="D85" s="571"/>
      <c r="E85" s="571"/>
      <c r="F85" s="1274"/>
      <c r="G85" s="598"/>
      <c r="H85" s="598"/>
      <c r="I85" s="598"/>
      <c r="J85" s="598"/>
      <c r="K85" s="598"/>
      <c r="M85" s="2372">
        <f>L3</f>
        <v>0</v>
      </c>
      <c r="N85" s="2372"/>
      <c r="O85" s="129"/>
      <c r="P85" s="129"/>
      <c r="Q85" s="129"/>
      <c r="R85" s="129"/>
    </row>
    <row r="86" spans="2:18" ht="6" customHeight="1" x14ac:dyDescent="0.2">
      <c r="B86" s="2336">
        <f>B7</f>
        <v>0</v>
      </c>
      <c r="C86" s="2336"/>
      <c r="D86" s="2336"/>
      <c r="E86" s="2336"/>
      <c r="F86" s="2336"/>
      <c r="G86" s="2336"/>
      <c r="H86" s="2336"/>
      <c r="I86" s="2336"/>
      <c r="J86" s="2336"/>
      <c r="K86" s="2336"/>
      <c r="L86" s="2336"/>
      <c r="M86" s="733"/>
      <c r="N86" s="733"/>
      <c r="O86" s="129"/>
      <c r="P86" s="129"/>
      <c r="Q86" s="129"/>
      <c r="R86" s="129"/>
    </row>
    <row r="87" spans="2:18" ht="11.65" customHeight="1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2:18" ht="10.5" customHeight="1" x14ac:dyDescent="0.2">
      <c r="B88" s="2385" t="s">
        <v>426</v>
      </c>
      <c r="C88" s="2386"/>
      <c r="D88" s="2386"/>
      <c r="E88" s="2386"/>
      <c r="F88" s="1220"/>
      <c r="G88" s="2373"/>
      <c r="H88" s="2374"/>
      <c r="I88" s="2373"/>
      <c r="J88" s="2374"/>
      <c r="K88" s="2375" t="s">
        <v>52</v>
      </c>
      <c r="L88" s="2375"/>
      <c r="M88" s="2375" t="s">
        <v>43</v>
      </c>
      <c r="N88" s="2375"/>
      <c r="O88" s="2497" t="s">
        <v>44</v>
      </c>
      <c r="P88" s="2498"/>
      <c r="Q88" s="2375" t="s">
        <v>188</v>
      </c>
      <c r="R88" s="2499"/>
    </row>
    <row r="89" spans="2:18" ht="10.5" customHeight="1" x14ac:dyDescent="0.2">
      <c r="B89" s="2387"/>
      <c r="C89" s="2388"/>
      <c r="D89" s="2388"/>
      <c r="E89" s="2388"/>
      <c r="F89" s="1221"/>
      <c r="G89" s="2459"/>
      <c r="H89" s="2460"/>
      <c r="I89" s="2459"/>
      <c r="J89" s="2460"/>
      <c r="K89" s="2461">
        <f>'6. T3 TASE'!G11</f>
        <v>2027</v>
      </c>
      <c r="L89" s="2462"/>
      <c r="M89" s="2461">
        <f>'6. T3 TASE'!H11</f>
        <v>2028</v>
      </c>
      <c r="N89" s="2462"/>
      <c r="O89" s="2527">
        <f>'6. T3 TASE'!I11</f>
        <v>2029</v>
      </c>
      <c r="P89" s="2528"/>
      <c r="Q89" s="2529">
        <f>'6. T3 TASE'!J11</f>
        <v>2030</v>
      </c>
      <c r="R89" s="2530"/>
    </row>
    <row r="90" spans="2:18" ht="12" customHeight="1" x14ac:dyDescent="0.2">
      <c r="B90" s="737" t="s">
        <v>152</v>
      </c>
      <c r="C90" s="439" t="s">
        <v>153</v>
      </c>
      <c r="D90" s="439"/>
      <c r="E90" s="439"/>
      <c r="F90" s="439"/>
      <c r="G90" s="2492"/>
      <c r="H90" s="2493"/>
      <c r="I90" s="2492"/>
      <c r="J90" s="2494"/>
      <c r="K90" s="2396">
        <f>'6. T3 TASE'!G13/1000</f>
        <v>0</v>
      </c>
      <c r="L90" s="2396"/>
      <c r="M90" s="2396">
        <f>'6. T3 TASE'!H13/1000</f>
        <v>0</v>
      </c>
      <c r="N90" s="2396"/>
      <c r="O90" s="2396">
        <f>'6. T3 TASE'!I13/1000</f>
        <v>0</v>
      </c>
      <c r="P90" s="2396"/>
      <c r="Q90" s="2396">
        <f>'6. T3 TASE'!J13/1000</f>
        <v>0</v>
      </c>
      <c r="R90" s="2396"/>
    </row>
    <row r="91" spans="2:18" ht="12" customHeight="1" x14ac:dyDescent="0.2">
      <c r="B91" s="738" t="s">
        <v>294</v>
      </c>
      <c r="C91" s="606" t="s">
        <v>182</v>
      </c>
      <c r="D91" s="606"/>
      <c r="E91" s="606"/>
      <c r="F91" s="606"/>
      <c r="G91" s="2354"/>
      <c r="H91" s="2354"/>
      <c r="I91" s="2406"/>
      <c r="J91" s="2407"/>
      <c r="K91" s="2403">
        <f>'6. T3 TASE'!G14/1000</f>
        <v>0</v>
      </c>
      <c r="L91" s="2403"/>
      <c r="M91" s="2403">
        <f>'6. T3 TASE'!H14/1000</f>
        <v>0</v>
      </c>
      <c r="N91" s="2403"/>
      <c r="O91" s="2403">
        <f>'6. T3 TASE'!I14/1000</f>
        <v>0</v>
      </c>
      <c r="P91" s="2403"/>
      <c r="Q91" s="2403">
        <f>'6. T3 TASE'!J14/1000</f>
        <v>0</v>
      </c>
      <c r="R91" s="2408"/>
    </row>
    <row r="92" spans="2:18" ht="12" customHeight="1" x14ac:dyDescent="0.2">
      <c r="B92" s="738" t="s">
        <v>295</v>
      </c>
      <c r="C92" s="606" t="s">
        <v>183</v>
      </c>
      <c r="D92" s="606"/>
      <c r="E92" s="606"/>
      <c r="F92" s="606"/>
      <c r="G92" s="2354"/>
      <c r="H92" s="2354"/>
      <c r="I92" s="2406"/>
      <c r="J92" s="2407"/>
      <c r="K92" s="2403">
        <f>'6. T3 TASE'!G18/1000</f>
        <v>0</v>
      </c>
      <c r="L92" s="2403"/>
      <c r="M92" s="2403">
        <f>'6. T3 TASE'!H18/1000</f>
        <v>0</v>
      </c>
      <c r="N92" s="2403"/>
      <c r="O92" s="2403">
        <f>'6. T3 TASE'!I18/1000</f>
        <v>0</v>
      </c>
      <c r="P92" s="2403"/>
      <c r="Q92" s="2403">
        <f>'6. T3 TASE'!J18/1000</f>
        <v>0</v>
      </c>
      <c r="R92" s="2408"/>
    </row>
    <row r="93" spans="2:18" ht="12" customHeight="1" x14ac:dyDescent="0.2">
      <c r="B93" s="738"/>
      <c r="C93" s="607" t="s">
        <v>194</v>
      </c>
      <c r="D93" s="607"/>
      <c r="E93" s="607"/>
      <c r="F93" s="607"/>
      <c r="G93" s="2384"/>
      <c r="H93" s="2384"/>
      <c r="I93" s="2392"/>
      <c r="J93" s="2393"/>
      <c r="K93" s="2378">
        <f>'6. T3 TASE'!G19/1000</f>
        <v>0</v>
      </c>
      <c r="L93" s="2378"/>
      <c r="M93" s="2378">
        <f>'6. T3 TASE'!H19/1000</f>
        <v>0</v>
      </c>
      <c r="N93" s="2378"/>
      <c r="O93" s="2378">
        <f>'6. T3 TASE'!I19/1000</f>
        <v>0</v>
      </c>
      <c r="P93" s="2378"/>
      <c r="Q93" s="2378">
        <f>'6. T3 TASE'!J19/1000</f>
        <v>0</v>
      </c>
      <c r="R93" s="2379"/>
    </row>
    <row r="94" spans="2:18" ht="12" customHeight="1" x14ac:dyDescent="0.2">
      <c r="B94" s="738"/>
      <c r="C94" s="607" t="s">
        <v>184</v>
      </c>
      <c r="D94" s="607"/>
      <c r="E94" s="607"/>
      <c r="F94" s="607"/>
      <c r="G94" s="2384"/>
      <c r="H94" s="2384"/>
      <c r="I94" s="2392"/>
      <c r="J94" s="2393"/>
      <c r="K94" s="2378">
        <f>'6. T3 TASE'!G22/1000</f>
        <v>0</v>
      </c>
      <c r="L94" s="2378"/>
      <c r="M94" s="2378">
        <f>'6. T3 TASE'!H22/1000</f>
        <v>0</v>
      </c>
      <c r="N94" s="2378"/>
      <c r="O94" s="2378">
        <f>'6. T3 TASE'!I22/1000</f>
        <v>0</v>
      </c>
      <c r="P94" s="2378"/>
      <c r="Q94" s="2378">
        <f>'6. T3 TASE'!J22/1000</f>
        <v>0</v>
      </c>
      <c r="R94" s="2379"/>
    </row>
    <row r="95" spans="2:18" ht="12" customHeight="1" x14ac:dyDescent="0.2">
      <c r="B95" s="738"/>
      <c r="C95" s="607" t="s">
        <v>185</v>
      </c>
      <c r="D95" s="607"/>
      <c r="E95" s="607"/>
      <c r="F95" s="607"/>
      <c r="G95" s="2384"/>
      <c r="H95" s="2384"/>
      <c r="I95" s="2392"/>
      <c r="J95" s="2393"/>
      <c r="K95" s="2378">
        <f>'6. T3 TASE'!G26/1000</f>
        <v>0</v>
      </c>
      <c r="L95" s="2378"/>
      <c r="M95" s="2378">
        <f>'6. T3 TASE'!H26/1000</f>
        <v>0</v>
      </c>
      <c r="N95" s="2378"/>
      <c r="O95" s="2378">
        <f>'6. T3 TASE'!I26/1000</f>
        <v>0</v>
      </c>
      <c r="P95" s="2378"/>
      <c r="Q95" s="2378">
        <f>'6. T3 TASE'!J26/1000</f>
        <v>0</v>
      </c>
      <c r="R95" s="2379"/>
    </row>
    <row r="96" spans="2:18" ht="12" customHeight="1" x14ac:dyDescent="0.2">
      <c r="B96" s="738"/>
      <c r="C96" s="607" t="s">
        <v>186</v>
      </c>
      <c r="D96" s="607"/>
      <c r="E96" s="607"/>
      <c r="F96" s="607"/>
      <c r="G96" s="2384"/>
      <c r="H96" s="2384"/>
      <c r="I96" s="2392"/>
      <c r="J96" s="2393"/>
      <c r="K96" s="2378">
        <f>'6. T3 TASE'!G30/1000</f>
        <v>0</v>
      </c>
      <c r="L96" s="2378"/>
      <c r="M96" s="2378">
        <f>'6. T3 TASE'!H30/1000</f>
        <v>0</v>
      </c>
      <c r="N96" s="2378"/>
      <c r="O96" s="2378">
        <f>'6. T3 TASE'!I30/1000</f>
        <v>0</v>
      </c>
      <c r="P96" s="2378"/>
      <c r="Q96" s="2378">
        <f>'6. T3 TASE'!J30/1000</f>
        <v>0</v>
      </c>
      <c r="R96" s="2379"/>
    </row>
    <row r="97" spans="2:18" ht="12" customHeight="1" x14ac:dyDescent="0.2">
      <c r="B97" s="738" t="s">
        <v>296</v>
      </c>
      <c r="C97" s="606" t="s">
        <v>140</v>
      </c>
      <c r="D97" s="606"/>
      <c r="E97" s="606"/>
      <c r="F97" s="606"/>
      <c r="G97" s="2354"/>
      <c r="H97" s="2354"/>
      <c r="I97" s="2406"/>
      <c r="J97" s="2407"/>
      <c r="K97" s="2403">
        <f>'6. T3 TASE'!G34/1000</f>
        <v>0</v>
      </c>
      <c r="L97" s="2403"/>
      <c r="M97" s="2403">
        <f>'6. T3 TASE'!H34/1000</f>
        <v>0</v>
      </c>
      <c r="N97" s="2403"/>
      <c r="O97" s="2403">
        <f>'6. T3 TASE'!I34/1000</f>
        <v>0</v>
      </c>
      <c r="P97" s="2403"/>
      <c r="Q97" s="2403">
        <f>'6. T3 TASE'!J34/1000</f>
        <v>0</v>
      </c>
      <c r="R97" s="2408"/>
    </row>
    <row r="98" spans="2:18" ht="12" customHeight="1" x14ac:dyDescent="0.2">
      <c r="B98" s="737" t="s">
        <v>150</v>
      </c>
      <c r="C98" s="606" t="s">
        <v>151</v>
      </c>
      <c r="D98" s="606"/>
      <c r="E98" s="606"/>
      <c r="F98" s="606"/>
      <c r="G98" s="2354"/>
      <c r="H98" s="2354"/>
      <c r="I98" s="2406"/>
      <c r="J98" s="2407"/>
      <c r="K98" s="2403">
        <f>'6. T3 TASE'!G38/1000</f>
        <v>0</v>
      </c>
      <c r="L98" s="2403"/>
      <c r="M98" s="2403">
        <f>'6. T3 TASE'!H38/1000</f>
        <v>0</v>
      </c>
      <c r="N98" s="2403"/>
      <c r="O98" s="2403">
        <f>'6. T3 TASE'!I38/1000</f>
        <v>0</v>
      </c>
      <c r="P98" s="2403"/>
      <c r="Q98" s="2403">
        <f>'6. T3 TASE'!J38/1000</f>
        <v>0</v>
      </c>
      <c r="R98" s="2408"/>
    </row>
    <row r="99" spans="2:18" ht="12" customHeight="1" x14ac:dyDescent="0.2">
      <c r="B99" s="737" t="s">
        <v>297</v>
      </c>
      <c r="C99" s="606" t="s">
        <v>60</v>
      </c>
      <c r="D99" s="606"/>
      <c r="E99" s="606"/>
      <c r="F99" s="606"/>
      <c r="G99" s="2354"/>
      <c r="H99" s="2354"/>
      <c r="I99" s="2406"/>
      <c r="J99" s="2407"/>
      <c r="K99" s="2403">
        <f>'6. T3 TASE'!G39/1000</f>
        <v>0</v>
      </c>
      <c r="L99" s="2403"/>
      <c r="M99" s="2403">
        <f>'6. T3 TASE'!H39/1000</f>
        <v>0</v>
      </c>
      <c r="N99" s="2403"/>
      <c r="O99" s="2403">
        <f>'6. T3 TASE'!I39/1000</f>
        <v>0</v>
      </c>
      <c r="P99" s="2403"/>
      <c r="Q99" s="2403">
        <f>'6. T3 TASE'!J39/1000</f>
        <v>0</v>
      </c>
      <c r="R99" s="2408"/>
    </row>
    <row r="100" spans="2:18" ht="12" customHeight="1" x14ac:dyDescent="0.2">
      <c r="B100" s="739"/>
      <c r="C100" s="2348" t="s">
        <v>366</v>
      </c>
      <c r="D100" s="2348"/>
      <c r="E100" s="2348"/>
      <c r="F100" s="2348"/>
      <c r="G100" s="2348"/>
      <c r="H100" s="2348"/>
      <c r="I100" s="2348"/>
      <c r="J100" s="2349"/>
      <c r="K100" s="2531">
        <f>'6. T3 TASE'!G40</f>
        <v>0</v>
      </c>
      <c r="L100" s="2531"/>
      <c r="M100" s="2531">
        <f>'6. T3 TASE'!H40</f>
        <v>0</v>
      </c>
      <c r="N100" s="2531"/>
      <c r="O100" s="2531">
        <f>'6. T3 TASE'!I40</f>
        <v>0</v>
      </c>
      <c r="P100" s="2531"/>
      <c r="Q100" s="2531">
        <f>'6. T3 TASE'!J40</f>
        <v>0</v>
      </c>
      <c r="R100" s="2532"/>
    </row>
    <row r="101" spans="2:18" ht="12" customHeight="1" x14ac:dyDescent="0.2">
      <c r="B101" s="738" t="s">
        <v>295</v>
      </c>
      <c r="C101" s="606" t="s">
        <v>142</v>
      </c>
      <c r="D101" s="606"/>
      <c r="E101" s="606"/>
      <c r="F101" s="606"/>
      <c r="G101" s="2354"/>
      <c r="H101" s="2354"/>
      <c r="I101" s="2406"/>
      <c r="J101" s="2407"/>
      <c r="K101" s="2403">
        <f>'6. T3 TASE'!G41/1000</f>
        <v>0</v>
      </c>
      <c r="L101" s="2403"/>
      <c r="M101" s="2403">
        <f>'6. T3 TASE'!H41/1000</f>
        <v>0</v>
      </c>
      <c r="N101" s="2403"/>
      <c r="O101" s="2403">
        <f>'6. T3 TASE'!I41/1000</f>
        <v>0</v>
      </c>
      <c r="P101" s="2403"/>
      <c r="Q101" s="2403">
        <f>'6. T3 TASE'!J41/1000</f>
        <v>0</v>
      </c>
      <c r="R101" s="2408"/>
    </row>
    <row r="102" spans="2:18" ht="12" customHeight="1" x14ac:dyDescent="0.2">
      <c r="B102" s="738" t="s">
        <v>0</v>
      </c>
      <c r="C102" s="607" t="s">
        <v>143</v>
      </c>
      <c r="D102" s="607"/>
      <c r="E102" s="607"/>
      <c r="F102" s="607"/>
      <c r="G102" s="2384"/>
      <c r="H102" s="2384"/>
      <c r="I102" s="2392"/>
      <c r="J102" s="2393"/>
      <c r="K102" s="2378">
        <f>'6. T3 TASE'!G42/1000</f>
        <v>0</v>
      </c>
      <c r="L102" s="2378"/>
      <c r="M102" s="2378">
        <f>'6. T3 TASE'!H42/1000</f>
        <v>0</v>
      </c>
      <c r="N102" s="2378"/>
      <c r="O102" s="2378">
        <f>'6. T3 TASE'!I42/1000</f>
        <v>0</v>
      </c>
      <c r="P102" s="2378"/>
      <c r="Q102" s="2378">
        <f>'6. T3 TASE'!J42/1000</f>
        <v>0</v>
      </c>
      <c r="R102" s="2379"/>
    </row>
    <row r="103" spans="2:18" ht="12" customHeight="1" x14ac:dyDescent="0.2">
      <c r="B103" s="738"/>
      <c r="C103" s="2413" t="s">
        <v>444</v>
      </c>
      <c r="D103" s="2413"/>
      <c r="E103" s="708"/>
      <c r="F103" s="708"/>
      <c r="G103" s="2405"/>
      <c r="H103" s="2405"/>
      <c r="I103" s="2389"/>
      <c r="J103" s="2390"/>
      <c r="K103" s="2391">
        <f>'6. T3 TASE'!G43</f>
        <v>14</v>
      </c>
      <c r="L103" s="2391"/>
      <c r="M103" s="2391">
        <f>'6. T3 TASE'!H43</f>
        <v>14</v>
      </c>
      <c r="N103" s="2391"/>
      <c r="O103" s="2391">
        <f>'6. T3 TASE'!I43</f>
        <v>14</v>
      </c>
      <c r="P103" s="2391"/>
      <c r="Q103" s="2391">
        <f>'6. T3 TASE'!J43</f>
        <v>14</v>
      </c>
      <c r="R103" s="2404"/>
    </row>
    <row r="104" spans="2:18" ht="12" customHeight="1" x14ac:dyDescent="0.2">
      <c r="B104" s="738" t="s">
        <v>0</v>
      </c>
      <c r="C104" s="607" t="s">
        <v>180</v>
      </c>
      <c r="D104" s="607"/>
      <c r="E104" s="607"/>
      <c r="F104" s="607"/>
      <c r="G104" s="2359"/>
      <c r="H104" s="2359"/>
      <c r="I104" s="2376"/>
      <c r="J104" s="2377"/>
      <c r="K104" s="2378">
        <f>'6. T3 TASE'!G44/1000</f>
        <v>0</v>
      </c>
      <c r="L104" s="2378"/>
      <c r="M104" s="2378">
        <f>'6. T3 TASE'!H44/1000</f>
        <v>0</v>
      </c>
      <c r="N104" s="2378"/>
      <c r="O104" s="2378">
        <f>'6. T3 TASE'!I44/1000</f>
        <v>0</v>
      </c>
      <c r="P104" s="2378"/>
      <c r="Q104" s="2378">
        <f>'6. T3 TASE'!J44/1000</f>
        <v>0</v>
      </c>
      <c r="R104" s="2379"/>
    </row>
    <row r="105" spans="2:18" ht="12" customHeight="1" x14ac:dyDescent="0.2">
      <c r="B105" s="738">
        <v>0</v>
      </c>
      <c r="C105" s="607" t="s">
        <v>219</v>
      </c>
      <c r="D105" s="607"/>
      <c r="E105" s="607"/>
      <c r="F105" s="607"/>
      <c r="G105" s="2359"/>
      <c r="H105" s="2359"/>
      <c r="I105" s="2376"/>
      <c r="J105" s="2377"/>
      <c r="K105" s="2378">
        <f>'6. T3 TASE'!G46/1000</f>
        <v>0</v>
      </c>
      <c r="L105" s="2378"/>
      <c r="M105" s="2378">
        <f>'6. T3 TASE'!H46/1000</f>
        <v>0</v>
      </c>
      <c r="N105" s="2378"/>
      <c r="O105" s="2378">
        <f>'6. T3 TASE'!I46/1000</f>
        <v>0</v>
      </c>
      <c r="P105" s="2378"/>
      <c r="Q105" s="2378">
        <f>'6. T3 TASE'!J46/1000</f>
        <v>0</v>
      </c>
      <c r="R105" s="2379"/>
    </row>
    <row r="106" spans="2:18" ht="12" customHeight="1" x14ac:dyDescent="0.2">
      <c r="B106" s="738"/>
      <c r="C106" s="607" t="s">
        <v>220</v>
      </c>
      <c r="D106" s="607"/>
      <c r="E106" s="607"/>
      <c r="F106" s="607"/>
      <c r="G106" s="2384"/>
      <c r="H106" s="2384"/>
      <c r="I106" s="2392"/>
      <c r="J106" s="2393"/>
      <c r="K106" s="2378">
        <f>'6. T3 TASE'!G47/1000</f>
        <v>0</v>
      </c>
      <c r="L106" s="2378"/>
      <c r="M106" s="2378">
        <f>'6. T3 TASE'!H47/1000</f>
        <v>0</v>
      </c>
      <c r="N106" s="2378"/>
      <c r="O106" s="2378">
        <f>'6. T3 TASE'!I47/1000</f>
        <v>0</v>
      </c>
      <c r="P106" s="2378"/>
      <c r="Q106" s="2378">
        <f>'6. T3 TASE'!J47/1000</f>
        <v>0</v>
      </c>
      <c r="R106" s="2379"/>
    </row>
    <row r="107" spans="2:18" ht="12" customHeight="1" x14ac:dyDescent="0.2">
      <c r="B107" s="738" t="s">
        <v>296</v>
      </c>
      <c r="C107" s="606" t="s">
        <v>144</v>
      </c>
      <c r="D107" s="606"/>
      <c r="E107" s="606"/>
      <c r="F107" s="606"/>
      <c r="G107" s="2354"/>
      <c r="H107" s="2354"/>
      <c r="I107" s="2406"/>
      <c r="J107" s="2407"/>
      <c r="K107" s="2403">
        <f>'6. T3 TASE'!G48/1000</f>
        <v>0</v>
      </c>
      <c r="L107" s="2403"/>
      <c r="M107" s="2403">
        <f>'6. T3 TASE'!H48/1000</f>
        <v>0</v>
      </c>
      <c r="N107" s="2403"/>
      <c r="O107" s="2403">
        <f>'6. T3 TASE'!I48/1000</f>
        <v>0</v>
      </c>
      <c r="P107" s="2403"/>
      <c r="Q107" s="2403">
        <f>'6. T3 TASE'!J48/1000</f>
        <v>0</v>
      </c>
      <c r="R107" s="2408"/>
    </row>
    <row r="108" spans="2:18" ht="12" customHeight="1" x14ac:dyDescent="0.2">
      <c r="B108" s="738" t="s">
        <v>298</v>
      </c>
      <c r="C108" s="606" t="s">
        <v>146</v>
      </c>
      <c r="D108" s="606"/>
      <c r="E108" s="606"/>
      <c r="F108" s="606"/>
      <c r="G108" s="2354"/>
      <c r="H108" s="2354"/>
      <c r="I108" s="2406"/>
      <c r="J108" s="2407"/>
      <c r="K108" s="2403">
        <f>'6. T3 TASE'!G49/1000</f>
        <v>0</v>
      </c>
      <c r="L108" s="2403"/>
      <c r="M108" s="2403">
        <f>'6. T3 TASE'!H49/1000</f>
        <v>0</v>
      </c>
      <c r="N108" s="2403"/>
      <c r="O108" s="2403">
        <f>'6. T3 TASE'!I49/1000</f>
        <v>0</v>
      </c>
      <c r="P108" s="2403"/>
      <c r="Q108" s="2403">
        <f>'6. T3 TASE'!J49/1000</f>
        <v>0</v>
      </c>
      <c r="R108" s="2408"/>
    </row>
    <row r="109" spans="2:18" ht="15.95" customHeight="1" x14ac:dyDescent="0.2">
      <c r="B109" s="1225"/>
      <c r="C109" s="1608" t="s">
        <v>176</v>
      </c>
      <c r="D109" s="1226"/>
      <c r="E109" s="1226"/>
      <c r="F109" s="1226"/>
      <c r="G109" s="2538"/>
      <c r="H109" s="2539"/>
      <c r="I109" s="2538"/>
      <c r="J109" s="2540"/>
      <c r="K109" s="2533">
        <f>'6. T3 TASE'!G51/1000</f>
        <v>0</v>
      </c>
      <c r="L109" s="2533"/>
      <c r="M109" s="2533">
        <f>'6. T3 TASE'!H51/1000</f>
        <v>0</v>
      </c>
      <c r="N109" s="2533"/>
      <c r="O109" s="2533">
        <f>'6. T3 TASE'!I51/1000</f>
        <v>0</v>
      </c>
      <c r="P109" s="2533"/>
      <c r="Q109" s="2533">
        <f>'6. T3 TASE'!J51/1000</f>
        <v>0</v>
      </c>
      <c r="R109" s="2533"/>
    </row>
    <row r="110" spans="2:18" ht="10.5" customHeight="1" x14ac:dyDescent="0.2">
      <c r="B110" s="2385" t="s">
        <v>427</v>
      </c>
      <c r="C110" s="2386"/>
      <c r="D110" s="2386"/>
      <c r="E110" s="2386"/>
      <c r="F110" s="1222"/>
      <c r="G110" s="2534"/>
      <c r="H110" s="2534"/>
      <c r="I110" s="2534"/>
      <c r="J110" s="2534"/>
      <c r="K110" s="2535" t="str">
        <f>K88</f>
        <v>Ennuste 1</v>
      </c>
      <c r="L110" s="2536"/>
      <c r="M110" s="2535" t="str">
        <f>M88</f>
        <v>Ennuste 2</v>
      </c>
      <c r="N110" s="2536"/>
      <c r="O110" s="2535" t="str">
        <f>O88</f>
        <v>Ennuste 3</v>
      </c>
      <c r="P110" s="2536"/>
      <c r="Q110" s="2535" t="str">
        <f>Q88</f>
        <v>Ennuste 4</v>
      </c>
      <c r="R110" s="2536"/>
    </row>
    <row r="111" spans="2:18" ht="10.5" customHeight="1" x14ac:dyDescent="0.2">
      <c r="B111" s="2387"/>
      <c r="C111" s="2388"/>
      <c r="D111" s="2388"/>
      <c r="E111" s="2388"/>
      <c r="F111" s="1223"/>
      <c r="G111" s="2537"/>
      <c r="H111" s="2537"/>
      <c r="I111" s="2537"/>
      <c r="J111" s="2537"/>
      <c r="K111" s="2541">
        <f>K89</f>
        <v>2027</v>
      </c>
      <c r="L111" s="2542"/>
      <c r="M111" s="2541">
        <f>M89</f>
        <v>2028</v>
      </c>
      <c r="N111" s="2542"/>
      <c r="O111" s="2541">
        <f>O89</f>
        <v>2029</v>
      </c>
      <c r="P111" s="2542"/>
      <c r="Q111" s="2541">
        <f>Q89</f>
        <v>2030</v>
      </c>
      <c r="R111" s="2542"/>
    </row>
    <row r="112" spans="2:18" ht="15" customHeight="1" x14ac:dyDescent="0.2">
      <c r="B112" s="1800" t="s">
        <v>157</v>
      </c>
      <c r="C112" s="455" t="s">
        <v>149</v>
      </c>
      <c r="D112" s="455"/>
      <c r="E112" s="455"/>
      <c r="F112" s="455"/>
      <c r="G112" s="2355"/>
      <c r="H112" s="2356"/>
      <c r="I112" s="2394"/>
      <c r="J112" s="2395"/>
      <c r="K112" s="2396">
        <f>'6. T3 TASE'!G56/1000</f>
        <v>0</v>
      </c>
      <c r="L112" s="2396"/>
      <c r="M112" s="2396">
        <f>'6. T3 TASE'!H56/1000</f>
        <v>0</v>
      </c>
      <c r="N112" s="2396"/>
      <c r="O112" s="2396">
        <f>'6. T3 TASE'!I56/1000</f>
        <v>0</v>
      </c>
      <c r="P112" s="2396"/>
      <c r="Q112" s="2396">
        <f>'6. T3 TASE'!J56/1000</f>
        <v>0</v>
      </c>
      <c r="R112" s="2396"/>
    </row>
    <row r="113" spans="2:18" ht="12" customHeight="1" x14ac:dyDescent="0.2">
      <c r="B113" s="1801">
        <v>0</v>
      </c>
      <c r="C113" s="1796" t="s">
        <v>192</v>
      </c>
      <c r="D113" s="1796"/>
      <c r="E113" s="1796"/>
      <c r="F113" s="1796"/>
      <c r="G113" s="2357"/>
      <c r="H113" s="2357"/>
      <c r="I113" s="2397"/>
      <c r="J113" s="2398"/>
      <c r="K113" s="2399">
        <f>'6. T3 TASE'!G57/1000</f>
        <v>0</v>
      </c>
      <c r="L113" s="2378"/>
      <c r="M113" s="2378">
        <f>'6. T3 TASE'!H57/1000</f>
        <v>0</v>
      </c>
      <c r="N113" s="2378"/>
      <c r="O113" s="2378">
        <f>'6. T3 TASE'!I57/1000</f>
        <v>0</v>
      </c>
      <c r="P113" s="2378"/>
      <c r="Q113" s="2378">
        <f>'6. T3 TASE'!J57/1000</f>
        <v>0</v>
      </c>
      <c r="R113" s="2379"/>
    </row>
    <row r="114" spans="2:18" ht="12" customHeight="1" x14ac:dyDescent="0.2">
      <c r="B114" s="1801">
        <v>0</v>
      </c>
      <c r="C114" s="1796" t="s">
        <v>193</v>
      </c>
      <c r="D114" s="1796"/>
      <c r="E114" s="1796"/>
      <c r="F114" s="1796"/>
      <c r="G114" s="2357"/>
      <c r="H114" s="2357"/>
      <c r="I114" s="2397"/>
      <c r="J114" s="2398"/>
      <c r="K114" s="2399">
        <f>'6. T3 TASE'!G58/1000</f>
        <v>0</v>
      </c>
      <c r="L114" s="2378"/>
      <c r="M114" s="2378">
        <f>'6. T3 TASE'!H58/1000</f>
        <v>0</v>
      </c>
      <c r="N114" s="2378"/>
      <c r="O114" s="2378">
        <f>'6. T3 TASE'!I58/1000</f>
        <v>0</v>
      </c>
      <c r="P114" s="2378"/>
      <c r="Q114" s="2378">
        <f>'6. T3 TASE'!J58/1000</f>
        <v>0</v>
      </c>
      <c r="R114" s="2379"/>
    </row>
    <row r="115" spans="2:18" ht="12" customHeight="1" x14ac:dyDescent="0.2">
      <c r="B115" s="1801">
        <v>0</v>
      </c>
      <c r="C115" s="1796" t="s">
        <v>218</v>
      </c>
      <c r="D115" s="1796"/>
      <c r="E115" s="1796"/>
      <c r="F115" s="1796"/>
      <c r="G115" s="2357"/>
      <c r="H115" s="2357"/>
      <c r="I115" s="2397"/>
      <c r="J115" s="2398"/>
      <c r="K115" s="2399">
        <f>'6. T3 TASE'!G59/1000</f>
        <v>0</v>
      </c>
      <c r="L115" s="2378"/>
      <c r="M115" s="2378">
        <f>'6. T3 TASE'!H59/1000</f>
        <v>0</v>
      </c>
      <c r="N115" s="2378"/>
      <c r="O115" s="2378">
        <f>'6. T3 TASE'!I59/1000</f>
        <v>0</v>
      </c>
      <c r="P115" s="2378"/>
      <c r="Q115" s="2378">
        <f>'6. T3 TASE'!J59/1000</f>
        <v>0</v>
      </c>
      <c r="R115" s="2379"/>
    </row>
    <row r="116" spans="2:18" ht="12" customHeight="1" x14ac:dyDescent="0.2">
      <c r="B116" s="1801">
        <v>0</v>
      </c>
      <c r="C116" s="1796" t="s">
        <v>239</v>
      </c>
      <c r="D116" s="1796"/>
      <c r="E116" s="1796"/>
      <c r="F116" s="1796"/>
      <c r="G116" s="2357"/>
      <c r="H116" s="2357"/>
      <c r="I116" s="2397"/>
      <c r="J116" s="2398"/>
      <c r="K116" s="2399">
        <f>'6. T3 TASE'!G60/1000</f>
        <v>0</v>
      </c>
      <c r="L116" s="2378"/>
      <c r="M116" s="2378">
        <f>'6. T3 TASE'!H60/1000</f>
        <v>0</v>
      </c>
      <c r="N116" s="2378"/>
      <c r="O116" s="2378">
        <f>'6. T3 TASE'!I60/1000</f>
        <v>0</v>
      </c>
      <c r="P116" s="2378"/>
      <c r="Q116" s="2378">
        <f>'6. T3 TASE'!J60/1000</f>
        <v>0</v>
      </c>
      <c r="R116" s="2379"/>
    </row>
    <row r="117" spans="2:18" ht="12" customHeight="1" x14ac:dyDescent="0.2">
      <c r="B117" s="1801">
        <v>0</v>
      </c>
      <c r="C117" s="1796" t="s">
        <v>254</v>
      </c>
      <c r="D117" s="1796"/>
      <c r="E117" s="1796"/>
      <c r="F117" s="1796"/>
      <c r="G117" s="2357"/>
      <c r="H117" s="2357"/>
      <c r="I117" s="2397"/>
      <c r="J117" s="2398"/>
      <c r="K117" s="2399">
        <f>'6. T3 TASE'!G61/1000</f>
        <v>0</v>
      </c>
      <c r="L117" s="2378"/>
      <c r="M117" s="2378">
        <f>'6. T3 TASE'!H61/1000</f>
        <v>0</v>
      </c>
      <c r="N117" s="2378"/>
      <c r="O117" s="2378">
        <f>'6. T3 TASE'!I61/1000</f>
        <v>0</v>
      </c>
      <c r="P117" s="2378"/>
      <c r="Q117" s="2378">
        <f>'6. T3 TASE'!J61/1000</f>
        <v>0</v>
      </c>
      <c r="R117" s="2379"/>
    </row>
    <row r="118" spans="2:18" ht="15" customHeight="1" x14ac:dyDescent="0.2">
      <c r="B118" s="1800" t="s">
        <v>429</v>
      </c>
      <c r="C118" s="1797" t="s">
        <v>154</v>
      </c>
      <c r="D118" s="1797"/>
      <c r="E118" s="1797"/>
      <c r="F118" s="1797"/>
      <c r="G118" s="2358"/>
      <c r="H118" s="2358"/>
      <c r="I118" s="2400"/>
      <c r="J118" s="2401"/>
      <c r="K118" s="2402">
        <f>'6. T3 TASE'!G62/1000</f>
        <v>0</v>
      </c>
      <c r="L118" s="2403"/>
      <c r="M118" s="2403">
        <f>'6. T3 TASE'!H62/1000</f>
        <v>0</v>
      </c>
      <c r="N118" s="2403"/>
      <c r="O118" s="2403">
        <f>'6. T3 TASE'!I62/1000</f>
        <v>0</v>
      </c>
      <c r="P118" s="2403"/>
      <c r="Q118" s="2403">
        <f>'6. T3 TASE'!J62/1000</f>
        <v>0</v>
      </c>
      <c r="R118" s="2408"/>
    </row>
    <row r="119" spans="2:18" ht="15" customHeight="1" x14ac:dyDescent="0.2">
      <c r="B119" s="1800" t="s">
        <v>169</v>
      </c>
      <c r="C119" s="1797" t="s">
        <v>158</v>
      </c>
      <c r="D119" s="1797"/>
      <c r="E119" s="1797"/>
      <c r="F119" s="1797"/>
      <c r="G119" s="2358"/>
      <c r="H119" s="2358"/>
      <c r="I119" s="2400"/>
      <c r="J119" s="2401"/>
      <c r="K119" s="2402">
        <f>'6. T3 TASE'!G66/1000</f>
        <v>0</v>
      </c>
      <c r="L119" s="2403"/>
      <c r="M119" s="2403">
        <f>'6. T3 TASE'!H66/1000</f>
        <v>0</v>
      </c>
      <c r="N119" s="2403"/>
      <c r="O119" s="2403">
        <f>'6. T3 TASE'!I66/1000</f>
        <v>0</v>
      </c>
      <c r="P119" s="2403"/>
      <c r="Q119" s="2403">
        <f>'6. T3 TASE'!J66/1000</f>
        <v>0</v>
      </c>
      <c r="R119" s="2408"/>
    </row>
    <row r="120" spans="2:18" ht="15" customHeight="1" x14ac:dyDescent="0.2">
      <c r="B120" s="1800" t="s">
        <v>237</v>
      </c>
      <c r="C120" s="1797" t="s">
        <v>168</v>
      </c>
      <c r="D120" s="1797"/>
      <c r="E120" s="1797"/>
      <c r="F120" s="1797"/>
      <c r="G120" s="2358"/>
      <c r="H120" s="2358"/>
      <c r="I120" s="2400"/>
      <c r="J120" s="2401"/>
      <c r="K120" s="2402">
        <f>'6. T3 TASE'!G67/1000</f>
        <v>0</v>
      </c>
      <c r="L120" s="2403"/>
      <c r="M120" s="2403">
        <f>'6. T3 TASE'!H67/1000</f>
        <v>0</v>
      </c>
      <c r="N120" s="2403"/>
      <c r="O120" s="2403">
        <f>'6. T3 TASE'!I67/1000</f>
        <v>0</v>
      </c>
      <c r="P120" s="2403"/>
      <c r="Q120" s="2403">
        <f>'6. T3 TASE'!J67/1000</f>
        <v>0</v>
      </c>
      <c r="R120" s="2408"/>
    </row>
    <row r="121" spans="2:18" ht="12" customHeight="1" x14ac:dyDescent="0.2">
      <c r="B121" s="1801" t="s">
        <v>0</v>
      </c>
      <c r="C121" s="1796" t="s">
        <v>160</v>
      </c>
      <c r="D121" s="1796"/>
      <c r="E121" s="1796"/>
      <c r="F121" s="1796"/>
      <c r="G121" s="2357"/>
      <c r="H121" s="2357"/>
      <c r="I121" s="2397"/>
      <c r="J121" s="2398"/>
      <c r="K121" s="2399">
        <f>'6. T3 TASE'!G68/1000</f>
        <v>0</v>
      </c>
      <c r="L121" s="2378"/>
      <c r="M121" s="2378">
        <f>'6. T3 TASE'!H68/1000</f>
        <v>0</v>
      </c>
      <c r="N121" s="2378"/>
      <c r="O121" s="2378">
        <f>'6. T3 TASE'!I68/1000</f>
        <v>0</v>
      </c>
      <c r="P121" s="2378"/>
      <c r="Q121" s="2378">
        <f>'6. T3 TASE'!J68/1000</f>
        <v>0</v>
      </c>
      <c r="R121" s="2379"/>
    </row>
    <row r="122" spans="2:18" ht="12" customHeight="1" x14ac:dyDescent="0.2">
      <c r="B122" s="1801" t="s">
        <v>0</v>
      </c>
      <c r="C122" s="1257" t="s">
        <v>173</v>
      </c>
      <c r="D122" s="1257"/>
      <c r="E122" s="1257"/>
      <c r="F122" s="1257"/>
      <c r="G122" s="2357"/>
      <c r="H122" s="2357"/>
      <c r="I122" s="2397"/>
      <c r="J122" s="2398"/>
      <c r="K122" s="2399">
        <f>'6. T3 TASE'!G69/1000</f>
        <v>0</v>
      </c>
      <c r="L122" s="2378"/>
      <c r="M122" s="2378">
        <f>'6. T3 TASE'!H69/1000</f>
        <v>0</v>
      </c>
      <c r="N122" s="2378"/>
      <c r="O122" s="2378">
        <f>'6. T3 TASE'!I69/1000</f>
        <v>0</v>
      </c>
      <c r="P122" s="2378"/>
      <c r="Q122" s="2378">
        <f>'6. T3 TASE'!J69/1000</f>
        <v>0</v>
      </c>
      <c r="R122" s="2379"/>
    </row>
    <row r="123" spans="2:18" ht="12" customHeight="1" x14ac:dyDescent="0.2">
      <c r="B123" s="1801" t="s">
        <v>0</v>
      </c>
      <c r="C123" s="1796" t="s">
        <v>171</v>
      </c>
      <c r="D123" s="1796"/>
      <c r="E123" s="1796"/>
      <c r="F123" s="1796"/>
      <c r="G123" s="2357"/>
      <c r="H123" s="2357"/>
      <c r="I123" s="2397"/>
      <c r="J123" s="2398"/>
      <c r="K123" s="2399">
        <f>'6. T3 TASE'!G70/1000</f>
        <v>0</v>
      </c>
      <c r="L123" s="2378"/>
      <c r="M123" s="2378">
        <f>'6. T3 TASE'!H70/1000</f>
        <v>0</v>
      </c>
      <c r="N123" s="2378"/>
      <c r="O123" s="2378">
        <f>'6. T3 TASE'!I70/1000</f>
        <v>0</v>
      </c>
      <c r="P123" s="2378"/>
      <c r="Q123" s="2378">
        <f>'6. T3 TASE'!J70/1000</f>
        <v>0</v>
      </c>
      <c r="R123" s="2379"/>
    </row>
    <row r="124" spans="2:18" ht="12" customHeight="1" x14ac:dyDescent="0.2">
      <c r="B124" s="1801">
        <v>0</v>
      </c>
      <c r="C124" s="1796" t="s">
        <v>172</v>
      </c>
      <c r="D124" s="1796"/>
      <c r="E124" s="1796"/>
      <c r="F124" s="1796"/>
      <c r="G124" s="2357"/>
      <c r="H124" s="2357"/>
      <c r="I124" s="2397"/>
      <c r="J124" s="2398"/>
      <c r="K124" s="2399">
        <f>'6. T3 TASE'!G73/1000</f>
        <v>0</v>
      </c>
      <c r="L124" s="2378"/>
      <c r="M124" s="2378">
        <f>'6. T3 TASE'!H73/1000</f>
        <v>0</v>
      </c>
      <c r="N124" s="2378"/>
      <c r="O124" s="2378">
        <f>'6. T3 TASE'!I73/1000</f>
        <v>0</v>
      </c>
      <c r="P124" s="2378"/>
      <c r="Q124" s="2378">
        <f>'6. T3 TASE'!J73/1000</f>
        <v>0</v>
      </c>
      <c r="R124" s="2379"/>
    </row>
    <row r="125" spans="2:18" ht="15" customHeight="1" x14ac:dyDescent="0.2">
      <c r="B125" s="1800" t="s">
        <v>238</v>
      </c>
      <c r="C125" s="611" t="s">
        <v>170</v>
      </c>
      <c r="D125" s="611"/>
      <c r="E125" s="611"/>
      <c r="F125" s="611"/>
      <c r="G125" s="2357"/>
      <c r="H125" s="2357"/>
      <c r="I125" s="2397"/>
      <c r="J125" s="2398"/>
      <c r="K125" s="2402">
        <f>'6. T3 TASE'!G74/1000</f>
        <v>0</v>
      </c>
      <c r="L125" s="2403"/>
      <c r="M125" s="2403">
        <f>'6. T3 TASE'!H74/1000</f>
        <v>0</v>
      </c>
      <c r="N125" s="2403"/>
      <c r="O125" s="2403">
        <f>'6. T3 TASE'!I74/1000</f>
        <v>0</v>
      </c>
      <c r="P125" s="2403"/>
      <c r="Q125" s="2403">
        <f>'6. T3 TASE'!J74/1000</f>
        <v>0</v>
      </c>
      <c r="R125" s="2408"/>
    </row>
    <row r="126" spans="2:18" ht="12" customHeight="1" x14ac:dyDescent="0.2">
      <c r="B126" s="1801" t="s">
        <v>0</v>
      </c>
      <c r="C126" s="1796" t="s">
        <v>160</v>
      </c>
      <c r="D126" s="1796"/>
      <c r="E126" s="1796"/>
      <c r="F126" s="1796"/>
      <c r="G126" s="2357"/>
      <c r="H126" s="2357"/>
      <c r="I126" s="2397"/>
      <c r="J126" s="2398"/>
      <c r="K126" s="2399">
        <f>'6. T3 TASE'!G75/1000</f>
        <v>0</v>
      </c>
      <c r="L126" s="2378"/>
      <c r="M126" s="2378">
        <f>'6. T3 TASE'!H75/1000</f>
        <v>0</v>
      </c>
      <c r="N126" s="2378"/>
      <c r="O126" s="2378">
        <f>'6. T3 TASE'!I75/1000</f>
        <v>0</v>
      </c>
      <c r="P126" s="2378"/>
      <c r="Q126" s="2378">
        <f>'6. T3 TASE'!J75/1000</f>
        <v>0</v>
      </c>
      <c r="R126" s="2379"/>
    </row>
    <row r="127" spans="2:18" ht="12" customHeight="1" x14ac:dyDescent="0.2">
      <c r="B127" s="1801">
        <v>0</v>
      </c>
      <c r="C127" s="1796" t="s">
        <v>173</v>
      </c>
      <c r="D127" s="1796"/>
      <c r="E127" s="1796"/>
      <c r="F127" s="1796"/>
      <c r="G127" s="2543"/>
      <c r="H127" s="2544"/>
      <c r="I127" s="2397"/>
      <c r="J127" s="2398"/>
      <c r="K127" s="2399">
        <f>'6. T3 TASE'!G78/1000</f>
        <v>0</v>
      </c>
      <c r="L127" s="2378"/>
      <c r="M127" s="2378">
        <f>'6. T3 TASE'!H78/1000</f>
        <v>0</v>
      </c>
      <c r="N127" s="2378"/>
      <c r="O127" s="2378">
        <f>'6. T3 TASE'!I78/1000</f>
        <v>0</v>
      </c>
      <c r="P127" s="2378"/>
      <c r="Q127" s="2378">
        <f>'6. T3 TASE'!J78/1000</f>
        <v>0</v>
      </c>
      <c r="R127" s="2379"/>
    </row>
    <row r="128" spans="2:18" ht="12" customHeight="1" x14ac:dyDescent="0.2">
      <c r="B128" s="1801">
        <v>0</v>
      </c>
      <c r="C128" s="1796" t="s">
        <v>171</v>
      </c>
      <c r="D128" s="1796"/>
      <c r="E128" s="1796"/>
      <c r="F128" s="1796"/>
      <c r="G128" s="2543"/>
      <c r="H128" s="2544"/>
      <c r="I128" s="2397"/>
      <c r="J128" s="2398"/>
      <c r="K128" s="2399">
        <f>'6. T3 TASE'!G79/1000</f>
        <v>0</v>
      </c>
      <c r="L128" s="2378"/>
      <c r="M128" s="2378">
        <f>'6. T3 TASE'!H79/1000</f>
        <v>0</v>
      </c>
      <c r="N128" s="2378"/>
      <c r="O128" s="2378">
        <f>'6. T3 TASE'!I79/1000</f>
        <v>0</v>
      </c>
      <c r="P128" s="2378"/>
      <c r="Q128" s="2378">
        <f>'6. T3 TASE'!J79/1000</f>
        <v>0</v>
      </c>
      <c r="R128" s="2379"/>
    </row>
    <row r="129" spans="2:18" ht="12" customHeight="1" x14ac:dyDescent="0.2">
      <c r="B129" s="1801"/>
      <c r="C129" s="2632" t="s">
        <v>445</v>
      </c>
      <c r="D129" s="2632"/>
      <c r="E129" s="1798"/>
      <c r="F129" s="1798"/>
      <c r="G129" s="2545"/>
      <c r="H129" s="2546"/>
      <c r="I129" s="2547"/>
      <c r="J129" s="2548"/>
      <c r="K129" s="2549">
        <f>'6. T3 TASE'!G81</f>
        <v>14</v>
      </c>
      <c r="L129" s="2550"/>
      <c r="M129" s="2550">
        <f>'6. T3 TASE'!H81</f>
        <v>14</v>
      </c>
      <c r="N129" s="2550"/>
      <c r="O129" s="2550">
        <f>'6. T3 TASE'!I81</f>
        <v>14</v>
      </c>
      <c r="P129" s="2550"/>
      <c r="Q129" s="2550">
        <f>'6. T3 TASE'!J81</f>
        <v>14</v>
      </c>
      <c r="R129" s="2551"/>
    </row>
    <row r="130" spans="2:18" ht="12" customHeight="1" x14ac:dyDescent="0.2">
      <c r="B130" s="1801" t="s">
        <v>0</v>
      </c>
      <c r="C130" s="1796" t="s">
        <v>174</v>
      </c>
      <c r="D130" s="1796"/>
      <c r="E130" s="1796"/>
      <c r="F130" s="1796"/>
      <c r="G130" s="2543"/>
      <c r="H130" s="2544"/>
      <c r="I130" s="2397"/>
      <c r="J130" s="2398"/>
      <c r="K130" s="2399">
        <f>'6. T3 TASE'!G83/1000</f>
        <v>0</v>
      </c>
      <c r="L130" s="2378"/>
      <c r="M130" s="2378">
        <f>'6. T3 TASE'!H83/1000</f>
        <v>0</v>
      </c>
      <c r="N130" s="2378"/>
      <c r="O130" s="2378">
        <f>'6. T3 TASE'!I83/1000</f>
        <v>0</v>
      </c>
      <c r="P130" s="2378"/>
      <c r="Q130" s="2378">
        <f>'6. T3 TASE'!J83/1000</f>
        <v>0</v>
      </c>
      <c r="R130" s="2379"/>
    </row>
    <row r="131" spans="2:18" ht="12" customHeight="1" x14ac:dyDescent="0.2">
      <c r="B131" s="1801" t="s">
        <v>0</v>
      </c>
      <c r="C131" s="1796" t="s">
        <v>175</v>
      </c>
      <c r="D131" s="1796"/>
      <c r="E131" s="1796"/>
      <c r="F131" s="1796"/>
      <c r="G131" s="2543"/>
      <c r="H131" s="2544"/>
      <c r="I131" s="2397"/>
      <c r="J131" s="2398"/>
      <c r="K131" s="2399">
        <f>'6. T3 TASE'!G89/1000</f>
        <v>0</v>
      </c>
      <c r="L131" s="2378"/>
      <c r="M131" s="2378">
        <f>'6. T3 TASE'!H89/1000</f>
        <v>0</v>
      </c>
      <c r="N131" s="2378"/>
      <c r="O131" s="2378">
        <f>'6. T3 TASE'!I89/1000</f>
        <v>0</v>
      </c>
      <c r="P131" s="2378"/>
      <c r="Q131" s="2378">
        <f>'6. T3 TASE'!J89/1000</f>
        <v>0</v>
      </c>
      <c r="R131" s="2379"/>
    </row>
    <row r="132" spans="2:18" ht="12" customHeight="1" x14ac:dyDescent="0.2">
      <c r="B132" s="1801">
        <v>0</v>
      </c>
      <c r="C132" s="1796" t="s">
        <v>181</v>
      </c>
      <c r="D132" s="1796"/>
      <c r="E132" s="1796"/>
      <c r="F132" s="1796"/>
      <c r="G132" s="2543"/>
      <c r="H132" s="2544"/>
      <c r="I132" s="2397"/>
      <c r="J132" s="2398"/>
      <c r="K132" s="2399">
        <f>'6. T3 TASE'!G94/1000</f>
        <v>0</v>
      </c>
      <c r="L132" s="2378"/>
      <c r="M132" s="2378">
        <f>'6. T3 TASE'!H94/1000</f>
        <v>0</v>
      </c>
      <c r="N132" s="2378"/>
      <c r="O132" s="2378">
        <f>'6. T3 TASE'!I94/1000</f>
        <v>0</v>
      </c>
      <c r="P132" s="2378"/>
      <c r="Q132" s="2378">
        <f>'6. T3 TASE'!J94/1000</f>
        <v>0</v>
      </c>
      <c r="R132" s="2379"/>
    </row>
    <row r="133" spans="2:18" ht="15.95" customHeight="1" x14ac:dyDescent="0.2">
      <c r="B133" s="1802">
        <v>0</v>
      </c>
      <c r="C133" s="1799" t="s">
        <v>190</v>
      </c>
      <c r="D133" s="1799"/>
      <c r="E133" s="1799"/>
      <c r="F133" s="1799"/>
      <c r="G133" s="2554"/>
      <c r="H133" s="2555"/>
      <c r="I133" s="2556"/>
      <c r="J133" s="2557"/>
      <c r="K133" s="2558">
        <f>'6. T3 TASE'!G98/1000</f>
        <v>0</v>
      </c>
      <c r="L133" s="2558"/>
      <c r="M133" s="2558">
        <f>'6. T3 TASE'!H98/1000</f>
        <v>0</v>
      </c>
      <c r="N133" s="2558"/>
      <c r="O133" s="2558">
        <f>'6. T3 TASE'!I98/1000</f>
        <v>0</v>
      </c>
      <c r="P133" s="2558"/>
      <c r="Q133" s="2558">
        <f>'6. T3 TASE'!J98/1000</f>
        <v>0</v>
      </c>
      <c r="R133" s="2558"/>
    </row>
    <row r="134" spans="2:18" ht="12" customHeight="1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</row>
    <row r="135" spans="2:18" ht="10.5" customHeight="1" x14ac:dyDescent="0.2">
      <c r="B135" s="2633" t="s">
        <v>428</v>
      </c>
      <c r="C135" s="2634"/>
      <c r="D135" s="2634"/>
      <c r="E135" s="2634"/>
      <c r="F135" s="2634"/>
      <c r="G135" s="2634"/>
      <c r="H135" s="2634"/>
      <c r="I135" s="2634"/>
      <c r="J135" s="2634"/>
      <c r="K135" s="2374" t="str">
        <f>K110</f>
        <v>Ennuste 1</v>
      </c>
      <c r="L135" s="2373"/>
      <c r="M135" s="2374" t="str">
        <f>M110</f>
        <v>Ennuste 2</v>
      </c>
      <c r="N135" s="2373"/>
      <c r="O135" s="2374" t="str">
        <f>O110</f>
        <v>Ennuste 3</v>
      </c>
      <c r="P135" s="2373"/>
      <c r="Q135" s="2374" t="str">
        <f>Q110</f>
        <v>Ennuste 4</v>
      </c>
      <c r="R135" s="2373"/>
    </row>
    <row r="136" spans="2:18" ht="10.5" customHeight="1" x14ac:dyDescent="0.2">
      <c r="B136" s="2635"/>
      <c r="C136" s="2342"/>
      <c r="D136" s="2342"/>
      <c r="E136" s="2342"/>
      <c r="F136" s="2342"/>
      <c r="G136" s="2342"/>
      <c r="H136" s="2342"/>
      <c r="I136" s="2342"/>
      <c r="J136" s="2342"/>
      <c r="K136" s="2552">
        <f>K111</f>
        <v>2027</v>
      </c>
      <c r="L136" s="2553"/>
      <c r="M136" s="2552">
        <f>M111</f>
        <v>2028</v>
      </c>
      <c r="N136" s="2553"/>
      <c r="O136" s="2552">
        <f>O111</f>
        <v>2029</v>
      </c>
      <c r="P136" s="2553"/>
      <c r="Q136" s="2552">
        <f>Q111</f>
        <v>2030</v>
      </c>
      <c r="R136" s="2553"/>
    </row>
    <row r="137" spans="2:18" ht="15" customHeight="1" x14ac:dyDescent="0.2">
      <c r="B137" s="1228" t="s">
        <v>299</v>
      </c>
      <c r="C137" s="1229"/>
      <c r="D137" s="1230"/>
      <c r="E137" s="1230"/>
      <c r="F137" s="1230"/>
      <c r="G137" s="1231"/>
      <c r="H137" s="1232"/>
      <c r="I137" s="1232"/>
      <c r="J137" s="1232"/>
      <c r="K137" s="2559"/>
      <c r="L137" s="2559"/>
      <c r="M137" s="2559"/>
      <c r="N137" s="2559"/>
      <c r="O137" s="2559"/>
      <c r="P137" s="2559"/>
      <c r="Q137" s="2560"/>
      <c r="R137" s="2561"/>
    </row>
    <row r="138" spans="2:18" ht="12" customHeight="1" x14ac:dyDescent="0.2">
      <c r="B138" s="612" t="s">
        <v>2</v>
      </c>
      <c r="C138" s="2409" t="s">
        <v>55</v>
      </c>
      <c r="D138" s="2409"/>
      <c r="E138" s="2409"/>
      <c r="F138" s="2409"/>
      <c r="G138" s="2409"/>
      <c r="H138" s="607"/>
      <c r="I138" s="607"/>
      <c r="J138" s="613"/>
      <c r="K138" s="2562">
        <f>'5. T4 RAHOITUSSUUN.'!G15/1000</f>
        <v>0</v>
      </c>
      <c r="L138" s="2562"/>
      <c r="M138" s="2562">
        <f>'5. T4 RAHOITUSSUUN.'!H15/1000</f>
        <v>0</v>
      </c>
      <c r="N138" s="2562"/>
      <c r="O138" s="2562">
        <f>'5. T4 RAHOITUSSUUN.'!I15/1000</f>
        <v>0</v>
      </c>
      <c r="P138" s="2562"/>
      <c r="Q138" s="2562">
        <f>'5. T4 RAHOITUSSUUN.'!J15/1000</f>
        <v>0</v>
      </c>
      <c r="R138" s="2399"/>
    </row>
    <row r="139" spans="2:18" ht="12" customHeight="1" x14ac:dyDescent="0.2">
      <c r="B139" s="612" t="s">
        <v>3</v>
      </c>
      <c r="C139" s="2409" t="s">
        <v>56</v>
      </c>
      <c r="D139" s="2409"/>
      <c r="E139" s="2409"/>
      <c r="F139" s="2409"/>
      <c r="G139" s="2409"/>
      <c r="H139" s="607"/>
      <c r="I139" s="607"/>
      <c r="J139" s="613"/>
      <c r="K139" s="2562">
        <f>'5. T4 RAHOITUSSUUN.'!G16/1000</f>
        <v>0</v>
      </c>
      <c r="L139" s="2562"/>
      <c r="M139" s="2562">
        <f>'5. T4 RAHOITUSSUUN.'!H16/1000</f>
        <v>0</v>
      </c>
      <c r="N139" s="2562"/>
      <c r="O139" s="2562">
        <f>'5. T4 RAHOITUSSUUN.'!I16/1000</f>
        <v>0</v>
      </c>
      <c r="P139" s="2562"/>
      <c r="Q139" s="2562">
        <f>'5. T4 RAHOITUSSUUN.'!J16/1000</f>
        <v>0</v>
      </c>
      <c r="R139" s="2399"/>
    </row>
    <row r="140" spans="2:18" ht="12" customHeight="1" x14ac:dyDescent="0.2">
      <c r="B140" s="612" t="s">
        <v>4</v>
      </c>
      <c r="C140" s="2409" t="s">
        <v>393</v>
      </c>
      <c r="D140" s="2409"/>
      <c r="E140" s="2409"/>
      <c r="F140" s="2409"/>
      <c r="G140" s="2409"/>
      <c r="H140" s="607"/>
      <c r="I140" s="607"/>
      <c r="J140" s="613"/>
      <c r="K140" s="2562">
        <f>'5. T4 RAHOITUSSUUN.'!G17/1000</f>
        <v>0</v>
      </c>
      <c r="L140" s="2562"/>
      <c r="M140" s="2562">
        <f>'5. T4 RAHOITUSSUUN.'!H17/1000</f>
        <v>0</v>
      </c>
      <c r="N140" s="2562"/>
      <c r="O140" s="2562">
        <f>'5. T4 RAHOITUSSUUN.'!I17/1000</f>
        <v>0</v>
      </c>
      <c r="P140" s="2562"/>
      <c r="Q140" s="2562">
        <f>'5. T4 RAHOITUSSUUN.'!J17/1000</f>
        <v>0</v>
      </c>
      <c r="R140" s="2399"/>
    </row>
    <row r="141" spans="2:18" ht="12" customHeight="1" x14ac:dyDescent="0.2">
      <c r="B141" s="612" t="s">
        <v>5</v>
      </c>
      <c r="C141" s="2409" t="s">
        <v>167</v>
      </c>
      <c r="D141" s="2409"/>
      <c r="E141" s="2409"/>
      <c r="F141" s="2409"/>
      <c r="G141" s="2409"/>
      <c r="H141" s="607"/>
      <c r="I141" s="607"/>
      <c r="J141" s="613"/>
      <c r="K141" s="2562">
        <f>'5. T4 RAHOITUSSUUN.'!G18/1000</f>
        <v>0</v>
      </c>
      <c r="L141" s="2562"/>
      <c r="M141" s="2562">
        <f>'5. T4 RAHOITUSSUUN.'!H18/1000</f>
        <v>0</v>
      </c>
      <c r="N141" s="2562"/>
      <c r="O141" s="2562">
        <f>'5. T4 RAHOITUSSUUN.'!I18/1000</f>
        <v>0</v>
      </c>
      <c r="P141" s="2562"/>
      <c r="Q141" s="2562">
        <f>'5. T4 RAHOITUSSUUN.'!J18/1000</f>
        <v>0</v>
      </c>
      <c r="R141" s="2399"/>
    </row>
    <row r="142" spans="2:18" ht="12" customHeight="1" x14ac:dyDescent="0.2">
      <c r="B142" s="612" t="s">
        <v>6</v>
      </c>
      <c r="C142" s="2409" t="s">
        <v>74</v>
      </c>
      <c r="D142" s="2409"/>
      <c r="E142" s="2409"/>
      <c r="F142" s="2409"/>
      <c r="G142" s="2409"/>
      <c r="H142" s="607"/>
      <c r="I142" s="607"/>
      <c r="J142" s="613"/>
      <c r="K142" s="2562">
        <f>'5. T4 RAHOITUSSUUN.'!G19/1000</f>
        <v>0</v>
      </c>
      <c r="L142" s="2562"/>
      <c r="M142" s="2562">
        <f>'5. T4 RAHOITUSSUUN.'!H19/1000</f>
        <v>0</v>
      </c>
      <c r="N142" s="2562"/>
      <c r="O142" s="2562">
        <f>'5. T4 RAHOITUSSUUN.'!I19/1000</f>
        <v>0</v>
      </c>
      <c r="P142" s="2562"/>
      <c r="Q142" s="2562">
        <f>'5. T4 RAHOITUSSUUN.'!J19/1000</f>
        <v>0</v>
      </c>
      <c r="R142" s="2399"/>
    </row>
    <row r="143" spans="2:18" ht="12" customHeight="1" x14ac:dyDescent="0.2">
      <c r="B143" s="612" t="s">
        <v>7</v>
      </c>
      <c r="C143" s="2412" t="s">
        <v>851</v>
      </c>
      <c r="D143" s="2412"/>
      <c r="E143" s="2412"/>
      <c r="F143" s="2412"/>
      <c r="G143" s="2412"/>
      <c r="H143" s="2412"/>
      <c r="I143" s="2412"/>
      <c r="J143" s="2563"/>
      <c r="K143" s="2562">
        <f>'5. T4 RAHOITUSSUUN.'!G20/1000</f>
        <v>0</v>
      </c>
      <c r="L143" s="2562"/>
      <c r="M143" s="2562">
        <f>'5. T4 RAHOITUSSUUN.'!H20/1000</f>
        <v>0</v>
      </c>
      <c r="N143" s="2562"/>
      <c r="O143" s="2562">
        <f>'5. T4 RAHOITUSSUUN.'!I20/1000</f>
        <v>0</v>
      </c>
      <c r="P143" s="2562"/>
      <c r="Q143" s="2562">
        <f>'5. T4 RAHOITUSSUUN.'!J20/1000</f>
        <v>0</v>
      </c>
      <c r="R143" s="2399"/>
    </row>
    <row r="144" spans="2:18" ht="15" customHeight="1" x14ac:dyDescent="0.2">
      <c r="B144" s="625" t="s">
        <v>8</v>
      </c>
      <c r="C144" s="599" t="s">
        <v>18</v>
      </c>
      <c r="D144" s="599"/>
      <c r="E144" s="599"/>
      <c r="F144" s="599"/>
      <c r="G144" s="1233"/>
      <c r="H144" s="603"/>
      <c r="I144" s="603"/>
      <c r="J144" s="603"/>
      <c r="K144" s="2564">
        <f>'5. T4 RAHOITUSSUUN.'!G21/1000</f>
        <v>0</v>
      </c>
      <c r="L144" s="2564"/>
      <c r="M144" s="2564">
        <f>'5. T4 RAHOITUSSUUN.'!H21/1000</f>
        <v>0</v>
      </c>
      <c r="N144" s="2564"/>
      <c r="O144" s="2564">
        <f>'5. T4 RAHOITUSSUUN.'!I21/1000</f>
        <v>0</v>
      </c>
      <c r="P144" s="2564"/>
      <c r="Q144" s="2564">
        <f>'5. T4 RAHOITUSSUUN.'!J21/1000</f>
        <v>0</v>
      </c>
      <c r="R144" s="2402"/>
    </row>
    <row r="145" spans="2:18" ht="15" customHeight="1" x14ac:dyDescent="0.2">
      <c r="B145" s="1234" t="s">
        <v>300</v>
      </c>
      <c r="C145" s="1229"/>
      <c r="D145" s="1230"/>
      <c r="E145" s="1230"/>
      <c r="F145" s="1230"/>
      <c r="G145" s="1231"/>
      <c r="H145" s="1232"/>
      <c r="I145" s="1232"/>
      <c r="J145" s="1232"/>
      <c r="K145" s="2559"/>
      <c r="L145" s="2559"/>
      <c r="M145" s="2559"/>
      <c r="N145" s="2559"/>
      <c r="O145" s="2559"/>
      <c r="P145" s="2559"/>
      <c r="Q145" s="2560"/>
      <c r="R145" s="2561"/>
    </row>
    <row r="146" spans="2:18" ht="12" customHeight="1" x14ac:dyDescent="0.2">
      <c r="B146" s="612" t="s">
        <v>9</v>
      </c>
      <c r="C146" s="2409" t="s">
        <v>301</v>
      </c>
      <c r="D146" s="2409"/>
      <c r="E146" s="2409"/>
      <c r="F146" s="2409"/>
      <c r="G146" s="2409"/>
      <c r="H146" s="607"/>
      <c r="I146" s="607"/>
      <c r="J146" s="613"/>
      <c r="K146" s="2565">
        <f>('5. T4 RAHOITUSSUUN.'!G24+'5. T4 RAHOITUSSUUN.'!G25+'5. T4 RAHOITUSSUUN.'!G26)/1000</f>
        <v>0</v>
      </c>
      <c r="L146" s="2566"/>
      <c r="M146" s="2565">
        <f>('5. T4 RAHOITUSSUUN.'!H24+'5. T4 RAHOITUSSUUN.'!H25+'5. T4 RAHOITUSSUUN.'!H26)/1000</f>
        <v>0</v>
      </c>
      <c r="N146" s="2566"/>
      <c r="O146" s="2565">
        <f>('5. T4 RAHOITUSSUUN.'!I24+'5. T4 RAHOITUSSUUN.'!I25+'5. T4 RAHOITUSSUUN.'!I26)/1000</f>
        <v>0</v>
      </c>
      <c r="P146" s="2566"/>
      <c r="Q146" s="2565">
        <f>('5. T4 RAHOITUSSUUN.'!J24+'5. T4 RAHOITUSSUUN.'!J25+'5. T4 RAHOITUSSUUN.'!J26)/1000</f>
        <v>0</v>
      </c>
      <c r="R146" s="2567"/>
    </row>
    <row r="147" spans="2:18" ht="12" customHeight="1" x14ac:dyDescent="0.2">
      <c r="B147" s="612" t="s">
        <v>10</v>
      </c>
      <c r="C147" s="2409" t="s">
        <v>61</v>
      </c>
      <c r="D147" s="2409"/>
      <c r="E147" s="2409"/>
      <c r="F147" s="2409"/>
      <c r="G147" s="2409"/>
      <c r="H147" s="607"/>
      <c r="I147" s="607"/>
      <c r="J147" s="613"/>
      <c r="K147" s="2565">
        <f>('5. T4 RAHOITUSSUUN.'!G27)/1000</f>
        <v>0</v>
      </c>
      <c r="L147" s="2566"/>
      <c r="M147" s="2565">
        <f>('5. T4 RAHOITUSSUUN.'!H27)/1000</f>
        <v>0</v>
      </c>
      <c r="N147" s="2566"/>
      <c r="O147" s="2565">
        <f>('5. T4 RAHOITUSSUUN.'!I27)/1000</f>
        <v>0</v>
      </c>
      <c r="P147" s="2566"/>
      <c r="Q147" s="2565">
        <f>('5. T4 RAHOITUSSUUN.'!J27)/1000</f>
        <v>0</v>
      </c>
      <c r="R147" s="2567"/>
    </row>
    <row r="148" spans="2:18" ht="12" customHeight="1" x14ac:dyDescent="0.2">
      <c r="B148" s="612" t="s">
        <v>11</v>
      </c>
      <c r="C148" s="2409" t="str">
        <f>'5. T4 RAHOITUSSUUN.'!C28</f>
        <v>Käyttöpääoman muutos (rivi 36)</v>
      </c>
      <c r="D148" s="2409"/>
      <c r="E148" s="2409"/>
      <c r="F148" s="2409"/>
      <c r="G148" s="2409"/>
      <c r="H148" s="607"/>
      <c r="I148" s="607"/>
      <c r="J148" s="613"/>
      <c r="K148" s="2565">
        <f>('5. T4 RAHOITUSSUUN.'!G28)/1000</f>
        <v>0</v>
      </c>
      <c r="L148" s="2566"/>
      <c r="M148" s="2565">
        <f>('5. T4 RAHOITUSSUUN.'!H28)/1000</f>
        <v>0</v>
      </c>
      <c r="N148" s="2566"/>
      <c r="O148" s="2565">
        <f>('5. T4 RAHOITUSSUUN.'!I28)/1000</f>
        <v>0</v>
      </c>
      <c r="P148" s="2566"/>
      <c r="Q148" s="2565">
        <f>('5. T4 RAHOITUSSUUN.'!J28)/1000</f>
        <v>0</v>
      </c>
      <c r="R148" s="2567"/>
    </row>
    <row r="149" spans="2:18" ht="12" customHeight="1" x14ac:dyDescent="0.2">
      <c r="B149" s="612" t="s">
        <v>109</v>
      </c>
      <c r="C149" s="2412" t="str">
        <f>'5. T4 RAHOITUSSUUN.'!C29</f>
        <v>Muu rahoitusomaisuuden lisäys</v>
      </c>
      <c r="D149" s="2412"/>
      <c r="E149" s="2412"/>
      <c r="F149" s="2412"/>
      <c r="G149" s="2412"/>
      <c r="H149" s="2412"/>
      <c r="I149" s="2412"/>
      <c r="J149" s="2563"/>
      <c r="K149" s="2565">
        <f>('5. T4 RAHOITUSSUUN.'!G29)/1000</f>
        <v>0</v>
      </c>
      <c r="L149" s="2566"/>
      <c r="M149" s="2565">
        <f>('5. T4 RAHOITUSSUUN.'!H29)/1000</f>
        <v>0</v>
      </c>
      <c r="N149" s="2566"/>
      <c r="O149" s="2565">
        <f>('5. T4 RAHOITUSSUUN.'!I29)/1000</f>
        <v>0</v>
      </c>
      <c r="P149" s="2566"/>
      <c r="Q149" s="2565">
        <f>('5. T4 RAHOITUSSUUN.'!J29)/1000</f>
        <v>0</v>
      </c>
      <c r="R149" s="2567"/>
    </row>
    <row r="150" spans="2:18" ht="12" customHeight="1" x14ac:dyDescent="0.2">
      <c r="B150" s="612" t="s">
        <v>110</v>
      </c>
      <c r="C150" s="2412" t="str">
        <f>'5. T4 RAHOITUSSUUN.'!C30</f>
        <v>Pitkäaikaisten rahalaitoslainojen vähennys</v>
      </c>
      <c r="D150" s="2412"/>
      <c r="E150" s="2412"/>
      <c r="F150" s="2412"/>
      <c r="G150" s="1067"/>
      <c r="H150" s="1067"/>
      <c r="I150" s="1067"/>
      <c r="J150" s="1071"/>
      <c r="K150" s="2565">
        <f>('5. T4 RAHOITUSSUUN.'!G30)/1000</f>
        <v>0</v>
      </c>
      <c r="L150" s="2566"/>
      <c r="M150" s="2565">
        <f>('5. T4 RAHOITUSSUUN.'!H30)/1000</f>
        <v>0</v>
      </c>
      <c r="N150" s="2566"/>
      <c r="O150" s="2565">
        <f>('5. T4 RAHOITUSSUUN.'!I30)/1000</f>
        <v>0</v>
      </c>
      <c r="P150" s="2566"/>
      <c r="Q150" s="2565">
        <f>('5. T4 RAHOITUSSUUN.'!J30)/1000</f>
        <v>0</v>
      </c>
      <c r="R150" s="2566"/>
    </row>
    <row r="151" spans="2:18" ht="12" customHeight="1" x14ac:dyDescent="0.2">
      <c r="B151" s="612" t="s">
        <v>293</v>
      </c>
      <c r="C151" s="2412" t="str">
        <f>'5. T4 RAHOITUSSUUN.'!C31</f>
        <v>SVOP-palautus</v>
      </c>
      <c r="D151" s="2412"/>
      <c r="E151" s="2412"/>
      <c r="F151" s="1067"/>
      <c r="G151" s="1067"/>
      <c r="H151" s="1067"/>
      <c r="I151" s="1067"/>
      <c r="J151" s="1071"/>
      <c r="K151" s="2568">
        <f>('5. T4 RAHOITUSSUUN.'!G31)/1000</f>
        <v>0</v>
      </c>
      <c r="L151" s="2569"/>
      <c r="M151" s="2565">
        <f>('5. T4 RAHOITUSSUUN.'!H31)/1000</f>
        <v>0</v>
      </c>
      <c r="N151" s="2566"/>
      <c r="O151" s="2565">
        <f>('5. T4 RAHOITUSSUUN.'!I31)/1000</f>
        <v>0</v>
      </c>
      <c r="P151" s="2566"/>
      <c r="Q151" s="2565">
        <f>('5. T4 RAHOITUSSUUN.'!J31)/1000</f>
        <v>0</v>
      </c>
      <c r="R151" s="2567"/>
    </row>
    <row r="152" spans="2:18" ht="12" customHeight="1" x14ac:dyDescent="0.2">
      <c r="B152" s="612" t="s">
        <v>111</v>
      </c>
      <c r="C152" s="2412" t="str">
        <f>'5. T4 RAHOITUSSUUN.'!C32</f>
        <v>Pääomalainojen vähennys</v>
      </c>
      <c r="D152" s="2412"/>
      <c r="E152" s="2412"/>
      <c r="F152" s="2412"/>
      <c r="G152" s="1067"/>
      <c r="H152" s="1067"/>
      <c r="I152" s="1067"/>
      <c r="J152" s="1071"/>
      <c r="K152" s="2568">
        <f>('5. T4 RAHOITUSSUUN.'!G32)/1000</f>
        <v>0</v>
      </c>
      <c r="L152" s="2569"/>
      <c r="M152" s="2565">
        <f>('5. T4 RAHOITUSSUUN.'!H32)/1000</f>
        <v>0</v>
      </c>
      <c r="N152" s="2566"/>
      <c r="O152" s="2565">
        <f>('5. T4 RAHOITUSSUUN.'!I32)/1000</f>
        <v>0</v>
      </c>
      <c r="P152" s="2566"/>
      <c r="Q152" s="2565">
        <f>('5. T4 RAHOITUSSUUN.'!J32)/1000</f>
        <v>0</v>
      </c>
      <c r="R152" s="2567"/>
    </row>
    <row r="153" spans="2:18" ht="12" customHeight="1" x14ac:dyDescent="0.2">
      <c r="B153" s="612" t="s">
        <v>112</v>
      </c>
      <c r="C153" s="2412" t="str">
        <f>'5. T4 RAHOITUSSUUN.'!C33</f>
        <v>Pitkäaikainen ostovelka, vähennys</v>
      </c>
      <c r="D153" s="2412"/>
      <c r="E153" s="2412"/>
      <c r="F153" s="1067"/>
      <c r="G153" s="1067"/>
      <c r="H153" s="1067"/>
      <c r="I153" s="1067"/>
      <c r="J153" s="1071"/>
      <c r="K153" s="2568">
        <f>('5. T4 RAHOITUSSUUN.'!G33)/1000</f>
        <v>0</v>
      </c>
      <c r="L153" s="2569"/>
      <c r="M153" s="2565">
        <f>('5. T4 RAHOITUSSUUN.'!H33)/1000</f>
        <v>0</v>
      </c>
      <c r="N153" s="2566"/>
      <c r="O153" s="2565">
        <f>('5. T4 RAHOITUSSUUN.'!I33)/1000</f>
        <v>0</v>
      </c>
      <c r="P153" s="2566"/>
      <c r="Q153" s="2565">
        <f>('5. T4 RAHOITUSSUUN.'!J33)/1000</f>
        <v>0</v>
      </c>
      <c r="R153" s="2567"/>
    </row>
    <row r="154" spans="2:18" ht="12" customHeight="1" x14ac:dyDescent="0.2">
      <c r="B154" s="612" t="s">
        <v>113</v>
      </c>
      <c r="C154" s="2409" t="str">
        <f>'5. T4 RAHOITUSSUUN.'!C34</f>
        <v>Muut pitkäaikaiset velat, vähennys</v>
      </c>
      <c r="D154" s="2409"/>
      <c r="E154" s="2409"/>
      <c r="F154" s="2409"/>
      <c r="G154" s="2409"/>
      <c r="H154" s="607"/>
      <c r="I154" s="607"/>
      <c r="J154" s="613"/>
      <c r="K154" s="2568">
        <f>('5. T4 RAHOITUSSUUN.'!G34)/1000</f>
        <v>0</v>
      </c>
      <c r="L154" s="2569"/>
      <c r="M154" s="2565">
        <f>('5. T4 RAHOITUSSUUN.'!H34)/1000</f>
        <v>0</v>
      </c>
      <c r="N154" s="2566"/>
      <c r="O154" s="2565">
        <f>('5. T4 RAHOITUSSUUN.'!I34)/1000</f>
        <v>0</v>
      </c>
      <c r="P154" s="2566"/>
      <c r="Q154" s="2565">
        <f>('5. T4 RAHOITUSSUUN.'!J34)/1000</f>
        <v>0</v>
      </c>
      <c r="R154" s="2567"/>
    </row>
    <row r="155" spans="2:18" ht="12" customHeight="1" x14ac:dyDescent="0.2">
      <c r="B155" s="612" t="s">
        <v>114</v>
      </c>
      <c r="C155" s="2409" t="str">
        <f>'5. T4 RAHOITUSSUUN.'!C35</f>
        <v>Pitkäaik. lainojen lyhennyserämuutokset</v>
      </c>
      <c r="D155" s="2409"/>
      <c r="E155" s="2409"/>
      <c r="F155" s="2409"/>
      <c r="G155" s="2409"/>
      <c r="H155" s="607"/>
      <c r="I155" s="607"/>
      <c r="J155" s="613"/>
      <c r="K155" s="2565">
        <f>('5. T4 RAHOITUSSUUN.'!G35)/1000</f>
        <v>0</v>
      </c>
      <c r="L155" s="2566"/>
      <c r="M155" s="2565">
        <f>('5. T4 RAHOITUSSUUN.'!H35)/1000</f>
        <v>0</v>
      </c>
      <c r="N155" s="2566"/>
      <c r="O155" s="2565">
        <f>('5. T4 RAHOITUSSUUN.'!I35)/1000</f>
        <v>0</v>
      </c>
      <c r="P155" s="2566"/>
      <c r="Q155" s="2565">
        <f>('5. T4 RAHOITUSSUUN.'!J35)/1000</f>
        <v>0</v>
      </c>
      <c r="R155" s="2567"/>
    </row>
    <row r="156" spans="2:18" ht="12" customHeight="1" x14ac:dyDescent="0.2">
      <c r="B156" s="612" t="s">
        <v>115</v>
      </c>
      <c r="C156" s="614" t="str">
        <f>'5. T4 RAHOITUSSUUN.'!C36</f>
        <v>Osamaksuvelkojen vähennys</v>
      </c>
      <c r="D156" s="614"/>
      <c r="E156" s="614"/>
      <c r="F156" s="614"/>
      <c r="G156" s="614"/>
      <c r="H156" s="607"/>
      <c r="I156" s="607"/>
      <c r="J156" s="613"/>
      <c r="K156" s="2565">
        <f>('5. T4 RAHOITUSSUUN.'!G36)/1000</f>
        <v>0</v>
      </c>
      <c r="L156" s="2566"/>
      <c r="M156" s="2565">
        <f>('5. T4 RAHOITUSSUUN.'!H36)/1000</f>
        <v>0</v>
      </c>
      <c r="N156" s="2566"/>
      <c r="O156" s="2565">
        <f>('5. T4 RAHOITUSSUUN.'!I36)/1000</f>
        <v>0</v>
      </c>
      <c r="P156" s="2566"/>
      <c r="Q156" s="2565">
        <f>('5. T4 RAHOITUSSUUN.'!J36)/1000</f>
        <v>0</v>
      </c>
      <c r="R156" s="2567"/>
    </row>
    <row r="157" spans="2:18" ht="12" customHeight="1" x14ac:dyDescent="0.2">
      <c r="B157" s="612" t="s">
        <v>116</v>
      </c>
      <c r="C157" s="2409" t="str">
        <f>'5. T4 RAHOITUSSUUN.'!C37</f>
        <v xml:space="preserve">Muu lyhytaik. vieraan po:n lisäys/vähennys     </v>
      </c>
      <c r="D157" s="2409"/>
      <c r="E157" s="2409"/>
      <c r="F157" s="2409"/>
      <c r="G157" s="2409"/>
      <c r="H157" s="607"/>
      <c r="I157" s="607"/>
      <c r="J157" s="613"/>
      <c r="K157" s="2565">
        <f>('5. T4 RAHOITUSSUUN.'!G37)/1000</f>
        <v>0</v>
      </c>
      <c r="L157" s="2566"/>
      <c r="M157" s="2565">
        <f>('5. T4 RAHOITUSSUUN.'!H37)/1000</f>
        <v>0</v>
      </c>
      <c r="N157" s="2566"/>
      <c r="O157" s="2565">
        <f>('5. T4 RAHOITUSSUUN.'!I37)/1000</f>
        <v>0</v>
      </c>
      <c r="P157" s="2566"/>
      <c r="Q157" s="2565">
        <f>('5. T4 RAHOITUSSUUN.'!J37)/1000</f>
        <v>0</v>
      </c>
      <c r="R157" s="2567"/>
    </row>
    <row r="158" spans="2:18" ht="12" customHeight="1" x14ac:dyDescent="0.2">
      <c r="B158" s="612" t="s">
        <v>33</v>
      </c>
      <c r="C158" s="545" t="str">
        <f>'5. T4 RAHOITUSSUUN.'!C38</f>
        <v>Lyhytaikaisten lainojen vähennys</v>
      </c>
      <c r="D158" s="545"/>
      <c r="E158" s="545"/>
      <c r="F158" s="545"/>
      <c r="G158" s="545"/>
      <c r="H158" s="607"/>
      <c r="I158" s="607"/>
      <c r="J158" s="613"/>
      <c r="K158" s="2565">
        <f>('5. T4 RAHOITUSSUUN.'!G38)/1000</f>
        <v>0</v>
      </c>
      <c r="L158" s="2566"/>
      <c r="M158" s="2565">
        <f>('5. T4 RAHOITUSSUUN.'!H38)/1000</f>
        <v>0</v>
      </c>
      <c r="N158" s="2566"/>
      <c r="O158" s="2565">
        <f>('5. T4 RAHOITUSSUUN.'!I38)/1000</f>
        <v>0</v>
      </c>
      <c r="P158" s="2566"/>
      <c r="Q158" s="2565">
        <f>('5. T4 RAHOITUSSUUN.'!J38)/1000</f>
        <v>0</v>
      </c>
      <c r="R158" s="2567"/>
    </row>
    <row r="159" spans="2:18" ht="12" customHeight="1" x14ac:dyDescent="0.2">
      <c r="B159" s="612" t="s">
        <v>311</v>
      </c>
      <c r="C159" s="2409" t="s">
        <v>58</v>
      </c>
      <c r="D159" s="2409"/>
      <c r="E159" s="2409"/>
      <c r="F159" s="2409"/>
      <c r="G159" s="2409"/>
      <c r="H159" s="607"/>
      <c r="I159" s="607"/>
      <c r="J159" s="613"/>
      <c r="K159" s="2565">
        <f>('5. T4 RAHOITUSSUUN.'!G39)/1000</f>
        <v>0</v>
      </c>
      <c r="L159" s="2566"/>
      <c r="M159" s="2565">
        <f>('5. T4 RAHOITUSSUUN.'!H39)/1000</f>
        <v>0</v>
      </c>
      <c r="N159" s="2566"/>
      <c r="O159" s="2565">
        <f>('5. T4 RAHOITUSSUUN.'!I39)/1000</f>
        <v>0</v>
      </c>
      <c r="P159" s="2566"/>
      <c r="Q159" s="2565">
        <f>('5. T4 RAHOITUSSUUN.'!J39)/1000</f>
        <v>0</v>
      </c>
      <c r="R159" s="2567"/>
    </row>
    <row r="160" spans="2:18" ht="12" customHeight="1" x14ac:dyDescent="0.2">
      <c r="B160" s="612" t="s">
        <v>312</v>
      </c>
      <c r="C160" s="2409" t="s">
        <v>140</v>
      </c>
      <c r="D160" s="2409"/>
      <c r="E160" s="2409"/>
      <c r="F160" s="2409"/>
      <c r="G160" s="2409"/>
      <c r="H160" s="607"/>
      <c r="I160" s="607"/>
      <c r="J160" s="613"/>
      <c r="K160" s="2565">
        <f>('5. T4 RAHOITUSSUUN.'!G40)/1000</f>
        <v>0</v>
      </c>
      <c r="L160" s="2566"/>
      <c r="M160" s="2565">
        <f>('5. T4 RAHOITUSSUUN.'!H40)/1000</f>
        <v>0</v>
      </c>
      <c r="N160" s="2566"/>
      <c r="O160" s="2565">
        <f>('5. T4 RAHOITUSSUUN.'!I40)/1000</f>
        <v>0</v>
      </c>
      <c r="P160" s="2566"/>
      <c r="Q160" s="2565">
        <f>('5. T4 RAHOITUSSUUN.'!J40)/1000</f>
        <v>0</v>
      </c>
      <c r="R160" s="2567"/>
    </row>
    <row r="161" spans="1:18" ht="15" customHeight="1" x14ac:dyDescent="0.2">
      <c r="B161" s="612" t="s">
        <v>316</v>
      </c>
      <c r="C161" s="615" t="s">
        <v>18</v>
      </c>
      <c r="D161" s="615"/>
      <c r="E161" s="615"/>
      <c r="F161" s="615"/>
      <c r="G161" s="616"/>
      <c r="H161" s="606"/>
      <c r="I161" s="606"/>
      <c r="J161" s="617"/>
      <c r="K161" s="2579">
        <f>('5. T4 RAHOITUSSUUN.'!G41)/1000</f>
        <v>0</v>
      </c>
      <c r="L161" s="2580"/>
      <c r="M161" s="2579">
        <f>('5. T4 RAHOITUSSUUN.'!H41)/1000</f>
        <v>0</v>
      </c>
      <c r="N161" s="2580"/>
      <c r="O161" s="2579">
        <f>('5. T4 RAHOITUSSUUN.'!I41)/1000</f>
        <v>0</v>
      </c>
      <c r="P161" s="2580"/>
      <c r="Q161" s="2579">
        <f>('5. T4 RAHOITUSSUUN.'!J41)/1000</f>
        <v>0</v>
      </c>
      <c r="R161" s="2600"/>
    </row>
    <row r="162" spans="1:18" ht="15" customHeight="1" x14ac:dyDescent="0.2">
      <c r="B162" s="612" t="s">
        <v>323</v>
      </c>
      <c r="C162" s="614" t="s">
        <v>324</v>
      </c>
      <c r="D162" s="614"/>
      <c r="E162" s="614"/>
      <c r="F162" s="614"/>
      <c r="G162" s="614"/>
      <c r="H162" s="607"/>
      <c r="I162" s="607"/>
      <c r="J162" s="613"/>
      <c r="K162" s="2565">
        <f>('5. T4 RAHOITUSSUUN.'!G42)/1000</f>
        <v>0</v>
      </c>
      <c r="L162" s="2566"/>
      <c r="M162" s="2565">
        <f>('5. T4 RAHOITUSSUUN.'!H42)/1000</f>
        <v>0</v>
      </c>
      <c r="N162" s="2566"/>
      <c r="O162" s="2565">
        <f>('5. T4 RAHOITUSSUUN.'!I42)/1000</f>
        <v>0</v>
      </c>
      <c r="P162" s="2566"/>
      <c r="Q162" s="2565">
        <f>('5. T4 RAHOITUSSUUN.'!J42)/1000</f>
        <v>0</v>
      </c>
      <c r="R162" s="2567"/>
    </row>
    <row r="163" spans="1:18" ht="15" customHeight="1" x14ac:dyDescent="0.2">
      <c r="B163" s="625" t="s">
        <v>326</v>
      </c>
      <c r="C163" s="1235" t="s">
        <v>59</v>
      </c>
      <c r="D163" s="1235"/>
      <c r="E163" s="1235"/>
      <c r="F163" s="1235"/>
      <c r="G163" s="1162">
        <v>0</v>
      </c>
      <c r="H163" s="603"/>
      <c r="I163" s="603"/>
      <c r="J163" s="603"/>
      <c r="K163" s="2579">
        <f>('5. T4 RAHOITUSSUUN.'!G43)/1000</f>
        <v>0</v>
      </c>
      <c r="L163" s="2580"/>
      <c r="M163" s="2579">
        <f>('5. T4 RAHOITUSSUUN.'!H43)/1000</f>
        <v>0</v>
      </c>
      <c r="N163" s="2580"/>
      <c r="O163" s="2579">
        <f>('5. T4 RAHOITUSSUUN.'!I43)/1000</f>
        <v>0</v>
      </c>
      <c r="P163" s="2580"/>
      <c r="Q163" s="2579">
        <f>('5. T4 RAHOITUSSUUN.'!J43)/1000</f>
        <v>0</v>
      </c>
      <c r="R163" s="2600"/>
    </row>
    <row r="164" spans="1:18" ht="7.5" customHeight="1" x14ac:dyDescent="0.2">
      <c r="B164" s="130"/>
      <c r="C164" s="455"/>
      <c r="D164" s="455"/>
      <c r="E164" s="455"/>
      <c r="F164" s="455"/>
      <c r="G164" s="464"/>
      <c r="H164" s="439"/>
      <c r="I164" s="439"/>
      <c r="J164" s="439"/>
      <c r="K164" s="727"/>
      <c r="L164" s="727"/>
      <c r="M164" s="727"/>
      <c r="N164" s="727"/>
      <c r="O164" s="727"/>
      <c r="P164" s="727"/>
      <c r="Q164" s="727"/>
      <c r="R164" s="727"/>
    </row>
    <row r="165" spans="1:18" ht="12" customHeight="1" x14ac:dyDescent="0.2">
      <c r="B165" s="417">
        <f>OHJE!F6</f>
        <v>0</v>
      </c>
      <c r="C165" s="415"/>
      <c r="D165" s="415"/>
      <c r="E165" s="415"/>
      <c r="F165" s="415"/>
      <c r="G165" s="416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639"/>
    </row>
    <row r="166" spans="1:18" x14ac:dyDescent="0.2">
      <c r="B166" s="2334" t="str">
        <f>OHJE!G8</f>
        <v>Kehittämisyhtiö Witas Oy</v>
      </c>
      <c r="C166" s="2334"/>
      <c r="D166" s="2334"/>
      <c r="E166" s="2334"/>
      <c r="F166" s="2334"/>
      <c r="G166" s="2334"/>
      <c r="H166" s="2334"/>
      <c r="I166" s="2334"/>
      <c r="J166" s="2334"/>
      <c r="K166" s="2334"/>
      <c r="L166" s="2334"/>
      <c r="M166" s="2334"/>
      <c r="N166" s="85"/>
      <c r="O166" s="85"/>
      <c r="P166" s="85"/>
      <c r="Q166" s="85"/>
      <c r="R166" s="85" t="s">
        <v>438</v>
      </c>
    </row>
    <row r="167" spans="1:18" ht="12" customHeight="1" x14ac:dyDescent="0.2">
      <c r="B167" s="130"/>
      <c r="C167" s="455"/>
      <c r="D167" s="455"/>
      <c r="E167" s="455"/>
      <c r="F167" s="455"/>
      <c r="G167" s="464"/>
      <c r="H167" s="439"/>
      <c r="I167" s="439"/>
      <c r="J167" s="439"/>
      <c r="K167" s="636"/>
      <c r="L167" s="636"/>
      <c r="M167" s="636"/>
      <c r="N167" s="636"/>
      <c r="O167" s="636"/>
      <c r="P167" s="636"/>
      <c r="Q167" s="636"/>
      <c r="R167" s="636"/>
    </row>
    <row r="168" spans="1:18" ht="11.25" customHeight="1" x14ac:dyDescent="0.2">
      <c r="B168" s="184" t="s">
        <v>0</v>
      </c>
      <c r="C168" s="483" t="s">
        <v>0</v>
      </c>
      <c r="F168" s="138"/>
      <c r="G168" s="129"/>
      <c r="H168" s="129"/>
      <c r="I168" s="129"/>
      <c r="J168" s="129"/>
      <c r="L168" s="129"/>
      <c r="M168" s="2589"/>
      <c r="N168" s="2590"/>
      <c r="O168" s="544"/>
      <c r="P168" s="544"/>
      <c r="Q168" s="420"/>
      <c r="R168" s="153"/>
    </row>
    <row r="169" spans="1:18" ht="11.25" customHeight="1" x14ac:dyDescent="0.2">
      <c r="B169" s="2337">
        <f>B7</f>
        <v>0</v>
      </c>
      <c r="C169" s="2337"/>
      <c r="D169" s="2337"/>
      <c r="E169" s="2337"/>
      <c r="F169" s="2337"/>
      <c r="G169" s="2337"/>
      <c r="H169" s="2337"/>
      <c r="I169" s="2337"/>
      <c r="J169" s="2337"/>
      <c r="L169" s="544"/>
      <c r="M169" s="2604"/>
      <c r="N169" s="2604"/>
      <c r="O169" s="544"/>
      <c r="P169" s="544"/>
      <c r="Q169" s="420"/>
      <c r="R169" s="153"/>
    </row>
    <row r="170" spans="1:18" ht="5.25" customHeight="1" x14ac:dyDescent="0.2">
      <c r="B170" s="184"/>
      <c r="C170" s="483"/>
      <c r="F170" s="439"/>
      <c r="G170" s="411"/>
      <c r="H170" s="543"/>
      <c r="I170" s="544"/>
      <c r="J170" s="544"/>
      <c r="L170" s="544"/>
      <c r="M170" s="735"/>
      <c r="N170" s="735"/>
      <c r="O170" s="544"/>
      <c r="P170" s="544"/>
      <c r="Q170" s="420"/>
      <c r="R170" s="153"/>
    </row>
    <row r="171" spans="1:18" ht="11.25" customHeight="1" x14ac:dyDescent="0.2">
      <c r="A171">
        <v>0</v>
      </c>
      <c r="B171" s="417"/>
      <c r="C171" s="418"/>
      <c r="D171" s="418"/>
      <c r="E171" s="418"/>
      <c r="F171" s="418"/>
      <c r="G171" s="419"/>
      <c r="H171" s="411"/>
      <c r="I171" s="543"/>
      <c r="J171" s="544"/>
      <c r="K171" s="544"/>
      <c r="L171" s="544"/>
      <c r="M171" s="544"/>
      <c r="N171" s="544"/>
      <c r="O171" s="544"/>
      <c r="P171" s="544"/>
      <c r="Q171" s="420"/>
      <c r="R171" s="153"/>
    </row>
    <row r="172" spans="1:18" ht="11.25" customHeight="1" x14ac:dyDescent="0.2">
      <c r="B172" s="2380" t="s">
        <v>358</v>
      </c>
      <c r="C172" s="2381"/>
      <c r="D172" s="2381"/>
      <c r="E172" s="2381"/>
      <c r="F172" s="2381"/>
      <c r="G172" s="2381"/>
      <c r="H172" s="2381"/>
      <c r="I172" s="1158"/>
      <c r="J172" s="1158"/>
      <c r="K172" s="2570" t="str">
        <f>K135</f>
        <v>Ennuste 1</v>
      </c>
      <c r="L172" s="2571"/>
      <c r="M172" s="2570" t="str">
        <f>M135</f>
        <v>Ennuste 2</v>
      </c>
      <c r="N172" s="2571"/>
      <c r="O172" s="2570" t="str">
        <f>O135</f>
        <v>Ennuste 3</v>
      </c>
      <c r="P172" s="2571"/>
      <c r="Q172" s="2570" t="str">
        <f>Q135</f>
        <v>Ennuste 4</v>
      </c>
      <c r="R172" s="2571"/>
    </row>
    <row r="173" spans="1:18" ht="11.25" customHeight="1" x14ac:dyDescent="0.2">
      <c r="B173" s="2382"/>
      <c r="C173" s="2383"/>
      <c r="D173" s="2383"/>
      <c r="E173" s="2383"/>
      <c r="F173" s="2383"/>
      <c r="G173" s="2383"/>
      <c r="H173" s="2383"/>
      <c r="I173" s="1224"/>
      <c r="J173" s="1224"/>
      <c r="K173" s="2599">
        <f>K136</f>
        <v>2027</v>
      </c>
      <c r="L173" s="2528"/>
      <c r="M173" s="2599">
        <f>M136</f>
        <v>2028</v>
      </c>
      <c r="N173" s="2528"/>
      <c r="O173" s="2599">
        <f>O136</f>
        <v>2029</v>
      </c>
      <c r="P173" s="2528"/>
      <c r="Q173" s="2599">
        <f>Q136</f>
        <v>2030</v>
      </c>
      <c r="R173" s="2528"/>
    </row>
    <row r="174" spans="1:18" ht="14.1" customHeight="1" x14ac:dyDescent="0.2">
      <c r="B174" s="1159" t="s">
        <v>326</v>
      </c>
      <c r="C174" s="253" t="str">
        <f>'5. T4 RAHOITUSSUUN.'!C47</f>
        <v>Vaihto-omaisuus</v>
      </c>
      <c r="D174" s="253"/>
      <c r="E174" s="253"/>
      <c r="F174" s="253"/>
      <c r="G174" s="464"/>
      <c r="H174" s="439"/>
      <c r="I174" s="1155"/>
      <c r="J174" s="1156" t="s">
        <v>30</v>
      </c>
      <c r="K174" s="2587">
        <f>'5. T4 RAHOITUSSUUN.'!G47/1000</f>
        <v>0</v>
      </c>
      <c r="L174" s="2588"/>
      <c r="M174" s="2587">
        <f>'5. T4 RAHOITUSSUUN.'!H47/1000</f>
        <v>0</v>
      </c>
      <c r="N174" s="2588"/>
      <c r="O174" s="2587">
        <f>'5. T4 RAHOITUSSUUN.'!I47/1000</f>
        <v>0</v>
      </c>
      <c r="P174" s="2588"/>
      <c r="Q174" s="2587">
        <f>'5. T4 RAHOITUSSUUN.'!J47/1000</f>
        <v>0</v>
      </c>
      <c r="R174" s="2588"/>
    </row>
    <row r="175" spans="1:18" ht="14.1" customHeight="1" x14ac:dyDescent="0.2">
      <c r="B175" s="618"/>
      <c r="C175" s="2413" t="str">
        <f>'5. T4 RAHOITUSSUUN.'!C48</f>
        <v>Vaihto-omaisuus/liikevaihto (%)</v>
      </c>
      <c r="D175" s="2413"/>
      <c r="E175" s="2413"/>
      <c r="F175" s="2413"/>
      <c r="G175" s="2413"/>
      <c r="H175" s="2413"/>
      <c r="I175" s="2413"/>
      <c r="J175" s="602"/>
      <c r="K175" s="2585">
        <f>'5. T4 RAHOITUSSUUN.'!G48</f>
        <v>0</v>
      </c>
      <c r="L175" s="2586"/>
      <c r="M175" s="2585">
        <f>'5. T4 RAHOITUSSUUN.'!H48</f>
        <v>0</v>
      </c>
      <c r="N175" s="2586"/>
      <c r="O175" s="2585">
        <f>'5. T4 RAHOITUSSUUN.'!I48</f>
        <v>0</v>
      </c>
      <c r="P175" s="2586"/>
      <c r="Q175" s="2585">
        <f>'5. T4 RAHOITUSSUUN.'!J48</f>
        <v>0</v>
      </c>
      <c r="R175" s="2586"/>
    </row>
    <row r="176" spans="1:18" ht="14.1" customHeight="1" x14ac:dyDescent="0.2">
      <c r="B176" s="1160" t="s">
        <v>327</v>
      </c>
      <c r="C176" s="545" t="str">
        <f>'5. T4 RAHOITUSSUUN.'!C49</f>
        <v>Myyntisaamiset</v>
      </c>
      <c r="D176" s="545"/>
      <c r="E176" s="545"/>
      <c r="F176" s="545"/>
      <c r="G176" s="619"/>
      <c r="H176" s="606"/>
      <c r="I176" s="620"/>
      <c r="J176" s="621" t="s">
        <v>30</v>
      </c>
      <c r="K176" s="2572">
        <f>'5. T4 RAHOITUSSUUN.'!G49/1000</f>
        <v>0</v>
      </c>
      <c r="L176" s="2573"/>
      <c r="M176" s="2572">
        <f>'5. T4 RAHOITUSSUUN.'!H49/1000</f>
        <v>0</v>
      </c>
      <c r="N176" s="2573"/>
      <c r="O176" s="2572">
        <f>'5. T4 RAHOITUSSUUN.'!I49/1000</f>
        <v>0</v>
      </c>
      <c r="P176" s="2573"/>
      <c r="Q176" s="2572">
        <f>'5. T4 RAHOITUSSUUN.'!J49/1000</f>
        <v>0</v>
      </c>
      <c r="R176" s="2573"/>
    </row>
    <row r="177" spans="1:22" ht="14.1" customHeight="1" x14ac:dyDescent="0.2">
      <c r="B177" s="618"/>
      <c r="C177" s="2414" t="str">
        <f>'5. T4 RAHOITUSSUUN.'!C50</f>
        <v>Myyntisaamisten kiertonopeus (pv)</v>
      </c>
      <c r="D177" s="2414"/>
      <c r="E177" s="2414"/>
      <c r="F177" s="2414"/>
      <c r="G177" s="2414"/>
      <c r="H177" s="2414"/>
      <c r="I177" s="2414"/>
      <c r="J177" s="1157"/>
      <c r="K177" s="2601">
        <f>'5. T4 RAHOITUSSUUN.'!G50</f>
        <v>14</v>
      </c>
      <c r="L177" s="2602"/>
      <c r="M177" s="2601">
        <f>'5. T4 RAHOITUSSUUN.'!H50</f>
        <v>14</v>
      </c>
      <c r="N177" s="2602"/>
      <c r="O177" s="2601">
        <f>'5. T4 RAHOITUSSUUN.'!I50</f>
        <v>14</v>
      </c>
      <c r="P177" s="2602"/>
      <c r="Q177" s="2601">
        <f>'5. T4 RAHOITUSSUUN.'!J50</f>
        <v>14</v>
      </c>
      <c r="R177" s="2602"/>
    </row>
    <row r="178" spans="1:22" ht="14.1" customHeight="1" x14ac:dyDescent="0.2">
      <c r="B178" s="1160" t="s">
        <v>328</v>
      </c>
      <c r="C178" s="545" t="str">
        <f>'5. T4 RAHOITUSSUUN.'!C51</f>
        <v>Muut saamiset</v>
      </c>
      <c r="D178" s="545"/>
      <c r="E178" s="545"/>
      <c r="F178" s="545"/>
      <c r="G178" s="619"/>
      <c r="H178" s="606"/>
      <c r="I178" s="620"/>
      <c r="J178" s="621" t="s">
        <v>30</v>
      </c>
      <c r="K178" s="2572">
        <f>'5. T4 RAHOITUSSUUN.'!G51/1000</f>
        <v>0</v>
      </c>
      <c r="L178" s="2573"/>
      <c r="M178" s="2572">
        <f>'5. T4 RAHOITUSSUUN.'!H51/1000</f>
        <v>0</v>
      </c>
      <c r="N178" s="2573"/>
      <c r="O178" s="2572">
        <f>'5. T4 RAHOITUSSUUN.'!I51/1000</f>
        <v>0</v>
      </c>
      <c r="P178" s="2573"/>
      <c r="Q178" s="2572">
        <f>'5. T4 RAHOITUSSUUN.'!J51/1000</f>
        <v>0</v>
      </c>
      <c r="R178" s="2573"/>
    </row>
    <row r="179" spans="1:22" ht="14.1" customHeight="1" x14ac:dyDescent="0.2">
      <c r="B179" s="1160" t="s">
        <v>329</v>
      </c>
      <c r="C179" s="545" t="str">
        <f>'5. T4 RAHOITUSSUUN.'!C52</f>
        <v>Siirtosaamiset</v>
      </c>
      <c r="D179" s="545"/>
      <c r="E179" s="545"/>
      <c r="F179" s="545"/>
      <c r="G179" s="619"/>
      <c r="H179" s="606"/>
      <c r="I179" s="620"/>
      <c r="J179" s="621" t="s">
        <v>30</v>
      </c>
      <c r="K179" s="2572">
        <f>'5. T4 RAHOITUSSUUN.'!G52/1000</f>
        <v>0</v>
      </c>
      <c r="L179" s="2573"/>
      <c r="M179" s="2572">
        <f>'5. T4 RAHOITUSSUUN.'!H52/1000</f>
        <v>0</v>
      </c>
      <c r="N179" s="2573"/>
      <c r="O179" s="2572">
        <f>'5. T4 RAHOITUSSUUN.'!I52/1000</f>
        <v>0</v>
      </c>
      <c r="P179" s="2573"/>
      <c r="Q179" s="2572">
        <f>'5. T4 RAHOITUSSUUN.'!J52/1000</f>
        <v>0</v>
      </c>
      <c r="R179" s="2573"/>
    </row>
    <row r="180" spans="1:22" ht="14.1" customHeight="1" x14ac:dyDescent="0.2">
      <c r="B180" s="1160" t="s">
        <v>330</v>
      </c>
      <c r="C180" s="545" t="str" cm="1">
        <f t="array" ref="C180:D180">'5. T4 RAHOITUSSUUN.'!C53:D53</f>
        <v>Osatuloutuksen saamiset</v>
      </c>
      <c r="D180" s="545">
        <v>0</v>
      </c>
      <c r="E180" s="545"/>
      <c r="F180" s="545"/>
      <c r="G180" s="619"/>
      <c r="H180" s="606"/>
      <c r="I180" s="620"/>
      <c r="J180" s="621" t="s">
        <v>30</v>
      </c>
      <c r="K180" s="2572">
        <f>'5. T4 RAHOITUSSUUN.'!G53/1000</f>
        <v>0</v>
      </c>
      <c r="L180" s="2573"/>
      <c r="M180" s="2572">
        <f>'5. T4 RAHOITUSSUUN.'!H53/1000</f>
        <v>0</v>
      </c>
      <c r="N180" s="2573"/>
      <c r="O180" s="2572">
        <f>'5. T4 RAHOITUSSUUN.'!I53/1000</f>
        <v>0</v>
      </c>
      <c r="P180" s="2573"/>
      <c r="Q180" s="2572">
        <f>'5. T4 RAHOITUSSUUN.'!J53/1000</f>
        <v>0</v>
      </c>
      <c r="R180" s="2573"/>
    </row>
    <row r="181" spans="1:22" ht="14.1" customHeight="1" x14ac:dyDescent="0.2">
      <c r="B181" s="1160"/>
      <c r="C181" s="2413" t="str">
        <f>'5. T4 RAHOITUSSUUN.'!C54</f>
        <v>Osatuloutukset, osuus liikevaihdosta (%)</v>
      </c>
      <c r="D181" s="2413"/>
      <c r="E181" s="2413"/>
      <c r="F181" s="2413"/>
      <c r="G181" s="2413"/>
      <c r="H181" s="2413"/>
      <c r="I181" s="2413"/>
      <c r="J181" s="602"/>
      <c r="K181" s="2585">
        <f>'5. T4 RAHOITUSSUUN.'!G54</f>
        <v>0</v>
      </c>
      <c r="L181" s="2586"/>
      <c r="M181" s="2585">
        <f>'5. T4 RAHOITUSSUUN.'!H54</f>
        <v>0</v>
      </c>
      <c r="N181" s="2586"/>
      <c r="O181" s="2585">
        <f>'5. T4 RAHOITUSSUUN.'!I54</f>
        <v>0</v>
      </c>
      <c r="P181" s="2586"/>
      <c r="Q181" s="2585">
        <f>'5. T4 RAHOITUSSUUN.'!J54</f>
        <v>0</v>
      </c>
      <c r="R181" s="2586"/>
    </row>
    <row r="182" spans="1:22" ht="14.1" customHeight="1" x14ac:dyDescent="0.2">
      <c r="B182" s="1160" t="s">
        <v>331</v>
      </c>
      <c r="C182" s="545" t="str">
        <f>'5. T4 RAHOITUSSUUN.'!C55</f>
        <v>Ostovelat</v>
      </c>
      <c r="D182" s="545"/>
      <c r="E182" s="545"/>
      <c r="F182" s="545"/>
      <c r="G182" s="619"/>
      <c r="H182" s="606"/>
      <c r="I182" s="620"/>
      <c r="J182" s="621" t="s">
        <v>31</v>
      </c>
      <c r="K182" s="2597">
        <f>'5. T4 RAHOITUSSUUN.'!G55/1000</f>
        <v>0</v>
      </c>
      <c r="L182" s="2598"/>
      <c r="M182" s="2597">
        <f>'5. T4 RAHOITUSSUUN.'!H55/1000</f>
        <v>0</v>
      </c>
      <c r="N182" s="2598"/>
      <c r="O182" s="2597">
        <f>'5. T4 RAHOITUSSUUN.'!I55/1000</f>
        <v>0</v>
      </c>
      <c r="P182" s="2598"/>
      <c r="Q182" s="2597">
        <f>'5. T4 RAHOITUSSUUN.'!J55/1000</f>
        <v>0</v>
      </c>
      <c r="R182" s="2598"/>
    </row>
    <row r="183" spans="1:22" ht="14.1" customHeight="1" x14ac:dyDescent="0.2">
      <c r="B183" s="1160"/>
      <c r="C183" s="2413" t="str">
        <f>'5. T4 RAHOITUSSUUN.'!C56</f>
        <v>Ostovelkojen kiertonopeus (pv)</v>
      </c>
      <c r="D183" s="2413"/>
      <c r="E183" s="2413"/>
      <c r="F183" s="2413"/>
      <c r="G183" s="2413"/>
      <c r="H183" s="2413"/>
      <c r="I183" s="2413"/>
      <c r="J183" s="602"/>
      <c r="K183" s="2595">
        <f>'5. T4 RAHOITUSSUUN.'!G56</f>
        <v>14</v>
      </c>
      <c r="L183" s="2596"/>
      <c r="M183" s="2595">
        <f>'5. T4 RAHOITUSSUUN.'!H56</f>
        <v>14</v>
      </c>
      <c r="N183" s="2596"/>
      <c r="O183" s="2595">
        <f>'5. T4 RAHOITUSSUUN.'!I56</f>
        <v>14</v>
      </c>
      <c r="P183" s="2596"/>
      <c r="Q183" s="2595">
        <f>'5. T4 RAHOITUSSUUN.'!J56</f>
        <v>14</v>
      </c>
      <c r="R183" s="2596"/>
      <c r="V183">
        <v>0</v>
      </c>
    </row>
    <row r="184" spans="1:22" ht="14.1" customHeight="1" x14ac:dyDescent="0.2">
      <c r="B184" s="1160" t="s">
        <v>332</v>
      </c>
      <c r="C184" s="545" t="str">
        <f>'5. T4 RAHOITUSSUUN.'!C57</f>
        <v>Saadut ennakot</v>
      </c>
      <c r="D184" s="545"/>
      <c r="E184" s="545"/>
      <c r="F184" s="545"/>
      <c r="G184" s="619"/>
      <c r="H184" s="606"/>
      <c r="I184" s="620"/>
      <c r="J184" s="621" t="s">
        <v>31</v>
      </c>
      <c r="K184" s="2572">
        <f>'5. T4 RAHOITUSSUUN.'!G57/1000</f>
        <v>0</v>
      </c>
      <c r="L184" s="2573"/>
      <c r="M184" s="2572">
        <f>'5. T4 RAHOITUSSUUN.'!H57/1000</f>
        <v>0</v>
      </c>
      <c r="N184" s="2573"/>
      <c r="O184" s="2572">
        <f>'5. T4 RAHOITUSSUUN.'!I57/1000</f>
        <v>0</v>
      </c>
      <c r="P184" s="2573"/>
      <c r="Q184" s="2572">
        <f>'5. T4 RAHOITUSSUUN.'!J57/1000</f>
        <v>0</v>
      </c>
      <c r="R184" s="2573"/>
    </row>
    <row r="185" spans="1:22" ht="14.1" customHeight="1" x14ac:dyDescent="0.2">
      <c r="B185" s="1160"/>
      <c r="C185" s="2413" t="str">
        <f>'5. T4 RAHOITUSSUUN.'!C58</f>
        <v xml:space="preserve">Saadut ennakot, osuus liikevaihdosta (%) </v>
      </c>
      <c r="D185" s="2413"/>
      <c r="E185" s="2413"/>
      <c r="F185" s="2413"/>
      <c r="G185" s="2413"/>
      <c r="H185" s="2413"/>
      <c r="I185" s="2413"/>
      <c r="J185" s="715"/>
      <c r="K185" s="2585">
        <f>'5. T4 RAHOITUSSUUN.'!G58</f>
        <v>0</v>
      </c>
      <c r="L185" s="2586"/>
      <c r="M185" s="2585">
        <f>'5. T4 RAHOITUSSUUN.'!H58</f>
        <v>0</v>
      </c>
      <c r="N185" s="2586"/>
      <c r="O185" s="2585">
        <f>'5. T4 RAHOITUSSUUN.'!I58</f>
        <v>0</v>
      </c>
      <c r="P185" s="2586"/>
      <c r="Q185" s="2585">
        <f>'5. T4 RAHOITUSSUUN.'!J58</f>
        <v>0</v>
      </c>
      <c r="R185" s="2586"/>
    </row>
    <row r="186" spans="1:22" ht="14.1" customHeight="1" x14ac:dyDescent="0.2">
      <c r="B186" s="1160" t="s">
        <v>333</v>
      </c>
      <c r="C186" s="545" t="str">
        <f>'5. T4 RAHOITUSSUUN.'!C59</f>
        <v xml:space="preserve">Käyttöpääoma </v>
      </c>
      <c r="D186" s="545"/>
      <c r="E186" s="545"/>
      <c r="F186" s="545"/>
      <c r="G186" s="619"/>
      <c r="H186" s="606"/>
      <c r="I186" s="620"/>
      <c r="J186" s="621" t="s">
        <v>86</v>
      </c>
      <c r="K186" s="2572">
        <f>'5. T4 RAHOITUSSUUN.'!G59/1000</f>
        <v>0</v>
      </c>
      <c r="L186" s="2573"/>
      <c r="M186" s="2572">
        <f>'5. T4 RAHOITUSSUUN.'!H59/1000</f>
        <v>0</v>
      </c>
      <c r="N186" s="2573"/>
      <c r="O186" s="2572">
        <f>'5. T4 RAHOITUSSUUN.'!I59/1000</f>
        <v>0</v>
      </c>
      <c r="P186" s="2573"/>
      <c r="Q186" s="2572">
        <f>'5. T4 RAHOITUSSUUN.'!J59/1000</f>
        <v>0</v>
      </c>
      <c r="R186" s="2573"/>
    </row>
    <row r="187" spans="1:22" ht="14.1" customHeight="1" x14ac:dyDescent="0.2">
      <c r="B187" s="1161" t="s">
        <v>334</v>
      </c>
      <c r="C187" s="1068" t="str">
        <f>'5. T4 RAHOITUSSUUN.'!C60</f>
        <v>Käyttöpääoman muutos</v>
      </c>
      <c r="D187" s="1068"/>
      <c r="E187" s="1068"/>
      <c r="F187" s="1068"/>
      <c r="G187" s="1162"/>
      <c r="H187" s="603"/>
      <c r="I187" s="1163"/>
      <c r="J187" s="1164" t="s">
        <v>41</v>
      </c>
      <c r="K187" s="2581" t="s">
        <v>0</v>
      </c>
      <c r="L187" s="2582"/>
      <c r="M187" s="2583">
        <f>'5. T4 RAHOITUSSUUN.'!H60/1000</f>
        <v>0</v>
      </c>
      <c r="N187" s="2584"/>
      <c r="O187" s="2583">
        <f>'5. T4 RAHOITUSSUUN.'!I60/1000</f>
        <v>0</v>
      </c>
      <c r="P187" s="2584"/>
      <c r="Q187" s="2583">
        <f>'5. T4 RAHOITUSSUUN.'!J60/1000</f>
        <v>0</v>
      </c>
      <c r="R187" s="2584"/>
    </row>
    <row r="188" spans="1:22" ht="4.5" customHeight="1" x14ac:dyDescent="0.2">
      <c r="B188" s="702"/>
      <c r="C188" s="702"/>
      <c r="D188" s="702"/>
      <c r="E188" s="702"/>
      <c r="F188" s="702"/>
      <c r="G188" s="703"/>
      <c r="H188" s="704"/>
      <c r="I188" s="705"/>
      <c r="J188" s="706"/>
      <c r="K188" s="707"/>
      <c r="L188" s="707"/>
      <c r="M188" s="707"/>
      <c r="N188" s="707"/>
      <c r="O188" s="707"/>
      <c r="P188" s="707"/>
      <c r="Q188" s="707"/>
      <c r="R188" s="707"/>
    </row>
    <row r="189" spans="1:22" ht="11.25" customHeight="1" x14ac:dyDescent="0.2">
      <c r="B189" s="417"/>
      <c r="C189" s="418"/>
      <c r="D189" s="418"/>
      <c r="E189" s="418"/>
      <c r="F189" s="418"/>
      <c r="G189" s="419"/>
      <c r="H189" s="411"/>
      <c r="I189" s="543"/>
      <c r="J189" s="544"/>
      <c r="K189" s="544"/>
      <c r="L189" s="544"/>
      <c r="M189" s="544"/>
      <c r="N189" s="544"/>
      <c r="O189" s="544"/>
      <c r="P189" s="544"/>
      <c r="Q189" s="420"/>
      <c r="R189" s="153"/>
    </row>
    <row r="190" spans="1:22" ht="11.25" customHeight="1" x14ac:dyDescent="0.2">
      <c r="B190" s="184" t="s">
        <v>361</v>
      </c>
      <c r="C190" s="76"/>
      <c r="G190" s="411"/>
      <c r="H190" s="543"/>
      <c r="I190" s="544"/>
      <c r="J190" s="544"/>
      <c r="L190" s="544"/>
      <c r="O190" s="544"/>
      <c r="P190" s="544"/>
      <c r="Q190" s="420"/>
      <c r="R190" s="153"/>
    </row>
    <row r="191" spans="1:22" ht="6.75" customHeight="1" x14ac:dyDescent="0.2">
      <c r="A191">
        <v>0</v>
      </c>
      <c r="B191" s="417"/>
      <c r="C191" s="418"/>
      <c r="D191" s="418"/>
      <c r="E191" s="418"/>
      <c r="F191" s="418"/>
      <c r="G191" s="419"/>
      <c r="H191" s="411"/>
      <c r="I191" s="543"/>
      <c r="J191" s="544"/>
      <c r="K191" s="544"/>
      <c r="L191" s="544"/>
      <c r="M191" s="544"/>
      <c r="N191" s="544"/>
      <c r="O191" s="544"/>
      <c r="P191" s="544"/>
      <c r="Q191" s="420"/>
      <c r="R191" s="153"/>
    </row>
    <row r="192" spans="1:22" ht="11.25" customHeight="1" x14ac:dyDescent="0.2">
      <c r="B192" s="2422" t="s">
        <v>431</v>
      </c>
      <c r="C192" s="2423"/>
      <c r="D192" s="2613" t="s">
        <v>248</v>
      </c>
      <c r="E192" s="2591" t="s">
        <v>432</v>
      </c>
      <c r="F192" s="2593" t="s">
        <v>65</v>
      </c>
      <c r="G192" s="2615" t="s">
        <v>52</v>
      </c>
      <c r="H192" s="2616"/>
      <c r="I192" s="2617"/>
      <c r="J192" s="2621" t="str">
        <f>'2. T7 LAINAT'!I9</f>
        <v>Ennuste 2</v>
      </c>
      <c r="K192" s="2360"/>
      <c r="L192" s="2361"/>
      <c r="M192" s="2623" t="s">
        <v>44</v>
      </c>
      <c r="N192" s="2624"/>
      <c r="O192" s="2625"/>
      <c r="P192" s="2360" t="s">
        <v>188</v>
      </c>
      <c r="Q192" s="2360"/>
      <c r="R192" s="2361"/>
    </row>
    <row r="193" spans="2:21" ht="11.25" customHeight="1" x14ac:dyDescent="0.2">
      <c r="B193" s="2424"/>
      <c r="C193" s="2425"/>
      <c r="D193" s="2614"/>
      <c r="E193" s="2592"/>
      <c r="F193" s="2594"/>
      <c r="G193" s="2618"/>
      <c r="H193" s="2619"/>
      <c r="I193" s="2620"/>
      <c r="J193" s="2622"/>
      <c r="K193" s="2362"/>
      <c r="L193" s="2363"/>
      <c r="M193" s="2618"/>
      <c r="N193" s="2619"/>
      <c r="O193" s="2620"/>
      <c r="P193" s="2362"/>
      <c r="Q193" s="2362"/>
      <c r="R193" s="2363"/>
      <c r="S193" s="483" t="s">
        <v>0</v>
      </c>
    </row>
    <row r="194" spans="2:21" ht="11.25" customHeight="1" x14ac:dyDescent="0.2">
      <c r="B194" s="2424"/>
      <c r="C194" s="2425"/>
      <c r="D194" s="2614"/>
      <c r="E194" s="2592"/>
      <c r="F194" s="2594"/>
      <c r="G194" s="2350">
        <f>G16</f>
        <v>2027</v>
      </c>
      <c r="H194" s="2351"/>
      <c r="I194" s="2352"/>
      <c r="J194" s="2350">
        <f>H16</f>
        <v>2028</v>
      </c>
      <c r="K194" s="2351"/>
      <c r="L194" s="2352"/>
      <c r="M194" s="2350">
        <f>I16</f>
        <v>2029</v>
      </c>
      <c r="N194" s="2351"/>
      <c r="O194" s="2352"/>
      <c r="P194" s="2603">
        <f>J16</f>
        <v>2030</v>
      </c>
      <c r="Q194" s="2351"/>
      <c r="R194" s="2352"/>
    </row>
    <row r="195" spans="2:21" ht="12" customHeight="1" x14ac:dyDescent="0.2">
      <c r="B195" s="1144" t="s">
        <v>354</v>
      </c>
      <c r="C195" s="1408"/>
      <c r="D195" s="2614"/>
      <c r="E195" s="2592"/>
      <c r="F195" s="2594"/>
      <c r="G195" s="1750" t="s">
        <v>71</v>
      </c>
      <c r="H195" s="1117" t="s">
        <v>75</v>
      </c>
      <c r="I195" s="1408" t="s">
        <v>318</v>
      </c>
      <c r="J195" s="1750" t="s">
        <v>71</v>
      </c>
      <c r="K195" s="1117" t="s">
        <v>75</v>
      </c>
      <c r="L195" s="1408" t="s">
        <v>318</v>
      </c>
      <c r="M195" s="1750" t="s">
        <v>71</v>
      </c>
      <c r="N195" s="1117" t="s">
        <v>75</v>
      </c>
      <c r="O195" s="1408" t="s">
        <v>318</v>
      </c>
      <c r="P195" s="1117" t="s">
        <v>71</v>
      </c>
      <c r="Q195" s="1117" t="s">
        <v>75</v>
      </c>
      <c r="R195" s="1408" t="s">
        <v>318</v>
      </c>
    </row>
    <row r="196" spans="2:21" ht="12.95" customHeight="1" x14ac:dyDescent="0.2">
      <c r="B196" s="2605" t="str">
        <f>'2. T7 LAINAT'!B13</f>
        <v xml:space="preserve"> Laina, 1. ennustevuosi</v>
      </c>
      <c r="C196" s="2606"/>
      <c r="D196" s="1174">
        <f>'2. T7 LAINAT'!C13/1000</f>
        <v>0</v>
      </c>
      <c r="E196" s="1165">
        <f>'2. T7 LAINAT'!D13</f>
        <v>0</v>
      </c>
      <c r="F196" s="1411">
        <f>'2. T7 LAINAT'!E13*100</f>
        <v>0</v>
      </c>
      <c r="G196" s="1423">
        <f>'2. T7 LAINAT'!F13/1000</f>
        <v>0</v>
      </c>
      <c r="H196" s="1166">
        <f>'2. T7 LAINAT'!G13/1000</f>
        <v>0</v>
      </c>
      <c r="I196" s="1385">
        <f>'2. T7 LAINAT'!H13/1000</f>
        <v>0</v>
      </c>
      <c r="J196" s="1423">
        <f>'2. T7 LAINAT'!I13/1000</f>
        <v>0</v>
      </c>
      <c r="K196" s="1166">
        <f>'2. T7 LAINAT'!J13/1000</f>
        <v>0</v>
      </c>
      <c r="L196" s="1385">
        <f>'2. T7 LAINAT'!K13/1000</f>
        <v>0</v>
      </c>
      <c r="M196" s="1423">
        <f>'2. T7 LAINAT'!L13/1000</f>
        <v>0</v>
      </c>
      <c r="N196" s="1166">
        <f>'2. T7 LAINAT'!M13/1000</f>
        <v>0</v>
      </c>
      <c r="O196" s="1385">
        <f>'2. T7 LAINAT'!N13/1000</f>
        <v>0</v>
      </c>
      <c r="P196" s="1174">
        <f>'2. T7 LAINAT'!O13/1000</f>
        <v>0</v>
      </c>
      <c r="Q196" s="1166">
        <f>'2. T7 LAINAT'!P13/1000</f>
        <v>0</v>
      </c>
      <c r="R196" s="1385">
        <f>'2. T7 LAINAT'!Q13/1000</f>
        <v>0</v>
      </c>
      <c r="U196" s="483" t="s">
        <v>241</v>
      </c>
    </row>
    <row r="197" spans="2:21" ht="12.95" customHeight="1" x14ac:dyDescent="0.2">
      <c r="B197" s="2607">
        <f>'2. T7 LAINAT'!B14</f>
        <v>0</v>
      </c>
      <c r="C197" s="2608"/>
      <c r="D197" s="1175">
        <f>'2. T7 LAINAT'!C14/1000</f>
        <v>0</v>
      </c>
      <c r="E197" s="1167">
        <f>'2. T7 LAINAT'!D14</f>
        <v>0</v>
      </c>
      <c r="F197" s="1412">
        <f>'2. T7 LAINAT'!E14*100</f>
        <v>0</v>
      </c>
      <c r="G197" s="1424">
        <f>'2. T7 LAINAT'!F14/1000</f>
        <v>0</v>
      </c>
      <c r="H197" s="1168">
        <f>'2. T7 LAINAT'!G14/1000</f>
        <v>0</v>
      </c>
      <c r="I197" s="1386">
        <f>'2. T7 LAINAT'!H14/1000</f>
        <v>0</v>
      </c>
      <c r="J197" s="1424">
        <f>'2. T7 LAINAT'!I14/1000</f>
        <v>0</v>
      </c>
      <c r="K197" s="1168">
        <f>'2. T7 LAINAT'!J14/1000</f>
        <v>0</v>
      </c>
      <c r="L197" s="1386">
        <f>'2. T7 LAINAT'!K14/1000</f>
        <v>0</v>
      </c>
      <c r="M197" s="1424">
        <f>'2. T7 LAINAT'!L14/1000</f>
        <v>0</v>
      </c>
      <c r="N197" s="1168">
        <f>'2. T7 LAINAT'!M14/1000</f>
        <v>0</v>
      </c>
      <c r="O197" s="1386">
        <f>'2. T7 LAINAT'!N14/1000</f>
        <v>0</v>
      </c>
      <c r="P197" s="1175">
        <f>'2. T7 LAINAT'!O14/1000</f>
        <v>0</v>
      </c>
      <c r="Q197" s="1168">
        <f>'2. T7 LAINAT'!P14/1000</f>
        <v>0</v>
      </c>
      <c r="R197" s="1386">
        <f>'2. T7 LAINAT'!Q14/1000</f>
        <v>0</v>
      </c>
    </row>
    <row r="198" spans="2:21" ht="12.95" customHeight="1" x14ac:dyDescent="0.2">
      <c r="B198" s="2607">
        <f>'2. T7 LAINAT'!B15</f>
        <v>0</v>
      </c>
      <c r="C198" s="2608"/>
      <c r="D198" s="1175">
        <f>'2. T7 LAINAT'!C15/1000</f>
        <v>0</v>
      </c>
      <c r="E198" s="1167">
        <f>'2. T7 LAINAT'!D15</f>
        <v>0</v>
      </c>
      <c r="F198" s="1412">
        <f>'2. T7 LAINAT'!E15*100</f>
        <v>0</v>
      </c>
      <c r="G198" s="1424">
        <f>'2. T7 LAINAT'!F15/1000</f>
        <v>0</v>
      </c>
      <c r="H198" s="1168">
        <f>'2. T7 LAINAT'!G15/1000</f>
        <v>0</v>
      </c>
      <c r="I198" s="1386">
        <f>'2. T7 LAINAT'!H15/1000</f>
        <v>0</v>
      </c>
      <c r="J198" s="1424">
        <f>'2. T7 LAINAT'!I15/1000</f>
        <v>0</v>
      </c>
      <c r="K198" s="1168">
        <f>'2. T7 LAINAT'!J15/1000</f>
        <v>0</v>
      </c>
      <c r="L198" s="1386">
        <f>'2. T7 LAINAT'!K15/1000</f>
        <v>0</v>
      </c>
      <c r="M198" s="1424">
        <f>'2. T7 LAINAT'!L15/1000</f>
        <v>0</v>
      </c>
      <c r="N198" s="1168">
        <f>'2. T7 LAINAT'!M15/1000</f>
        <v>0</v>
      </c>
      <c r="O198" s="1386">
        <f>'2. T7 LAINAT'!N15/1000</f>
        <v>0</v>
      </c>
      <c r="P198" s="1175">
        <f>'2. T7 LAINAT'!O15/1000</f>
        <v>0</v>
      </c>
      <c r="Q198" s="1168">
        <f>'2. T7 LAINAT'!P15/1000</f>
        <v>0</v>
      </c>
      <c r="R198" s="1386">
        <f>'2. T7 LAINAT'!Q15/1000</f>
        <v>0</v>
      </c>
    </row>
    <row r="199" spans="2:21" ht="12.95" customHeight="1" x14ac:dyDescent="0.2">
      <c r="B199" s="2607">
        <f>'2. T7 LAINAT'!B16</f>
        <v>0</v>
      </c>
      <c r="C199" s="2608"/>
      <c r="D199" s="1175">
        <f>'2. T7 LAINAT'!C16/1000</f>
        <v>0</v>
      </c>
      <c r="E199" s="1167">
        <f>'2. T7 LAINAT'!D16</f>
        <v>0</v>
      </c>
      <c r="F199" s="1412">
        <f>'2. T7 LAINAT'!E16*100</f>
        <v>0</v>
      </c>
      <c r="G199" s="1424">
        <f>'2. T7 LAINAT'!F16/1000</f>
        <v>0</v>
      </c>
      <c r="H199" s="1168">
        <f>'2. T7 LAINAT'!G16/1000</f>
        <v>0</v>
      </c>
      <c r="I199" s="1386">
        <f>'2. T7 LAINAT'!H16/1000</f>
        <v>0</v>
      </c>
      <c r="J199" s="1424">
        <f>'2. T7 LAINAT'!I16/1000</f>
        <v>0</v>
      </c>
      <c r="K199" s="1168">
        <f>'2. T7 LAINAT'!J16/1000</f>
        <v>0</v>
      </c>
      <c r="L199" s="1386">
        <f>'2. T7 LAINAT'!K16/1000</f>
        <v>0</v>
      </c>
      <c r="M199" s="1424">
        <f>'2. T7 LAINAT'!L16/1000</f>
        <v>0</v>
      </c>
      <c r="N199" s="1168">
        <f>'2. T7 LAINAT'!M16/1000</f>
        <v>0</v>
      </c>
      <c r="O199" s="1386">
        <f>'2. T7 LAINAT'!N16/1000</f>
        <v>0</v>
      </c>
      <c r="P199" s="1175">
        <f>'2. T7 LAINAT'!O16/1000</f>
        <v>0</v>
      </c>
      <c r="Q199" s="1168">
        <f>'2. T7 LAINAT'!P16/1000</f>
        <v>0</v>
      </c>
      <c r="R199" s="1386">
        <f>'2. T7 LAINAT'!Q16/1000</f>
        <v>0</v>
      </c>
    </row>
    <row r="200" spans="2:21" ht="12" customHeight="1" x14ac:dyDescent="0.2">
      <c r="B200" s="1145" t="s">
        <v>355</v>
      </c>
      <c r="C200" s="1409"/>
      <c r="D200" s="1136"/>
      <c r="E200" s="1136"/>
      <c r="F200" s="1413"/>
      <c r="G200" s="1148" t="s">
        <v>71</v>
      </c>
      <c r="H200" s="1148" t="s">
        <v>75</v>
      </c>
      <c r="I200" s="1148" t="s">
        <v>318</v>
      </c>
      <c r="J200" s="1148" t="s">
        <v>71</v>
      </c>
      <c r="K200" s="1148" t="s">
        <v>75</v>
      </c>
      <c r="L200" s="1148" t="s">
        <v>318</v>
      </c>
      <c r="M200" s="1148" t="s">
        <v>71</v>
      </c>
      <c r="N200" s="1148" t="s">
        <v>75</v>
      </c>
      <c r="O200" s="1148" t="s">
        <v>318</v>
      </c>
      <c r="P200" s="1146" t="s">
        <v>71</v>
      </c>
      <c r="Q200" s="1148" t="s">
        <v>75</v>
      </c>
      <c r="R200" s="1146" t="s">
        <v>318</v>
      </c>
    </row>
    <row r="201" spans="2:21" ht="12" customHeight="1" x14ac:dyDescent="0.2">
      <c r="B201" s="2605">
        <f>'2. T7 LAINAT'!B18</f>
        <v>0</v>
      </c>
      <c r="C201" s="2606"/>
      <c r="D201" s="1174">
        <f>'2. T7 LAINAT'!C18/1000</f>
        <v>0</v>
      </c>
      <c r="E201" s="1165">
        <f>'2. T7 LAINAT'!D18</f>
        <v>0</v>
      </c>
      <c r="F201" s="1411">
        <f>'2. T7 LAINAT'!E18*100</f>
        <v>0</v>
      </c>
      <c r="G201" s="1423">
        <f>'2. T7 LAINAT'!F18/1000</f>
        <v>0</v>
      </c>
      <c r="H201" s="1166">
        <f>'2. T7 LAINAT'!G18/1000</f>
        <v>0</v>
      </c>
      <c r="I201" s="1385">
        <f>'2. T7 LAINAT'!H18/1000</f>
        <v>0</v>
      </c>
      <c r="J201" s="1423">
        <f>'2. T7 LAINAT'!I18/1000</f>
        <v>0</v>
      </c>
      <c r="K201" s="1166">
        <f>'2. T7 LAINAT'!J18/1000</f>
        <v>0</v>
      </c>
      <c r="L201" s="1385">
        <f>'2. T7 LAINAT'!K18/1000</f>
        <v>0</v>
      </c>
      <c r="M201" s="1423">
        <f>'2. T7 LAINAT'!L18/1000</f>
        <v>0</v>
      </c>
      <c r="N201" s="1166">
        <f>'2. T7 LAINAT'!M18/1000</f>
        <v>0</v>
      </c>
      <c r="O201" s="1385">
        <f>'2. T7 LAINAT'!N18/1000</f>
        <v>0</v>
      </c>
      <c r="P201" s="1174">
        <f>'2. T7 LAINAT'!O18/1000</f>
        <v>0</v>
      </c>
      <c r="Q201" s="1166">
        <f>'2. T7 LAINAT'!P18/1000</f>
        <v>0</v>
      </c>
      <c r="R201" s="1385">
        <f>'2. T7 LAINAT'!Q18/1000</f>
        <v>0</v>
      </c>
    </row>
    <row r="202" spans="2:21" ht="12" customHeight="1" x14ac:dyDescent="0.2">
      <c r="B202" s="2609">
        <f>'2. T7 LAINAT'!B19</f>
        <v>0</v>
      </c>
      <c r="C202" s="2610"/>
      <c r="D202" s="1175">
        <f>'2. T7 LAINAT'!C19/1000</f>
        <v>0</v>
      </c>
      <c r="E202" s="1167">
        <f>'2. T7 LAINAT'!D19</f>
        <v>0</v>
      </c>
      <c r="F202" s="1412">
        <f>'2. T7 LAINAT'!E19*100</f>
        <v>0</v>
      </c>
      <c r="G202" s="1424">
        <f>'2. T7 LAINAT'!F19/1000</f>
        <v>0</v>
      </c>
      <c r="H202" s="1168">
        <f>'2. T7 LAINAT'!G19/1000</f>
        <v>0</v>
      </c>
      <c r="I202" s="1386">
        <f>'2. T7 LAINAT'!H19/1000</f>
        <v>0</v>
      </c>
      <c r="J202" s="1424">
        <f>'2. T7 LAINAT'!I19/1000</f>
        <v>0</v>
      </c>
      <c r="K202" s="1168">
        <f>'2. T7 LAINAT'!J19/1000</f>
        <v>0</v>
      </c>
      <c r="L202" s="1386">
        <f>'2. T7 LAINAT'!K19/1000</f>
        <v>0</v>
      </c>
      <c r="M202" s="1424">
        <f>'2. T7 LAINAT'!L19/1000</f>
        <v>0</v>
      </c>
      <c r="N202" s="1168">
        <f>'2. T7 LAINAT'!M19/1000</f>
        <v>0</v>
      </c>
      <c r="O202" s="1386">
        <f>'2. T7 LAINAT'!N19/1000</f>
        <v>0</v>
      </c>
      <c r="P202" s="1175">
        <f>'2. T7 LAINAT'!O19/1000</f>
        <v>0</v>
      </c>
      <c r="Q202" s="1168">
        <f>'2. T7 LAINAT'!P19/1000</f>
        <v>0</v>
      </c>
      <c r="R202" s="1386">
        <f>'2. T7 LAINAT'!Q19/1000</f>
        <v>0</v>
      </c>
    </row>
    <row r="203" spans="2:21" ht="12" customHeight="1" x14ac:dyDescent="0.2">
      <c r="B203" s="2605">
        <f>'2. T7 LAINAT'!B20</f>
        <v>0</v>
      </c>
      <c r="C203" s="2606"/>
      <c r="D203" s="1176">
        <f>'2. T7 LAINAT'!C20/1000</f>
        <v>0</v>
      </c>
      <c r="E203" s="1169">
        <f>'2. T7 LAINAT'!D20</f>
        <v>0</v>
      </c>
      <c r="F203" s="1414">
        <f>'2. T7 LAINAT'!E20*100</f>
        <v>0</v>
      </c>
      <c r="G203" s="1425">
        <f>'2. T7 LAINAT'!F20/1000</f>
        <v>0</v>
      </c>
      <c r="H203" s="1170">
        <f>'2. T7 LAINAT'!G20/1000</f>
        <v>0</v>
      </c>
      <c r="I203" s="1387">
        <f>'2. T7 LAINAT'!H20/1000</f>
        <v>0</v>
      </c>
      <c r="J203" s="1425">
        <f>'2. T7 LAINAT'!I20/1000</f>
        <v>0</v>
      </c>
      <c r="K203" s="1170">
        <f>'2. T7 LAINAT'!J20/1000</f>
        <v>0</v>
      </c>
      <c r="L203" s="1387">
        <f>'2. T7 LAINAT'!K20/1000</f>
        <v>0</v>
      </c>
      <c r="M203" s="1425">
        <f>'2. T7 LAINAT'!L20/1000</f>
        <v>0</v>
      </c>
      <c r="N203" s="1170">
        <f>'2. T7 LAINAT'!M20/1000</f>
        <v>0</v>
      </c>
      <c r="O203" s="1387">
        <f>'2. T7 LAINAT'!N20/1000</f>
        <v>0</v>
      </c>
      <c r="P203" s="1176">
        <f>'2. T7 LAINAT'!O20/1000</f>
        <v>0</v>
      </c>
      <c r="Q203" s="1170">
        <f>'2. T7 LAINAT'!P20/1000</f>
        <v>0</v>
      </c>
      <c r="R203" s="1387">
        <f>'2. T7 LAINAT'!Q20/1000</f>
        <v>0</v>
      </c>
    </row>
    <row r="204" spans="2:21" ht="12" customHeight="1" x14ac:dyDescent="0.2">
      <c r="B204" s="2609">
        <f>'2. T7 LAINAT'!B21</f>
        <v>0</v>
      </c>
      <c r="C204" s="2610"/>
      <c r="D204" s="1176">
        <f>'2. T7 LAINAT'!C21/1000</f>
        <v>0</v>
      </c>
      <c r="E204" s="1169">
        <f>'2. T7 LAINAT'!D21</f>
        <v>0</v>
      </c>
      <c r="F204" s="1414">
        <f>'2. T7 LAINAT'!E21*100</f>
        <v>0</v>
      </c>
      <c r="G204" s="1425">
        <f>'2. T7 LAINAT'!F21/1000</f>
        <v>0</v>
      </c>
      <c r="H204" s="1170">
        <f>'2. T7 LAINAT'!G21/1000</f>
        <v>0</v>
      </c>
      <c r="I204" s="1387">
        <f>'2. T7 LAINAT'!H21/1000</f>
        <v>0</v>
      </c>
      <c r="J204" s="1425">
        <f>'2. T7 LAINAT'!I21/1000</f>
        <v>0</v>
      </c>
      <c r="K204" s="1170">
        <f>'2. T7 LAINAT'!J21/1000</f>
        <v>0</v>
      </c>
      <c r="L204" s="1387">
        <f>'2. T7 LAINAT'!K21/1000</f>
        <v>0</v>
      </c>
      <c r="M204" s="1425">
        <f>'2. T7 LAINAT'!L21/1000</f>
        <v>0</v>
      </c>
      <c r="N204" s="1170">
        <f>'2. T7 LAINAT'!M21/1000</f>
        <v>0</v>
      </c>
      <c r="O204" s="1387">
        <f>'2. T7 LAINAT'!N21/1000</f>
        <v>0</v>
      </c>
      <c r="P204" s="1176">
        <f>'2. T7 LAINAT'!O21/1000</f>
        <v>0</v>
      </c>
      <c r="Q204" s="1170">
        <f>'2. T7 LAINAT'!P21/1000</f>
        <v>0</v>
      </c>
      <c r="R204" s="1387">
        <f>'2. T7 LAINAT'!Q21/1000</f>
        <v>0</v>
      </c>
    </row>
    <row r="205" spans="2:21" ht="12" customHeight="1" x14ac:dyDescent="0.2">
      <c r="B205" s="1145" t="s">
        <v>356</v>
      </c>
      <c r="C205" s="1409"/>
      <c r="D205" s="1136"/>
      <c r="E205" s="1136"/>
      <c r="F205" s="1413"/>
      <c r="G205" s="1148" t="s">
        <v>71</v>
      </c>
      <c r="H205" s="1148" t="s">
        <v>75</v>
      </c>
      <c r="I205" s="1148" t="s">
        <v>318</v>
      </c>
      <c r="J205" s="1148" t="s">
        <v>71</v>
      </c>
      <c r="K205" s="1148" t="s">
        <v>75</v>
      </c>
      <c r="L205" s="1148" t="s">
        <v>318</v>
      </c>
      <c r="M205" s="1148" t="s">
        <v>71</v>
      </c>
      <c r="N205" s="1148" t="s">
        <v>75</v>
      </c>
      <c r="O205" s="1148" t="s">
        <v>318</v>
      </c>
      <c r="P205" s="1146" t="s">
        <v>71</v>
      </c>
      <c r="Q205" s="1148" t="s">
        <v>75</v>
      </c>
      <c r="R205" s="1148" t="s">
        <v>318</v>
      </c>
    </row>
    <row r="206" spans="2:21" ht="12" customHeight="1" x14ac:dyDescent="0.2">
      <c r="B206" s="2611">
        <f>'2. T7 LAINAT'!B23</f>
        <v>0</v>
      </c>
      <c r="C206" s="2612"/>
      <c r="D206" s="1177">
        <f>'2. T7 LAINAT'!C23/1000</f>
        <v>0</v>
      </c>
      <c r="E206" s="1149">
        <f>'2. T7 LAINAT'!D23</f>
        <v>0</v>
      </c>
      <c r="F206" s="1415">
        <f>'2. T7 LAINAT'!E23*100</f>
        <v>0</v>
      </c>
      <c r="G206" s="1426">
        <f>'2. T7 LAINAT'!F23/1000</f>
        <v>0</v>
      </c>
      <c r="H206" s="1150">
        <f>'2. T7 LAINAT'!G23/1000</f>
        <v>0</v>
      </c>
      <c r="I206" s="1388">
        <f>'2. T7 LAINAT'!H23/1000</f>
        <v>0</v>
      </c>
      <c r="J206" s="1426">
        <f>'2. T7 LAINAT'!I23/1000</f>
        <v>0</v>
      </c>
      <c r="K206" s="1150">
        <f>'2. T7 LAINAT'!J23/1000</f>
        <v>0</v>
      </c>
      <c r="L206" s="1388">
        <f>'2. T7 LAINAT'!K23/1000</f>
        <v>0</v>
      </c>
      <c r="M206" s="1426">
        <f>'2. T7 LAINAT'!L23/1000</f>
        <v>0</v>
      </c>
      <c r="N206" s="1150">
        <f>'2. T7 LAINAT'!M23/1000</f>
        <v>0</v>
      </c>
      <c r="O206" s="1388">
        <f>'2. T7 LAINAT'!N23/1000</f>
        <v>0</v>
      </c>
      <c r="P206" s="1177">
        <f>'2. T7 LAINAT'!O23/1000</f>
        <v>0</v>
      </c>
      <c r="Q206" s="1150">
        <f>'2. T7 LAINAT'!P23/1000</f>
        <v>0</v>
      </c>
      <c r="R206" s="1388">
        <f>'2. T7 LAINAT'!Q23/1000</f>
        <v>0</v>
      </c>
    </row>
    <row r="207" spans="2:21" ht="12" customHeight="1" x14ac:dyDescent="0.2">
      <c r="B207" s="2426">
        <f>'2. T7 LAINAT'!B24</f>
        <v>0</v>
      </c>
      <c r="C207" s="2427"/>
      <c r="D207" s="1178">
        <f>'2. T7 LAINAT'!C24/1000</f>
        <v>0</v>
      </c>
      <c r="E207" s="1151">
        <f>'2. T7 LAINAT'!D24</f>
        <v>0</v>
      </c>
      <c r="F207" s="1416">
        <f>'2. T7 LAINAT'!E24*100</f>
        <v>0</v>
      </c>
      <c r="G207" s="1427">
        <f>'2. T7 LAINAT'!F24/1000</f>
        <v>0</v>
      </c>
      <c r="H207" s="1152">
        <f>'2. T7 LAINAT'!G24/1000</f>
        <v>0</v>
      </c>
      <c r="I207" s="1389">
        <f>'2. T7 LAINAT'!H24/1000</f>
        <v>0</v>
      </c>
      <c r="J207" s="1427">
        <f>'2. T7 LAINAT'!I24/1000</f>
        <v>0</v>
      </c>
      <c r="K207" s="1152">
        <f>'2. T7 LAINAT'!J24/1000</f>
        <v>0</v>
      </c>
      <c r="L207" s="1389">
        <f>'2. T7 LAINAT'!K24/1000</f>
        <v>0</v>
      </c>
      <c r="M207" s="1427">
        <f>'2. T7 LAINAT'!L24/1000</f>
        <v>0</v>
      </c>
      <c r="N207" s="1152">
        <f>'2. T7 LAINAT'!M24/1000</f>
        <v>0</v>
      </c>
      <c r="O207" s="1389">
        <f>'2. T7 LAINAT'!N24/1000</f>
        <v>0</v>
      </c>
      <c r="P207" s="1178">
        <f>'2. T7 LAINAT'!O24/1000</f>
        <v>0</v>
      </c>
      <c r="Q207" s="1152">
        <f>'2. T7 LAINAT'!P24/1000</f>
        <v>0</v>
      </c>
      <c r="R207" s="1389">
        <f>'2. T7 LAINAT'!Q24/1000</f>
        <v>0</v>
      </c>
    </row>
    <row r="208" spans="2:21" ht="12" customHeight="1" x14ac:dyDescent="0.2">
      <c r="B208" s="2426">
        <f>'2. T7 LAINAT'!B25</f>
        <v>0</v>
      </c>
      <c r="C208" s="2427"/>
      <c r="D208" s="1178">
        <f>'2. T7 LAINAT'!C25/1000</f>
        <v>0</v>
      </c>
      <c r="E208" s="1151">
        <f>'2. T7 LAINAT'!D25</f>
        <v>0</v>
      </c>
      <c r="F208" s="1416">
        <f>'2. T7 LAINAT'!E25*100</f>
        <v>0</v>
      </c>
      <c r="G208" s="1427">
        <f>'2. T7 LAINAT'!F25/1000</f>
        <v>0</v>
      </c>
      <c r="H208" s="1152">
        <f>'2. T7 LAINAT'!G25/1000</f>
        <v>0</v>
      </c>
      <c r="I208" s="1389">
        <f>'2. T7 LAINAT'!H25/1000</f>
        <v>0</v>
      </c>
      <c r="J208" s="1427">
        <f>'2. T7 LAINAT'!I25/1000</f>
        <v>0</v>
      </c>
      <c r="K208" s="1152">
        <f>'2. T7 LAINAT'!J25/1000</f>
        <v>0</v>
      </c>
      <c r="L208" s="1389">
        <f>'2. T7 LAINAT'!K25/1000</f>
        <v>0</v>
      </c>
      <c r="M208" s="1427">
        <f>'2. T7 LAINAT'!L25/1000</f>
        <v>0</v>
      </c>
      <c r="N208" s="1152">
        <f>'2. T7 LAINAT'!M25/1000</f>
        <v>0</v>
      </c>
      <c r="O208" s="1389">
        <f>'2. T7 LAINAT'!N25/1000</f>
        <v>0</v>
      </c>
      <c r="P208" s="1178">
        <f>'2. T7 LAINAT'!O25/1000</f>
        <v>0</v>
      </c>
      <c r="Q208" s="1152">
        <f>'2. T7 LAINAT'!P25/1000</f>
        <v>0</v>
      </c>
      <c r="R208" s="1389">
        <f>'2. T7 LAINAT'!Q25/1000</f>
        <v>0</v>
      </c>
    </row>
    <row r="209" spans="2:19" ht="12" customHeight="1" x14ac:dyDescent="0.2">
      <c r="B209" s="2428">
        <f>'2. T7 LAINAT'!B26</f>
        <v>0</v>
      </c>
      <c r="C209" s="2429"/>
      <c r="D209" s="1179">
        <f>'2. T7 LAINAT'!C26/1000</f>
        <v>0</v>
      </c>
      <c r="E209" s="1153">
        <f>'2. T7 LAINAT'!D26</f>
        <v>0</v>
      </c>
      <c r="F209" s="1417">
        <f>'2. T7 LAINAT'!E26*100</f>
        <v>0</v>
      </c>
      <c r="G209" s="1428">
        <f>'2. T7 LAINAT'!F26/1000</f>
        <v>0</v>
      </c>
      <c r="H209" s="1154">
        <f>'2. T7 LAINAT'!G26/1000</f>
        <v>0</v>
      </c>
      <c r="I209" s="1390">
        <f>'2. T7 LAINAT'!H26/1000</f>
        <v>0</v>
      </c>
      <c r="J209" s="1428">
        <f>'2. T7 LAINAT'!I26/1000</f>
        <v>0</v>
      </c>
      <c r="K209" s="1154">
        <f>'2. T7 LAINAT'!J26/1000</f>
        <v>0</v>
      </c>
      <c r="L209" s="1390">
        <f>'2. T7 LAINAT'!K26/1000</f>
        <v>0</v>
      </c>
      <c r="M209" s="1428">
        <f>'2. T7 LAINAT'!L26/1000</f>
        <v>0</v>
      </c>
      <c r="N209" s="1154">
        <f>'2. T7 LAINAT'!M26/1000</f>
        <v>0</v>
      </c>
      <c r="O209" s="1390">
        <f>'2. T7 LAINAT'!N26/1000</f>
        <v>0</v>
      </c>
      <c r="P209" s="1179">
        <f>'2. T7 LAINAT'!O26/1000</f>
        <v>0</v>
      </c>
      <c r="Q209" s="1154">
        <f>'2. T7 LAINAT'!P26/1000</f>
        <v>0</v>
      </c>
      <c r="R209" s="1390">
        <f>'2. T7 LAINAT'!Q26/1000</f>
        <v>0</v>
      </c>
    </row>
    <row r="210" spans="2:19" ht="12" customHeight="1" x14ac:dyDescent="0.2">
      <c r="B210" s="1145" t="s">
        <v>357</v>
      </c>
      <c r="C210" s="1409"/>
      <c r="D210" s="1136"/>
      <c r="E210" s="1136"/>
      <c r="F210" s="1413"/>
      <c r="G210" s="1148" t="s">
        <v>71</v>
      </c>
      <c r="H210" s="1148" t="s">
        <v>75</v>
      </c>
      <c r="I210" s="1148" t="s">
        <v>318</v>
      </c>
      <c r="J210" s="1148" t="s">
        <v>71</v>
      </c>
      <c r="K210" s="1148" t="s">
        <v>75</v>
      </c>
      <c r="L210" s="1148" t="s">
        <v>318</v>
      </c>
      <c r="M210" s="1148" t="s">
        <v>71</v>
      </c>
      <c r="N210" s="1148" t="s">
        <v>75</v>
      </c>
      <c r="O210" s="1148" t="s">
        <v>318</v>
      </c>
      <c r="P210" s="1146" t="s">
        <v>71</v>
      </c>
      <c r="Q210" s="1148" t="s">
        <v>75</v>
      </c>
      <c r="R210" s="1148" t="s">
        <v>318</v>
      </c>
    </row>
    <row r="211" spans="2:19" ht="12" customHeight="1" x14ac:dyDescent="0.2">
      <c r="B211" s="2605">
        <f>'2. T7 LAINAT'!B28</f>
        <v>0</v>
      </c>
      <c r="C211" s="2606"/>
      <c r="D211" s="1180">
        <f>'2. T7 LAINAT'!C28/1000</f>
        <v>0</v>
      </c>
      <c r="E211" s="1171">
        <f>'2. T7 LAINAT'!D28</f>
        <v>0</v>
      </c>
      <c r="F211" s="1418">
        <f>'2. T7 LAINAT'!E28*100</f>
        <v>0</v>
      </c>
      <c r="G211" s="1429">
        <f>'2. T7 LAINAT'!F28/1000</f>
        <v>0</v>
      </c>
      <c r="H211" s="1172">
        <f>'2. T7 LAINAT'!G28/1000</f>
        <v>0</v>
      </c>
      <c r="I211" s="1391">
        <f>'2. T7 LAINAT'!H28/1000</f>
        <v>0</v>
      </c>
      <c r="J211" s="1429">
        <f>'2. T7 LAINAT'!I28/1000</f>
        <v>0</v>
      </c>
      <c r="K211" s="1172">
        <f>'2. T7 LAINAT'!J28/1000</f>
        <v>0</v>
      </c>
      <c r="L211" s="1391">
        <f>'2. T7 LAINAT'!K28/1000</f>
        <v>0</v>
      </c>
      <c r="M211" s="1429">
        <f>'2. T7 LAINAT'!L28/1000</f>
        <v>0</v>
      </c>
      <c r="N211" s="1172">
        <f>'2. T7 LAINAT'!M28/1000</f>
        <v>0</v>
      </c>
      <c r="O211" s="1391">
        <f>'2. T7 LAINAT'!N28/1000</f>
        <v>0</v>
      </c>
      <c r="P211" s="1180">
        <f>'2. T7 LAINAT'!O28/1000</f>
        <v>0</v>
      </c>
      <c r="Q211" s="1172">
        <f>'2. T7 LAINAT'!P28/1000</f>
        <v>0</v>
      </c>
      <c r="R211" s="1391">
        <f>'2. T7 LAINAT'!Q28/1000</f>
        <v>0</v>
      </c>
    </row>
    <row r="212" spans="2:19" ht="12" customHeight="1" x14ac:dyDescent="0.2">
      <c r="B212" s="2607">
        <f>'2. T7 LAINAT'!B29</f>
        <v>0</v>
      </c>
      <c r="C212" s="2608"/>
      <c r="D212" s="1175">
        <f>'2. T7 LAINAT'!C29/1000</f>
        <v>0</v>
      </c>
      <c r="E212" s="1167">
        <f>'2. T7 LAINAT'!D29</f>
        <v>0</v>
      </c>
      <c r="F212" s="1412">
        <f>'2. T7 LAINAT'!E29*100</f>
        <v>0</v>
      </c>
      <c r="G212" s="1424">
        <f>'2. T7 LAINAT'!F29/1000</f>
        <v>0</v>
      </c>
      <c r="H212" s="1168">
        <f>'2. T7 LAINAT'!G29/1000</f>
        <v>0</v>
      </c>
      <c r="I212" s="1386">
        <f>'2. T7 LAINAT'!H29/1000</f>
        <v>0</v>
      </c>
      <c r="J212" s="1424">
        <f>'2. T7 LAINAT'!I29/1000</f>
        <v>0</v>
      </c>
      <c r="K212" s="1168">
        <f>'2. T7 LAINAT'!J29/1000</f>
        <v>0</v>
      </c>
      <c r="L212" s="1386">
        <f>'2. T7 LAINAT'!K29/1000</f>
        <v>0</v>
      </c>
      <c r="M212" s="1424">
        <f>'2. T7 LAINAT'!L29/1000</f>
        <v>0</v>
      </c>
      <c r="N212" s="1168">
        <f>'2. T7 LAINAT'!M29/1000</f>
        <v>0</v>
      </c>
      <c r="O212" s="1386">
        <f>'2. T7 LAINAT'!N29/1000</f>
        <v>0</v>
      </c>
      <c r="P212" s="1175">
        <f>'2. T7 LAINAT'!O29/1000</f>
        <v>0</v>
      </c>
      <c r="Q212" s="1168">
        <f>'2. T7 LAINAT'!P29/1000</f>
        <v>0</v>
      </c>
      <c r="R212" s="1386">
        <f>'2. T7 LAINAT'!Q29/1000</f>
        <v>0</v>
      </c>
    </row>
    <row r="213" spans="2:19" ht="12" customHeight="1" x14ac:dyDescent="0.2">
      <c r="B213" s="2607">
        <f>'2. T7 LAINAT'!B30</f>
        <v>0</v>
      </c>
      <c r="C213" s="2608"/>
      <c r="D213" s="1175">
        <f>'2. T7 LAINAT'!C30/1000</f>
        <v>0</v>
      </c>
      <c r="E213" s="1169">
        <f>'2. T7 LAINAT'!D30</f>
        <v>0</v>
      </c>
      <c r="F213" s="1414">
        <f>'2. T7 LAINAT'!E30*100</f>
        <v>0</v>
      </c>
      <c r="G213" s="1424">
        <f>'2. T7 LAINAT'!F30/1000</f>
        <v>0</v>
      </c>
      <c r="H213" s="1168">
        <f>'2. T7 LAINAT'!G30/1000</f>
        <v>0</v>
      </c>
      <c r="I213" s="1386">
        <f>'2. T7 LAINAT'!H30/1000</f>
        <v>0</v>
      </c>
      <c r="J213" s="1424">
        <f>'2. T7 LAINAT'!I30/1000</f>
        <v>0</v>
      </c>
      <c r="K213" s="1168">
        <f>'2. T7 LAINAT'!J30/1000</f>
        <v>0</v>
      </c>
      <c r="L213" s="1386">
        <f>'2. T7 LAINAT'!K30/1000</f>
        <v>0</v>
      </c>
      <c r="M213" s="1424">
        <f>'2. T7 LAINAT'!L30/1000</f>
        <v>0</v>
      </c>
      <c r="N213" s="1168">
        <f>'2. T7 LAINAT'!M30/1000</f>
        <v>0</v>
      </c>
      <c r="O213" s="1386">
        <f>'2. T7 LAINAT'!N30/1000</f>
        <v>0</v>
      </c>
      <c r="P213" s="1175">
        <f>'2. T7 LAINAT'!O30/1000</f>
        <v>0</v>
      </c>
      <c r="Q213" s="1168">
        <f>'2. T7 LAINAT'!P30/1000</f>
        <v>0</v>
      </c>
      <c r="R213" s="1386">
        <f>'2. T7 LAINAT'!Q30/1000</f>
        <v>0</v>
      </c>
    </row>
    <row r="214" spans="2:19" ht="12" customHeight="1" x14ac:dyDescent="0.2">
      <c r="B214" s="2626">
        <f>'2. T7 LAINAT'!B31</f>
        <v>0</v>
      </c>
      <c r="C214" s="2627"/>
      <c r="D214" s="1176">
        <f>'2. T7 LAINAT'!C31/1000</f>
        <v>0</v>
      </c>
      <c r="E214" s="1169">
        <f>'2. T7 LAINAT'!D31</f>
        <v>0</v>
      </c>
      <c r="F214" s="1419">
        <f>'2. T7 LAINAT'!E31*100</f>
        <v>0</v>
      </c>
      <c r="G214" s="1425">
        <f>'2. T7 LAINAT'!F31/1000</f>
        <v>0</v>
      </c>
      <c r="H214" s="1173">
        <f>'2. T7 LAINAT'!G31/1000</f>
        <v>0</v>
      </c>
      <c r="I214" s="1392">
        <f>'2. T7 LAINAT'!H31/1000</f>
        <v>0</v>
      </c>
      <c r="J214" s="1433">
        <f>'2. T7 LAINAT'!I31/1000</f>
        <v>0</v>
      </c>
      <c r="K214" s="1173">
        <f>'2. T7 LAINAT'!J31/1000</f>
        <v>0</v>
      </c>
      <c r="L214" s="1392">
        <f>'2. T7 LAINAT'!K31/1000</f>
        <v>0</v>
      </c>
      <c r="M214" s="1433">
        <f>'2. T7 LAINAT'!L31/1000</f>
        <v>0</v>
      </c>
      <c r="N214" s="1173">
        <f>'2. T7 LAINAT'!M31/1000</f>
        <v>0</v>
      </c>
      <c r="O214" s="1392">
        <f>'2. T7 LAINAT'!N31/1000</f>
        <v>0</v>
      </c>
      <c r="P214" s="1181">
        <f>'2. T7 LAINAT'!O31/1000</f>
        <v>0</v>
      </c>
      <c r="Q214" s="1173">
        <f>'2. T7 LAINAT'!P31/1000</f>
        <v>0</v>
      </c>
      <c r="R214" s="1392">
        <f>'2. T7 LAINAT'!Q31/1000</f>
        <v>0</v>
      </c>
    </row>
    <row r="215" spans="2:19" ht="12" customHeight="1" x14ac:dyDescent="0.2">
      <c r="B215" s="2418" t="s">
        <v>377</v>
      </c>
      <c r="C215" s="2419"/>
      <c r="D215" s="1407">
        <f>'2. T7 LAINAT'!C32/1000</f>
        <v>0</v>
      </c>
      <c r="E215" s="1240"/>
      <c r="F215" s="1420"/>
      <c r="G215" s="1430">
        <f>'2. T7 LAINAT'!F32/1000</f>
        <v>0</v>
      </c>
      <c r="H215" s="1182">
        <f>'2. T7 LAINAT'!G32/1000</f>
        <v>0</v>
      </c>
      <c r="I215" s="1393">
        <f>'2. T7 LAINAT'!H32/1000</f>
        <v>0</v>
      </c>
      <c r="J215" s="1430">
        <f>'2. T7 LAINAT'!I32/1000</f>
        <v>0</v>
      </c>
      <c r="K215" s="1182">
        <f>'2. T7 LAINAT'!J32/1000</f>
        <v>0</v>
      </c>
      <c r="L215" s="1393">
        <f>'2. T7 LAINAT'!K32/1000</f>
        <v>0</v>
      </c>
      <c r="M215" s="1430">
        <f>'2. T7 LAINAT'!L32/1000</f>
        <v>0</v>
      </c>
      <c r="N215" s="1182">
        <f>'2. T7 LAINAT'!M32/1000</f>
        <v>0</v>
      </c>
      <c r="O215" s="1393">
        <f>'2. T7 LAINAT'!N32/1000</f>
        <v>0</v>
      </c>
      <c r="P215" s="1238">
        <f>'2. T7 LAINAT'!O32/1000</f>
        <v>0</v>
      </c>
      <c r="Q215" s="1182">
        <f>'2. T7 LAINAT'!P32/1000</f>
        <v>0</v>
      </c>
      <c r="R215" s="1393">
        <f>'2. T7 LAINAT'!Q32/1000</f>
        <v>0</v>
      </c>
    </row>
    <row r="216" spans="2:19" ht="3.6" customHeight="1" x14ac:dyDescent="0.2">
      <c r="B216" s="1382"/>
      <c r="C216" s="1410"/>
      <c r="D216" s="925"/>
      <c r="E216" s="1137"/>
      <c r="F216" s="1421"/>
      <c r="G216" s="1431"/>
      <c r="H216" s="727"/>
      <c r="I216" s="1394"/>
      <c r="J216" s="1431"/>
      <c r="K216" s="727"/>
      <c r="L216" s="1394"/>
      <c r="M216" s="1431"/>
      <c r="N216" s="727"/>
      <c r="O216" s="1394"/>
      <c r="P216" s="925"/>
      <c r="Q216" s="727"/>
      <c r="R216" s="1394"/>
    </row>
    <row r="217" spans="2:19" ht="14.1" customHeight="1" x14ac:dyDescent="0.2">
      <c r="B217" s="2628" t="str">
        <f>'2. T7 LAINAT'!B34</f>
        <v xml:space="preserve"> Osamaksuvelka 1. ennustevuosi </v>
      </c>
      <c r="C217" s="2629"/>
      <c r="D217" s="1239">
        <f>'2. T7 LAINAT'!C34/1000</f>
        <v>0</v>
      </c>
      <c r="E217" s="1183">
        <f>'2. T7 LAINAT'!D34</f>
        <v>0</v>
      </c>
      <c r="F217" s="1422">
        <f>'2. T7 LAINAT'!E34*100</f>
        <v>0</v>
      </c>
      <c r="G217" s="1432">
        <f>'2. T7 LAINAT'!F34/1000</f>
        <v>0</v>
      </c>
      <c r="H217" s="1184">
        <f>'2. T7 LAINAT'!G34/1000</f>
        <v>0</v>
      </c>
      <c r="I217" s="1395">
        <f>'2. T7 LAINAT'!H34/1000</f>
        <v>0</v>
      </c>
      <c r="J217" s="1432">
        <f>'2. T7 LAINAT'!I34/1000</f>
        <v>0</v>
      </c>
      <c r="K217" s="1184">
        <f>'2. T7 LAINAT'!J34/1000</f>
        <v>0</v>
      </c>
      <c r="L217" s="1395">
        <f>'2. T7 LAINAT'!K34/1000</f>
        <v>0</v>
      </c>
      <c r="M217" s="1432">
        <f>'2. T7 LAINAT'!L34/1000</f>
        <v>0</v>
      </c>
      <c r="N217" s="1184">
        <f>'2. T7 LAINAT'!M34/1000</f>
        <v>0</v>
      </c>
      <c r="O217" s="1395">
        <f>'2. T7 LAINAT'!N34/1000</f>
        <v>0</v>
      </c>
      <c r="P217" s="1239">
        <f>'2. T7 LAINAT'!O34/1000</f>
        <v>0</v>
      </c>
      <c r="Q217" s="1184">
        <f>'2. T7 LAINAT'!P34/1000</f>
        <v>0</v>
      </c>
      <c r="R217" s="1395">
        <f>'2. T7 LAINAT'!Q34/1000</f>
        <v>0</v>
      </c>
      <c r="S217" s="939" t="s">
        <v>0</v>
      </c>
    </row>
    <row r="218" spans="2:19" ht="14.1" customHeight="1" x14ac:dyDescent="0.2">
      <c r="B218" s="2607" t="str">
        <f>'2. T7 LAINAT'!B35</f>
        <v xml:space="preserve"> Osamaksuvelka 2. ennustevuosi</v>
      </c>
      <c r="C218" s="2608"/>
      <c r="D218" s="1175">
        <f>'2. T7 LAINAT'!C35/1000</f>
        <v>0</v>
      </c>
      <c r="E218" s="1167">
        <f>'2. T7 LAINAT'!D35</f>
        <v>0</v>
      </c>
      <c r="F218" s="1412">
        <f>'2. T7 LAINAT'!E35*100</f>
        <v>0</v>
      </c>
      <c r="G218" s="1424">
        <f>'2. T7 LAINAT'!F35/1000</f>
        <v>0</v>
      </c>
      <c r="H218" s="1168">
        <f>'2. T7 LAINAT'!G35/1000</f>
        <v>0</v>
      </c>
      <c r="I218" s="1386">
        <f>'2. T7 LAINAT'!H35/1000</f>
        <v>0</v>
      </c>
      <c r="J218" s="1424">
        <f>'2. T7 LAINAT'!I35/1000</f>
        <v>0</v>
      </c>
      <c r="K218" s="1168">
        <f>'2. T7 LAINAT'!J35/1000</f>
        <v>0</v>
      </c>
      <c r="L218" s="1386">
        <f>'2. T7 LAINAT'!K35/1000</f>
        <v>0</v>
      </c>
      <c r="M218" s="1424">
        <f>'2. T7 LAINAT'!L35/1000</f>
        <v>0</v>
      </c>
      <c r="N218" s="1168">
        <f>'2. T7 LAINAT'!M35/1000</f>
        <v>0</v>
      </c>
      <c r="O218" s="1386">
        <f>'2. T7 LAINAT'!N35/1000</f>
        <v>0</v>
      </c>
      <c r="P218" s="1175">
        <f>'2. T7 LAINAT'!O35/1000</f>
        <v>0</v>
      </c>
      <c r="Q218" s="1168">
        <f>'2. T7 LAINAT'!P35/1000</f>
        <v>0</v>
      </c>
      <c r="R218" s="1386">
        <f>'2. T7 LAINAT'!Q35/1000</f>
        <v>0</v>
      </c>
      <c r="S218" s="939"/>
    </row>
    <row r="219" spans="2:19" ht="14.1" customHeight="1" x14ac:dyDescent="0.2">
      <c r="B219" s="2607" t="str">
        <f>'2. T7 LAINAT'!B36</f>
        <v xml:space="preserve"> Osamaksuvelka 3. ennustevuosi</v>
      </c>
      <c r="C219" s="2608"/>
      <c r="D219" s="1175">
        <f>'2. T7 LAINAT'!C36/1000</f>
        <v>0</v>
      </c>
      <c r="E219" s="1167">
        <f>'2. T7 LAINAT'!D36</f>
        <v>0</v>
      </c>
      <c r="F219" s="1412">
        <f>'2. T7 LAINAT'!E36*100</f>
        <v>0</v>
      </c>
      <c r="G219" s="1424">
        <f>'2. T7 LAINAT'!F36/1000</f>
        <v>0</v>
      </c>
      <c r="H219" s="1168">
        <f>'2. T7 LAINAT'!G36/1000</f>
        <v>0</v>
      </c>
      <c r="I219" s="1386">
        <f>'2. T7 LAINAT'!H36/1000</f>
        <v>0</v>
      </c>
      <c r="J219" s="1424">
        <f>'2. T7 LAINAT'!I36/1000</f>
        <v>0</v>
      </c>
      <c r="K219" s="1168">
        <f>'2. T7 LAINAT'!J36/1000</f>
        <v>0</v>
      </c>
      <c r="L219" s="1386">
        <f>'2. T7 LAINAT'!K36/1000</f>
        <v>0</v>
      </c>
      <c r="M219" s="1424">
        <f>'2. T7 LAINAT'!L36/1000</f>
        <v>0</v>
      </c>
      <c r="N219" s="1168">
        <f>'2. T7 LAINAT'!M36/1000</f>
        <v>0</v>
      </c>
      <c r="O219" s="1386">
        <f>'2. T7 LAINAT'!N36/1000</f>
        <v>0</v>
      </c>
      <c r="P219" s="1175">
        <f>'2. T7 LAINAT'!O36/1000</f>
        <v>0</v>
      </c>
      <c r="Q219" s="1168">
        <f>'2. T7 LAINAT'!P36/1000</f>
        <v>0</v>
      </c>
      <c r="R219" s="1386">
        <f>'2. T7 LAINAT'!Q36/1000</f>
        <v>0</v>
      </c>
      <c r="S219" s="939"/>
    </row>
    <row r="220" spans="2:19" ht="14.1" customHeight="1" x14ac:dyDescent="0.2">
      <c r="B220" s="2626" t="str">
        <f>'2. T7 LAINAT'!B37</f>
        <v xml:space="preserve"> Osamaksuvelka 4. ennustevuosi</v>
      </c>
      <c r="C220" s="2627"/>
      <c r="D220" s="1176">
        <f>'2. T7 LAINAT'!C37/1000</f>
        <v>0</v>
      </c>
      <c r="E220" s="1169">
        <f>'2. T7 LAINAT'!D37</f>
        <v>0</v>
      </c>
      <c r="F220" s="1419">
        <f>'2. T7 LAINAT'!E37*100</f>
        <v>0</v>
      </c>
      <c r="G220" s="1433">
        <f>'2. T7 LAINAT'!F37/1000</f>
        <v>0</v>
      </c>
      <c r="H220" s="1173">
        <f>'2. T7 LAINAT'!G37/1000</f>
        <v>0</v>
      </c>
      <c r="I220" s="1392">
        <f>'2. T7 LAINAT'!H37/1000</f>
        <v>0</v>
      </c>
      <c r="J220" s="1433">
        <f>'2. T7 LAINAT'!I37/1000</f>
        <v>0</v>
      </c>
      <c r="K220" s="1173">
        <f>'2. T7 LAINAT'!J37/1000</f>
        <v>0</v>
      </c>
      <c r="L220" s="1392">
        <f>'2. T7 LAINAT'!K37/1000</f>
        <v>0</v>
      </c>
      <c r="M220" s="1433">
        <f>'2. T7 LAINAT'!L37/1000</f>
        <v>0</v>
      </c>
      <c r="N220" s="1173">
        <f>'2. T7 LAINAT'!M37/1000</f>
        <v>0</v>
      </c>
      <c r="O220" s="1392">
        <f>'2. T7 LAINAT'!N37/1000</f>
        <v>0</v>
      </c>
      <c r="P220" s="1181">
        <f>'2. T7 LAINAT'!O37/1000</f>
        <v>0</v>
      </c>
      <c r="Q220" s="1173">
        <f>'2. T7 LAINAT'!P37/1000</f>
        <v>0</v>
      </c>
      <c r="R220" s="1392">
        <f>'2. T7 LAINAT'!Q37/1000</f>
        <v>0</v>
      </c>
      <c r="S220" s="939"/>
    </row>
    <row r="221" spans="2:19" ht="14.1" customHeight="1" x14ac:dyDescent="0.2">
      <c r="B221" s="2420" t="s">
        <v>378</v>
      </c>
      <c r="C221" s="2421"/>
      <c r="D221" s="1238">
        <f>'2. T7 LAINAT'!C38/1000</f>
        <v>0</v>
      </c>
      <c r="E221" s="1240"/>
      <c r="F221" s="1420"/>
      <c r="G221" s="1430">
        <f>'2. T7 LAINAT'!F38/1000</f>
        <v>0</v>
      </c>
      <c r="H221" s="1182">
        <f>'2. T7 LAINAT'!G38/1000</f>
        <v>0</v>
      </c>
      <c r="I221" s="1393">
        <f>'2. T7 LAINAT'!H38/1000</f>
        <v>0</v>
      </c>
      <c r="J221" s="1430">
        <f>'2. T7 LAINAT'!I38/1000</f>
        <v>0</v>
      </c>
      <c r="K221" s="1182">
        <f>'2. T7 LAINAT'!J38/1000</f>
        <v>0</v>
      </c>
      <c r="L221" s="1393">
        <f>'2. T7 LAINAT'!K38/1000</f>
        <v>0</v>
      </c>
      <c r="M221" s="1430">
        <f>'2. T7 LAINAT'!L38/1000</f>
        <v>0</v>
      </c>
      <c r="N221" s="1182">
        <f>'2. T7 LAINAT'!M38/1000</f>
        <v>0</v>
      </c>
      <c r="O221" s="1393">
        <f>'2. T7 LAINAT'!N38/1000</f>
        <v>0</v>
      </c>
      <c r="P221" s="1238">
        <f>'2. T7 LAINAT'!O38/1000</f>
        <v>0</v>
      </c>
      <c r="Q221" s="1182">
        <f>'2. T7 LAINAT'!P38/1000</f>
        <v>0</v>
      </c>
      <c r="R221" s="1393">
        <f>'2. T7 LAINAT'!Q38/1000</f>
        <v>0</v>
      </c>
      <c r="S221" s="939"/>
    </row>
    <row r="222" spans="2:19" ht="3.6" customHeight="1" x14ac:dyDescent="0.2">
      <c r="B222" s="1383"/>
      <c r="C222" s="455"/>
      <c r="D222" s="461"/>
      <c r="E222" s="461"/>
      <c r="F222" s="461"/>
      <c r="G222" s="925"/>
      <c r="H222" s="461"/>
      <c r="I222" s="1138"/>
      <c r="J222" s="1139"/>
      <c r="K222" s="1139"/>
      <c r="L222" s="1140"/>
      <c r="M222" s="1139"/>
      <c r="N222" s="1139"/>
      <c r="O222" s="1140"/>
      <c r="P222" s="1139"/>
      <c r="Q222" s="727"/>
      <c r="R222" s="1396"/>
    </row>
    <row r="223" spans="2:19" ht="12.6" customHeight="1" x14ac:dyDescent="0.2">
      <c r="B223" s="2345" t="s">
        <v>388</v>
      </c>
      <c r="C223" s="2346"/>
      <c r="D223" s="1435">
        <f>'2. T7 LAINAT'!C40/1000</f>
        <v>0</v>
      </c>
      <c r="E223" s="1241"/>
      <c r="F223" s="1278">
        <f>'2. T7 LAINAT'!E40*100</f>
        <v>10</v>
      </c>
      <c r="G223" s="1434"/>
      <c r="H223" s="1242"/>
      <c r="I223" s="1278">
        <f>'2. T7 LAINAT'!H40/1000</f>
        <v>0</v>
      </c>
      <c r="J223" s="1436"/>
      <c r="K223" s="1242"/>
      <c r="L223" s="1182">
        <f>'2. T7 LAINAT'!K40/1000</f>
        <v>0</v>
      </c>
      <c r="M223" s="1434"/>
      <c r="N223" s="1242"/>
      <c r="O223" s="1182">
        <f>'2. T7 LAINAT'!N40/1000</f>
        <v>0</v>
      </c>
      <c r="P223" s="1434"/>
      <c r="Q223" s="1242"/>
      <c r="R223" s="1393">
        <f>'2. T7 LAINAT'!Q40/1000</f>
        <v>0</v>
      </c>
    </row>
    <row r="224" spans="2:19" ht="3.6" customHeight="1" x14ac:dyDescent="0.2">
      <c r="B224" s="1466"/>
      <c r="C224" s="1467"/>
      <c r="D224" s="461"/>
      <c r="E224" s="461"/>
      <c r="F224" s="461"/>
      <c r="G224" s="925"/>
      <c r="H224" s="461"/>
      <c r="I224" s="1141"/>
      <c r="J224" s="1142"/>
      <c r="K224" s="1142"/>
      <c r="L224" s="1439"/>
      <c r="M224" s="1142"/>
      <c r="N224" s="1142"/>
      <c r="O224" s="1439"/>
      <c r="P224" s="1142"/>
      <c r="Q224" s="727"/>
      <c r="R224" s="1394"/>
    </row>
    <row r="225" spans="2:18" ht="12.6" customHeight="1" x14ac:dyDescent="0.2">
      <c r="B225" s="2345" t="s">
        <v>458</v>
      </c>
      <c r="C225" s="2347"/>
      <c r="D225" s="1238">
        <f>'2. T7 LAINAT'!C42/1000</f>
        <v>0</v>
      </c>
      <c r="E225" s="1241"/>
      <c r="F225" s="1278">
        <f>'2. T7 LAINAT'!E42*100</f>
        <v>10</v>
      </c>
      <c r="G225" s="1434"/>
      <c r="H225" s="1242"/>
      <c r="I225" s="1278">
        <f>'2. T7 LAINAT'!H42/1000</f>
        <v>0</v>
      </c>
      <c r="J225" s="1434"/>
      <c r="K225" s="1242"/>
      <c r="L225" s="1182">
        <f>'2. T7 LAINAT'!K42/1000</f>
        <v>0</v>
      </c>
      <c r="M225" s="1434"/>
      <c r="N225" s="1242"/>
      <c r="O225" s="1182">
        <f>'2. T7 LAINAT'!N42/1000</f>
        <v>0</v>
      </c>
      <c r="P225" s="1434"/>
      <c r="Q225" s="1242"/>
      <c r="R225" s="1393">
        <f>'2. T7 LAINAT'!Q42/1000</f>
        <v>0</v>
      </c>
    </row>
    <row r="226" spans="2:18" ht="3.6" customHeight="1" x14ac:dyDescent="0.2">
      <c r="B226" s="1466"/>
      <c r="C226" s="1467"/>
      <c r="D226" s="461"/>
      <c r="E226" s="461"/>
      <c r="F226" s="461"/>
      <c r="G226" s="925"/>
      <c r="H226" s="461"/>
      <c r="I226" s="1141"/>
      <c r="J226" s="1142"/>
      <c r="K226" s="1142"/>
      <c r="L226" s="1143"/>
      <c r="M226" s="1142"/>
      <c r="N226" s="1142"/>
      <c r="O226" s="1143"/>
      <c r="P226" s="1142"/>
      <c r="Q226" s="727"/>
      <c r="R226" s="1394"/>
    </row>
    <row r="227" spans="2:18" ht="11.25" customHeight="1" x14ac:dyDescent="0.2">
      <c r="B227" s="2436" t="s">
        <v>389</v>
      </c>
      <c r="C227" s="2437"/>
      <c r="D227" s="2440">
        <f>'2. T7 LAINAT'!C44/1000</f>
        <v>0</v>
      </c>
      <c r="E227" s="2442"/>
      <c r="F227" s="2444">
        <f>'2. T7 LAINAT'!E44*100</f>
        <v>10</v>
      </c>
      <c r="G227" s="2446"/>
      <c r="H227" s="2448"/>
      <c r="I227" s="2444">
        <f>'2. T7 LAINAT'!H44/1000</f>
        <v>0</v>
      </c>
      <c r="J227" s="2446"/>
      <c r="K227" s="2448"/>
      <c r="L227" s="2450">
        <f>'2. T7 LAINAT'!K44/1000</f>
        <v>0</v>
      </c>
      <c r="M227" s="2446"/>
      <c r="N227" s="2448"/>
      <c r="O227" s="2450">
        <f>'2. T7 LAINAT'!N44/1000</f>
        <v>0</v>
      </c>
      <c r="P227" s="2446"/>
      <c r="Q227" s="2448"/>
      <c r="R227" s="2452">
        <f>'2. T7 LAINAT'!Q44/1000</f>
        <v>0</v>
      </c>
    </row>
    <row r="228" spans="2:18" ht="11.65" customHeight="1" x14ac:dyDescent="0.2">
      <c r="B228" s="2438"/>
      <c r="C228" s="2439"/>
      <c r="D228" s="2441"/>
      <c r="E228" s="2443"/>
      <c r="F228" s="2445">
        <f>'2. T7 LAINAT'!E45*100</f>
        <v>0</v>
      </c>
      <c r="G228" s="2447"/>
      <c r="H228" s="2449"/>
      <c r="I228" s="2445">
        <f>'2. T7 LAINAT'!H45/1000</f>
        <v>0</v>
      </c>
      <c r="J228" s="2447"/>
      <c r="K228" s="2449"/>
      <c r="L228" s="2451">
        <f>'2. T7 LAINAT'!K45/1000</f>
        <v>0</v>
      </c>
      <c r="M228" s="2447"/>
      <c r="N228" s="2449"/>
      <c r="O228" s="2451">
        <f>'2. T7 LAINAT'!N45/1000</f>
        <v>0</v>
      </c>
      <c r="P228" s="2447"/>
      <c r="Q228" s="2449"/>
      <c r="R228" s="2453">
        <f>'2. T7 LAINAT'!Q45/1000</f>
        <v>0</v>
      </c>
    </row>
    <row r="229" spans="2:18" ht="3.6" customHeight="1" x14ac:dyDescent="0.2">
      <c r="B229" s="1466"/>
      <c r="C229" s="1467"/>
      <c r="D229" s="461"/>
      <c r="E229" s="461"/>
      <c r="F229" s="461"/>
      <c r="G229" s="925"/>
      <c r="H229" s="461"/>
      <c r="I229" s="1138"/>
      <c r="J229" s="1139"/>
      <c r="K229" s="1139"/>
      <c r="L229" s="1140"/>
      <c r="M229" s="1139"/>
      <c r="N229" s="1139"/>
      <c r="O229" s="1140"/>
      <c r="P229" s="1139"/>
      <c r="Q229" s="727"/>
      <c r="R229" s="1396"/>
    </row>
    <row r="230" spans="2:18" ht="24" customHeight="1" x14ac:dyDescent="0.2">
      <c r="B230" s="2415" t="s">
        <v>233</v>
      </c>
      <c r="C230" s="2416"/>
      <c r="D230" s="1437"/>
      <c r="E230" s="1243"/>
      <c r="F230" s="1277"/>
      <c r="G230" s="1438"/>
      <c r="H230" s="1243"/>
      <c r="I230" s="1278">
        <f>'2. T7 LAINAT'!H46/1000</f>
        <v>0</v>
      </c>
      <c r="J230" s="1434"/>
      <c r="K230" s="1242"/>
      <c r="L230" s="1182">
        <f>'2. T7 LAINAT'!K46/1000</f>
        <v>0</v>
      </c>
      <c r="M230" s="1434"/>
      <c r="N230" s="1242"/>
      <c r="O230" s="1182">
        <f>'2. T7 LAINAT'!N46/1000</f>
        <v>0</v>
      </c>
      <c r="P230" s="1434"/>
      <c r="Q230" s="1242"/>
      <c r="R230" s="1393">
        <f>'2. T7 LAINAT'!Q46/1000</f>
        <v>0</v>
      </c>
    </row>
    <row r="231" spans="2:18" ht="3.6" customHeight="1" x14ac:dyDescent="0.2">
      <c r="B231" s="1466"/>
      <c r="C231" s="1467"/>
      <c r="D231" s="461"/>
      <c r="E231" s="461"/>
      <c r="F231" s="461"/>
      <c r="G231" s="925"/>
      <c r="H231" s="461"/>
      <c r="I231" s="1138"/>
      <c r="J231" s="1139"/>
      <c r="K231" s="1139"/>
      <c r="L231" s="1140"/>
      <c r="M231" s="1139"/>
      <c r="N231" s="1139"/>
      <c r="O231" s="1140"/>
      <c r="P231" s="1139"/>
      <c r="Q231" s="727"/>
      <c r="R231" s="1396"/>
    </row>
    <row r="232" spans="2:18" ht="15.95" customHeight="1" x14ac:dyDescent="0.2">
      <c r="B232" s="2345" t="s">
        <v>69</v>
      </c>
      <c r="C232" s="2347"/>
      <c r="D232" s="1238">
        <f>'2. T7 LAINAT'!C48/1000</f>
        <v>0</v>
      </c>
      <c r="E232" s="1277"/>
      <c r="F232" s="1277"/>
      <c r="G232" s="1238">
        <f>'2. T7 LAINAT'!F48/1000</f>
        <v>0</v>
      </c>
      <c r="H232" s="1278">
        <f>'2. T7 LAINAT'!G48/1000</f>
        <v>0</v>
      </c>
      <c r="I232" s="1278">
        <f>'2. T7 LAINAT'!H48/1000</f>
        <v>0</v>
      </c>
      <c r="J232" s="1238">
        <f>'2. T7 LAINAT'!I48/1000</f>
        <v>0</v>
      </c>
      <c r="K232" s="1278">
        <f>'2. T7 LAINAT'!J48/1000</f>
        <v>0</v>
      </c>
      <c r="L232" s="1182">
        <f>'2. T7 LAINAT'!K48/1000</f>
        <v>0</v>
      </c>
      <c r="M232" s="1238">
        <f>'2. T7 LAINAT'!L48/1000</f>
        <v>0</v>
      </c>
      <c r="N232" s="1278">
        <f>'2. T7 LAINAT'!M48/1000</f>
        <v>0</v>
      </c>
      <c r="O232" s="1182">
        <f>'2. T7 LAINAT'!N48/1000</f>
        <v>0</v>
      </c>
      <c r="P232" s="1238">
        <f>'2. T7 LAINAT'!O48/1000</f>
        <v>0</v>
      </c>
      <c r="Q232" s="1278">
        <f>'2. T7 LAINAT'!P48/1000</f>
        <v>0</v>
      </c>
      <c r="R232" s="1393">
        <f>'2. T7 LAINAT'!Q48/1000</f>
        <v>0</v>
      </c>
    </row>
    <row r="233" spans="2:18" ht="11.25" customHeight="1" x14ac:dyDescent="0.2">
      <c r="B233" s="417"/>
      <c r="C233" s="418"/>
      <c r="D233" s="418"/>
      <c r="E233" s="418"/>
      <c r="F233" s="418"/>
      <c r="G233" s="419"/>
      <c r="H233" s="411"/>
      <c r="I233" s="543"/>
      <c r="J233" s="544"/>
      <c r="K233" s="544"/>
      <c r="L233" s="544"/>
      <c r="M233" s="544"/>
      <c r="N233" s="544"/>
      <c r="O233" s="544"/>
      <c r="P233" s="544"/>
      <c r="Q233" s="420"/>
      <c r="R233" s="153"/>
    </row>
    <row r="234" spans="2:18" ht="12" customHeight="1" x14ac:dyDescent="0.2">
      <c r="B234" s="572"/>
      <c r="C234" s="572"/>
      <c r="D234" s="572"/>
      <c r="E234" s="572"/>
      <c r="O234" s="129"/>
      <c r="P234" s="129"/>
      <c r="Q234" s="129"/>
      <c r="R234" s="129"/>
    </row>
    <row r="235" spans="2:18" ht="11.25" customHeight="1" x14ac:dyDescent="0.2">
      <c r="C235" s="2342" t="s">
        <v>359</v>
      </c>
      <c r="D235" s="2342"/>
      <c r="E235" s="2342"/>
      <c r="F235" s="2342"/>
      <c r="G235" s="2342"/>
      <c r="H235" s="2342"/>
      <c r="I235" s="2342"/>
      <c r="J235" s="2574" t="str">
        <f>K110</f>
        <v>Ennuste 1</v>
      </c>
      <c r="K235" s="2575"/>
      <c r="L235" s="2574" t="str">
        <f>M110</f>
        <v>Ennuste 2</v>
      </c>
      <c r="M235" s="2575"/>
      <c r="N235" s="2574" t="str">
        <f>O110</f>
        <v>Ennuste 3</v>
      </c>
      <c r="O235" s="2575"/>
      <c r="P235" s="2574" t="str">
        <f>Q110</f>
        <v>Ennuste 4</v>
      </c>
      <c r="Q235" s="2575"/>
    </row>
    <row r="236" spans="2:18" ht="11.25" customHeight="1" x14ac:dyDescent="0.2">
      <c r="B236" s="440"/>
      <c r="C236" s="2342"/>
      <c r="D236" s="2342"/>
      <c r="E236" s="2342"/>
      <c r="F236" s="2342"/>
      <c r="G236" s="2342"/>
      <c r="H236" s="2342"/>
      <c r="I236" s="2342"/>
      <c r="J236" s="2577">
        <f>K136</f>
        <v>2027</v>
      </c>
      <c r="K236" s="2578"/>
      <c r="L236" s="2577">
        <f>M136</f>
        <v>2028</v>
      </c>
      <c r="M236" s="2578"/>
      <c r="N236" s="2577">
        <f>O136</f>
        <v>2029</v>
      </c>
      <c r="O236" s="2578"/>
      <c r="P236" s="2577">
        <f>Q136</f>
        <v>2030</v>
      </c>
      <c r="Q236" s="2578"/>
      <c r="R236" s="1135"/>
    </row>
    <row r="237" spans="2:18" ht="12.6" customHeight="1" x14ac:dyDescent="0.2">
      <c r="B237" s="439" t="s">
        <v>0</v>
      </c>
      <c r="C237" s="605" t="s">
        <v>214</v>
      </c>
      <c r="D237" s="438"/>
      <c r="E237" s="438"/>
      <c r="F237" s="438"/>
      <c r="G237" s="2417"/>
      <c r="H237" s="2417"/>
      <c r="J237" s="148"/>
      <c r="K237" s="148"/>
      <c r="L237" s="148"/>
      <c r="M237" s="148"/>
      <c r="N237" s="709"/>
      <c r="O237" s="709"/>
      <c r="P237" s="709"/>
      <c r="Q237" s="709"/>
      <c r="R237" s="711"/>
    </row>
    <row r="238" spans="2:18" ht="12.6" customHeight="1" x14ac:dyDescent="0.2">
      <c r="C238" s="2073" t="s">
        <v>215</v>
      </c>
      <c r="D238" s="2073"/>
      <c r="E238" s="2073"/>
      <c r="F238" s="2073"/>
      <c r="G238" s="2073"/>
      <c r="H238" s="2073"/>
      <c r="I238" s="2073"/>
      <c r="J238" s="2430">
        <f>'5. T4 RAHOITUSSUUN.'!Q27</f>
        <v>0</v>
      </c>
      <c r="K238" s="2430"/>
      <c r="L238" s="2430">
        <f>'5. T4 RAHOITUSSUUN.'!R27</f>
        <v>0</v>
      </c>
      <c r="M238" s="2430"/>
      <c r="N238" s="2430">
        <f>'5. T4 RAHOITUSSUUN.'!S27</f>
        <v>0</v>
      </c>
      <c r="O238" s="2430"/>
      <c r="P238" s="2430">
        <f>'5. T4 RAHOITUSSUUN.'!T27</f>
        <v>0</v>
      </c>
      <c r="Q238" s="2430"/>
      <c r="R238" s="710"/>
    </row>
    <row r="239" spans="2:18" ht="12.6" customHeight="1" x14ac:dyDescent="0.2">
      <c r="B239" s="328"/>
      <c r="C239" s="1397"/>
      <c r="D239" s="2454" t="s">
        <v>230</v>
      </c>
      <c r="E239" s="2454"/>
      <c r="F239" s="2454"/>
      <c r="G239" s="2454"/>
      <c r="H239" s="2454"/>
      <c r="I239" s="2454"/>
      <c r="J239" s="2434">
        <f>'5. T4 RAHOITUSSUUN.'!Q28</f>
        <v>0</v>
      </c>
      <c r="K239" s="2434"/>
      <c r="L239" s="2434">
        <f>'5. T4 RAHOITUSSUUN.'!R28</f>
        <v>0</v>
      </c>
      <c r="M239" s="2434"/>
      <c r="N239" s="2434">
        <f>'5. T4 RAHOITUSSUUN.'!S28</f>
        <v>0</v>
      </c>
      <c r="O239" s="2434"/>
      <c r="P239" s="2434">
        <f>'5. T4 RAHOITUSSUUN.'!T28</f>
        <v>0</v>
      </c>
      <c r="Q239" s="2434"/>
      <c r="R239" s="712"/>
    </row>
    <row r="240" spans="2:18" ht="12.6" customHeight="1" x14ac:dyDescent="0.2">
      <c r="C240" s="2409" t="s">
        <v>216</v>
      </c>
      <c r="D240" s="2409"/>
      <c r="E240" s="2409"/>
      <c r="F240" s="2409"/>
      <c r="G240" s="2409"/>
      <c r="H240" s="2409"/>
      <c r="I240" s="2409"/>
      <c r="J240" s="2430">
        <f>'5. T4 RAHOITUSSUUN.'!Q29</f>
        <v>0</v>
      </c>
      <c r="K240" s="2430"/>
      <c r="L240" s="2430">
        <f>'5. T4 RAHOITUSSUUN.'!R29</f>
        <v>0</v>
      </c>
      <c r="M240" s="2430"/>
      <c r="N240" s="2430">
        <f>'5. T4 RAHOITUSSUUN.'!S29</f>
        <v>0</v>
      </c>
      <c r="O240" s="2430"/>
      <c r="P240" s="2430">
        <f>'5. T4 RAHOITUSSUUN.'!T29</f>
        <v>0</v>
      </c>
      <c r="Q240" s="2430"/>
      <c r="R240" s="710"/>
    </row>
    <row r="241" spans="2:18" ht="12.6" customHeight="1" x14ac:dyDescent="0.2">
      <c r="B241" s="328"/>
      <c r="C241" s="1397"/>
      <c r="D241" s="2454" t="s">
        <v>230</v>
      </c>
      <c r="E241" s="2454"/>
      <c r="F241" s="2454"/>
      <c r="G241" s="2454"/>
      <c r="H241" s="2454"/>
      <c r="I241" s="2454"/>
      <c r="J241" s="2434">
        <f>'5. T4 RAHOITUSSUUN.'!Q30</f>
        <v>0</v>
      </c>
      <c r="K241" s="2434"/>
      <c r="L241" s="2434">
        <f>'5. T4 RAHOITUSSUUN.'!R30</f>
        <v>0</v>
      </c>
      <c r="M241" s="2434"/>
      <c r="N241" s="2434">
        <f>'5. T4 RAHOITUSSUUN.'!S30</f>
        <v>0</v>
      </c>
      <c r="O241" s="2434"/>
      <c r="P241" s="2434">
        <f>'5. T4 RAHOITUSSUUN.'!T30</f>
        <v>0</v>
      </c>
      <c r="Q241" s="2434"/>
      <c r="R241" s="712"/>
    </row>
    <row r="242" spans="2:18" ht="12.6" customHeight="1" x14ac:dyDescent="0.2">
      <c r="C242" s="2409" t="s">
        <v>302</v>
      </c>
      <c r="D242" s="2409"/>
      <c r="E242" s="2409"/>
      <c r="F242" s="2409"/>
      <c r="G242" s="2409"/>
      <c r="H242" s="2409"/>
      <c r="I242" s="2409"/>
      <c r="J242" s="2430">
        <f>'5. T4 RAHOITUSSUUN.'!Q31</f>
        <v>0</v>
      </c>
      <c r="K242" s="2430"/>
      <c r="L242" s="2430">
        <f>'5. T4 RAHOITUSSUUN.'!R31</f>
        <v>0</v>
      </c>
      <c r="M242" s="2430"/>
      <c r="N242" s="2430">
        <f>'5. T4 RAHOITUSSUUN.'!S31</f>
        <v>0</v>
      </c>
      <c r="O242" s="2430"/>
      <c r="P242" s="2430">
        <f>'5. T4 RAHOITUSSUUN.'!T31</f>
        <v>0</v>
      </c>
      <c r="Q242" s="2430"/>
      <c r="R242" s="710"/>
    </row>
    <row r="243" spans="2:18" ht="12.6" customHeight="1" x14ac:dyDescent="0.2">
      <c r="C243" s="2409" t="s">
        <v>222</v>
      </c>
      <c r="D243" s="2409"/>
      <c r="E243" s="2409"/>
      <c r="F243" s="2409"/>
      <c r="G243" s="2409"/>
      <c r="H243" s="2409"/>
      <c r="I243" s="2409"/>
      <c r="J243" s="2430">
        <f>'5. T4 RAHOITUSSUUN.'!Q32</f>
        <v>0</v>
      </c>
      <c r="K243" s="2430"/>
      <c r="L243" s="2430">
        <f>'5. T4 RAHOITUSSUUN.'!R32</f>
        <v>0</v>
      </c>
      <c r="M243" s="2430"/>
      <c r="N243" s="2430">
        <f>'5. T4 RAHOITUSSUUN.'!S32</f>
        <v>0</v>
      </c>
      <c r="O243" s="2430"/>
      <c r="P243" s="2430">
        <f>'5. T4 RAHOITUSSUUN.'!T32</f>
        <v>0</v>
      </c>
      <c r="Q243" s="2430"/>
      <c r="R243" s="710"/>
    </row>
    <row r="244" spans="2:18" ht="12.6" customHeight="1" x14ac:dyDescent="0.2">
      <c r="B244" s="328"/>
      <c r="C244" s="1398"/>
      <c r="D244" s="2410" t="s">
        <v>230</v>
      </c>
      <c r="E244" s="2410"/>
      <c r="F244" s="2410"/>
      <c r="G244" s="2410"/>
      <c r="H244" s="2410"/>
      <c r="I244" s="2410"/>
      <c r="J244" s="2431">
        <f>'5. T4 RAHOITUSSUUN.'!Q33</f>
        <v>0</v>
      </c>
      <c r="K244" s="2431"/>
      <c r="L244" s="2431">
        <f>'5. T4 RAHOITUSSUUN.'!R33</f>
        <v>0</v>
      </c>
      <c r="M244" s="2431"/>
      <c r="N244" s="2431">
        <f>'5. T4 RAHOITUSSUUN.'!S33</f>
        <v>0</v>
      </c>
      <c r="O244" s="2431"/>
      <c r="P244" s="2431">
        <f>'5. T4 RAHOITUSSUUN.'!T33</f>
        <v>0</v>
      </c>
      <c r="Q244" s="2431"/>
      <c r="R244" s="712"/>
    </row>
    <row r="245" spans="2:18" ht="12.6" customHeight="1" x14ac:dyDescent="0.2">
      <c r="C245" s="598" t="s">
        <v>459</v>
      </c>
      <c r="D245" s="598"/>
      <c r="E245" s="598"/>
      <c r="F245" s="598"/>
      <c r="G245" s="131"/>
      <c r="H245" s="131"/>
      <c r="J245" s="778"/>
      <c r="K245" s="778"/>
      <c r="L245" s="778"/>
      <c r="M245" s="778"/>
      <c r="N245" s="778"/>
      <c r="O245" s="778"/>
      <c r="P245" s="778"/>
      <c r="Q245" s="778"/>
      <c r="R245" s="131"/>
    </row>
    <row r="246" spans="2:18" ht="12.6" customHeight="1" x14ac:dyDescent="0.2">
      <c r="C246" s="2409" t="s">
        <v>217</v>
      </c>
      <c r="D246" s="2409"/>
      <c r="E246" s="2409"/>
      <c r="F246" s="2409"/>
      <c r="G246" s="2409"/>
      <c r="H246" s="2409"/>
      <c r="I246" s="2409"/>
      <c r="J246" s="2433">
        <f>'5. T4 RAHOITUSSUUN.'!Q35</f>
        <v>0</v>
      </c>
      <c r="K246" s="2433"/>
      <c r="L246" s="2433">
        <f>'5. T4 RAHOITUSSUUN.'!R35</f>
        <v>0</v>
      </c>
      <c r="M246" s="2433"/>
      <c r="N246" s="2433">
        <f>'5. T4 RAHOITUSSUUN.'!S35</f>
        <v>0</v>
      </c>
      <c r="O246" s="2433"/>
      <c r="P246" s="2433">
        <f>'5. T4 RAHOITUSSUUN.'!T35</f>
        <v>0</v>
      </c>
      <c r="Q246" s="2433"/>
      <c r="R246" s="714"/>
    </row>
    <row r="247" spans="2:18" ht="12.6" customHeight="1" x14ac:dyDescent="0.2">
      <c r="B247" s="328"/>
      <c r="C247" s="1397"/>
      <c r="D247" s="2411" t="s">
        <v>230</v>
      </c>
      <c r="E247" s="2411"/>
      <c r="F247" s="2411"/>
      <c r="G247" s="2411"/>
      <c r="H247" s="2411"/>
      <c r="I247" s="2411"/>
      <c r="J247" s="2432">
        <f>'5. T4 RAHOITUSSUUN.'!Q36</f>
        <v>0</v>
      </c>
      <c r="K247" s="2432"/>
      <c r="L247" s="2432">
        <f>'5. T4 RAHOITUSSUUN.'!R36</f>
        <v>0</v>
      </c>
      <c r="M247" s="2432"/>
      <c r="N247" s="2432">
        <f>'5. T4 RAHOITUSSUUN.'!S36</f>
        <v>0</v>
      </c>
      <c r="O247" s="2432"/>
      <c r="P247" s="2432">
        <f>'5. T4 RAHOITUSSUUN.'!T36</f>
        <v>0</v>
      </c>
      <c r="Q247" s="2432"/>
      <c r="R247" s="573"/>
    </row>
    <row r="248" spans="2:18" ht="12.6" customHeight="1" x14ac:dyDescent="0.2">
      <c r="C248" s="2409" t="s">
        <v>368</v>
      </c>
      <c r="D248" s="2409"/>
      <c r="E248" s="2409"/>
      <c r="F248" s="2409"/>
      <c r="G248" s="2409"/>
      <c r="H248" s="2409"/>
      <c r="I248" s="2409"/>
      <c r="J248" s="2576">
        <f>'5. T4 RAHOITUSSUUN.'!Q37</f>
        <v>0</v>
      </c>
      <c r="K248" s="2576"/>
      <c r="L248" s="2576">
        <f>'5. T4 RAHOITUSSUUN.'!R37</f>
        <v>0</v>
      </c>
      <c r="M248" s="2576"/>
      <c r="N248" s="2576">
        <f>'5. T4 RAHOITUSSUUN.'!S37</f>
        <v>0</v>
      </c>
      <c r="O248" s="2576"/>
      <c r="P248" s="2576">
        <f>'5. T4 RAHOITUSSUUN.'!T37</f>
        <v>0</v>
      </c>
      <c r="Q248" s="2576"/>
      <c r="R248" s="713"/>
    </row>
    <row r="249" spans="2:18" ht="12.6" customHeight="1" x14ac:dyDescent="0.2">
      <c r="B249" s="328"/>
      <c r="C249" s="1398"/>
      <c r="D249" s="2455" t="s">
        <v>230</v>
      </c>
      <c r="E249" s="2455"/>
      <c r="F249" s="2455"/>
      <c r="G249" s="2455"/>
      <c r="H249" s="2455"/>
      <c r="I249" s="2455"/>
      <c r="J249" s="2432" t="str">
        <f>'5. T4 RAHOITUSSUUN.'!Q38</f>
        <v/>
      </c>
      <c r="K249" s="2432"/>
      <c r="L249" s="2432" t="str">
        <f>'5. T4 RAHOITUSSUUN.'!R38</f>
        <v/>
      </c>
      <c r="M249" s="2432"/>
      <c r="N249" s="2432" t="str">
        <f>'5. T4 RAHOITUSSUUN.'!S38</f>
        <v/>
      </c>
      <c r="O249" s="2432"/>
      <c r="P249" s="2432" t="str">
        <f>'5. T4 RAHOITUSSUUN.'!T38</f>
        <v/>
      </c>
      <c r="Q249" s="2432"/>
      <c r="R249" s="573"/>
    </row>
    <row r="250" spans="2:18" ht="6.6" customHeight="1" x14ac:dyDescent="0.2">
      <c r="B250" s="328"/>
      <c r="C250" s="4"/>
      <c r="D250" s="632"/>
      <c r="E250" s="633"/>
      <c r="F250" s="4"/>
      <c r="G250" s="632"/>
      <c r="H250" s="633"/>
      <c r="I250" s="734"/>
      <c r="J250" s="734"/>
      <c r="K250" s="734"/>
      <c r="L250" s="734"/>
      <c r="M250" s="734"/>
      <c r="N250" s="734"/>
      <c r="O250" s="734"/>
      <c r="P250" s="734"/>
      <c r="Q250" s="635"/>
      <c r="R250" s="573"/>
    </row>
    <row r="251" spans="2:18" x14ac:dyDescent="0.2">
      <c r="B251" s="52">
        <f>OHJE!F6</f>
        <v>0</v>
      </c>
      <c r="H251" s="129"/>
      <c r="I251" s="640"/>
      <c r="J251" s="641"/>
      <c r="K251" s="641"/>
      <c r="L251" s="641"/>
      <c r="M251" s="641"/>
      <c r="N251" s="641"/>
      <c r="O251" s="641"/>
      <c r="P251" s="641"/>
      <c r="Q251" s="418"/>
      <c r="R251" s="1260"/>
    </row>
    <row r="252" spans="2:18" ht="12.6" customHeight="1" x14ac:dyDescent="0.2">
      <c r="B252" s="2334" t="str">
        <f>OHJE!G8</f>
        <v>Kehittämisyhtiö Witas Oy</v>
      </c>
      <c r="C252" s="2334"/>
      <c r="D252" s="2334"/>
      <c r="E252" s="2334"/>
      <c r="F252" s="2334"/>
      <c r="G252" s="2334"/>
      <c r="H252" s="2334"/>
      <c r="I252" s="2334"/>
      <c r="J252" s="2334"/>
      <c r="K252" s="2334"/>
      <c r="L252" s="2334"/>
      <c r="M252" s="2334"/>
      <c r="N252" s="634"/>
      <c r="O252" s="634"/>
      <c r="P252" s="634"/>
      <c r="Q252" s="635"/>
      <c r="R252" s="1272" t="s">
        <v>438</v>
      </c>
    </row>
    <row r="253" spans="2:18" ht="12.6" customHeight="1" x14ac:dyDescent="0.2">
      <c r="B253" s="328"/>
      <c r="C253" s="4"/>
      <c r="D253" s="632"/>
      <c r="E253" s="633"/>
      <c r="F253" s="4"/>
      <c r="G253" s="632"/>
      <c r="H253" s="633"/>
      <c r="I253" s="634"/>
      <c r="J253" s="634"/>
      <c r="K253" s="634"/>
      <c r="L253" s="634"/>
      <c r="M253" s="634"/>
      <c r="N253" s="634"/>
      <c r="O253" s="634"/>
      <c r="P253" s="634"/>
      <c r="Q253" s="635"/>
      <c r="R253" s="573"/>
    </row>
    <row r="254" spans="2:18" ht="11.25" customHeight="1" x14ac:dyDescent="0.2">
      <c r="B254" s="417" t="s">
        <v>0</v>
      </c>
      <c r="C254" s="418"/>
      <c r="D254" s="418"/>
      <c r="E254" s="418"/>
      <c r="F254" s="418"/>
      <c r="G254" s="419"/>
      <c r="H254" s="411"/>
      <c r="J254" s="2435"/>
      <c r="K254" s="2435"/>
      <c r="L254" s="2435"/>
      <c r="M254" s="2435"/>
      <c r="N254" s="2435"/>
      <c r="O254" s="2435"/>
      <c r="P254" s="2435"/>
      <c r="Q254" s="2435"/>
      <c r="R254" s="2435"/>
    </row>
    <row r="255" spans="2:18" ht="15" x14ac:dyDescent="0.25">
      <c r="B255" s="1276" t="s">
        <v>203</v>
      </c>
      <c r="C255" s="638"/>
      <c r="D255" s="572"/>
      <c r="E255" s="572"/>
      <c r="F255" s="138"/>
      <c r="G255" s="129"/>
      <c r="H255" s="129"/>
      <c r="I255" s="129"/>
      <c r="J255" s="129"/>
      <c r="K255" s="129"/>
      <c r="M255" s="138"/>
      <c r="N255" s="129"/>
      <c r="O255" s="129"/>
      <c r="P255" s="129"/>
      <c r="Q255" s="129"/>
      <c r="R255" s="129"/>
    </row>
    <row r="256" spans="2:18" x14ac:dyDescent="0.2">
      <c r="B256" s="572"/>
      <c r="C256" s="572"/>
      <c r="D256" s="572"/>
      <c r="E256" s="572"/>
      <c r="F256" s="598"/>
      <c r="G256" s="601"/>
      <c r="H256" s="601"/>
      <c r="I256" s="601"/>
      <c r="J256" s="601"/>
      <c r="K256" s="601"/>
      <c r="M256" s="2372"/>
      <c r="N256" s="2372"/>
      <c r="O256" s="129"/>
      <c r="P256" s="129"/>
      <c r="Q256" s="129"/>
      <c r="R256" s="129"/>
    </row>
    <row r="257" spans="2:18" x14ac:dyDescent="0.2">
      <c r="B257" s="1275">
        <f>B7</f>
        <v>0</v>
      </c>
      <c r="C257" s="572"/>
      <c r="D257" s="572"/>
      <c r="E257" s="572"/>
      <c r="F257" s="598"/>
      <c r="G257" s="601"/>
      <c r="H257" s="601"/>
      <c r="I257" s="601"/>
      <c r="J257" s="601"/>
      <c r="K257" s="601"/>
      <c r="M257" s="637"/>
      <c r="N257" s="637"/>
      <c r="O257" s="129"/>
      <c r="P257" s="129"/>
      <c r="Q257" s="129"/>
      <c r="R257" s="129"/>
    </row>
    <row r="258" spans="2:18" x14ac:dyDescent="0.2"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</row>
    <row r="259" spans="2:18" x14ac:dyDescent="0.2"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</row>
    <row r="260" spans="2:18" x14ac:dyDescent="0.2"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</row>
    <row r="261" spans="2:18" x14ac:dyDescent="0.2"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</row>
    <row r="262" spans="2:18" x14ac:dyDescent="0.2"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</row>
    <row r="263" spans="2:18" x14ac:dyDescent="0.2"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</row>
    <row r="264" spans="2:18" x14ac:dyDescent="0.2"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</row>
    <row r="265" spans="2:18" x14ac:dyDescent="0.2"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</row>
    <row r="266" spans="2:18" x14ac:dyDescent="0.2"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</row>
    <row r="267" spans="2:18" x14ac:dyDescent="0.2"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</row>
    <row r="268" spans="2:18" x14ac:dyDescent="0.2"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</row>
    <row r="269" spans="2:18" x14ac:dyDescent="0.2"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</row>
    <row r="270" spans="2:18" x14ac:dyDescent="0.2"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</row>
    <row r="271" spans="2:18" x14ac:dyDescent="0.2"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</row>
    <row r="272" spans="2:18" x14ac:dyDescent="0.2"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</row>
    <row r="273" spans="2:18" x14ac:dyDescent="0.2"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</row>
    <row r="274" spans="2:18" x14ac:dyDescent="0.2"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</row>
    <row r="275" spans="2:18" x14ac:dyDescent="0.2"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</row>
    <row r="276" spans="2:18" x14ac:dyDescent="0.2"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</row>
    <row r="277" spans="2:18" x14ac:dyDescent="0.2"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</row>
    <row r="278" spans="2:18" x14ac:dyDescent="0.2"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</row>
    <row r="279" spans="2:18" x14ac:dyDescent="0.2"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</row>
    <row r="280" spans="2:18" x14ac:dyDescent="0.2"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</row>
    <row r="281" spans="2:18" x14ac:dyDescent="0.2"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</row>
    <row r="282" spans="2:18" x14ac:dyDescent="0.2"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</row>
    <row r="283" spans="2:18" x14ac:dyDescent="0.2"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</row>
    <row r="284" spans="2:18" x14ac:dyDescent="0.2"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</row>
    <row r="285" spans="2:18" x14ac:dyDescent="0.2"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</row>
    <row r="286" spans="2:18" x14ac:dyDescent="0.2"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</row>
    <row r="287" spans="2:18" x14ac:dyDescent="0.2"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</row>
    <row r="288" spans="2:18" x14ac:dyDescent="0.2"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</row>
    <row r="289" spans="2:21" x14ac:dyDescent="0.2"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</row>
    <row r="290" spans="2:21" x14ac:dyDescent="0.2"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</row>
    <row r="291" spans="2:21" x14ac:dyDescent="0.2"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</row>
    <row r="292" spans="2:21" x14ac:dyDescent="0.2"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</row>
    <row r="293" spans="2:21" x14ac:dyDescent="0.2"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U293" s="483" t="s">
        <v>0</v>
      </c>
    </row>
    <row r="294" spans="2:21" x14ac:dyDescent="0.2"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</row>
    <row r="295" spans="2:21" x14ac:dyDescent="0.2"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</row>
    <row r="296" spans="2:21" ht="13.5" customHeight="1" x14ac:dyDescent="0.2"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</row>
    <row r="297" spans="2:21" ht="12" customHeight="1" x14ac:dyDescent="0.2"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</row>
    <row r="298" spans="2:21" x14ac:dyDescent="0.2"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</row>
    <row r="299" spans="2:21" x14ac:dyDescent="0.2"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</row>
    <row r="300" spans="2:21" x14ac:dyDescent="0.2"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</row>
    <row r="301" spans="2:21" x14ac:dyDescent="0.2"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</row>
    <row r="302" spans="2:21" x14ac:dyDescent="0.2"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</row>
    <row r="303" spans="2:21" x14ac:dyDescent="0.2"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</row>
    <row r="304" spans="2:21" x14ac:dyDescent="0.2"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</row>
    <row r="305" spans="2:18" x14ac:dyDescent="0.2"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</row>
    <row r="306" spans="2:18" x14ac:dyDescent="0.2"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</row>
    <row r="307" spans="2:18" x14ac:dyDescent="0.2"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</row>
    <row r="308" spans="2:18" x14ac:dyDescent="0.2"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</row>
    <row r="309" spans="2:18" x14ac:dyDescent="0.2"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</row>
    <row r="310" spans="2:18" x14ac:dyDescent="0.2"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</row>
    <row r="311" spans="2:18" x14ac:dyDescent="0.2"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</row>
    <row r="312" spans="2:18" x14ac:dyDescent="0.2"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</row>
    <row r="313" spans="2:18" x14ac:dyDescent="0.2"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</row>
    <row r="314" spans="2:18" x14ac:dyDescent="0.2"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</row>
    <row r="315" spans="2:18" x14ac:dyDescent="0.2"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</row>
    <row r="316" spans="2:18" x14ac:dyDescent="0.2"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</row>
    <row r="317" spans="2:18" x14ac:dyDescent="0.2"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</row>
    <row r="318" spans="2:18" x14ac:dyDescent="0.2"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</row>
    <row r="319" spans="2:18" x14ac:dyDescent="0.2"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</row>
    <row r="320" spans="2:18" x14ac:dyDescent="0.2"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</row>
    <row r="321" spans="2:18" x14ac:dyDescent="0.2"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</row>
    <row r="322" spans="2:18" ht="72.599999999999994" customHeight="1" x14ac:dyDescent="0.2"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</row>
    <row r="323" spans="2:18" x14ac:dyDescent="0.2">
      <c r="B323" s="74">
        <f>OHJE!F6</f>
        <v>0</v>
      </c>
      <c r="I323" s="1255"/>
      <c r="J323" s="1255"/>
      <c r="K323" s="1255"/>
      <c r="L323" s="1255"/>
      <c r="M323" s="1255"/>
      <c r="N323" s="1255"/>
      <c r="O323" s="1255"/>
      <c r="P323" s="1255"/>
      <c r="Q323" s="52"/>
      <c r="R323" s="155"/>
    </row>
    <row r="324" spans="2:18" x14ac:dyDescent="0.2">
      <c r="B324" s="2334" t="str">
        <f>OHJE!G8</f>
        <v>Kehittämisyhtiö Witas Oy</v>
      </c>
      <c r="C324" s="2334"/>
      <c r="D324" s="2334"/>
      <c r="E324" s="2334"/>
      <c r="F324" s="2334"/>
      <c r="G324" s="2334"/>
      <c r="H324" s="2334"/>
      <c r="I324" s="2334"/>
      <c r="J324" s="2334"/>
      <c r="K324" s="2334"/>
      <c r="L324" s="2334"/>
      <c r="M324" s="2334"/>
      <c r="R324" s="1271" t="s">
        <v>438</v>
      </c>
    </row>
    <row r="325" spans="2:18" x14ac:dyDescent="0.2">
      <c r="B325" s="1978" t="s">
        <v>0</v>
      </c>
      <c r="C325" s="1978"/>
      <c r="D325" s="74"/>
      <c r="E325" s="74"/>
      <c r="F325" s="74"/>
    </row>
  </sheetData>
  <sheetProtection algorithmName="SHA-512" hashValue="yPxJMrUsmgKS6GGES1vW2MCL7kgaEiRmKJpF2B32qANkEvyAmhG8JfEgJwbbHUTHZVoECjO+Xbihf25+5wQMgw==" saltValue="njii3V+oa0hPLmW0hU5F3w==" spinCount="100000" sheet="1" objects="1" scenarios="1" selectLockedCells="1"/>
  <mergeCells count="704">
    <mergeCell ref="B212:C212"/>
    <mergeCell ref="B213:C213"/>
    <mergeCell ref="B214:C214"/>
    <mergeCell ref="B220:C220"/>
    <mergeCell ref="B219:C219"/>
    <mergeCell ref="B218:C218"/>
    <mergeCell ref="B217:C217"/>
    <mergeCell ref="B11:H11"/>
    <mergeCell ref="B13:H13"/>
    <mergeCell ref="C103:D103"/>
    <mergeCell ref="C129:D129"/>
    <mergeCell ref="C146:G146"/>
    <mergeCell ref="C139:G139"/>
    <mergeCell ref="B135:J136"/>
    <mergeCell ref="G132:H132"/>
    <mergeCell ref="I132:J132"/>
    <mergeCell ref="G130:H130"/>
    <mergeCell ref="I130:J130"/>
    <mergeCell ref="G128:H128"/>
    <mergeCell ref="I128:J128"/>
    <mergeCell ref="G126:H126"/>
    <mergeCell ref="I126:J126"/>
    <mergeCell ref="G124:H124"/>
    <mergeCell ref="C152:F152"/>
    <mergeCell ref="Q176:R176"/>
    <mergeCell ref="K178:L178"/>
    <mergeCell ref="M178:N178"/>
    <mergeCell ref="O178:P178"/>
    <mergeCell ref="Q178:R178"/>
    <mergeCell ref="M177:N177"/>
    <mergeCell ref="O177:P177"/>
    <mergeCell ref="Q177:R177"/>
    <mergeCell ref="B211:C211"/>
    <mergeCell ref="Q186:R186"/>
    <mergeCell ref="B207:C207"/>
    <mergeCell ref="B196:C196"/>
    <mergeCell ref="B197:C197"/>
    <mergeCell ref="B198:C198"/>
    <mergeCell ref="B199:C199"/>
    <mergeCell ref="B201:C201"/>
    <mergeCell ref="B202:C202"/>
    <mergeCell ref="B203:C203"/>
    <mergeCell ref="B204:C204"/>
    <mergeCell ref="B206:C206"/>
    <mergeCell ref="D192:D195"/>
    <mergeCell ref="G192:I193"/>
    <mergeCell ref="J192:L193"/>
    <mergeCell ref="M192:O193"/>
    <mergeCell ref="Q159:R159"/>
    <mergeCell ref="Q162:R162"/>
    <mergeCell ref="K179:L179"/>
    <mergeCell ref="M179:N179"/>
    <mergeCell ref="O179:P179"/>
    <mergeCell ref="K163:L163"/>
    <mergeCell ref="Q185:R185"/>
    <mergeCell ref="Q174:R174"/>
    <mergeCell ref="M169:N169"/>
    <mergeCell ref="K159:L159"/>
    <mergeCell ref="M159:N159"/>
    <mergeCell ref="Q163:R163"/>
    <mergeCell ref="K160:L160"/>
    <mergeCell ref="M160:N160"/>
    <mergeCell ref="O160:P160"/>
    <mergeCell ref="Q160:R160"/>
    <mergeCell ref="M173:N173"/>
    <mergeCell ref="O173:P173"/>
    <mergeCell ref="Q182:R182"/>
    <mergeCell ref="M181:N181"/>
    <mergeCell ref="O181:P181"/>
    <mergeCell ref="Q181:R181"/>
    <mergeCell ref="K176:L176"/>
    <mergeCell ref="O176:P176"/>
    <mergeCell ref="N235:O235"/>
    <mergeCell ref="Q187:R187"/>
    <mergeCell ref="K158:L158"/>
    <mergeCell ref="M158:N158"/>
    <mergeCell ref="O158:P158"/>
    <mergeCell ref="Q158:R158"/>
    <mergeCell ref="K161:L161"/>
    <mergeCell ref="M161:N161"/>
    <mergeCell ref="O161:P161"/>
    <mergeCell ref="Q161:R161"/>
    <mergeCell ref="K184:L184"/>
    <mergeCell ref="M184:N184"/>
    <mergeCell ref="O184:P184"/>
    <mergeCell ref="Q184:R184"/>
    <mergeCell ref="K175:L175"/>
    <mergeCell ref="M175:N175"/>
    <mergeCell ref="O175:P175"/>
    <mergeCell ref="Q175:R175"/>
    <mergeCell ref="K177:L177"/>
    <mergeCell ref="K181:L181"/>
    <mergeCell ref="Q179:R179"/>
    <mergeCell ref="J235:K235"/>
    <mergeCell ref="O174:P174"/>
    <mergeCell ref="P194:R194"/>
    <mergeCell ref="K157:L157"/>
    <mergeCell ref="L2:M2"/>
    <mergeCell ref="O153:P153"/>
    <mergeCell ref="Q153:R153"/>
    <mergeCell ref="K180:L180"/>
    <mergeCell ref="M180:N180"/>
    <mergeCell ref="O180:P180"/>
    <mergeCell ref="K183:L183"/>
    <mergeCell ref="M183:N183"/>
    <mergeCell ref="O183:P183"/>
    <mergeCell ref="Q183:R183"/>
    <mergeCell ref="Q180:R180"/>
    <mergeCell ref="K182:L182"/>
    <mergeCell ref="M182:N182"/>
    <mergeCell ref="O182:P182"/>
    <mergeCell ref="M176:N176"/>
    <mergeCell ref="Q172:R172"/>
    <mergeCell ref="K173:L173"/>
    <mergeCell ref="Q156:R156"/>
    <mergeCell ref="M157:N157"/>
    <mergeCell ref="O157:P157"/>
    <mergeCell ref="Q157:R157"/>
    <mergeCell ref="Q173:R173"/>
    <mergeCell ref="M153:N153"/>
    <mergeCell ref="D239:I239"/>
    <mergeCell ref="K156:L156"/>
    <mergeCell ref="M156:N156"/>
    <mergeCell ref="O156:P156"/>
    <mergeCell ref="M163:N163"/>
    <mergeCell ref="O163:P163"/>
    <mergeCell ref="K187:L187"/>
    <mergeCell ref="M187:N187"/>
    <mergeCell ref="O187:P187"/>
    <mergeCell ref="K185:L185"/>
    <mergeCell ref="M185:N185"/>
    <mergeCell ref="O185:P185"/>
    <mergeCell ref="K174:L174"/>
    <mergeCell ref="M174:N174"/>
    <mergeCell ref="M168:N168"/>
    <mergeCell ref="O159:P159"/>
    <mergeCell ref="N238:O238"/>
    <mergeCell ref="P238:Q238"/>
    <mergeCell ref="J239:K239"/>
    <mergeCell ref="L239:M239"/>
    <mergeCell ref="N239:O239"/>
    <mergeCell ref="P239:Q239"/>
    <mergeCell ref="E192:E195"/>
    <mergeCell ref="F192:F195"/>
    <mergeCell ref="M256:N256"/>
    <mergeCell ref="K162:L162"/>
    <mergeCell ref="M162:N162"/>
    <mergeCell ref="O162:P162"/>
    <mergeCell ref="K172:L172"/>
    <mergeCell ref="M172:N172"/>
    <mergeCell ref="O172:P172"/>
    <mergeCell ref="K186:L186"/>
    <mergeCell ref="M186:N186"/>
    <mergeCell ref="O186:P186"/>
    <mergeCell ref="P235:Q235"/>
    <mergeCell ref="J248:K248"/>
    <mergeCell ref="L248:M248"/>
    <mergeCell ref="N248:O248"/>
    <mergeCell ref="P248:Q248"/>
    <mergeCell ref="J249:K249"/>
    <mergeCell ref="L249:M249"/>
    <mergeCell ref="N249:O249"/>
    <mergeCell ref="P249:Q249"/>
    <mergeCell ref="L235:M235"/>
    <mergeCell ref="P236:Q236"/>
    <mergeCell ref="N236:O236"/>
    <mergeCell ref="L236:M236"/>
    <mergeCell ref="J236:K236"/>
    <mergeCell ref="C149:J149"/>
    <mergeCell ref="K149:L149"/>
    <mergeCell ref="M149:N149"/>
    <mergeCell ref="K155:L155"/>
    <mergeCell ref="M155:N155"/>
    <mergeCell ref="O155:P155"/>
    <mergeCell ref="Q155:R155"/>
    <mergeCell ref="O149:P149"/>
    <mergeCell ref="C150:F150"/>
    <mergeCell ref="C151:E151"/>
    <mergeCell ref="K146:L146"/>
    <mergeCell ref="M146:N146"/>
    <mergeCell ref="O146:P146"/>
    <mergeCell ref="Q146:R146"/>
    <mergeCell ref="Q149:R149"/>
    <mergeCell ref="C154:G154"/>
    <mergeCell ref="K154:L154"/>
    <mergeCell ref="M154:N154"/>
    <mergeCell ref="O154:P154"/>
    <mergeCell ref="Q154:R154"/>
    <mergeCell ref="K150:L150"/>
    <mergeCell ref="K151:L151"/>
    <mergeCell ref="K152:L152"/>
    <mergeCell ref="K153:L153"/>
    <mergeCell ref="M150:N150"/>
    <mergeCell ref="O150:P150"/>
    <mergeCell ref="Q150:R150"/>
    <mergeCell ref="M151:N151"/>
    <mergeCell ref="O151:P151"/>
    <mergeCell ref="Q151:R151"/>
    <mergeCell ref="M152:N152"/>
    <mergeCell ref="O152:P152"/>
    <mergeCell ref="Q152:R152"/>
    <mergeCell ref="C147:G147"/>
    <mergeCell ref="K147:L147"/>
    <mergeCell ref="M147:N147"/>
    <mergeCell ref="O147:P147"/>
    <mergeCell ref="Q147:R147"/>
    <mergeCell ref="C148:G148"/>
    <mergeCell ref="K148:L148"/>
    <mergeCell ref="M148:N148"/>
    <mergeCell ref="O148:P148"/>
    <mergeCell ref="Q148:R148"/>
    <mergeCell ref="K145:L145"/>
    <mergeCell ref="M145:N145"/>
    <mergeCell ref="O145:P145"/>
    <mergeCell ref="Q145:R145"/>
    <mergeCell ref="C141:G141"/>
    <mergeCell ref="K141:L141"/>
    <mergeCell ref="M141:N141"/>
    <mergeCell ref="O141:P141"/>
    <mergeCell ref="Q141:R141"/>
    <mergeCell ref="C142:G142"/>
    <mergeCell ref="K142:L142"/>
    <mergeCell ref="M142:N142"/>
    <mergeCell ref="O142:P142"/>
    <mergeCell ref="Q142:R142"/>
    <mergeCell ref="C143:J143"/>
    <mergeCell ref="K143:L143"/>
    <mergeCell ref="M143:N143"/>
    <mergeCell ref="O143:P143"/>
    <mergeCell ref="Q143:R143"/>
    <mergeCell ref="K144:L144"/>
    <mergeCell ref="M144:N144"/>
    <mergeCell ref="O144:P144"/>
    <mergeCell ref="Q144:R144"/>
    <mergeCell ref="K139:L139"/>
    <mergeCell ref="M139:N139"/>
    <mergeCell ref="O139:P139"/>
    <mergeCell ref="Q139:R139"/>
    <mergeCell ref="C140:G140"/>
    <mergeCell ref="K140:L140"/>
    <mergeCell ref="M140:N140"/>
    <mergeCell ref="O140:P140"/>
    <mergeCell ref="Q140:R140"/>
    <mergeCell ref="K137:L137"/>
    <mergeCell ref="M137:N137"/>
    <mergeCell ref="O137:P137"/>
    <mergeCell ref="Q137:R137"/>
    <mergeCell ref="C138:G138"/>
    <mergeCell ref="K138:L138"/>
    <mergeCell ref="M138:N138"/>
    <mergeCell ref="O138:P138"/>
    <mergeCell ref="Q138:R138"/>
    <mergeCell ref="K135:L135"/>
    <mergeCell ref="M135:N135"/>
    <mergeCell ref="O135:P135"/>
    <mergeCell ref="Q135:R135"/>
    <mergeCell ref="K136:L136"/>
    <mergeCell ref="M136:N136"/>
    <mergeCell ref="O136:P136"/>
    <mergeCell ref="Q136:R136"/>
    <mergeCell ref="G133:H133"/>
    <mergeCell ref="I133:J133"/>
    <mergeCell ref="K133:L133"/>
    <mergeCell ref="M133:N133"/>
    <mergeCell ref="O133:P133"/>
    <mergeCell ref="Q133:R133"/>
    <mergeCell ref="K132:L132"/>
    <mergeCell ref="M132:N132"/>
    <mergeCell ref="O132:P132"/>
    <mergeCell ref="Q132:R132"/>
    <mergeCell ref="G131:H131"/>
    <mergeCell ref="I131:J131"/>
    <mergeCell ref="K131:L131"/>
    <mergeCell ref="M131:N131"/>
    <mergeCell ref="O131:P131"/>
    <mergeCell ref="Q131:R131"/>
    <mergeCell ref="K130:L130"/>
    <mergeCell ref="M130:N130"/>
    <mergeCell ref="O130:P130"/>
    <mergeCell ref="Q130:R130"/>
    <mergeCell ref="G129:H129"/>
    <mergeCell ref="I129:J129"/>
    <mergeCell ref="K129:L129"/>
    <mergeCell ref="M129:N129"/>
    <mergeCell ref="O129:P129"/>
    <mergeCell ref="Q129:R129"/>
    <mergeCell ref="K128:L128"/>
    <mergeCell ref="M128:N128"/>
    <mergeCell ref="O128:P128"/>
    <mergeCell ref="Q128:R128"/>
    <mergeCell ref="G127:H127"/>
    <mergeCell ref="I127:J127"/>
    <mergeCell ref="K127:L127"/>
    <mergeCell ref="M127:N127"/>
    <mergeCell ref="O127:P127"/>
    <mergeCell ref="Q127:R127"/>
    <mergeCell ref="K126:L126"/>
    <mergeCell ref="M126:N126"/>
    <mergeCell ref="O126:P126"/>
    <mergeCell ref="Q126:R126"/>
    <mergeCell ref="I125:J125"/>
    <mergeCell ref="K125:L125"/>
    <mergeCell ref="M125:N125"/>
    <mergeCell ref="O125:P125"/>
    <mergeCell ref="Q125:R125"/>
    <mergeCell ref="I124:J124"/>
    <mergeCell ref="K124:L124"/>
    <mergeCell ref="M124:N124"/>
    <mergeCell ref="O124:P124"/>
    <mergeCell ref="Q124:R124"/>
    <mergeCell ref="I123:J123"/>
    <mergeCell ref="K123:L123"/>
    <mergeCell ref="M123:N123"/>
    <mergeCell ref="O123:P123"/>
    <mergeCell ref="Q123:R123"/>
    <mergeCell ref="O120:P120"/>
    <mergeCell ref="Q120:R120"/>
    <mergeCell ref="I119:J119"/>
    <mergeCell ref="K119:L119"/>
    <mergeCell ref="M119:N119"/>
    <mergeCell ref="O119:P119"/>
    <mergeCell ref="Q119:R119"/>
    <mergeCell ref="G122:H122"/>
    <mergeCell ref="I122:J122"/>
    <mergeCell ref="K122:L122"/>
    <mergeCell ref="M122:N122"/>
    <mergeCell ref="O122:P122"/>
    <mergeCell ref="Q122:R122"/>
    <mergeCell ref="I121:J121"/>
    <mergeCell ref="K121:L121"/>
    <mergeCell ref="M121:N121"/>
    <mergeCell ref="O121:P121"/>
    <mergeCell ref="Q121:R121"/>
    <mergeCell ref="Q116:R116"/>
    <mergeCell ref="I115:J115"/>
    <mergeCell ref="K115:L115"/>
    <mergeCell ref="M115:N115"/>
    <mergeCell ref="O115:P115"/>
    <mergeCell ref="Q115:R115"/>
    <mergeCell ref="G118:H118"/>
    <mergeCell ref="I118:J118"/>
    <mergeCell ref="K118:L118"/>
    <mergeCell ref="M118:N118"/>
    <mergeCell ref="O118:P118"/>
    <mergeCell ref="Q118:R118"/>
    <mergeCell ref="I117:J117"/>
    <mergeCell ref="K117:L117"/>
    <mergeCell ref="M117:N117"/>
    <mergeCell ref="O117:P117"/>
    <mergeCell ref="Q117:R117"/>
    <mergeCell ref="Q112:R112"/>
    <mergeCell ref="G114:H114"/>
    <mergeCell ref="I114:J114"/>
    <mergeCell ref="K114:L114"/>
    <mergeCell ref="M114:N114"/>
    <mergeCell ref="O114:P114"/>
    <mergeCell ref="Q114:R114"/>
    <mergeCell ref="I113:J113"/>
    <mergeCell ref="K113:L113"/>
    <mergeCell ref="M113:N113"/>
    <mergeCell ref="O113:P113"/>
    <mergeCell ref="Q113:R113"/>
    <mergeCell ref="Q109:R109"/>
    <mergeCell ref="G110:H110"/>
    <mergeCell ref="I110:J110"/>
    <mergeCell ref="K110:L110"/>
    <mergeCell ref="M110:N110"/>
    <mergeCell ref="O110:P110"/>
    <mergeCell ref="Q110:R110"/>
    <mergeCell ref="G111:H111"/>
    <mergeCell ref="I111:J111"/>
    <mergeCell ref="G109:H109"/>
    <mergeCell ref="I109:J109"/>
    <mergeCell ref="K109:L109"/>
    <mergeCell ref="M109:N109"/>
    <mergeCell ref="O109:P109"/>
    <mergeCell ref="K111:L111"/>
    <mergeCell ref="M111:N111"/>
    <mergeCell ref="O111:P111"/>
    <mergeCell ref="Q111:R111"/>
    <mergeCell ref="I99:J99"/>
    <mergeCell ref="K99:L99"/>
    <mergeCell ref="M99:N99"/>
    <mergeCell ref="O99:P99"/>
    <mergeCell ref="Q99:R99"/>
    <mergeCell ref="I102:J102"/>
    <mergeCell ref="K102:L102"/>
    <mergeCell ref="M102:N102"/>
    <mergeCell ref="O102:P102"/>
    <mergeCell ref="Q102:R102"/>
    <mergeCell ref="I101:J101"/>
    <mergeCell ref="K101:L101"/>
    <mergeCell ref="M101:N101"/>
    <mergeCell ref="O101:P101"/>
    <mergeCell ref="Q101:R101"/>
    <mergeCell ref="K100:L100"/>
    <mergeCell ref="M100:N100"/>
    <mergeCell ref="O100:P100"/>
    <mergeCell ref="Q100:R100"/>
    <mergeCell ref="K98:L98"/>
    <mergeCell ref="M98:N98"/>
    <mergeCell ref="O98:P98"/>
    <mergeCell ref="Q98:R98"/>
    <mergeCell ref="G97:H97"/>
    <mergeCell ref="I97:J97"/>
    <mergeCell ref="K97:L97"/>
    <mergeCell ref="M97:N97"/>
    <mergeCell ref="O97:P97"/>
    <mergeCell ref="Q97:R97"/>
    <mergeCell ref="G98:H98"/>
    <mergeCell ref="I98:J98"/>
    <mergeCell ref="K96:L96"/>
    <mergeCell ref="M96:N96"/>
    <mergeCell ref="O96:P96"/>
    <mergeCell ref="Q96:R96"/>
    <mergeCell ref="G95:H95"/>
    <mergeCell ref="I95:J95"/>
    <mergeCell ref="K95:L95"/>
    <mergeCell ref="M95:N95"/>
    <mergeCell ref="O95:P95"/>
    <mergeCell ref="Q95:R95"/>
    <mergeCell ref="G96:H96"/>
    <mergeCell ref="I96:J96"/>
    <mergeCell ref="O94:P94"/>
    <mergeCell ref="Q94:R94"/>
    <mergeCell ref="G93:H93"/>
    <mergeCell ref="I93:J93"/>
    <mergeCell ref="K93:L93"/>
    <mergeCell ref="M93:N93"/>
    <mergeCell ref="O93:P93"/>
    <mergeCell ref="Q93:R93"/>
    <mergeCell ref="G94:H94"/>
    <mergeCell ref="I94:J94"/>
    <mergeCell ref="O89:P89"/>
    <mergeCell ref="Q89:R89"/>
    <mergeCell ref="K92:L92"/>
    <mergeCell ref="M92:N92"/>
    <mergeCell ref="O92:P92"/>
    <mergeCell ref="Q92:R92"/>
    <mergeCell ref="G91:H91"/>
    <mergeCell ref="I91:J91"/>
    <mergeCell ref="K91:L91"/>
    <mergeCell ref="M91:N91"/>
    <mergeCell ref="O91:P91"/>
    <mergeCell ref="Q91:R91"/>
    <mergeCell ref="G92:H92"/>
    <mergeCell ref="I92:J92"/>
    <mergeCell ref="L3:M3"/>
    <mergeCell ref="H5:I5"/>
    <mergeCell ref="L6:R6"/>
    <mergeCell ref="L7:R7"/>
    <mergeCell ref="B37:C37"/>
    <mergeCell ref="B44:C44"/>
    <mergeCell ref="G55:H55"/>
    <mergeCell ref="I55:J55"/>
    <mergeCell ref="K55:L55"/>
    <mergeCell ref="L12:R12"/>
    <mergeCell ref="L13:R13"/>
    <mergeCell ref="K15:K16"/>
    <mergeCell ref="L15:R16"/>
    <mergeCell ref="B35:C36"/>
    <mergeCell ref="B15:F16"/>
    <mergeCell ref="C17:F17"/>
    <mergeCell ref="C18:F18"/>
    <mergeCell ref="O47:P47"/>
    <mergeCell ref="O48:P48"/>
    <mergeCell ref="O44:P44"/>
    <mergeCell ref="O45:P45"/>
    <mergeCell ref="O46:P46"/>
    <mergeCell ref="L45:M45"/>
    <mergeCell ref="L46:M46"/>
    <mergeCell ref="B325:C325"/>
    <mergeCell ref="L8:R8"/>
    <mergeCell ref="L9:R9"/>
    <mergeCell ref="L10:R10"/>
    <mergeCell ref="L11:R11"/>
    <mergeCell ref="K80:L80"/>
    <mergeCell ref="M80:N80"/>
    <mergeCell ref="B88:E89"/>
    <mergeCell ref="G90:H90"/>
    <mergeCell ref="I90:J90"/>
    <mergeCell ref="K90:L90"/>
    <mergeCell ref="M90:N90"/>
    <mergeCell ref="M84:N84"/>
    <mergeCell ref="O90:P90"/>
    <mergeCell ref="Q90:R90"/>
    <mergeCell ref="O88:P88"/>
    <mergeCell ref="Q88:R88"/>
    <mergeCell ref="O58:P58"/>
    <mergeCell ref="Q58:R58"/>
    <mergeCell ref="M55:N55"/>
    <mergeCell ref="O55:P55"/>
    <mergeCell ref="Q55:R55"/>
    <mergeCell ref="G56:H56"/>
    <mergeCell ref="I56:J56"/>
    <mergeCell ref="O56:P56"/>
    <mergeCell ref="Q56:R56"/>
    <mergeCell ref="C19:F19"/>
    <mergeCell ref="C20:F20"/>
    <mergeCell ref="C21:F21"/>
    <mergeCell ref="C22:F22"/>
    <mergeCell ref="C23:F23"/>
    <mergeCell ref="C24:F24"/>
    <mergeCell ref="C33:F33"/>
    <mergeCell ref="K35:K36"/>
    <mergeCell ref="L35:R36"/>
    <mergeCell ref="L47:M47"/>
    <mergeCell ref="L48:M48"/>
    <mergeCell ref="L44:M44"/>
    <mergeCell ref="C25:F25"/>
    <mergeCell ref="C27:F27"/>
    <mergeCell ref="C28:F28"/>
    <mergeCell ref="C29:F29"/>
    <mergeCell ref="C30:F30"/>
    <mergeCell ref="C31:F31"/>
    <mergeCell ref="C32:F32"/>
    <mergeCell ref="C34:F34"/>
    <mergeCell ref="I58:J58"/>
    <mergeCell ref="K58:L58"/>
    <mergeCell ref="M58:N58"/>
    <mergeCell ref="G89:H89"/>
    <mergeCell ref="I89:J89"/>
    <mergeCell ref="K89:L89"/>
    <mergeCell ref="M89:N89"/>
    <mergeCell ref="K94:L94"/>
    <mergeCell ref="K56:L56"/>
    <mergeCell ref="M56:N56"/>
    <mergeCell ref="M94:N94"/>
    <mergeCell ref="G58:H58"/>
    <mergeCell ref="B81:J81"/>
    <mergeCell ref="K81:L81"/>
    <mergeCell ref="M81:N81"/>
    <mergeCell ref="J254:R254"/>
    <mergeCell ref="B227:C228"/>
    <mergeCell ref="D227:D228"/>
    <mergeCell ref="E227:E228"/>
    <mergeCell ref="F227:F228"/>
    <mergeCell ref="G227:G228"/>
    <mergeCell ref="H227:H228"/>
    <mergeCell ref="I227:I228"/>
    <mergeCell ref="J227:J228"/>
    <mergeCell ref="K227:K228"/>
    <mergeCell ref="L227:L228"/>
    <mergeCell ref="M227:M228"/>
    <mergeCell ref="N227:N228"/>
    <mergeCell ref="O227:O228"/>
    <mergeCell ref="P227:P228"/>
    <mergeCell ref="Q227:Q228"/>
    <mergeCell ref="R227:R228"/>
    <mergeCell ref="D241:I241"/>
    <mergeCell ref="C243:I243"/>
    <mergeCell ref="C248:I248"/>
    <mergeCell ref="D249:I249"/>
    <mergeCell ref="J238:K238"/>
    <mergeCell ref="L238:M238"/>
    <mergeCell ref="C235:I236"/>
    <mergeCell ref="J240:K240"/>
    <mergeCell ref="L240:M240"/>
    <mergeCell ref="N240:O240"/>
    <mergeCell ref="P240:Q240"/>
    <mergeCell ref="J241:K241"/>
    <mergeCell ref="L241:M241"/>
    <mergeCell ref="N241:O241"/>
    <mergeCell ref="P241:Q241"/>
    <mergeCell ref="J242:K242"/>
    <mergeCell ref="L242:M242"/>
    <mergeCell ref="N242:O242"/>
    <mergeCell ref="P242:Q242"/>
    <mergeCell ref="P243:Q243"/>
    <mergeCell ref="J244:K244"/>
    <mergeCell ref="J247:K247"/>
    <mergeCell ref="L247:M247"/>
    <mergeCell ref="N247:O247"/>
    <mergeCell ref="P247:Q247"/>
    <mergeCell ref="J243:K243"/>
    <mergeCell ref="N243:O243"/>
    <mergeCell ref="L243:M243"/>
    <mergeCell ref="L244:M244"/>
    <mergeCell ref="N244:O244"/>
    <mergeCell ref="P244:Q244"/>
    <mergeCell ref="J246:K246"/>
    <mergeCell ref="L246:M246"/>
    <mergeCell ref="N246:O246"/>
    <mergeCell ref="P246:Q246"/>
    <mergeCell ref="C242:I242"/>
    <mergeCell ref="C238:I238"/>
    <mergeCell ref="C240:I240"/>
    <mergeCell ref="D244:I244"/>
    <mergeCell ref="C246:I246"/>
    <mergeCell ref="D247:I247"/>
    <mergeCell ref="C153:E153"/>
    <mergeCell ref="C155:G155"/>
    <mergeCell ref="C159:G159"/>
    <mergeCell ref="C160:G160"/>
    <mergeCell ref="C175:I175"/>
    <mergeCell ref="C177:I177"/>
    <mergeCell ref="C181:I181"/>
    <mergeCell ref="C183:I183"/>
    <mergeCell ref="B230:C230"/>
    <mergeCell ref="C157:G157"/>
    <mergeCell ref="C185:I185"/>
    <mergeCell ref="G237:H237"/>
    <mergeCell ref="B215:C215"/>
    <mergeCell ref="B221:C221"/>
    <mergeCell ref="B232:C232"/>
    <mergeCell ref="B192:C194"/>
    <mergeCell ref="B208:C208"/>
    <mergeCell ref="B209:C209"/>
    <mergeCell ref="Q103:R103"/>
    <mergeCell ref="G125:H125"/>
    <mergeCell ref="G103:H103"/>
    <mergeCell ref="I108:J108"/>
    <mergeCell ref="K108:L108"/>
    <mergeCell ref="M108:N108"/>
    <mergeCell ref="O108:P108"/>
    <mergeCell ref="Q108:R108"/>
    <mergeCell ref="G107:H107"/>
    <mergeCell ref="I107:J107"/>
    <mergeCell ref="K107:L107"/>
    <mergeCell ref="M107:N107"/>
    <mergeCell ref="O107:P107"/>
    <mergeCell ref="Q107:R107"/>
    <mergeCell ref="M106:N106"/>
    <mergeCell ref="O106:P106"/>
    <mergeCell ref="Q106:R106"/>
    <mergeCell ref="G105:H105"/>
    <mergeCell ref="I105:J105"/>
    <mergeCell ref="K105:L105"/>
    <mergeCell ref="M105:N105"/>
    <mergeCell ref="O105:P105"/>
    <mergeCell ref="Q105:R105"/>
    <mergeCell ref="G106:H106"/>
    <mergeCell ref="B172:H173"/>
    <mergeCell ref="G102:H102"/>
    <mergeCell ref="G108:H108"/>
    <mergeCell ref="B110:E111"/>
    <mergeCell ref="G113:H113"/>
    <mergeCell ref="I103:J103"/>
    <mergeCell ref="K103:L103"/>
    <mergeCell ref="M103:N103"/>
    <mergeCell ref="O103:P103"/>
    <mergeCell ref="I106:J106"/>
    <mergeCell ref="K106:L106"/>
    <mergeCell ref="I112:J112"/>
    <mergeCell ref="K112:L112"/>
    <mergeCell ref="M112:N112"/>
    <mergeCell ref="O112:P112"/>
    <mergeCell ref="G116:H116"/>
    <mergeCell ref="I116:J116"/>
    <mergeCell ref="K116:L116"/>
    <mergeCell ref="M116:N116"/>
    <mergeCell ref="O116:P116"/>
    <mergeCell ref="G120:H120"/>
    <mergeCell ref="I120:J120"/>
    <mergeCell ref="K120:L120"/>
    <mergeCell ref="M120:N120"/>
    <mergeCell ref="G101:H101"/>
    <mergeCell ref="G104:H104"/>
    <mergeCell ref="P192:R193"/>
    <mergeCell ref="O80:P80"/>
    <mergeCell ref="Q80:R80"/>
    <mergeCell ref="G79:H79"/>
    <mergeCell ref="I79:J79"/>
    <mergeCell ref="K79:L79"/>
    <mergeCell ref="M79:N79"/>
    <mergeCell ref="O79:P79"/>
    <mergeCell ref="Q79:R79"/>
    <mergeCell ref="I80:J80"/>
    <mergeCell ref="M85:N85"/>
    <mergeCell ref="G88:H88"/>
    <mergeCell ref="I88:J88"/>
    <mergeCell ref="K88:L88"/>
    <mergeCell ref="M88:N88"/>
    <mergeCell ref="B83:M83"/>
    <mergeCell ref="B166:M166"/>
    <mergeCell ref="I104:J104"/>
    <mergeCell ref="K104:L104"/>
    <mergeCell ref="M104:N104"/>
    <mergeCell ref="O104:P104"/>
    <mergeCell ref="Q104:R104"/>
    <mergeCell ref="O81:P81"/>
    <mergeCell ref="Q81:R81"/>
    <mergeCell ref="B252:M252"/>
    <mergeCell ref="B324:M324"/>
    <mergeCell ref="B84:J84"/>
    <mergeCell ref="B86:L86"/>
    <mergeCell ref="B169:J169"/>
    <mergeCell ref="B7:H7"/>
    <mergeCell ref="B9:H9"/>
    <mergeCell ref="B55:E57"/>
    <mergeCell ref="B223:C223"/>
    <mergeCell ref="B225:C225"/>
    <mergeCell ref="C100:J100"/>
    <mergeCell ref="G194:I194"/>
    <mergeCell ref="J194:L194"/>
    <mergeCell ref="M194:O194"/>
    <mergeCell ref="G80:H80"/>
    <mergeCell ref="G99:H99"/>
    <mergeCell ref="G112:H112"/>
    <mergeCell ref="G115:H115"/>
    <mergeCell ref="G117:H117"/>
    <mergeCell ref="G119:H119"/>
    <mergeCell ref="G121:H121"/>
    <mergeCell ref="G123:H123"/>
  </mergeCells>
  <phoneticPr fontId="10" type="noConversion"/>
  <conditionalFormatting sqref="J247 L247 N247 P247">
    <cfRule type="containsText" dxfId="37" priority="1" operator="containsText" text="Hyvä">
      <formula>NOT(ISERROR(SEARCH("Hyvä",J247)))</formula>
    </cfRule>
    <cfRule type="containsText" dxfId="36" priority="2" operator="containsText" text="Tyydyttävä">
      <formula>NOT(ISERROR(SEARCH("Tyydyttävä",J247)))</formula>
    </cfRule>
    <cfRule type="containsText" dxfId="35" priority="3" operator="containsText" text="Heikko">
      <formula>NOT(ISERROR(SEARCH("Heikko",J247)))</formula>
    </cfRule>
  </conditionalFormatting>
  <conditionalFormatting sqref="J249 L249 N249 P249">
    <cfRule type="containsText" dxfId="34" priority="4" operator="containsText" text="Nettovelaton">
      <formula>NOT(ISERROR(SEARCH("Nettovelaton",J249)))</formula>
    </cfRule>
    <cfRule type="containsText" dxfId="33" priority="5" operator="containsText" text="Nettovelaton">
      <formula>NOT(ISERROR(SEARCH("Nettovelaton",J249)))</formula>
    </cfRule>
    <cfRule type="containsText" dxfId="32" priority="6" operator="containsText" text="Hyvä">
      <formula>NOT(ISERROR(SEARCH("Hyvä",J249)))</formula>
    </cfRule>
    <cfRule type="containsText" dxfId="31" priority="7" operator="containsText" text="Heikko">
      <formula>NOT(ISERROR(SEARCH("Heikko",J249)))</formula>
    </cfRule>
    <cfRule type="containsText" dxfId="30" priority="8" operator="containsText" text="Hyvä">
      <formula>NOT(ISERROR(SEARCH("Hyvä",J249)))</formula>
    </cfRule>
    <cfRule type="containsText" dxfId="29" priority="9" operator="containsText" text="Tyydyttävä">
      <formula>NOT(ISERROR(SEARCH("Tyydyttävä",J249)))</formula>
    </cfRule>
    <cfRule type="containsText" dxfId="28" priority="10" operator="containsText" text="Heikko">
      <formula>NOT(ISERROR(SEARCH("Heikko",J249)))</formula>
    </cfRule>
  </conditionalFormatting>
  <conditionalFormatting sqref="J239:Q239">
    <cfRule type="containsText" dxfId="27" priority="29" operator="containsText" text="Hyvä">
      <formula>NOT(ISERROR(SEARCH("Hyvä",J239)))</formula>
    </cfRule>
    <cfRule type="containsText" dxfId="26" priority="30" operator="containsText" text="Tyydyttävä">
      <formula>NOT(ISERROR(SEARCH("Tyydyttävä",J239)))</formula>
    </cfRule>
    <cfRule type="containsText" dxfId="25" priority="31" operator="containsText" text="Heikko">
      <formula>NOT(ISERROR(SEARCH("Heikko",J239)))</formula>
    </cfRule>
  </conditionalFormatting>
  <conditionalFormatting sqref="J241:Q241">
    <cfRule type="containsText" dxfId="24" priority="26" operator="containsText" text="Hyvä">
      <formula>NOT(ISERROR(SEARCH("Hyvä",J241)))</formula>
    </cfRule>
    <cfRule type="containsText" dxfId="23" priority="27" operator="containsText" text="Tyydyttävä">
      <formula>NOT(ISERROR(SEARCH("Tyydyttävä",J241)))</formula>
    </cfRule>
    <cfRule type="containsText" dxfId="22" priority="28" operator="containsText" text="Heikko">
      <formula>NOT(ISERROR(SEARCH("Heikko",J241)))</formula>
    </cfRule>
  </conditionalFormatting>
  <conditionalFormatting sqref="J244:Q244">
    <cfRule type="containsText" dxfId="21" priority="11" operator="containsText" text="Hyvä">
      <formula>NOT(ISERROR(SEARCH("Hyvä",J244)))</formula>
    </cfRule>
    <cfRule type="containsText" dxfId="20" priority="12" operator="containsText" text="Tyydyttävä">
      <formula>NOT(ISERROR(SEARCH("Tyydyttävä",J244)))</formula>
    </cfRule>
    <cfRule type="containsText" dxfId="19" priority="13" operator="containsText" text="Heikko">
      <formula>NOT(ISERROR(SEARCH("Heikko",J244)))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r:id="rId1"/>
  <rowBreaks count="3" manualBreakCount="3">
    <brk id="83" min="1" max="14" man="1"/>
    <brk id="166" min="1" max="17" man="1"/>
    <brk id="252" min="1" max="17" man="1"/>
  </row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57C96-DF3B-4D5E-A977-40CAADCAFD09}">
  <sheetPr>
    <tabColor theme="1"/>
  </sheetPr>
  <dimension ref="B2:X338"/>
  <sheetViews>
    <sheetView showGridLines="0" showZeros="0" zoomScaleNormal="100" workbookViewId="0">
      <selection activeCell="B11" sqref="B11:H11"/>
    </sheetView>
  </sheetViews>
  <sheetFormatPr defaultRowHeight="12.75" x14ac:dyDescent="0.2"/>
  <cols>
    <col min="2" max="2" width="3" customWidth="1"/>
    <col min="3" max="3" width="23" customWidth="1"/>
    <col min="4" max="4" width="7.28515625" customWidth="1"/>
    <col min="5" max="6" width="5.85546875" customWidth="1"/>
    <col min="7" max="11" width="7.28515625" customWidth="1"/>
    <col min="12" max="18" width="6.85546875" customWidth="1"/>
  </cols>
  <sheetData>
    <row r="2" spans="2:18" ht="15" x14ac:dyDescent="0.2">
      <c r="B2" s="1267"/>
      <c r="C2" s="638"/>
      <c r="D2" s="572"/>
      <c r="E2" s="572"/>
      <c r="F2" s="572"/>
      <c r="G2" s="572"/>
      <c r="H2" s="2"/>
      <c r="I2" s="2"/>
      <c r="J2" s="2"/>
      <c r="K2" s="328"/>
      <c r="L2" s="2114" t="s">
        <v>629</v>
      </c>
      <c r="M2" s="2114"/>
      <c r="N2" s="129"/>
      <c r="O2" s="129"/>
      <c r="P2" s="129"/>
      <c r="Q2" s="129"/>
      <c r="R2" s="129"/>
    </row>
    <row r="3" spans="2:18" x14ac:dyDescent="0.2">
      <c r="B3" s="572" t="s">
        <v>628</v>
      </c>
      <c r="C3" s="572"/>
      <c r="D3" s="572"/>
      <c r="E3" s="572"/>
      <c r="F3" s="572"/>
      <c r="G3" s="572"/>
      <c r="H3" s="129"/>
      <c r="I3" s="129"/>
      <c r="J3" s="230"/>
      <c r="K3" s="328"/>
      <c r="L3" s="2504">
        <f>'1. T1 INVESTOINTISUUN.'!F4</f>
        <v>0</v>
      </c>
      <c r="M3" s="2504"/>
      <c r="N3" s="129"/>
      <c r="O3" s="129"/>
      <c r="P3" s="129"/>
      <c r="Q3" s="129"/>
      <c r="R3" s="129"/>
    </row>
    <row r="4" spans="2:18" x14ac:dyDescent="0.2">
      <c r="B4" s="572"/>
      <c r="C4" s="572"/>
      <c r="D4" s="572"/>
      <c r="E4" s="572"/>
      <c r="F4" s="572"/>
      <c r="G4" s="572"/>
      <c r="H4" s="129"/>
      <c r="I4" s="129"/>
      <c r="J4" s="230"/>
      <c r="K4" s="328"/>
      <c r="L4" s="1268"/>
      <c r="M4" s="1268"/>
      <c r="N4" s="129"/>
      <c r="O4" s="129"/>
      <c r="P4" s="129"/>
      <c r="Q4" s="129"/>
      <c r="R4" s="129"/>
    </row>
    <row r="5" spans="2:18" x14ac:dyDescent="0.2">
      <c r="B5" s="410"/>
      <c r="C5" s="328"/>
      <c r="D5" s="328"/>
      <c r="E5" s="328"/>
      <c r="F5" s="328"/>
      <c r="G5" s="328"/>
      <c r="H5" s="2505"/>
      <c r="I5" s="2506"/>
      <c r="J5" s="410"/>
      <c r="K5" s="411"/>
      <c r="L5" s="129"/>
      <c r="M5" s="129"/>
      <c r="N5" s="129"/>
      <c r="O5" s="129"/>
      <c r="P5" s="129"/>
      <c r="Q5" s="129"/>
      <c r="R5" s="129"/>
    </row>
    <row r="6" spans="2:18" x14ac:dyDescent="0.2">
      <c r="B6" s="1269" t="s">
        <v>630</v>
      </c>
      <c r="C6" s="1262"/>
      <c r="D6" s="1262"/>
      <c r="E6" s="1262"/>
      <c r="F6" s="1262"/>
      <c r="G6" s="1262"/>
      <c r="H6" s="1262"/>
      <c r="I6" s="1262"/>
      <c r="J6" s="1262"/>
      <c r="K6" s="1262"/>
      <c r="L6" s="2488" t="s">
        <v>632</v>
      </c>
      <c r="M6" s="2488"/>
      <c r="N6" s="2488"/>
      <c r="O6" s="2488"/>
      <c r="P6" s="2488"/>
      <c r="Q6" s="2488"/>
      <c r="R6" s="2488"/>
    </row>
    <row r="7" spans="2:18" x14ac:dyDescent="0.2">
      <c r="B7" s="2117">
        <f>'1. T1 INVESTOINTISUUN.'!B7</f>
        <v>0</v>
      </c>
      <c r="C7" s="2117"/>
      <c r="D7" s="2117"/>
      <c r="E7" s="2117"/>
      <c r="F7" s="2117"/>
      <c r="G7" s="2117"/>
      <c r="H7" s="2117"/>
      <c r="I7" s="598"/>
      <c r="J7" s="598"/>
      <c r="K7" s="598"/>
      <c r="L7" s="2490">
        <f>'1. T1 INVESTOINTISUUN.'!F7</f>
        <v>0</v>
      </c>
      <c r="M7" s="2490"/>
      <c r="N7" s="2490"/>
      <c r="O7" s="2490"/>
      <c r="P7" s="2490"/>
      <c r="Q7" s="2490"/>
      <c r="R7" s="2490"/>
    </row>
    <row r="8" spans="2:18" x14ac:dyDescent="0.2">
      <c r="B8" s="1270" t="s">
        <v>631</v>
      </c>
      <c r="C8" s="1265"/>
      <c r="D8" s="1265"/>
      <c r="E8" s="1265"/>
      <c r="F8" s="1265"/>
      <c r="G8" s="1265"/>
      <c r="H8" s="1265"/>
      <c r="I8" s="1263"/>
      <c r="J8" s="1263"/>
      <c r="K8" s="1263"/>
      <c r="L8" s="2488" t="s">
        <v>633</v>
      </c>
      <c r="M8" s="2488"/>
      <c r="N8" s="2488"/>
      <c r="O8" s="2488"/>
      <c r="P8" s="2488"/>
      <c r="Q8" s="2488"/>
      <c r="R8" s="2488"/>
    </row>
    <row r="9" spans="2:18" x14ac:dyDescent="0.2">
      <c r="B9" s="2711">
        <f>'1. T1 INVESTOINTISUUN.'!B9</f>
        <v>0</v>
      </c>
      <c r="C9" s="2711"/>
      <c r="D9" s="2711"/>
      <c r="E9" s="2711"/>
      <c r="F9" s="2711"/>
      <c r="G9" s="2711"/>
      <c r="H9" s="2711"/>
      <c r="I9" s="598"/>
      <c r="J9" s="598"/>
      <c r="K9" s="598"/>
      <c r="L9" s="2490">
        <f>'1. T1 INVESTOINTISUUN.'!F9</f>
        <v>0</v>
      </c>
      <c r="M9" s="2490"/>
      <c r="N9" s="2490"/>
      <c r="O9" s="2490"/>
      <c r="P9" s="2490"/>
      <c r="Q9" s="2490"/>
      <c r="R9" s="2490"/>
    </row>
    <row r="10" spans="2:18" x14ac:dyDescent="0.2">
      <c r="B10" s="1269" t="s">
        <v>634</v>
      </c>
      <c r="C10" s="1266"/>
      <c r="D10" s="1266"/>
      <c r="E10" s="1266"/>
      <c r="F10" s="1266"/>
      <c r="G10" s="1266"/>
      <c r="H10" s="1266"/>
      <c r="I10" s="1264"/>
      <c r="J10" s="1264"/>
      <c r="K10" s="1264"/>
      <c r="L10" s="2488" t="s">
        <v>635</v>
      </c>
      <c r="M10" s="2488"/>
      <c r="N10" s="2488"/>
      <c r="O10" s="2488"/>
      <c r="P10" s="2488"/>
      <c r="Q10" s="2488"/>
      <c r="R10" s="2488"/>
    </row>
    <row r="11" spans="2:18" x14ac:dyDescent="0.2">
      <c r="B11" s="2712"/>
      <c r="C11" s="2712"/>
      <c r="D11" s="2712"/>
      <c r="E11" s="2712"/>
      <c r="F11" s="2712"/>
      <c r="G11" s="2712"/>
      <c r="H11" s="2712"/>
      <c r="I11" s="417"/>
      <c r="J11" s="417"/>
      <c r="K11" s="417"/>
      <c r="L11" s="2490">
        <f>'1. T1 INVESTOINTISUUN.'!F11</f>
        <v>0</v>
      </c>
      <c r="M11" s="2490"/>
      <c r="N11" s="2490"/>
      <c r="O11" s="2490"/>
      <c r="P11" s="2490"/>
      <c r="Q11" s="2490"/>
      <c r="R11" s="2490"/>
    </row>
    <row r="12" spans="2:18" x14ac:dyDescent="0.2">
      <c r="B12" s="1596"/>
      <c r="C12" s="1187"/>
      <c r="D12" s="1187"/>
      <c r="E12" s="1187"/>
      <c r="F12" s="1187"/>
      <c r="G12" s="1187"/>
      <c r="H12" s="1187"/>
      <c r="I12" s="417"/>
      <c r="J12" s="417"/>
      <c r="K12" s="417"/>
      <c r="L12" s="2488" t="s">
        <v>636</v>
      </c>
      <c r="M12" s="2488"/>
      <c r="N12" s="2488"/>
      <c r="O12" s="2488"/>
      <c r="P12" s="2488"/>
      <c r="Q12" s="2488"/>
      <c r="R12" s="2488"/>
    </row>
    <row r="13" spans="2:18" x14ac:dyDescent="0.2">
      <c r="B13" s="2631"/>
      <c r="C13" s="2631"/>
      <c r="D13" s="2631"/>
      <c r="E13" s="2631"/>
      <c r="F13" s="2631"/>
      <c r="G13" s="2631"/>
      <c r="H13" s="2631"/>
      <c r="I13" s="417"/>
      <c r="J13" s="417"/>
      <c r="K13" s="417"/>
      <c r="L13" s="2490">
        <f>'1. T1 INVESTOINTISUUN.'!F13</f>
        <v>0</v>
      </c>
      <c r="M13" s="2490"/>
      <c r="N13" s="2490"/>
      <c r="O13" s="2490"/>
      <c r="P13" s="2490"/>
      <c r="Q13" s="2490"/>
      <c r="R13" s="2490"/>
    </row>
    <row r="14" spans="2:18" x14ac:dyDescent="0.2">
      <c r="B14" s="410"/>
      <c r="C14" s="328"/>
      <c r="D14" s="328"/>
      <c r="E14" s="328"/>
      <c r="F14" s="328"/>
      <c r="G14" s="328"/>
      <c r="H14" s="328"/>
      <c r="I14" s="328"/>
      <c r="J14" s="328"/>
      <c r="K14" s="328"/>
      <c r="L14" s="129"/>
      <c r="M14" s="129"/>
      <c r="N14" s="129"/>
      <c r="O14" s="129"/>
      <c r="P14" s="129"/>
      <c r="Q14" s="129"/>
      <c r="R14" s="129"/>
    </row>
    <row r="15" spans="2:18" x14ac:dyDescent="0.2">
      <c r="B15" s="2703" t="s">
        <v>646</v>
      </c>
      <c r="C15" s="2704"/>
      <c r="D15" s="2704"/>
      <c r="E15" s="2704"/>
      <c r="F15" s="2705"/>
      <c r="G15" s="1185" t="s">
        <v>501</v>
      </c>
      <c r="H15" s="1185" t="s">
        <v>501</v>
      </c>
      <c r="I15" s="1185" t="s">
        <v>501</v>
      </c>
      <c r="J15" s="1185" t="s">
        <v>501</v>
      </c>
      <c r="K15" s="2709" t="s">
        <v>511</v>
      </c>
      <c r="L15" s="2514" t="s">
        <v>510</v>
      </c>
      <c r="M15" s="2514"/>
      <c r="N15" s="2514"/>
      <c r="O15" s="2514"/>
      <c r="P15" s="2514"/>
      <c r="Q15" s="2514"/>
      <c r="R15" s="2515"/>
    </row>
    <row r="16" spans="2:18" x14ac:dyDescent="0.2">
      <c r="B16" s="2706"/>
      <c r="C16" s="2707"/>
      <c r="D16" s="2707"/>
      <c r="E16" s="2707"/>
      <c r="F16" s="2708"/>
      <c r="G16" s="1196">
        <f>'1. T1 INVESTOINTISUUN.'!E16</f>
        <v>2027</v>
      </c>
      <c r="H16" s="1196">
        <f>'1. T1 INVESTOINTISUUN.'!F16</f>
        <v>2028</v>
      </c>
      <c r="I16" s="1196">
        <f>'1. T1 INVESTOINTISUUN.'!G16</f>
        <v>2029</v>
      </c>
      <c r="J16" s="1196">
        <f>'1. T1 INVESTOINTISUUN.'!H16</f>
        <v>2030</v>
      </c>
      <c r="K16" s="2710"/>
      <c r="L16" s="2516"/>
      <c r="M16" s="2516"/>
      <c r="N16" s="2516"/>
      <c r="O16" s="2516"/>
      <c r="P16" s="2516"/>
      <c r="Q16" s="2516"/>
      <c r="R16" s="2517"/>
    </row>
    <row r="17" spans="2:18" x14ac:dyDescent="0.2">
      <c r="B17" s="626" t="s">
        <v>2</v>
      </c>
      <c r="C17" s="2073" t="s">
        <v>839</v>
      </c>
      <c r="D17" s="2073"/>
      <c r="E17" s="2073"/>
      <c r="F17" s="2524"/>
      <c r="G17" s="1199">
        <f>'1. T1 INVESTOINTISUUN.'!E17/1000</f>
        <v>0</v>
      </c>
      <c r="H17" s="1199">
        <f>'1. T1 INVESTOINTISUUN.'!F17/1000</f>
        <v>0</v>
      </c>
      <c r="I17" s="1199">
        <f>'1. T1 INVESTOINTISUUN.'!G17/1000</f>
        <v>0</v>
      </c>
      <c r="J17" s="1199">
        <f>'1. T1 INVESTOINTISUUN.'!H17/1000</f>
        <v>0</v>
      </c>
      <c r="K17" s="1199">
        <f>'1. T1 INVESTOINTISUUN.'!I17/1000</f>
        <v>0</v>
      </c>
      <c r="L17" s="517"/>
      <c r="M17" s="1186"/>
      <c r="N17" s="1186"/>
      <c r="O17" s="1186"/>
      <c r="P17" s="1186"/>
      <c r="Q17" s="1186"/>
      <c r="R17" s="518"/>
    </row>
    <row r="18" spans="2:18" x14ac:dyDescent="0.2">
      <c r="B18" s="626"/>
      <c r="C18" s="2472" t="s">
        <v>838</v>
      </c>
      <c r="D18" s="2472"/>
      <c r="E18" s="2472"/>
      <c r="F18" s="2473"/>
      <c r="G18" s="1064">
        <f>'1. T1 INVESTOINTISUUN.'!E19</f>
        <v>0</v>
      </c>
      <c r="H18" s="1064">
        <f>'1. T1 INVESTOINTISUUN.'!F19</f>
        <v>0</v>
      </c>
      <c r="I18" s="1064">
        <f>'1. T1 INVESTOINTISUUN.'!G19</f>
        <v>0</v>
      </c>
      <c r="J18" s="1064">
        <f>'1. T1 INVESTOINTISUUN.'!H19</f>
        <v>0</v>
      </c>
      <c r="K18" s="645"/>
      <c r="L18" s="517"/>
      <c r="M18" s="1186"/>
      <c r="N18" s="1186"/>
      <c r="O18" s="1186"/>
      <c r="P18" s="1186"/>
      <c r="Q18" s="1186"/>
      <c r="R18" s="518"/>
    </row>
    <row r="19" spans="2:18" x14ac:dyDescent="0.2">
      <c r="B19" s="626" t="s">
        <v>3</v>
      </c>
      <c r="C19" s="2470" t="s">
        <v>496</v>
      </c>
      <c r="D19" s="2470"/>
      <c r="E19" s="2470"/>
      <c r="F19" s="2471"/>
      <c r="G19" s="1601">
        <f>'1. T1 INVESTOINTISUUN.'!E20/1000</f>
        <v>0</v>
      </c>
      <c r="H19" s="1601">
        <f>'1. T1 INVESTOINTISUUN.'!F20/1000</f>
        <v>0</v>
      </c>
      <c r="I19" s="1601">
        <f>'1. T1 INVESTOINTISUUN.'!G20/1000</f>
        <v>0</v>
      </c>
      <c r="J19" s="1601">
        <f>'1. T1 INVESTOINTISUUN.'!H20/1000</f>
        <v>0</v>
      </c>
      <c r="K19" s="1601">
        <f>'1. T1 INVESTOINTISUUN.'!I20/1000</f>
        <v>0</v>
      </c>
      <c r="L19" s="517">
        <f>'1. T1 INVESTOINTISUUN.'!K20</f>
        <v>0</v>
      </c>
      <c r="M19" s="1186"/>
      <c r="N19" s="1186"/>
      <c r="O19" s="1186"/>
      <c r="P19" s="1186"/>
      <c r="Q19" s="1186"/>
      <c r="R19" s="518"/>
    </row>
    <row r="20" spans="2:18" x14ac:dyDescent="0.2">
      <c r="B20" s="626"/>
      <c r="C20" s="2472" t="str">
        <f>C18</f>
        <v>• grant percentage</v>
      </c>
      <c r="D20" s="2472"/>
      <c r="E20" s="2472"/>
      <c r="F20" s="2473"/>
      <c r="G20" s="1064">
        <f>'1. T1 INVESTOINTISUUN.'!E23</f>
        <v>0</v>
      </c>
      <c r="H20" s="1064">
        <f>'1. T1 INVESTOINTISUUN.'!F23</f>
        <v>0</v>
      </c>
      <c r="I20" s="1064">
        <f>'1. T1 INVESTOINTISUUN.'!G23</f>
        <v>0</v>
      </c>
      <c r="J20" s="1064">
        <f>'1. T1 INVESTOINTISUUN.'!H23</f>
        <v>0</v>
      </c>
      <c r="K20" s="645"/>
      <c r="L20" s="517"/>
      <c r="M20" s="1186"/>
      <c r="N20" s="1186"/>
      <c r="O20" s="1186"/>
      <c r="P20" s="1186"/>
      <c r="Q20" s="1186"/>
      <c r="R20" s="518"/>
    </row>
    <row r="21" spans="2:18" x14ac:dyDescent="0.2">
      <c r="B21" s="626" t="s">
        <v>4</v>
      </c>
      <c r="C21" s="2470" t="s">
        <v>840</v>
      </c>
      <c r="D21" s="2470"/>
      <c r="E21" s="2470"/>
      <c r="F21" s="2471"/>
      <c r="G21" s="1601">
        <f>'1. T1 INVESTOINTISUUN.'!E24/1000</f>
        <v>0</v>
      </c>
      <c r="H21" s="1601">
        <f>'1. T1 INVESTOINTISUUN.'!F24/1000</f>
        <v>0</v>
      </c>
      <c r="I21" s="1601">
        <f>'1. T1 INVESTOINTISUUN.'!G24/1000</f>
        <v>0</v>
      </c>
      <c r="J21" s="1601">
        <f>'1. T1 INVESTOINTISUUN.'!H24/1000</f>
        <v>0</v>
      </c>
      <c r="K21" s="1601">
        <f>'1. T1 INVESTOINTISUUN.'!I24/1000</f>
        <v>0</v>
      </c>
      <c r="L21" s="517">
        <f>'1. T1 INVESTOINTISUUN.'!K24</f>
        <v>0</v>
      </c>
      <c r="M21" s="1186"/>
      <c r="N21" s="1186"/>
      <c r="O21" s="1186"/>
      <c r="P21" s="1186"/>
      <c r="Q21" s="1186"/>
      <c r="R21" s="518"/>
    </row>
    <row r="22" spans="2:18" x14ac:dyDescent="0.2">
      <c r="B22" s="626"/>
      <c r="C22" s="2472" t="str">
        <f>C18</f>
        <v>• grant percentage</v>
      </c>
      <c r="D22" s="2472"/>
      <c r="E22" s="2472"/>
      <c r="F22" s="2473"/>
      <c r="G22" s="1064">
        <f>'1. T1 INVESTOINTISUUN.'!E26</f>
        <v>0</v>
      </c>
      <c r="H22" s="1064">
        <f>'1. T1 INVESTOINTISUUN.'!F26</f>
        <v>0</v>
      </c>
      <c r="I22" s="1064">
        <f>'1. T1 INVESTOINTISUUN.'!G26</f>
        <v>0</v>
      </c>
      <c r="J22" s="1064">
        <f>'1. T1 INVESTOINTISUUN.'!H26</f>
        <v>0</v>
      </c>
      <c r="K22" s="645"/>
      <c r="L22" s="517"/>
      <c r="M22" s="1186"/>
      <c r="N22" s="1186"/>
      <c r="O22" s="1186"/>
      <c r="P22" s="1186"/>
      <c r="Q22" s="1186"/>
      <c r="R22" s="518"/>
    </row>
    <row r="23" spans="2:18" x14ac:dyDescent="0.2">
      <c r="B23" s="626" t="s">
        <v>5</v>
      </c>
      <c r="C23" s="2470" t="s">
        <v>841</v>
      </c>
      <c r="D23" s="2470"/>
      <c r="E23" s="2470"/>
      <c r="F23" s="2471"/>
      <c r="G23" s="1601">
        <f>'1. T1 INVESTOINTISUUN.'!E27/1000</f>
        <v>0</v>
      </c>
      <c r="H23" s="1601">
        <f>'1. T1 INVESTOINTISUUN.'!F27/1000</f>
        <v>0</v>
      </c>
      <c r="I23" s="1601">
        <f>'1. T1 INVESTOINTISUUN.'!G27/1000</f>
        <v>0</v>
      </c>
      <c r="J23" s="1601">
        <f>'1. T1 INVESTOINTISUUN.'!H27/1000</f>
        <v>0</v>
      </c>
      <c r="K23" s="1601">
        <f>'1. T1 INVESTOINTISUUN.'!I27/1000</f>
        <v>0</v>
      </c>
      <c r="L23" s="517">
        <f>'1. T1 INVESTOINTISUUN.'!K27</f>
        <v>0</v>
      </c>
      <c r="M23" s="1186"/>
      <c r="N23" s="1186"/>
      <c r="O23" s="1186"/>
      <c r="P23" s="1186"/>
      <c r="Q23" s="1186"/>
      <c r="R23" s="518"/>
    </row>
    <row r="24" spans="2:18" x14ac:dyDescent="0.2">
      <c r="B24" s="626"/>
      <c r="C24" s="2472" t="str">
        <f>C18</f>
        <v>• grant percentage</v>
      </c>
      <c r="D24" s="2472"/>
      <c r="E24" s="2472"/>
      <c r="F24" s="2473"/>
      <c r="G24" s="1064">
        <f>'1. T1 INVESTOINTISUUN.'!E29</f>
        <v>0</v>
      </c>
      <c r="H24" s="1064">
        <f>'1. T1 INVESTOINTISUUN.'!F29</f>
        <v>0</v>
      </c>
      <c r="I24" s="1064">
        <f>'1. T1 INVESTOINTISUUN.'!G29</f>
        <v>0</v>
      </c>
      <c r="J24" s="1064">
        <f>'1. T1 INVESTOINTISUUN.'!H29</f>
        <v>0</v>
      </c>
      <c r="K24" s="645"/>
      <c r="L24" s="517"/>
      <c r="M24" s="1186"/>
      <c r="N24" s="1186"/>
      <c r="O24" s="1186"/>
      <c r="P24" s="1186"/>
      <c r="Q24" s="1186"/>
      <c r="R24" s="518"/>
    </row>
    <row r="25" spans="2:18" x14ac:dyDescent="0.2">
      <c r="B25" s="626" t="s">
        <v>6</v>
      </c>
      <c r="C25" s="2470" t="s">
        <v>842</v>
      </c>
      <c r="D25" s="2470"/>
      <c r="E25" s="2470"/>
      <c r="F25" s="2471"/>
      <c r="G25" s="1601">
        <f>'1. T1 INVESTOINTISUUN.'!E30/1000</f>
        <v>0</v>
      </c>
      <c r="H25" s="1601">
        <f>'1. T1 INVESTOINTISUUN.'!F30/1000</f>
        <v>0</v>
      </c>
      <c r="I25" s="1601">
        <f>'1. T1 INVESTOINTISUUN.'!G30/1000</f>
        <v>0</v>
      </c>
      <c r="J25" s="1601">
        <f>'1. T1 INVESTOINTISUUN.'!H30/1000</f>
        <v>0</v>
      </c>
      <c r="K25" s="1601">
        <f>'1. T1 INVESTOINTISUUN.'!I30/1000</f>
        <v>0</v>
      </c>
      <c r="L25" s="517">
        <f>'1. T1 INVESTOINTISUUN.'!K30</f>
        <v>0</v>
      </c>
      <c r="M25" s="1186"/>
      <c r="N25" s="1186"/>
      <c r="O25" s="1186"/>
      <c r="P25" s="1186"/>
      <c r="Q25" s="1186"/>
      <c r="R25" s="518"/>
    </row>
    <row r="26" spans="2:18" x14ac:dyDescent="0.2">
      <c r="B26" s="626"/>
      <c r="C26" s="1758" t="str">
        <f>C18</f>
        <v>• grant percentage</v>
      </c>
      <c r="D26" s="1257"/>
      <c r="E26" s="1257"/>
      <c r="F26" s="1258"/>
      <c r="G26" s="1064">
        <f>'1. T1 INVESTOINTISUUN.'!E31</f>
        <v>0</v>
      </c>
      <c r="H26" s="1064">
        <f>'1. T1 INVESTOINTISUUN.'!F31</f>
        <v>0</v>
      </c>
      <c r="I26" s="1064">
        <f>'1. T1 INVESTOINTISUUN.'!G31</f>
        <v>0</v>
      </c>
      <c r="J26" s="1064">
        <f>'1. T1 INVESTOINTISUUN.'!H31</f>
        <v>0</v>
      </c>
      <c r="K26" s="1606"/>
      <c r="L26" s="517"/>
      <c r="M26" s="1186"/>
      <c r="N26" s="1186"/>
      <c r="O26" s="1186"/>
      <c r="P26" s="1186"/>
      <c r="Q26" s="1186"/>
      <c r="R26" s="518"/>
    </row>
    <row r="27" spans="2:18" x14ac:dyDescent="0.2">
      <c r="B27" s="626" t="s">
        <v>7</v>
      </c>
      <c r="C27" s="2470" t="s">
        <v>843</v>
      </c>
      <c r="D27" s="2470"/>
      <c r="E27" s="2470"/>
      <c r="F27" s="2471"/>
      <c r="G27" s="1601">
        <f>'1. T1 INVESTOINTISUUN.'!E32/1000</f>
        <v>0</v>
      </c>
      <c r="H27" s="1601">
        <f>'1. T1 INVESTOINTISUUN.'!F32/1000</f>
        <v>0</v>
      </c>
      <c r="I27" s="1601">
        <f>'1. T1 INVESTOINTISUUN.'!G32/1000</f>
        <v>0</v>
      </c>
      <c r="J27" s="1601">
        <f>'1. T1 INVESTOINTISUUN.'!H32/1000</f>
        <v>0</v>
      </c>
      <c r="K27" s="1601">
        <f>'1. T1 INVESTOINTISUUN.'!I32/1000</f>
        <v>0</v>
      </c>
      <c r="L27" s="517">
        <f>'1. T1 INVESTOINTISUUN.'!K32</f>
        <v>0</v>
      </c>
      <c r="M27" s="1186"/>
      <c r="N27" s="1186"/>
      <c r="O27" s="1186"/>
      <c r="P27" s="1186"/>
      <c r="Q27" s="1186"/>
      <c r="R27" s="518"/>
    </row>
    <row r="28" spans="2:18" x14ac:dyDescent="0.2">
      <c r="B28" s="626"/>
      <c r="C28" s="2472" t="str">
        <f>C18</f>
        <v>• grant percentage</v>
      </c>
      <c r="D28" s="2472"/>
      <c r="E28" s="2472"/>
      <c r="F28" s="2473"/>
      <c r="G28" s="1064">
        <f>'1. T1 INVESTOINTISUUN.'!E34</f>
        <v>0</v>
      </c>
      <c r="H28" s="1064">
        <f>'1. T1 INVESTOINTISUUN.'!F34</f>
        <v>0</v>
      </c>
      <c r="I28" s="1064">
        <f>'1. T1 INVESTOINTISUUN.'!G34</f>
        <v>0</v>
      </c>
      <c r="J28" s="1064">
        <f>'1. T1 INVESTOINTISUUN.'!H34</f>
        <v>0</v>
      </c>
      <c r="K28" s="645"/>
      <c r="L28" s="517"/>
      <c r="M28" s="1186"/>
      <c r="N28" s="1186"/>
      <c r="O28" s="1186"/>
      <c r="P28" s="1186"/>
      <c r="Q28" s="1186"/>
      <c r="R28" s="518"/>
    </row>
    <row r="29" spans="2:18" x14ac:dyDescent="0.2">
      <c r="B29" s="626" t="s">
        <v>8</v>
      </c>
      <c r="C29" s="2470" t="s">
        <v>497</v>
      </c>
      <c r="D29" s="2470"/>
      <c r="E29" s="2470"/>
      <c r="F29" s="2471"/>
      <c r="G29" s="1601">
        <f>'1. T1 INVESTOINTISUUN.'!E35/1000</f>
        <v>0</v>
      </c>
      <c r="H29" s="1601">
        <f>'1. T1 INVESTOINTISUUN.'!F35/1000</f>
        <v>0</v>
      </c>
      <c r="I29" s="1601">
        <f>'1. T1 INVESTOINTISUUN.'!G35/1000</f>
        <v>0</v>
      </c>
      <c r="J29" s="1601">
        <f>'1. T1 INVESTOINTISUUN.'!H35/1000</f>
        <v>0</v>
      </c>
      <c r="K29" s="1601">
        <f>'1. T1 INVESTOINTISUUN.'!I35/1000</f>
        <v>0</v>
      </c>
      <c r="L29" s="517">
        <f>'1. T1 INVESTOINTISUUN.'!K35</f>
        <v>0</v>
      </c>
      <c r="M29" s="1186"/>
      <c r="N29" s="1186"/>
      <c r="O29" s="1186"/>
      <c r="P29" s="1186"/>
      <c r="Q29" s="1186"/>
      <c r="R29" s="518"/>
    </row>
    <row r="30" spans="2:18" x14ac:dyDescent="0.2">
      <c r="B30" s="626"/>
      <c r="C30" s="2472" t="str">
        <f>C18</f>
        <v>• grant percentage</v>
      </c>
      <c r="D30" s="2472"/>
      <c r="E30" s="2472"/>
      <c r="F30" s="2473"/>
      <c r="G30" s="1064">
        <f>'1. T1 INVESTOINTISUUN.'!E37</f>
        <v>0</v>
      </c>
      <c r="H30" s="1064">
        <f>'1. T1 INVESTOINTISUUN.'!F37</f>
        <v>0</v>
      </c>
      <c r="I30" s="1064">
        <f>'1. T1 INVESTOINTISUUN.'!G37</f>
        <v>0</v>
      </c>
      <c r="J30" s="1064">
        <f>'1. T1 INVESTOINTISUUN.'!H37</f>
        <v>0</v>
      </c>
      <c r="K30" s="645"/>
      <c r="L30" s="517"/>
      <c r="M30" s="1186"/>
      <c r="N30" s="1186"/>
      <c r="O30" s="1186"/>
      <c r="P30" s="1186"/>
      <c r="Q30" s="1186"/>
      <c r="R30" s="518"/>
    </row>
    <row r="31" spans="2:18" x14ac:dyDescent="0.2">
      <c r="B31" s="626" t="s">
        <v>9</v>
      </c>
      <c r="C31" s="2470" t="s">
        <v>542</v>
      </c>
      <c r="D31" s="2470"/>
      <c r="E31" s="2470"/>
      <c r="F31" s="2471"/>
      <c r="G31" s="1601">
        <f>'1. T1 INVESTOINTISUUN.'!E38/1000</f>
        <v>0</v>
      </c>
      <c r="H31" s="1601">
        <f>'1. T1 INVESTOINTISUUN.'!F38/1000</f>
        <v>0</v>
      </c>
      <c r="I31" s="1601">
        <f>'1. T1 INVESTOINTISUUN.'!G38/1000</f>
        <v>0</v>
      </c>
      <c r="J31" s="1601">
        <f>'1. T1 INVESTOINTISUUN.'!H38/1000</f>
        <v>0</v>
      </c>
      <c r="K31" s="1601">
        <f>'1. T1 INVESTOINTISUUN.'!I38/1000</f>
        <v>0</v>
      </c>
      <c r="L31" s="517">
        <f>'1. T1 INVESTOINTISUUN.'!K38</f>
        <v>0</v>
      </c>
      <c r="M31" s="1186"/>
      <c r="N31" s="1186"/>
      <c r="O31" s="1186"/>
      <c r="P31" s="1186"/>
      <c r="Q31" s="1186"/>
      <c r="R31" s="518"/>
    </row>
    <row r="32" spans="2:18" x14ac:dyDescent="0.2">
      <c r="B32" s="626" t="s">
        <v>10</v>
      </c>
      <c r="C32" s="2702" t="s">
        <v>498</v>
      </c>
      <c r="D32" s="2484"/>
      <c r="E32" s="2484"/>
      <c r="F32" s="2485"/>
      <c r="G32" s="1601">
        <f>'1. T1 INVESTOINTISUUN.'!E39/1000</f>
        <v>0</v>
      </c>
      <c r="H32" s="1601">
        <f>'1. T1 INVESTOINTISUUN.'!F39/1000</f>
        <v>0</v>
      </c>
      <c r="I32" s="1601">
        <f>'1. T1 INVESTOINTISUUN.'!G39/1000</f>
        <v>0</v>
      </c>
      <c r="J32" s="1601">
        <f>'1. T1 INVESTOINTISUUN.'!H39/1000</f>
        <v>0</v>
      </c>
      <c r="K32" s="1601">
        <f>'1. T1 INVESTOINTISUUN.'!I39/1000</f>
        <v>0</v>
      </c>
      <c r="L32" s="517">
        <f>'1. T1 INVESTOINTISUUN.'!K40</f>
        <v>0</v>
      </c>
      <c r="M32" s="1186"/>
      <c r="N32" s="1186"/>
      <c r="O32" s="1186"/>
      <c r="P32" s="1186"/>
      <c r="Q32" s="1186"/>
      <c r="R32" s="518"/>
    </row>
    <row r="33" spans="2:18" x14ac:dyDescent="0.2">
      <c r="B33" s="626" t="s">
        <v>11</v>
      </c>
      <c r="C33" s="2470" t="s">
        <v>499</v>
      </c>
      <c r="D33" s="2470"/>
      <c r="E33" s="2470"/>
      <c r="F33" s="2471"/>
      <c r="G33" s="1601">
        <f>'1. T1 INVESTOINTISUUN.'!E40/1000</f>
        <v>0</v>
      </c>
      <c r="H33" s="1606"/>
      <c r="I33" s="1606"/>
      <c r="J33" s="1606"/>
      <c r="K33" s="1601">
        <f>'1. T1 INVESTOINTISUUN.'!I41/1000</f>
        <v>0</v>
      </c>
      <c r="L33" s="517"/>
      <c r="M33" s="1186"/>
      <c r="N33" s="1186"/>
      <c r="O33" s="1186"/>
      <c r="P33" s="1186"/>
      <c r="Q33" s="1186"/>
      <c r="R33" s="518"/>
    </row>
    <row r="34" spans="2:18" ht="18" customHeight="1" x14ac:dyDescent="0.2">
      <c r="B34" s="612" t="s">
        <v>109</v>
      </c>
      <c r="C34" s="2486" t="s">
        <v>500</v>
      </c>
      <c r="D34" s="2486"/>
      <c r="E34" s="2486"/>
      <c r="F34" s="2487"/>
      <c r="G34" s="1607">
        <f>'1. T1 INVESTOINTISUUN.'!E42/1000</f>
        <v>0</v>
      </c>
      <c r="H34" s="1607">
        <f>'1. T1 INVESTOINTISUUN.'!F42/1000</f>
        <v>0</v>
      </c>
      <c r="I34" s="1607">
        <f>'1. T1 INVESTOINTISUUN.'!G42/1000</f>
        <v>0</v>
      </c>
      <c r="J34" s="1607">
        <f>'1. T1 INVESTOINTISUUN.'!H42/1000</f>
        <v>0</v>
      </c>
      <c r="K34" s="1607">
        <f>'1. T1 INVESTOINTISUUN.'!I42/1000</f>
        <v>0</v>
      </c>
      <c r="L34" s="517">
        <f>'1. T1 INVESTOINTISUUN.'!K42</f>
        <v>0</v>
      </c>
      <c r="M34" s="1186"/>
      <c r="N34" s="1186"/>
      <c r="O34" s="1186"/>
      <c r="P34" s="1186"/>
      <c r="Q34" s="1186"/>
      <c r="R34" s="518"/>
    </row>
    <row r="35" spans="2:18" x14ac:dyDescent="0.2">
      <c r="B35" s="2703" t="s">
        <v>502</v>
      </c>
      <c r="C35" s="2704"/>
      <c r="D35" s="2704"/>
      <c r="E35" s="2704"/>
      <c r="F35" s="2705"/>
      <c r="G35" s="1201" t="s">
        <v>501</v>
      </c>
      <c r="H35" s="1201" t="s">
        <v>501</v>
      </c>
      <c r="I35" s="1201" t="s">
        <v>501</v>
      </c>
      <c r="J35" s="1201" t="s">
        <v>501</v>
      </c>
      <c r="K35" s="2474" t="s">
        <v>511</v>
      </c>
      <c r="L35" s="2476" t="s">
        <v>510</v>
      </c>
      <c r="M35" s="2476"/>
      <c r="N35" s="2476"/>
      <c r="O35" s="2476"/>
      <c r="P35" s="2476"/>
      <c r="Q35" s="2476"/>
      <c r="R35" s="2477"/>
    </row>
    <row r="36" spans="2:18" x14ac:dyDescent="0.2">
      <c r="B36" s="2706"/>
      <c r="C36" s="2707"/>
      <c r="D36" s="2707"/>
      <c r="E36" s="2707"/>
      <c r="F36" s="2708"/>
      <c r="G36" s="1203">
        <f>G16</f>
        <v>2027</v>
      </c>
      <c r="H36" s="1203">
        <f>H16</f>
        <v>2028</v>
      </c>
      <c r="I36" s="1203">
        <f>I16</f>
        <v>2029</v>
      </c>
      <c r="J36" s="1204">
        <f>J16</f>
        <v>2030</v>
      </c>
      <c r="K36" s="2475"/>
      <c r="L36" s="2478"/>
      <c r="M36" s="2478"/>
      <c r="N36" s="2478"/>
      <c r="O36" s="2478"/>
      <c r="P36" s="2478"/>
      <c r="Q36" s="2478"/>
      <c r="R36" s="2479"/>
    </row>
    <row r="37" spans="2:18" x14ac:dyDescent="0.2">
      <c r="B37" s="2507" t="s">
        <v>503</v>
      </c>
      <c r="C37" s="2486"/>
      <c r="D37" s="598"/>
      <c r="E37" s="598"/>
      <c r="F37" s="1069"/>
      <c r="G37" s="1198"/>
      <c r="H37" s="1198"/>
      <c r="I37" s="1198"/>
      <c r="J37" s="1198"/>
      <c r="K37" s="1199" t="s">
        <v>0</v>
      </c>
      <c r="L37" s="413"/>
      <c r="M37" s="1187"/>
      <c r="N37" s="1187"/>
      <c r="O37" s="1187"/>
      <c r="P37" s="1187"/>
      <c r="Q37" s="1187"/>
      <c r="R37" s="474"/>
    </row>
    <row r="38" spans="2:18" x14ac:dyDescent="0.2">
      <c r="B38" s="626" t="s">
        <v>110</v>
      </c>
      <c r="C38" s="697" t="s">
        <v>844</v>
      </c>
      <c r="D38" s="697"/>
      <c r="E38" s="697"/>
      <c r="F38" s="698"/>
      <c r="G38" s="628"/>
      <c r="H38" s="628"/>
      <c r="I38" s="628"/>
      <c r="J38" s="628"/>
      <c r="K38" s="629"/>
      <c r="L38" s="413"/>
      <c r="M38" s="1187"/>
      <c r="N38" s="1187"/>
      <c r="O38" s="1187"/>
      <c r="P38" s="1187"/>
      <c r="Q38" s="1187"/>
      <c r="R38" s="474"/>
    </row>
    <row r="39" spans="2:18" x14ac:dyDescent="0.2">
      <c r="B39" s="626"/>
      <c r="C39" s="610" t="s">
        <v>845</v>
      </c>
      <c r="D39" s="610"/>
      <c r="E39" s="610"/>
      <c r="F39" s="630"/>
      <c r="G39" s="763">
        <f>'1. T1 INVESTOINTISUUN.'!E48/1000</f>
        <v>0</v>
      </c>
      <c r="H39" s="763">
        <f>'1. T1 INVESTOINTISUUN.'!F48/1000</f>
        <v>0</v>
      </c>
      <c r="I39" s="763">
        <f>'1. T1 INVESTOINTISUUN.'!G48/1000</f>
        <v>0</v>
      </c>
      <c r="J39" s="763">
        <f>'1. T1 INVESTOINTISUUN.'!H48/1000</f>
        <v>0</v>
      </c>
      <c r="K39" s="763">
        <f>'1. T1 INVESTOINTISUUN.'!I48/1000</f>
        <v>0</v>
      </c>
      <c r="L39" s="413"/>
      <c r="M39" s="1187"/>
      <c r="N39" s="1187"/>
      <c r="O39" s="1187"/>
      <c r="P39" s="1187"/>
      <c r="Q39" s="1187"/>
      <c r="R39" s="474"/>
    </row>
    <row r="40" spans="2:18" x14ac:dyDescent="0.2">
      <c r="B40" s="626"/>
      <c r="C40" s="610" t="s">
        <v>846</v>
      </c>
      <c r="D40" s="610"/>
      <c r="E40" s="610"/>
      <c r="F40" s="630"/>
      <c r="G40" s="763">
        <f>'1. T1 INVESTOINTISUUN.'!E49/1000</f>
        <v>0</v>
      </c>
      <c r="H40" s="763">
        <f>'1. T1 INVESTOINTISUUN.'!F49/1000</f>
        <v>0</v>
      </c>
      <c r="I40" s="763">
        <f>'1. T1 INVESTOINTISUUN.'!G49/1000</f>
        <v>0</v>
      </c>
      <c r="J40" s="763">
        <f>'1. T1 INVESTOINTISUUN.'!H49/1000</f>
        <v>0</v>
      </c>
      <c r="K40" s="763">
        <f>'1. T1 INVESTOINTISUUN.'!I49/1000</f>
        <v>0</v>
      </c>
      <c r="L40" s="413"/>
      <c r="M40" s="1187"/>
      <c r="N40" s="1187"/>
      <c r="O40" s="1187"/>
      <c r="P40" s="1187"/>
      <c r="Q40" s="1187"/>
      <c r="R40" s="474"/>
    </row>
    <row r="41" spans="2:18" x14ac:dyDescent="0.2">
      <c r="B41" s="626" t="s">
        <v>293</v>
      </c>
      <c r="C41" s="608" t="s">
        <v>847</v>
      </c>
      <c r="D41" s="608"/>
      <c r="E41" s="608"/>
      <c r="F41" s="627"/>
      <c r="G41" s="763">
        <f>'1. T1 INVESTOINTISUUN.'!E50/1000</f>
        <v>0</v>
      </c>
      <c r="H41" s="763">
        <f>'1. T1 INVESTOINTISUUN.'!F50/1000</f>
        <v>0</v>
      </c>
      <c r="I41" s="763">
        <f>'1. T1 INVESTOINTISUUN.'!G50/1000</f>
        <v>0</v>
      </c>
      <c r="J41" s="763">
        <f>'1. T1 INVESTOINTISUUN.'!H50/1000</f>
        <v>0</v>
      </c>
      <c r="K41" s="763">
        <f>'1. T1 INVESTOINTISUUN.'!I50/1000</f>
        <v>0</v>
      </c>
      <c r="L41" s="413"/>
      <c r="M41" s="1187"/>
      <c r="N41" s="1187"/>
      <c r="O41" s="1187"/>
      <c r="P41" s="1187"/>
      <c r="Q41" s="1187"/>
      <c r="R41" s="474"/>
    </row>
    <row r="42" spans="2:18" x14ac:dyDescent="0.2">
      <c r="B42" s="626" t="s">
        <v>111</v>
      </c>
      <c r="C42" s="608" t="s">
        <v>848</v>
      </c>
      <c r="D42" s="608"/>
      <c r="E42" s="608"/>
      <c r="F42" s="627"/>
      <c r="G42" s="763">
        <f>'1. T1 INVESTOINTISUUN.'!E51/1000</f>
        <v>0</v>
      </c>
      <c r="H42" s="763">
        <f>'1. T1 INVESTOINTISUUN.'!F51/1000</f>
        <v>0</v>
      </c>
      <c r="I42" s="763">
        <f>'1. T1 INVESTOINTISUUN.'!G51/1000</f>
        <v>0</v>
      </c>
      <c r="J42" s="763">
        <f>'1. T1 INVESTOINTISUUN.'!H51/1000</f>
        <v>0</v>
      </c>
      <c r="K42" s="763">
        <f>'1. T1 INVESTOINTISUUN.'!I51/1000</f>
        <v>0</v>
      </c>
      <c r="L42" s="413"/>
      <c r="M42" s="1187"/>
      <c r="N42" s="1187"/>
      <c r="O42" s="1187"/>
      <c r="P42" s="1187"/>
      <c r="Q42" s="1187"/>
      <c r="R42" s="474"/>
    </row>
    <row r="43" spans="2:18" x14ac:dyDescent="0.2">
      <c r="B43" s="626" t="s">
        <v>112</v>
      </c>
      <c r="C43" s="610" t="s">
        <v>849</v>
      </c>
      <c r="D43" s="610"/>
      <c r="E43" s="610"/>
      <c r="F43" s="630"/>
      <c r="G43" s="763">
        <f>'1. T1 INVESTOINTISUUN.'!E52/1000</f>
        <v>0</v>
      </c>
      <c r="H43" s="763">
        <f>'1. T1 INVESTOINTISUUN.'!F52/1000</f>
        <v>0</v>
      </c>
      <c r="I43" s="763">
        <f>'1. T1 INVESTOINTISUUN.'!G52/1000</f>
        <v>0</v>
      </c>
      <c r="J43" s="763">
        <f>'1. T1 INVESTOINTISUUN.'!H52/1000</f>
        <v>0</v>
      </c>
      <c r="K43" s="631">
        <f>'1. T1 INVESTOINTISUUN.'!I52/1000</f>
        <v>0</v>
      </c>
      <c r="L43" s="412"/>
      <c r="M43" s="1187"/>
      <c r="N43" s="1187"/>
      <c r="O43" s="1187"/>
      <c r="P43" s="1187"/>
      <c r="Q43" s="1187"/>
      <c r="R43" s="474"/>
    </row>
    <row r="44" spans="2:18" x14ac:dyDescent="0.2">
      <c r="B44" s="2508" t="s">
        <v>504</v>
      </c>
      <c r="C44" s="2509"/>
      <c r="D44" s="1070"/>
      <c r="E44" s="1070"/>
      <c r="F44" s="701"/>
      <c r="G44" s="695"/>
      <c r="H44" s="695"/>
      <c r="I44" s="695"/>
      <c r="J44" s="695"/>
      <c r="K44" s="696"/>
      <c r="L44" s="1599"/>
      <c r="M44" s="1600"/>
      <c r="N44" s="1600"/>
      <c r="O44" s="2526"/>
      <c r="P44" s="2526"/>
      <c r="Q44" s="1187"/>
      <c r="R44" s="474"/>
    </row>
    <row r="45" spans="2:18" x14ac:dyDescent="0.2">
      <c r="B45" s="626" t="s">
        <v>113</v>
      </c>
      <c r="C45" s="699" t="str">
        <f>'1. T1 INVESTOINTISUUN.'!C55</f>
        <v xml:space="preserve">Pankki </v>
      </c>
      <c r="D45" s="699"/>
      <c r="E45" s="699"/>
      <c r="F45" s="700"/>
      <c r="G45" s="763">
        <f>'1. T1 INVESTOINTISUUN.'!E55/1000</f>
        <v>0</v>
      </c>
      <c r="H45" s="763">
        <f>'1. T1 INVESTOINTISUUN.'!F55/1000</f>
        <v>0</v>
      </c>
      <c r="I45" s="763">
        <f>'1. T1 INVESTOINTISUUN.'!G55/1000</f>
        <v>0</v>
      </c>
      <c r="J45" s="763">
        <f>'1. T1 INVESTOINTISUUN.'!H55/1000</f>
        <v>0</v>
      </c>
      <c r="K45" s="631">
        <f>'1. T1 INVESTOINTISUUN.'!I55/1000</f>
        <v>0</v>
      </c>
      <c r="L45" s="1597"/>
      <c r="M45" s="1191"/>
      <c r="N45" s="1598"/>
      <c r="O45" s="2525"/>
      <c r="P45" s="2525"/>
      <c r="Q45" s="1187"/>
      <c r="R45" s="474"/>
    </row>
    <row r="46" spans="2:18" x14ac:dyDescent="0.2">
      <c r="B46" s="626" t="s">
        <v>114</v>
      </c>
      <c r="C46" s="610" t="str">
        <f>'1. T1 INVESTOINTISUUN.'!C56</f>
        <v xml:space="preserve">Finnvera </v>
      </c>
      <c r="D46" s="610"/>
      <c r="E46" s="610"/>
      <c r="F46" s="630"/>
      <c r="G46" s="763">
        <f>'1. T1 INVESTOINTISUUN.'!E56/1000</f>
        <v>0</v>
      </c>
      <c r="H46" s="763">
        <f>'1. T1 INVESTOINTISUUN.'!F56/1000</f>
        <v>0</v>
      </c>
      <c r="I46" s="763">
        <f>'1. T1 INVESTOINTISUUN.'!G56/1000</f>
        <v>0</v>
      </c>
      <c r="J46" s="763">
        <f>'1. T1 INVESTOINTISUUN.'!H56/1000</f>
        <v>0</v>
      </c>
      <c r="K46" s="631">
        <f>'1. T1 INVESTOINTISUUN.'!I56/1000</f>
        <v>0</v>
      </c>
      <c r="L46" s="1597"/>
      <c r="M46" s="1191"/>
      <c r="N46" s="1598"/>
      <c r="O46" s="2525"/>
      <c r="P46" s="2525"/>
      <c r="Q46" s="1187"/>
      <c r="R46" s="474"/>
    </row>
    <row r="47" spans="2:18" x14ac:dyDescent="0.2">
      <c r="B47" s="626" t="s">
        <v>115</v>
      </c>
      <c r="C47" s="610" t="s">
        <v>637</v>
      </c>
      <c r="D47" s="610"/>
      <c r="E47" s="610"/>
      <c r="F47" s="630"/>
      <c r="G47" s="763">
        <f>'1. T1 INVESTOINTISUUN.'!E57/1000</f>
        <v>0</v>
      </c>
      <c r="H47" s="763">
        <f>'1. T1 INVESTOINTISUUN.'!F57/1000</f>
        <v>0</v>
      </c>
      <c r="I47" s="763">
        <f>'1. T1 INVESTOINTISUUN.'!G57/1000</f>
        <v>0</v>
      </c>
      <c r="J47" s="763">
        <f>'1. T1 INVESTOINTISUUN.'!H57/1000</f>
        <v>0</v>
      </c>
      <c r="K47" s="631">
        <f>'1. T1 INVESTOINTISUUN.'!I57/1000</f>
        <v>0</v>
      </c>
      <c r="L47" s="1597"/>
      <c r="M47" s="1191"/>
      <c r="N47" s="1598"/>
      <c r="O47" s="2525"/>
      <c r="P47" s="2525"/>
      <c r="Q47" s="1187"/>
      <c r="R47" s="474"/>
    </row>
    <row r="48" spans="2:18" hidden="1" x14ac:dyDescent="0.2">
      <c r="B48" s="626" t="s">
        <v>116</v>
      </c>
      <c r="C48" s="610" t="s">
        <v>505</v>
      </c>
      <c r="D48" s="610"/>
      <c r="E48" s="610"/>
      <c r="F48" s="630"/>
      <c r="G48" s="763">
        <f>'1. T1 INVESTOINTISUUN.'!E58/1000</f>
        <v>0</v>
      </c>
      <c r="H48" s="763">
        <f>'1. T1 INVESTOINTISUUN.'!F58/1000</f>
        <v>0</v>
      </c>
      <c r="I48" s="763">
        <f>'1. T1 INVESTOINTISUUN.'!G58/1000</f>
        <v>0</v>
      </c>
      <c r="J48" s="763">
        <f>'1. T1 INVESTOINTISUUN.'!H58/1000</f>
        <v>0</v>
      </c>
      <c r="K48" s="631">
        <f>'1. T1 INVESTOINTISUUN.'!I58/1000</f>
        <v>0</v>
      </c>
      <c r="L48" s="1597"/>
      <c r="M48" s="1191"/>
      <c r="N48" s="1598"/>
      <c r="O48" s="2525"/>
      <c r="P48" s="2525"/>
      <c r="Q48" s="1187"/>
      <c r="R48" s="474"/>
    </row>
    <row r="49" spans="2:18" hidden="1" x14ac:dyDescent="0.2">
      <c r="B49" s="626" t="s">
        <v>33</v>
      </c>
      <c r="C49" s="610" t="s">
        <v>506</v>
      </c>
      <c r="D49" s="610"/>
      <c r="E49" s="610"/>
      <c r="F49" s="630"/>
      <c r="G49" s="763">
        <f>'1. T1 INVESTOINTISUUN.'!E59/1000</f>
        <v>0</v>
      </c>
      <c r="H49" s="763">
        <f>'1. T1 INVESTOINTISUUN.'!F59/1000</f>
        <v>0</v>
      </c>
      <c r="I49" s="763">
        <f>'1. T1 INVESTOINTISUUN.'!G59/1000</f>
        <v>0</v>
      </c>
      <c r="J49" s="763">
        <f>'1. T1 INVESTOINTISUUN.'!H59/1000</f>
        <v>0</v>
      </c>
      <c r="K49" s="631">
        <f>'1. T1 INVESTOINTISUUN.'!I59/1000</f>
        <v>0</v>
      </c>
      <c r="L49" s="412"/>
      <c r="M49" s="1187"/>
      <c r="N49" s="1189"/>
      <c r="O49" s="1190"/>
      <c r="P49" s="1191"/>
      <c r="Q49" s="1187"/>
      <c r="R49" s="474"/>
    </row>
    <row r="50" spans="2:18" x14ac:dyDescent="0.2">
      <c r="B50" s="626" t="s">
        <v>116</v>
      </c>
      <c r="C50" s="1787" t="s">
        <v>507</v>
      </c>
      <c r="D50" s="1787"/>
      <c r="E50" s="1787"/>
      <c r="F50" s="1788"/>
      <c r="G50" s="763">
        <f>'1. T1 INVESTOINTISUUN.'!E60/1000</f>
        <v>0</v>
      </c>
      <c r="H50" s="763">
        <f>'1. T1 INVESTOINTISUUN.'!F60/1000</f>
        <v>0</v>
      </c>
      <c r="I50" s="763">
        <f>'1. T1 INVESTOINTISUUN.'!G60/1000</f>
        <v>0</v>
      </c>
      <c r="J50" s="763">
        <f>'1. T1 INVESTOINTISUUN.'!H60/1000</f>
        <v>0</v>
      </c>
      <c r="K50" s="631">
        <f>'1. T1 INVESTOINTISUUN.'!I60/1000</f>
        <v>0</v>
      </c>
      <c r="L50" s="412"/>
      <c r="M50" s="1187"/>
      <c r="N50" s="1187"/>
      <c r="O50" s="1187"/>
      <c r="P50" s="1187"/>
      <c r="Q50" s="1187"/>
      <c r="R50" s="474"/>
    </row>
    <row r="51" spans="2:18" x14ac:dyDescent="0.2">
      <c r="B51" s="1790" t="s">
        <v>33</v>
      </c>
      <c r="C51" s="608" t="s">
        <v>508</v>
      </c>
      <c r="D51" s="608"/>
      <c r="E51" s="608"/>
      <c r="F51" s="627"/>
      <c r="G51" s="763">
        <f>'1. T1 INVESTOINTISUUN.'!E61/1000</f>
        <v>0</v>
      </c>
      <c r="H51" s="763">
        <f>'1. T1 INVESTOINTISUUN.'!F61/1000</f>
        <v>0</v>
      </c>
      <c r="I51" s="763">
        <f>'1. T1 INVESTOINTISUUN.'!G61/1000</f>
        <v>0</v>
      </c>
      <c r="J51" s="763">
        <f>'1. T1 INVESTOINTISUUN.'!H61/1000</f>
        <v>0</v>
      </c>
      <c r="K51" s="631">
        <f>'1. T1 INVESTOINTISUUN.'!I61/1000</f>
        <v>0</v>
      </c>
      <c r="L51" s="412"/>
      <c r="M51" s="1187"/>
      <c r="N51" s="1187"/>
      <c r="O51" s="1187"/>
      <c r="P51" s="1187"/>
      <c r="Q51" s="1187"/>
      <c r="R51" s="474"/>
    </row>
    <row r="52" spans="2:18" ht="18" customHeight="1" x14ac:dyDescent="0.2">
      <c r="B52" s="625" t="s">
        <v>311</v>
      </c>
      <c r="C52" s="1235" t="s">
        <v>509</v>
      </c>
      <c r="D52" s="603"/>
      <c r="E52" s="603"/>
      <c r="F52" s="1789"/>
      <c r="G52" s="1197">
        <f>'1. T1 INVESTOINTISUUN.'!E62/1000</f>
        <v>0</v>
      </c>
      <c r="H52" s="1197">
        <f>'1. T1 INVESTOINTISUUN.'!F62/1000</f>
        <v>0</v>
      </c>
      <c r="I52" s="1197">
        <f>'1. T1 INVESTOINTISUUN.'!G62/1000</f>
        <v>0</v>
      </c>
      <c r="J52" s="1197">
        <f>'1. T1 INVESTOINTISUUN.'!H62/1000</f>
        <v>0</v>
      </c>
      <c r="K52" s="1192">
        <f>'1. T1 INVESTOINTISUUN.'!I62/1000</f>
        <v>0</v>
      </c>
      <c r="L52" s="1193"/>
      <c r="M52" s="1194"/>
      <c r="N52" s="1194"/>
      <c r="O52" s="1194"/>
      <c r="P52" s="1194"/>
      <c r="Q52" s="1194"/>
      <c r="R52" s="1195"/>
    </row>
    <row r="53" spans="2:18" ht="12" customHeight="1" x14ac:dyDescent="0.2">
      <c r="G53" s="1786"/>
      <c r="H53" s="1786">
        <f>Tulostussivu!L81</f>
        <v>0</v>
      </c>
      <c r="I53" s="1786"/>
      <c r="J53" s="1786">
        <f>Tulostussivu!N81</f>
        <v>0</v>
      </c>
      <c r="K53" s="925"/>
      <c r="L53" s="1766"/>
      <c r="M53" s="1766"/>
      <c r="N53" s="1766"/>
      <c r="O53" s="1766"/>
      <c r="P53" s="1766"/>
      <c r="Q53" s="1766"/>
      <c r="R53" s="1766"/>
    </row>
    <row r="54" spans="2:18" x14ac:dyDescent="0.2"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</row>
    <row r="55" spans="2:18" x14ac:dyDescent="0.2">
      <c r="B55" s="2339" t="s">
        <v>512</v>
      </c>
      <c r="C55" s="2340"/>
      <c r="D55" s="2340"/>
      <c r="E55" s="2340"/>
      <c r="F55" s="1205"/>
      <c r="G55" s="2510"/>
      <c r="H55" s="2510"/>
      <c r="I55" s="2510"/>
      <c r="J55" s="2511"/>
      <c r="K55" s="2500" t="s">
        <v>501</v>
      </c>
      <c r="L55" s="2501"/>
      <c r="M55" s="2500" t="s">
        <v>501</v>
      </c>
      <c r="N55" s="2501"/>
      <c r="O55" s="2500" t="s">
        <v>501</v>
      </c>
      <c r="P55" s="2501"/>
      <c r="Q55" s="2502" t="s">
        <v>501</v>
      </c>
      <c r="R55" s="2501"/>
    </row>
    <row r="56" spans="2:18" x14ac:dyDescent="0.2">
      <c r="B56" s="2341"/>
      <c r="C56" s="2342"/>
      <c r="D56" s="2342"/>
      <c r="E56" s="2342"/>
      <c r="F56" s="1206"/>
      <c r="G56" s="2503"/>
      <c r="H56" s="2503"/>
      <c r="I56" s="2503"/>
      <c r="J56" s="2464"/>
      <c r="K56" s="2463">
        <f>G36</f>
        <v>2027</v>
      </c>
      <c r="L56" s="2464"/>
      <c r="M56" s="2463">
        <f>H36</f>
        <v>2028</v>
      </c>
      <c r="N56" s="2464"/>
      <c r="O56" s="2463">
        <f>I36</f>
        <v>2029</v>
      </c>
      <c r="P56" s="2464"/>
      <c r="Q56" s="2469">
        <f>J36</f>
        <v>2030</v>
      </c>
      <c r="R56" s="2464"/>
    </row>
    <row r="57" spans="2:18" x14ac:dyDescent="0.2">
      <c r="B57" s="2343"/>
      <c r="C57" s="2344"/>
      <c r="D57" s="2344"/>
      <c r="E57" s="2344"/>
      <c r="F57" s="1207"/>
      <c r="G57" s="1208"/>
      <c r="H57" s="1209"/>
      <c r="I57" s="1208"/>
      <c r="J57" s="1399"/>
      <c r="K57" s="1219" t="s">
        <v>287</v>
      </c>
      <c r="L57" s="1211" t="s">
        <v>13</v>
      </c>
      <c r="M57" s="1219" t="s">
        <v>287</v>
      </c>
      <c r="N57" s="1211" t="s">
        <v>13</v>
      </c>
      <c r="O57" s="1219" t="s">
        <v>287</v>
      </c>
      <c r="P57" s="1211" t="s">
        <v>13</v>
      </c>
      <c r="Q57" s="1210" t="s">
        <v>287</v>
      </c>
      <c r="R57" s="1211" t="s">
        <v>13</v>
      </c>
    </row>
    <row r="58" spans="2:18" x14ac:dyDescent="0.2">
      <c r="B58" s="1216"/>
      <c r="C58" s="1217" t="s">
        <v>821</v>
      </c>
      <c r="D58" s="1218"/>
      <c r="E58" s="1218"/>
      <c r="F58" s="1218"/>
      <c r="G58" s="2456"/>
      <c r="H58" s="2456"/>
      <c r="I58" s="2456"/>
      <c r="J58" s="2457"/>
      <c r="K58" s="2458">
        <f>'3. E1 KUSTANNUKSET'!D10</f>
        <v>12</v>
      </c>
      <c r="L58" s="2457"/>
      <c r="M58" s="2458" t="str">
        <f>'3. E1 KUSTANNUKSET'!F10</f>
        <v>12</v>
      </c>
      <c r="N58" s="2457"/>
      <c r="O58" s="2458" t="str">
        <f>'3. E1 KUSTANNUKSET'!H10</f>
        <v>12</v>
      </c>
      <c r="P58" s="2457"/>
      <c r="Q58" s="2456" t="str">
        <f>'3. E1 KUSTANNUKSET'!J10</f>
        <v>12</v>
      </c>
      <c r="R58" s="2457"/>
    </row>
    <row r="59" spans="2:18" ht="15" customHeight="1" x14ac:dyDescent="0.2">
      <c r="B59" s="612" t="s">
        <v>2</v>
      </c>
      <c r="C59" s="455" t="s">
        <v>513</v>
      </c>
      <c r="D59" s="455"/>
      <c r="E59" s="455"/>
      <c r="F59" s="455"/>
      <c r="G59" s="1212"/>
      <c r="H59" s="1213"/>
      <c r="I59" s="1214"/>
      <c r="J59" s="1400"/>
      <c r="K59" s="1405">
        <f>'7. T2 TULOSSUUN.'!G11/1000</f>
        <v>0</v>
      </c>
      <c r="L59" s="1215">
        <v>0</v>
      </c>
      <c r="M59" s="1405">
        <f>'7. T2 TULOSSUUN.'!I11/1000</f>
        <v>0</v>
      </c>
      <c r="N59" s="1215">
        <v>0</v>
      </c>
      <c r="O59" s="1405">
        <f>'7. T2 TULOSSUUN.'!K11/1000</f>
        <v>0</v>
      </c>
      <c r="P59" s="1215">
        <v>0</v>
      </c>
      <c r="Q59" s="925">
        <f>'7. T2 TULOSSUUN.'!M11/1000</f>
        <v>0</v>
      </c>
      <c r="R59" s="1215">
        <v>0</v>
      </c>
    </row>
    <row r="60" spans="2:18" x14ac:dyDescent="0.2">
      <c r="B60" s="612" t="s">
        <v>3</v>
      </c>
      <c r="C60" s="614" t="s">
        <v>514</v>
      </c>
      <c r="D60" s="614"/>
      <c r="E60" s="614"/>
      <c r="F60" s="614"/>
      <c r="G60" s="622"/>
      <c r="H60" s="728"/>
      <c r="I60" s="731"/>
      <c r="J60" s="1401"/>
      <c r="K60" s="763">
        <f>'7. T2 TULOSSUUN.'!G12/1000</f>
        <v>0</v>
      </c>
      <c r="L60" s="1062"/>
      <c r="M60" s="763">
        <f>'7. T2 TULOSSUUN.'!I12/1000</f>
        <v>0</v>
      </c>
      <c r="N60" s="1062"/>
      <c r="O60" s="763">
        <f>'7. T2 TULOSSUUN.'!K12/1000</f>
        <v>0</v>
      </c>
      <c r="P60" s="1062"/>
      <c r="Q60" s="1378">
        <f>'7. T2 TULOSSUUN.'!M12/1000</f>
        <v>0</v>
      </c>
      <c r="R60" s="1062"/>
    </row>
    <row r="61" spans="2:18" x14ac:dyDescent="0.2">
      <c r="B61" s="612" t="s">
        <v>4</v>
      </c>
      <c r="C61" s="614" t="s">
        <v>515</v>
      </c>
      <c r="D61" s="614"/>
      <c r="E61" s="614"/>
      <c r="F61" s="614"/>
      <c r="G61" s="622"/>
      <c r="H61" s="728"/>
      <c r="I61" s="731"/>
      <c r="J61" s="1401"/>
      <c r="K61" s="763">
        <f>'7. T2 TULOSSUUN.'!G13/1000</f>
        <v>0</v>
      </c>
      <c r="L61" s="1062"/>
      <c r="M61" s="763">
        <f>'7. T2 TULOSSUUN.'!I13/1000</f>
        <v>0</v>
      </c>
      <c r="N61" s="1062"/>
      <c r="O61" s="763">
        <f>'7. T2 TULOSSUUN.'!K13/1000</f>
        <v>0</v>
      </c>
      <c r="P61" s="1062"/>
      <c r="Q61" s="1378">
        <f>'7. T2 TULOSSUUN.'!M13/1000</f>
        <v>0</v>
      </c>
      <c r="R61" s="1062"/>
    </row>
    <row r="62" spans="2:18" ht="15" customHeight="1" x14ac:dyDescent="0.2">
      <c r="B62" s="612" t="s">
        <v>5</v>
      </c>
      <c r="C62" s="616" t="s">
        <v>516</v>
      </c>
      <c r="D62" s="616"/>
      <c r="E62" s="616"/>
      <c r="F62" s="616"/>
      <c r="G62" s="623"/>
      <c r="H62" s="729"/>
      <c r="I62" s="732"/>
      <c r="J62" s="1402"/>
      <c r="K62" s="1066">
        <f>'7. T2 TULOSSUUN.'!G14/1000</f>
        <v>0</v>
      </c>
      <c r="L62" s="1063">
        <v>100</v>
      </c>
      <c r="M62" s="1066">
        <f>'7. T2 TULOSSUUN.'!I14/1000</f>
        <v>0</v>
      </c>
      <c r="N62" s="1063">
        <v>100</v>
      </c>
      <c r="O62" s="1066">
        <f>'7. T2 TULOSSUUN.'!K14/1000</f>
        <v>0</v>
      </c>
      <c r="P62" s="1063">
        <v>100</v>
      </c>
      <c r="Q62" s="1406">
        <f>'7. T2 TULOSSUUN.'!M14/1000</f>
        <v>0</v>
      </c>
      <c r="R62" s="1063">
        <v>100</v>
      </c>
    </row>
    <row r="63" spans="2:18" x14ac:dyDescent="0.2">
      <c r="B63" s="612" t="s">
        <v>6</v>
      </c>
      <c r="C63" s="614" t="s">
        <v>517</v>
      </c>
      <c r="D63" s="614"/>
      <c r="E63" s="614"/>
      <c r="F63" s="614"/>
      <c r="G63" s="622"/>
      <c r="H63" s="728"/>
      <c r="I63" s="731"/>
      <c r="J63" s="1401"/>
      <c r="K63" s="763">
        <f>'7. T2 TULOSSUUN.'!G15/1000</f>
        <v>0</v>
      </c>
      <c r="L63" s="1064">
        <f>'7. T2 TULOSSUUN.'!H15</f>
        <v>0</v>
      </c>
      <c r="M63" s="763">
        <f>'7. T2 TULOSSUUN.'!I15/1000</f>
        <v>0</v>
      </c>
      <c r="N63" s="1064">
        <f>'7. T2 TULOSSUUN.'!J15</f>
        <v>0</v>
      </c>
      <c r="O63" s="763">
        <f>'7. T2 TULOSSUUN.'!K15/1000</f>
        <v>0</v>
      </c>
      <c r="P63" s="1064">
        <f>'7. T2 TULOSSUUN.'!L15</f>
        <v>0</v>
      </c>
      <c r="Q63" s="1378">
        <f>'7. T2 TULOSSUUN.'!M15/1000</f>
        <v>0</v>
      </c>
      <c r="R63" s="1064">
        <f>'7. T2 TULOSSUUN.'!N15</f>
        <v>0</v>
      </c>
    </row>
    <row r="64" spans="2:18" x14ac:dyDescent="0.2">
      <c r="B64" s="612" t="s">
        <v>7</v>
      </c>
      <c r="C64" s="614" t="s">
        <v>518</v>
      </c>
      <c r="D64" s="614"/>
      <c r="E64" s="614"/>
      <c r="F64" s="614"/>
      <c r="G64" s="622"/>
      <c r="H64" s="728"/>
      <c r="I64" s="731"/>
      <c r="J64" s="1401"/>
      <c r="K64" s="763">
        <f>'7. T2 TULOSSUUN.'!G16/1000</f>
        <v>0</v>
      </c>
      <c r="L64" s="1064">
        <f>'7. T2 TULOSSUUN.'!H16</f>
        <v>0</v>
      </c>
      <c r="M64" s="763">
        <f>'7. T2 TULOSSUUN.'!I16/1000</f>
        <v>0</v>
      </c>
      <c r="N64" s="1064">
        <f>'7. T2 TULOSSUUN.'!J16</f>
        <v>0</v>
      </c>
      <c r="O64" s="763">
        <f>'7. T2 TULOSSUUN.'!K16/1000</f>
        <v>0</v>
      </c>
      <c r="P64" s="1064">
        <f>'7. T2 TULOSSUUN.'!L16</f>
        <v>0</v>
      </c>
      <c r="Q64" s="1378">
        <f>'7. T2 TULOSSUUN.'!M16/1000</f>
        <v>0</v>
      </c>
      <c r="R64" s="1064">
        <f>'7. T2 TULOSSUUN.'!N16</f>
        <v>0</v>
      </c>
    </row>
    <row r="65" spans="2:18" x14ac:dyDescent="0.2">
      <c r="B65" s="612" t="s">
        <v>8</v>
      </c>
      <c r="C65" s="614" t="s">
        <v>519</v>
      </c>
      <c r="D65" s="614"/>
      <c r="E65" s="614"/>
      <c r="F65" s="614"/>
      <c r="G65" s="622"/>
      <c r="H65" s="728"/>
      <c r="I65" s="731"/>
      <c r="J65" s="1401"/>
      <c r="K65" s="763">
        <f>'7. T2 TULOSSUUN.'!G17/1000</f>
        <v>0</v>
      </c>
      <c r="L65" s="1064">
        <f>'7. T2 TULOSSUUN.'!H17</f>
        <v>0</v>
      </c>
      <c r="M65" s="763">
        <f>'7. T2 TULOSSUUN.'!I17/1000</f>
        <v>0</v>
      </c>
      <c r="N65" s="1064">
        <f>'7. T2 TULOSSUUN.'!J17</f>
        <v>0</v>
      </c>
      <c r="O65" s="763">
        <f>'7. T2 TULOSSUUN.'!K17/1000</f>
        <v>0</v>
      </c>
      <c r="P65" s="1064">
        <f>'7. T2 TULOSSUUN.'!L17</f>
        <v>0</v>
      </c>
      <c r="Q65" s="1378">
        <f>'7. T2 TULOSSUUN.'!M17/1000</f>
        <v>0</v>
      </c>
      <c r="R65" s="1064">
        <f>'7. T2 TULOSSUUN.'!N17</f>
        <v>0</v>
      </c>
    </row>
    <row r="66" spans="2:18" x14ac:dyDescent="0.2">
      <c r="B66" s="612" t="s">
        <v>9</v>
      </c>
      <c r="C66" s="545" t="s">
        <v>520</v>
      </c>
      <c r="D66" s="545"/>
      <c r="E66" s="545"/>
      <c r="F66" s="545"/>
      <c r="G66" s="622"/>
      <c r="H66" s="728"/>
      <c r="I66" s="731"/>
      <c r="J66" s="1401"/>
      <c r="K66" s="763">
        <f>'7. T2 TULOSSUUN.'!G18/1000</f>
        <v>0</v>
      </c>
      <c r="L66" s="1064">
        <f>'7. T2 TULOSSUUN.'!H18</f>
        <v>0</v>
      </c>
      <c r="M66" s="763">
        <f>'7. T2 TULOSSUUN.'!I18/1000</f>
        <v>0</v>
      </c>
      <c r="N66" s="1064">
        <f>'7. T2 TULOSSUUN.'!J18</f>
        <v>0</v>
      </c>
      <c r="O66" s="763">
        <f>'7. T2 TULOSSUUN.'!K18/1000</f>
        <v>0</v>
      </c>
      <c r="P66" s="1064">
        <f>'7. T2 TULOSSUUN.'!L18</f>
        <v>0</v>
      </c>
      <c r="Q66" s="1378">
        <f>'7. T2 TULOSSUUN.'!M18/1000</f>
        <v>0</v>
      </c>
      <c r="R66" s="1064">
        <f>'7. T2 TULOSSUUN.'!N18</f>
        <v>0</v>
      </c>
    </row>
    <row r="67" spans="2:18" x14ac:dyDescent="0.2">
      <c r="B67" s="612" t="s">
        <v>10</v>
      </c>
      <c r="C67" s="545" t="s">
        <v>522</v>
      </c>
      <c r="D67" s="545"/>
      <c r="E67" s="545"/>
      <c r="F67" s="545"/>
      <c r="G67" s="622"/>
      <c r="H67" s="728"/>
      <c r="I67" s="731"/>
      <c r="J67" s="1401"/>
      <c r="K67" s="763">
        <f>'7. T2 TULOSSUUN.'!G19/1000</f>
        <v>0</v>
      </c>
      <c r="L67" s="1064">
        <f>'7. T2 TULOSSUUN.'!H19</f>
        <v>0</v>
      </c>
      <c r="M67" s="763">
        <f>'7. T2 TULOSSUUN.'!I19/1000</f>
        <v>0</v>
      </c>
      <c r="N67" s="1064">
        <f>'7. T2 TULOSSUUN.'!J19</f>
        <v>0</v>
      </c>
      <c r="O67" s="763">
        <f>'7. T2 TULOSSUUN.'!K19/1000</f>
        <v>0</v>
      </c>
      <c r="P67" s="1064">
        <f>'7. T2 TULOSSUUN.'!L19</f>
        <v>0</v>
      </c>
      <c r="Q67" s="1378">
        <f>'7. T2 TULOSSUUN.'!M19/1000</f>
        <v>0</v>
      </c>
      <c r="R67" s="1064">
        <f>'7. T2 TULOSSUUN.'!N19</f>
        <v>0</v>
      </c>
    </row>
    <row r="68" spans="2:18" ht="15" customHeight="1" x14ac:dyDescent="0.2">
      <c r="B68" s="612" t="s">
        <v>11</v>
      </c>
      <c r="C68" s="615" t="s">
        <v>521</v>
      </c>
      <c r="D68" s="615"/>
      <c r="E68" s="615"/>
      <c r="F68" s="615"/>
      <c r="G68" s="623"/>
      <c r="H68" s="730"/>
      <c r="I68" s="732"/>
      <c r="J68" s="1403"/>
      <c r="K68" s="1066">
        <f>'7. T2 TULOSSUUN.'!G20/1000</f>
        <v>0</v>
      </c>
      <c r="L68" s="1065">
        <f>'7. T2 TULOSSUUN.'!H20</f>
        <v>0</v>
      </c>
      <c r="M68" s="1066">
        <f>'7. T2 TULOSSUUN.'!I20/1000</f>
        <v>0</v>
      </c>
      <c r="N68" s="1065">
        <f>'7. T2 TULOSSUUN.'!J20</f>
        <v>0</v>
      </c>
      <c r="O68" s="1066">
        <f>'7. T2 TULOSSUUN.'!K20/1000</f>
        <v>0</v>
      </c>
      <c r="P68" s="1065">
        <f>'7. T2 TULOSSUUN.'!L20</f>
        <v>0</v>
      </c>
      <c r="Q68" s="1406">
        <f>'7. T2 TULOSSUUN.'!M20/1000</f>
        <v>0</v>
      </c>
      <c r="R68" s="1065">
        <f>'7. T2 TULOSSUUN.'!N20</f>
        <v>0</v>
      </c>
    </row>
    <row r="69" spans="2:18" x14ac:dyDescent="0.2">
      <c r="B69" s="612" t="s">
        <v>109</v>
      </c>
      <c r="C69" s="545" t="s">
        <v>523</v>
      </c>
      <c r="D69" s="545"/>
      <c r="E69" s="545"/>
      <c r="F69" s="545"/>
      <c r="G69" s="622"/>
      <c r="H69" s="728"/>
      <c r="I69" s="731"/>
      <c r="J69" s="1401"/>
      <c r="K69" s="763">
        <f>'7. T2 TULOSSUUN.'!G21/1000</f>
        <v>0</v>
      </c>
      <c r="L69" s="1064">
        <f>'7. T2 TULOSSUUN.'!H21</f>
        <v>0</v>
      </c>
      <c r="M69" s="763">
        <f>'7. T2 TULOSSUUN.'!I21/1000</f>
        <v>0</v>
      </c>
      <c r="N69" s="1064">
        <f>'7. T2 TULOSSUUN.'!J21</f>
        <v>0</v>
      </c>
      <c r="O69" s="763">
        <f>'7. T2 TULOSSUUN.'!K21/1000</f>
        <v>0</v>
      </c>
      <c r="P69" s="1064">
        <f>'7. T2 TULOSSUUN.'!L21</f>
        <v>0</v>
      </c>
      <c r="Q69" s="1378">
        <f>'7. T2 TULOSSUUN.'!M21/1000</f>
        <v>0</v>
      </c>
      <c r="R69" s="1064">
        <f>'7. T2 TULOSSUUN.'!N21</f>
        <v>0</v>
      </c>
    </row>
    <row r="70" spans="2:18" ht="15" customHeight="1" x14ac:dyDescent="0.2">
      <c r="B70" s="612" t="s">
        <v>110</v>
      </c>
      <c r="C70" s="615" t="s">
        <v>524</v>
      </c>
      <c r="D70" s="615"/>
      <c r="E70" s="615"/>
      <c r="F70" s="615"/>
      <c r="G70" s="623"/>
      <c r="H70" s="730"/>
      <c r="I70" s="732"/>
      <c r="J70" s="1403"/>
      <c r="K70" s="1066">
        <f>'7. T2 TULOSSUUN.'!G22/1000</f>
        <v>0</v>
      </c>
      <c r="L70" s="1065">
        <f>'7. T2 TULOSSUUN.'!H22</f>
        <v>0</v>
      </c>
      <c r="M70" s="1066">
        <f>'7. T2 TULOSSUUN.'!I22/1000</f>
        <v>0</v>
      </c>
      <c r="N70" s="1065">
        <f>'7. T2 TULOSSUUN.'!J22</f>
        <v>0</v>
      </c>
      <c r="O70" s="1066">
        <f>'7. T2 TULOSSUUN.'!K22/1000</f>
        <v>0</v>
      </c>
      <c r="P70" s="1065">
        <f>'7. T2 TULOSSUUN.'!L22</f>
        <v>0</v>
      </c>
      <c r="Q70" s="1406">
        <f>'7. T2 TULOSSUUN.'!M22/1000</f>
        <v>0</v>
      </c>
      <c r="R70" s="1065">
        <f>'7. T2 TULOSSUUN.'!N22</f>
        <v>0</v>
      </c>
    </row>
    <row r="71" spans="2:18" x14ac:dyDescent="0.2">
      <c r="B71" s="612" t="s">
        <v>293</v>
      </c>
      <c r="C71" s="545" t="s">
        <v>527</v>
      </c>
      <c r="D71" s="545"/>
      <c r="E71" s="545"/>
      <c r="F71" s="545"/>
      <c r="G71" s="622"/>
      <c r="H71" s="728"/>
      <c r="I71" s="731"/>
      <c r="J71" s="1401"/>
      <c r="K71" s="763">
        <f>'7. T2 TULOSSUUN.'!G23/1000</f>
        <v>0</v>
      </c>
      <c r="L71" s="1064">
        <f>'7. T2 TULOSSUUN.'!H23</f>
        <v>0</v>
      </c>
      <c r="M71" s="763">
        <f>'7. T2 TULOSSUUN.'!I23/1000</f>
        <v>0</v>
      </c>
      <c r="N71" s="1064">
        <f>'7. T2 TULOSSUUN.'!J23</f>
        <v>0</v>
      </c>
      <c r="O71" s="763">
        <f>'7. T2 TULOSSUUN.'!K23/1000</f>
        <v>0</v>
      </c>
      <c r="P71" s="1064">
        <f>'7. T2 TULOSSUUN.'!L23</f>
        <v>0</v>
      </c>
      <c r="Q71" s="1378">
        <f>'7. T2 TULOSSUUN.'!M23/1000</f>
        <v>0</v>
      </c>
      <c r="R71" s="1064">
        <f>'7. T2 TULOSSUUN.'!N23</f>
        <v>0</v>
      </c>
    </row>
    <row r="72" spans="2:18" x14ac:dyDescent="0.2">
      <c r="B72" s="612" t="s">
        <v>111</v>
      </c>
      <c r="C72" s="614" t="s">
        <v>525</v>
      </c>
      <c r="D72" s="614"/>
      <c r="E72" s="614"/>
      <c r="F72" s="614"/>
      <c r="G72" s="622"/>
      <c r="H72" s="728"/>
      <c r="I72" s="731"/>
      <c r="J72" s="1401"/>
      <c r="K72" s="763">
        <f>'7. T2 TULOSSUUN.'!G24/1000</f>
        <v>0</v>
      </c>
      <c r="L72" s="1064">
        <f>'7. T2 TULOSSUUN.'!H24</f>
        <v>0</v>
      </c>
      <c r="M72" s="763">
        <f>'7. T2 TULOSSUUN.'!I24/1000</f>
        <v>0</v>
      </c>
      <c r="N72" s="1064">
        <f>'7. T2 TULOSSUUN.'!J24</f>
        <v>0</v>
      </c>
      <c r="O72" s="763">
        <f>'7. T2 TULOSSUUN.'!K24/1000</f>
        <v>0</v>
      </c>
      <c r="P72" s="1064">
        <f>'7. T2 TULOSSUUN.'!L24</f>
        <v>0</v>
      </c>
      <c r="Q72" s="1378">
        <f>'7. T2 TULOSSUUN.'!M24/1000</f>
        <v>0</v>
      </c>
      <c r="R72" s="1064">
        <f>'7. T2 TULOSSUUN.'!N24</f>
        <v>0</v>
      </c>
    </row>
    <row r="73" spans="2:18" x14ac:dyDescent="0.2">
      <c r="B73" s="612" t="s">
        <v>112</v>
      </c>
      <c r="C73" s="614" t="s">
        <v>526</v>
      </c>
      <c r="D73" s="614"/>
      <c r="E73" s="614"/>
      <c r="F73" s="614"/>
      <c r="G73" s="622"/>
      <c r="H73" s="728"/>
      <c r="I73" s="731"/>
      <c r="J73" s="1401"/>
      <c r="K73" s="763">
        <f>'7. T2 TULOSSUUN.'!G25/1000</f>
        <v>0</v>
      </c>
      <c r="L73" s="1064">
        <f>'7. T2 TULOSSUUN.'!H25</f>
        <v>0</v>
      </c>
      <c r="M73" s="763">
        <f>'7. T2 TULOSSUUN.'!I25/1000</f>
        <v>0</v>
      </c>
      <c r="N73" s="1064">
        <f>'7. T2 TULOSSUUN.'!J25</f>
        <v>0</v>
      </c>
      <c r="O73" s="763">
        <f>'7. T2 TULOSSUUN.'!K25/1000</f>
        <v>0</v>
      </c>
      <c r="P73" s="1064">
        <f>'7. T2 TULOSSUUN.'!L25</f>
        <v>0</v>
      </c>
      <c r="Q73" s="1378">
        <f>'7. T2 TULOSSUUN.'!M25/1000</f>
        <v>0</v>
      </c>
      <c r="R73" s="1064">
        <f>'7. T2 TULOSSUUN.'!N25</f>
        <v>0</v>
      </c>
    </row>
    <row r="74" spans="2:18" ht="15" customHeight="1" x14ac:dyDescent="0.2">
      <c r="B74" s="612" t="s">
        <v>113</v>
      </c>
      <c r="C74" s="615" t="s">
        <v>532</v>
      </c>
      <c r="D74" s="615"/>
      <c r="E74" s="615"/>
      <c r="F74" s="615"/>
      <c r="G74" s="623"/>
      <c r="H74" s="730"/>
      <c r="I74" s="732"/>
      <c r="J74" s="1403"/>
      <c r="K74" s="1066">
        <f>'7. T2 TULOSSUUN.'!G26/1000</f>
        <v>0</v>
      </c>
      <c r="L74" s="1065">
        <f>'7. T2 TULOSSUUN.'!H26</f>
        <v>0</v>
      </c>
      <c r="M74" s="1066">
        <f>'7. T2 TULOSSUUN.'!I26/1000</f>
        <v>0</v>
      </c>
      <c r="N74" s="1065">
        <f>'7. T2 TULOSSUUN.'!J26</f>
        <v>0</v>
      </c>
      <c r="O74" s="1066">
        <f>'7. T2 TULOSSUUN.'!K26/1000</f>
        <v>0</v>
      </c>
      <c r="P74" s="1065">
        <f>'7. T2 TULOSSUUN.'!L26</f>
        <v>0</v>
      </c>
      <c r="Q74" s="1406">
        <f>'7. T2 TULOSSUUN.'!M26/1000</f>
        <v>0</v>
      </c>
      <c r="R74" s="1065">
        <f>'7. T2 TULOSSUUN.'!N26</f>
        <v>0</v>
      </c>
    </row>
    <row r="75" spans="2:18" x14ac:dyDescent="0.2">
      <c r="B75" s="612" t="s">
        <v>114</v>
      </c>
      <c r="C75" s="614" t="s">
        <v>528</v>
      </c>
      <c r="D75" s="614"/>
      <c r="E75" s="614"/>
      <c r="F75" s="614"/>
      <c r="G75" s="622"/>
      <c r="H75" s="728"/>
      <c r="I75" s="731"/>
      <c r="J75" s="1401"/>
      <c r="K75" s="763">
        <f>'7. T2 TULOSSUUN.'!G27/1000</f>
        <v>0</v>
      </c>
      <c r="L75" s="1064">
        <f>'7. T2 TULOSSUUN.'!H27</f>
        <v>0</v>
      </c>
      <c r="M75" s="763">
        <f>'7. T2 TULOSSUUN.'!I27/1000</f>
        <v>0</v>
      </c>
      <c r="N75" s="1064">
        <f>'7. T2 TULOSSUUN.'!J27</f>
        <v>0</v>
      </c>
      <c r="O75" s="763">
        <f>'7. T2 TULOSSUUN.'!K27/1000</f>
        <v>0</v>
      </c>
      <c r="P75" s="1064">
        <f>'7. T2 TULOSSUUN.'!L27</f>
        <v>0</v>
      </c>
      <c r="Q75" s="1378">
        <f>'7. T2 TULOSSUUN.'!M27/1000</f>
        <v>0</v>
      </c>
      <c r="R75" s="1064">
        <f>'7. T2 TULOSSUUN.'!N27</f>
        <v>0</v>
      </c>
    </row>
    <row r="76" spans="2:18" x14ac:dyDescent="0.2">
      <c r="B76" s="612" t="s">
        <v>115</v>
      </c>
      <c r="C76" s="614" t="s">
        <v>529</v>
      </c>
      <c r="D76" s="614"/>
      <c r="E76" s="614"/>
      <c r="F76" s="614"/>
      <c r="G76" s="622"/>
      <c r="H76" s="728"/>
      <c r="I76" s="731"/>
      <c r="J76" s="1401"/>
      <c r="K76" s="763">
        <f>'7. T2 TULOSSUUN.'!G29/1000</f>
        <v>0</v>
      </c>
      <c r="L76" s="1064">
        <f>'7. T2 TULOSSUUN.'!H28</f>
        <v>0</v>
      </c>
      <c r="M76" s="763">
        <f>'7. T2 TULOSSUUN.'!I29/1000</f>
        <v>0</v>
      </c>
      <c r="N76" s="1064">
        <f>'7. T2 TULOSSUUN.'!J28</f>
        <v>0</v>
      </c>
      <c r="O76" s="763">
        <f>'7. T2 TULOSSUUN.'!K29/1000</f>
        <v>0</v>
      </c>
      <c r="P76" s="1064">
        <f>'7. T2 TULOSSUUN.'!L28</f>
        <v>0</v>
      </c>
      <c r="Q76" s="1378">
        <f>'7. T2 TULOSSUUN.'!M29/1000</f>
        <v>0</v>
      </c>
      <c r="R76" s="1064">
        <f>'7. T2 TULOSSUUN.'!N28</f>
        <v>0</v>
      </c>
    </row>
    <row r="77" spans="2:18" x14ac:dyDescent="0.2">
      <c r="B77" s="612" t="s">
        <v>116</v>
      </c>
      <c r="C77" s="614" t="s">
        <v>530</v>
      </c>
      <c r="D77" s="614"/>
      <c r="E77" s="614"/>
      <c r="F77" s="614"/>
      <c r="G77" s="622"/>
      <c r="H77" s="728"/>
      <c r="I77" s="731"/>
      <c r="J77" s="1401"/>
      <c r="K77" s="763">
        <f>'7. T2 TULOSSUUN.'!G30/1000</f>
        <v>0</v>
      </c>
      <c r="L77" s="1064">
        <f>'7. T2 TULOSSUUN.'!H29</f>
        <v>0</v>
      </c>
      <c r="M77" s="763">
        <f>'7. T2 TULOSSUUN.'!I30/1000</f>
        <v>0</v>
      </c>
      <c r="N77" s="1064">
        <f>'7. T2 TULOSSUUN.'!J29</f>
        <v>0</v>
      </c>
      <c r="O77" s="763">
        <f>'7. T2 TULOSSUUN.'!K30/1000</f>
        <v>0</v>
      </c>
      <c r="P77" s="1064">
        <f>'7. T2 TULOSSUUN.'!L29</f>
        <v>0</v>
      </c>
      <c r="Q77" s="1378">
        <f>'7. T2 TULOSSUUN.'!M30/1000</f>
        <v>0</v>
      </c>
      <c r="R77" s="1064">
        <f>'7. T2 TULOSSUUN.'!N29</f>
        <v>0</v>
      </c>
    </row>
    <row r="78" spans="2:18" ht="18" customHeight="1" x14ac:dyDescent="0.2">
      <c r="B78" s="625" t="s">
        <v>33</v>
      </c>
      <c r="C78" s="599" t="s">
        <v>531</v>
      </c>
      <c r="D78" s="599"/>
      <c r="E78" s="599"/>
      <c r="F78" s="599"/>
      <c r="G78" s="1279"/>
      <c r="H78" s="1280"/>
      <c r="I78" s="1281"/>
      <c r="J78" s="1404"/>
      <c r="K78" s="1066">
        <f>'7. T2 TULOSSUUN.'!G31/1000</f>
        <v>0</v>
      </c>
      <c r="L78" s="1065">
        <f>'7. T2 TULOSSUUN.'!H31</f>
        <v>0</v>
      </c>
      <c r="M78" s="1066">
        <f>'7. T2 TULOSSUUN.'!I31/1000</f>
        <v>0</v>
      </c>
      <c r="N78" s="1065">
        <f>'7. T2 TULOSSUUN.'!J31</f>
        <v>0</v>
      </c>
      <c r="O78" s="1066">
        <f>'7. T2 TULOSSUUN.'!K31/1000</f>
        <v>0</v>
      </c>
      <c r="P78" s="1065">
        <f>'7. T2 TULOSSUUN.'!L31</f>
        <v>0</v>
      </c>
      <c r="Q78" s="1406">
        <f>'7. T2 TULOSSUUN.'!M31/1000</f>
        <v>0</v>
      </c>
      <c r="R78" s="1065">
        <f>'7. T2 TULOSSUUN.'!N31</f>
        <v>0</v>
      </c>
    </row>
    <row r="79" spans="2:18" ht="15" customHeight="1" x14ac:dyDescent="0.2">
      <c r="B79" s="625"/>
      <c r="C79" s="624" t="s">
        <v>533</v>
      </c>
      <c r="D79" s="624"/>
      <c r="E79" s="624"/>
      <c r="F79" s="624"/>
      <c r="G79" s="2365"/>
      <c r="H79" s="2365"/>
      <c r="I79" s="2366"/>
      <c r="J79" s="2367"/>
      <c r="K79" s="2368">
        <f>'7. T2 TULOSSUUN.'!G33</f>
        <v>1</v>
      </c>
      <c r="L79" s="2368"/>
      <c r="M79" s="2368">
        <f>'7. T2 TULOSSUUN.'!I33</f>
        <v>1</v>
      </c>
      <c r="N79" s="2368"/>
      <c r="O79" s="2368">
        <f>'7. T2 TULOSSUUN.'!K33</f>
        <v>1</v>
      </c>
      <c r="P79" s="2368"/>
      <c r="Q79" s="2369">
        <f>'7. T2 TULOSSUUN.'!M33</f>
        <v>1</v>
      </c>
      <c r="R79" s="2368"/>
    </row>
    <row r="80" spans="2:18" ht="15" customHeight="1" x14ac:dyDescent="0.2">
      <c r="B80" s="625"/>
      <c r="C80" s="624" t="s">
        <v>534</v>
      </c>
      <c r="D80" s="624"/>
      <c r="E80" s="624"/>
      <c r="F80" s="624"/>
      <c r="G80" s="2353"/>
      <c r="H80" s="2353"/>
      <c r="I80" s="2370"/>
      <c r="J80" s="2371"/>
      <c r="K80" s="2701">
        <f>'5. T4 RAHOITUSSUUN.'!Q14</f>
        <v>0</v>
      </c>
      <c r="L80" s="2701"/>
      <c r="M80" s="2701">
        <f>'5. T4 RAHOITUSSUUN.'!R14</f>
        <v>0</v>
      </c>
      <c r="N80" s="2701"/>
      <c r="O80" s="2701">
        <f>'5. T4 RAHOITUSSUUN.'!S14</f>
        <v>0</v>
      </c>
      <c r="P80" s="2701"/>
      <c r="Q80" s="2701">
        <f>'5. T4 RAHOITUSSUUN.'!T14</f>
        <v>0</v>
      </c>
      <c r="R80" s="2701"/>
    </row>
    <row r="81" spans="2:18" ht="15" customHeight="1" x14ac:dyDescent="0.2">
      <c r="B81" s="1791" t="s">
        <v>312</v>
      </c>
      <c r="C81" s="1792" t="s">
        <v>864</v>
      </c>
      <c r="D81" s="1792"/>
      <c r="E81" s="1792"/>
      <c r="F81" s="1792"/>
      <c r="G81" s="1793"/>
      <c r="H81" s="1793"/>
      <c r="I81" s="1794"/>
      <c r="J81" s="1795"/>
      <c r="K81" s="2364">
        <f>Tulostussivu!K81</f>
        <v>0</v>
      </c>
      <c r="L81" s="2364"/>
      <c r="M81" s="2364">
        <f>Tulostussivu!M81</f>
        <v>0</v>
      </c>
      <c r="N81" s="2364"/>
      <c r="O81" s="2364">
        <f>Tulostussivu!O81</f>
        <v>0</v>
      </c>
      <c r="P81" s="2364"/>
      <c r="Q81" s="2364">
        <f>Tulostussivu!Q81</f>
        <v>0</v>
      </c>
      <c r="R81" s="2364"/>
    </row>
    <row r="82" spans="2:18" ht="21.75" customHeight="1" x14ac:dyDescent="0.2">
      <c r="B82" s="230" t="s">
        <v>645</v>
      </c>
      <c r="C82" s="415"/>
      <c r="D82" s="415"/>
      <c r="E82" s="415"/>
      <c r="F82" s="415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639"/>
    </row>
    <row r="83" spans="2:18" x14ac:dyDescent="0.2">
      <c r="B83" s="2334" t="str">
        <f>OHJE!G8</f>
        <v>Kehittämisyhtiö Witas Oy</v>
      </c>
      <c r="C83" s="2334"/>
      <c r="D83" s="2334"/>
      <c r="E83" s="2334"/>
      <c r="F83" s="2334"/>
      <c r="G83" s="2334"/>
      <c r="H83" s="2334"/>
      <c r="I83" s="2334"/>
      <c r="J83" s="2334"/>
      <c r="K83" s="2334"/>
      <c r="L83" s="2334"/>
      <c r="M83" s="2334"/>
      <c r="N83" s="641"/>
      <c r="O83" s="641"/>
      <c r="P83" s="641"/>
      <c r="Q83" s="418"/>
      <c r="R83" s="85" t="s">
        <v>438</v>
      </c>
    </row>
    <row r="84" spans="2:18" ht="15" x14ac:dyDescent="0.2">
      <c r="B84" s="2335" t="s">
        <v>639</v>
      </c>
      <c r="C84" s="2335"/>
      <c r="D84" s="2335"/>
      <c r="E84" s="2335"/>
      <c r="F84" s="2335"/>
      <c r="G84" s="2335"/>
      <c r="H84" s="2335"/>
      <c r="I84" s="2335"/>
      <c r="J84" s="2335"/>
      <c r="K84" s="129"/>
      <c r="M84" s="2495"/>
      <c r="N84" s="2496"/>
      <c r="O84" s="129"/>
      <c r="P84" s="129"/>
      <c r="Q84" s="129"/>
      <c r="R84" s="129"/>
    </row>
    <row r="85" spans="2:18" ht="15" x14ac:dyDescent="0.2">
      <c r="B85" s="1273"/>
      <c r="C85" s="1273"/>
      <c r="D85" s="571"/>
      <c r="E85" s="571"/>
      <c r="F85" s="1274"/>
      <c r="G85" s="598"/>
      <c r="H85" s="598"/>
      <c r="I85" s="598"/>
      <c r="J85" s="598"/>
      <c r="K85" s="598"/>
      <c r="M85" s="2372"/>
      <c r="N85" s="2372"/>
      <c r="O85" s="129"/>
      <c r="P85" s="129"/>
      <c r="Q85" s="129"/>
      <c r="R85" s="129"/>
    </row>
    <row r="86" spans="2:18" ht="2.1" customHeight="1" x14ac:dyDescent="0.2">
      <c r="B86" s="2336">
        <f>B7</f>
        <v>0</v>
      </c>
      <c r="C86" s="2336"/>
      <c r="D86" s="2336"/>
      <c r="E86" s="2336"/>
      <c r="F86" s="2336"/>
      <c r="G86" s="2336"/>
      <c r="H86" s="2336"/>
      <c r="I86" s="2336"/>
      <c r="J86" s="2336"/>
      <c r="K86" s="2336"/>
      <c r="L86" s="2336"/>
      <c r="M86" s="733"/>
      <c r="N86" s="733"/>
      <c r="O86" s="129"/>
      <c r="P86" s="129"/>
      <c r="Q86" s="129"/>
      <c r="R86" s="129"/>
    </row>
    <row r="87" spans="2:18" ht="2.1" customHeight="1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2:18" x14ac:dyDescent="0.2">
      <c r="B88" s="2671" t="s">
        <v>535</v>
      </c>
      <c r="C88" s="2672"/>
      <c r="D88" s="2672"/>
      <c r="E88" s="2672"/>
      <c r="F88" s="2672"/>
      <c r="G88" s="2672"/>
      <c r="H88" s="2672"/>
      <c r="I88" s="2672"/>
      <c r="J88" s="2699"/>
      <c r="K88" s="2375" t="str">
        <f>K55</f>
        <v>YEAR</v>
      </c>
      <c r="L88" s="2375"/>
      <c r="M88" s="2375" t="str">
        <f>M55</f>
        <v>YEAR</v>
      </c>
      <c r="N88" s="2375"/>
      <c r="O88" s="2497" t="str">
        <f>O55</f>
        <v>YEAR</v>
      </c>
      <c r="P88" s="2498"/>
      <c r="Q88" s="2375" t="str">
        <f>Q55</f>
        <v>YEAR</v>
      </c>
      <c r="R88" s="2499"/>
    </row>
    <row r="89" spans="2:18" x14ac:dyDescent="0.2">
      <c r="B89" s="2694"/>
      <c r="C89" s="2695"/>
      <c r="D89" s="2695"/>
      <c r="E89" s="2695"/>
      <c r="F89" s="2695"/>
      <c r="G89" s="2695"/>
      <c r="H89" s="2695"/>
      <c r="I89" s="2695"/>
      <c r="J89" s="2700"/>
      <c r="K89" s="2461">
        <f>'6. T3 TASE'!G11</f>
        <v>2027</v>
      </c>
      <c r="L89" s="2462"/>
      <c r="M89" s="2461">
        <f>'6. T3 TASE'!H11</f>
        <v>2028</v>
      </c>
      <c r="N89" s="2462"/>
      <c r="O89" s="2527">
        <f>'6. T3 TASE'!I11</f>
        <v>2029</v>
      </c>
      <c r="P89" s="2528"/>
      <c r="Q89" s="2529">
        <f>'6. T3 TASE'!J11</f>
        <v>2030</v>
      </c>
      <c r="R89" s="2530"/>
    </row>
    <row r="90" spans="2:18" x14ac:dyDescent="0.2">
      <c r="B90" s="737" t="s">
        <v>152</v>
      </c>
      <c r="C90" s="439" t="s">
        <v>536</v>
      </c>
      <c r="D90" s="439"/>
      <c r="E90" s="439"/>
      <c r="F90" s="439"/>
      <c r="G90" s="2492"/>
      <c r="H90" s="2493"/>
      <c r="I90" s="2492"/>
      <c r="J90" s="2494"/>
      <c r="K90" s="2396">
        <f>'6. T3 TASE'!G13/1000</f>
        <v>0</v>
      </c>
      <c r="L90" s="2396"/>
      <c r="M90" s="2396">
        <f>'6. T3 TASE'!H13/1000</f>
        <v>0</v>
      </c>
      <c r="N90" s="2396"/>
      <c r="O90" s="2396">
        <f>'6. T3 TASE'!I13/1000</f>
        <v>0</v>
      </c>
      <c r="P90" s="2396"/>
      <c r="Q90" s="2396">
        <f>'6. T3 TASE'!J13/1000</f>
        <v>0</v>
      </c>
      <c r="R90" s="2396"/>
    </row>
    <row r="91" spans="2:18" x14ac:dyDescent="0.2">
      <c r="B91" s="738" t="s">
        <v>294</v>
      </c>
      <c r="C91" s="606" t="s">
        <v>497</v>
      </c>
      <c r="D91" s="606"/>
      <c r="E91" s="606"/>
      <c r="F91" s="606"/>
      <c r="G91" s="2354"/>
      <c r="H91" s="2354"/>
      <c r="I91" s="2406"/>
      <c r="J91" s="2407"/>
      <c r="K91" s="2403">
        <f>'6. T3 TASE'!G14/1000</f>
        <v>0</v>
      </c>
      <c r="L91" s="2403"/>
      <c r="M91" s="2403">
        <f>'6. T3 TASE'!H14/1000</f>
        <v>0</v>
      </c>
      <c r="N91" s="2403"/>
      <c r="O91" s="2403">
        <f>'6. T3 TASE'!I14/1000</f>
        <v>0</v>
      </c>
      <c r="P91" s="2403"/>
      <c r="Q91" s="2403">
        <f>'6. T3 TASE'!J14/1000</f>
        <v>0</v>
      </c>
      <c r="R91" s="2408"/>
    </row>
    <row r="92" spans="2:18" x14ac:dyDescent="0.2">
      <c r="B92" s="738" t="s">
        <v>295</v>
      </c>
      <c r="C92" s="606" t="s">
        <v>537</v>
      </c>
      <c r="D92" s="606"/>
      <c r="E92" s="606"/>
      <c r="F92" s="606"/>
      <c r="G92" s="2354"/>
      <c r="H92" s="2354"/>
      <c r="I92" s="2406"/>
      <c r="J92" s="2407"/>
      <c r="K92" s="2403">
        <f>'6. T3 TASE'!G18/1000</f>
        <v>0</v>
      </c>
      <c r="L92" s="2403"/>
      <c r="M92" s="2403">
        <f>'6. T3 TASE'!H18/1000</f>
        <v>0</v>
      </c>
      <c r="N92" s="2403"/>
      <c r="O92" s="2403">
        <f>'6. T3 TASE'!I18/1000</f>
        <v>0</v>
      </c>
      <c r="P92" s="2403"/>
      <c r="Q92" s="2403">
        <f>'6. T3 TASE'!J18/1000</f>
        <v>0</v>
      </c>
      <c r="R92" s="2408"/>
    </row>
    <row r="93" spans="2:18" x14ac:dyDescent="0.2">
      <c r="B93" s="738"/>
      <c r="C93" s="607" t="s">
        <v>538</v>
      </c>
      <c r="D93" s="607"/>
      <c r="E93" s="607"/>
      <c r="F93" s="607"/>
      <c r="G93" s="2384"/>
      <c r="H93" s="2384"/>
      <c r="I93" s="2392"/>
      <c r="J93" s="2393"/>
      <c r="K93" s="2378">
        <f>'6. T3 TASE'!G19/1000</f>
        <v>0</v>
      </c>
      <c r="L93" s="2378"/>
      <c r="M93" s="2378">
        <f>'6. T3 TASE'!H19/1000</f>
        <v>0</v>
      </c>
      <c r="N93" s="2378"/>
      <c r="O93" s="2378">
        <f>'6. T3 TASE'!I19/1000</f>
        <v>0</v>
      </c>
      <c r="P93" s="2378"/>
      <c r="Q93" s="2378">
        <f>'6. T3 TASE'!J19/1000</f>
        <v>0</v>
      </c>
      <c r="R93" s="2379"/>
    </row>
    <row r="94" spans="2:18" x14ac:dyDescent="0.2">
      <c r="B94" s="738"/>
      <c r="C94" s="607" t="s">
        <v>539</v>
      </c>
      <c r="D94" s="607"/>
      <c r="E94" s="607"/>
      <c r="F94" s="607"/>
      <c r="G94" s="2384"/>
      <c r="H94" s="2384"/>
      <c r="I94" s="2392"/>
      <c r="J94" s="2393"/>
      <c r="K94" s="2378">
        <f>'6. T3 TASE'!G22/1000</f>
        <v>0</v>
      </c>
      <c r="L94" s="2378"/>
      <c r="M94" s="2378">
        <f>'6. T3 TASE'!H22/1000</f>
        <v>0</v>
      </c>
      <c r="N94" s="2378"/>
      <c r="O94" s="2378">
        <f>'6. T3 TASE'!I22/1000</f>
        <v>0</v>
      </c>
      <c r="P94" s="2378"/>
      <c r="Q94" s="2378">
        <f>'6. T3 TASE'!J22/1000</f>
        <v>0</v>
      </c>
      <c r="R94" s="2379"/>
    </row>
    <row r="95" spans="2:18" x14ac:dyDescent="0.2">
      <c r="B95" s="738"/>
      <c r="C95" s="607" t="s">
        <v>540</v>
      </c>
      <c r="D95" s="607"/>
      <c r="E95" s="607"/>
      <c r="F95" s="607"/>
      <c r="G95" s="2384"/>
      <c r="H95" s="2384"/>
      <c r="I95" s="2392"/>
      <c r="J95" s="2393"/>
      <c r="K95" s="2378">
        <f>'6. T3 TASE'!G26/1000</f>
        <v>0</v>
      </c>
      <c r="L95" s="2378"/>
      <c r="M95" s="2378">
        <f>'6. T3 TASE'!H26/1000</f>
        <v>0</v>
      </c>
      <c r="N95" s="2378"/>
      <c r="O95" s="2378">
        <f>'6. T3 TASE'!I26/1000</f>
        <v>0</v>
      </c>
      <c r="P95" s="2378"/>
      <c r="Q95" s="2378">
        <f>'6. T3 TASE'!J26/1000</f>
        <v>0</v>
      </c>
      <c r="R95" s="2379"/>
    </row>
    <row r="96" spans="2:18" x14ac:dyDescent="0.2">
      <c r="B96" s="738"/>
      <c r="C96" s="607" t="s">
        <v>541</v>
      </c>
      <c r="D96" s="607"/>
      <c r="E96" s="607"/>
      <c r="F96" s="607"/>
      <c r="G96" s="2384"/>
      <c r="H96" s="2384"/>
      <c r="I96" s="2392"/>
      <c r="J96" s="2393"/>
      <c r="K96" s="2378">
        <f>'6. T3 TASE'!G30/1000</f>
        <v>0</v>
      </c>
      <c r="L96" s="2378"/>
      <c r="M96" s="2378">
        <f>'6. T3 TASE'!H30/1000</f>
        <v>0</v>
      </c>
      <c r="N96" s="2378"/>
      <c r="O96" s="2378">
        <f>'6. T3 TASE'!I30/1000</f>
        <v>0</v>
      </c>
      <c r="P96" s="2378"/>
      <c r="Q96" s="2378">
        <f>'6. T3 TASE'!J30/1000</f>
        <v>0</v>
      </c>
      <c r="R96" s="2379"/>
    </row>
    <row r="97" spans="2:18" x14ac:dyDescent="0.2">
      <c r="B97" s="738" t="s">
        <v>296</v>
      </c>
      <c r="C97" s="606" t="s">
        <v>542</v>
      </c>
      <c r="D97" s="606"/>
      <c r="E97" s="606"/>
      <c r="F97" s="606"/>
      <c r="G97" s="2354"/>
      <c r="H97" s="2354"/>
      <c r="I97" s="2406"/>
      <c r="J97" s="2407"/>
      <c r="K97" s="2403">
        <f>'6. T3 TASE'!G34/1000</f>
        <v>0</v>
      </c>
      <c r="L97" s="2403"/>
      <c r="M97" s="2403">
        <f>'6. T3 TASE'!H34/1000</f>
        <v>0</v>
      </c>
      <c r="N97" s="2403"/>
      <c r="O97" s="2403">
        <f>'6. T3 TASE'!I34/1000</f>
        <v>0</v>
      </c>
      <c r="P97" s="2403"/>
      <c r="Q97" s="2403">
        <f>'6. T3 TASE'!J34/1000</f>
        <v>0</v>
      </c>
      <c r="R97" s="2408"/>
    </row>
    <row r="98" spans="2:18" x14ac:dyDescent="0.2">
      <c r="B98" s="737" t="s">
        <v>150</v>
      </c>
      <c r="C98" s="606" t="s">
        <v>543</v>
      </c>
      <c r="D98" s="606"/>
      <c r="E98" s="606"/>
      <c r="F98" s="606"/>
      <c r="G98" s="2354"/>
      <c r="H98" s="2354"/>
      <c r="I98" s="2406"/>
      <c r="J98" s="2407"/>
      <c r="K98" s="2403">
        <f>'6. T3 TASE'!G38/1000</f>
        <v>0</v>
      </c>
      <c r="L98" s="2403"/>
      <c r="M98" s="2403">
        <f>'6. T3 TASE'!H38/1000</f>
        <v>0</v>
      </c>
      <c r="N98" s="2403"/>
      <c r="O98" s="2403">
        <f>'6. T3 TASE'!I38/1000</f>
        <v>0</v>
      </c>
      <c r="P98" s="2403"/>
      <c r="Q98" s="2403">
        <f>'6. T3 TASE'!J38/1000</f>
        <v>0</v>
      </c>
      <c r="R98" s="2408"/>
    </row>
    <row r="99" spans="2:18" x14ac:dyDescent="0.2">
      <c r="B99" s="737" t="s">
        <v>297</v>
      </c>
      <c r="C99" s="606" t="s">
        <v>544</v>
      </c>
      <c r="D99" s="606"/>
      <c r="E99" s="606"/>
      <c r="F99" s="606"/>
      <c r="G99" s="2354"/>
      <c r="H99" s="2354"/>
      <c r="I99" s="2406"/>
      <c r="J99" s="2407"/>
      <c r="K99" s="2403">
        <f>'6. T3 TASE'!G39/1000</f>
        <v>0</v>
      </c>
      <c r="L99" s="2403"/>
      <c r="M99" s="2403">
        <f>'6. T3 TASE'!H39/1000</f>
        <v>0</v>
      </c>
      <c r="N99" s="2403"/>
      <c r="O99" s="2403">
        <f>'6. T3 TASE'!I39/1000</f>
        <v>0</v>
      </c>
      <c r="P99" s="2403"/>
      <c r="Q99" s="2403">
        <f>'6. T3 TASE'!J39/1000</f>
        <v>0</v>
      </c>
      <c r="R99" s="2408"/>
    </row>
    <row r="100" spans="2:18" x14ac:dyDescent="0.2">
      <c r="B100" s="739"/>
      <c r="C100" s="2348" t="s">
        <v>545</v>
      </c>
      <c r="D100" s="2348"/>
      <c r="E100" s="2348"/>
      <c r="F100" s="2348"/>
      <c r="G100" s="2348"/>
      <c r="H100" s="2348"/>
      <c r="I100" s="2348"/>
      <c r="J100" s="2349"/>
      <c r="K100" s="2531">
        <f>'6. T3 TASE'!G40</f>
        <v>0</v>
      </c>
      <c r="L100" s="2531"/>
      <c r="M100" s="2531">
        <f>'6. T3 TASE'!H40</f>
        <v>0</v>
      </c>
      <c r="N100" s="2531"/>
      <c r="O100" s="2531">
        <f>'6. T3 TASE'!I40</f>
        <v>0</v>
      </c>
      <c r="P100" s="2531"/>
      <c r="Q100" s="2531">
        <f>'6. T3 TASE'!J40</f>
        <v>0</v>
      </c>
      <c r="R100" s="2532"/>
    </row>
    <row r="101" spans="2:18" x14ac:dyDescent="0.2">
      <c r="B101" s="738" t="s">
        <v>295</v>
      </c>
      <c r="C101" s="606" t="s">
        <v>546</v>
      </c>
      <c r="D101" s="606"/>
      <c r="E101" s="606"/>
      <c r="F101" s="606"/>
      <c r="G101" s="2354"/>
      <c r="H101" s="2354"/>
      <c r="I101" s="2406"/>
      <c r="J101" s="2407"/>
      <c r="K101" s="2403">
        <f>'6. T3 TASE'!G41/1000</f>
        <v>0</v>
      </c>
      <c r="L101" s="2403"/>
      <c r="M101" s="2403">
        <f>'6. T3 TASE'!H41/1000</f>
        <v>0</v>
      </c>
      <c r="N101" s="2403"/>
      <c r="O101" s="2403">
        <f>'6. T3 TASE'!I41/1000</f>
        <v>0</v>
      </c>
      <c r="P101" s="2403"/>
      <c r="Q101" s="2403">
        <f>'6. T3 TASE'!J41/1000</f>
        <v>0</v>
      </c>
      <c r="R101" s="2408"/>
    </row>
    <row r="102" spans="2:18" x14ac:dyDescent="0.2">
      <c r="B102" s="738" t="s">
        <v>0</v>
      </c>
      <c r="C102" s="607" t="s">
        <v>649</v>
      </c>
      <c r="D102" s="607"/>
      <c r="E102" s="607"/>
      <c r="F102" s="607"/>
      <c r="G102" s="2384"/>
      <c r="H102" s="2384"/>
      <c r="I102" s="2392"/>
      <c r="J102" s="2393"/>
      <c r="K102" s="2378">
        <f>'6. T3 TASE'!G42/1000</f>
        <v>0</v>
      </c>
      <c r="L102" s="2378"/>
      <c r="M102" s="2378">
        <f>'6. T3 TASE'!H42/1000</f>
        <v>0</v>
      </c>
      <c r="N102" s="2378"/>
      <c r="O102" s="2378">
        <f>'6. T3 TASE'!I42/1000</f>
        <v>0</v>
      </c>
      <c r="P102" s="2378"/>
      <c r="Q102" s="2378">
        <f>'6. T3 TASE'!J42/1000</f>
        <v>0</v>
      </c>
      <c r="R102" s="2379"/>
    </row>
    <row r="103" spans="2:18" x14ac:dyDescent="0.2">
      <c r="B103" s="738"/>
      <c r="C103" s="2413" t="s">
        <v>648</v>
      </c>
      <c r="D103" s="2413"/>
      <c r="E103" s="708"/>
      <c r="F103" s="708"/>
      <c r="G103" s="2405"/>
      <c r="H103" s="2405"/>
      <c r="I103" s="2389"/>
      <c r="J103" s="2390"/>
      <c r="K103" s="2391">
        <f>'6. T3 TASE'!G43</f>
        <v>14</v>
      </c>
      <c r="L103" s="2391"/>
      <c r="M103" s="2391">
        <f>'6. T3 TASE'!H43</f>
        <v>14</v>
      </c>
      <c r="N103" s="2391"/>
      <c r="O103" s="2391">
        <f>'6. T3 TASE'!I43</f>
        <v>14</v>
      </c>
      <c r="P103" s="2391"/>
      <c r="Q103" s="2391">
        <f>'6. T3 TASE'!J43</f>
        <v>14</v>
      </c>
      <c r="R103" s="2404"/>
    </row>
    <row r="104" spans="2:18" x14ac:dyDescent="0.2">
      <c r="B104" s="738" t="s">
        <v>0</v>
      </c>
      <c r="C104" s="2697" t="s">
        <v>643</v>
      </c>
      <c r="D104" s="2697"/>
      <c r="E104" s="2697"/>
      <c r="F104" s="2697"/>
      <c r="G104" s="2697"/>
      <c r="H104" s="2697"/>
      <c r="I104" s="2697"/>
      <c r="J104" s="2698"/>
      <c r="K104" s="2378">
        <f>'6. T3 TASE'!G44/1000</f>
        <v>0</v>
      </c>
      <c r="L104" s="2378"/>
      <c r="M104" s="2378">
        <f>'6. T3 TASE'!H44/1000</f>
        <v>0</v>
      </c>
      <c r="N104" s="2378"/>
      <c r="O104" s="2378">
        <f>'6. T3 TASE'!I44/1000</f>
        <v>0</v>
      </c>
      <c r="P104" s="2378"/>
      <c r="Q104" s="2378">
        <f>'6. T3 TASE'!J44/1000</f>
        <v>0</v>
      </c>
      <c r="R104" s="2379"/>
    </row>
    <row r="105" spans="2:18" x14ac:dyDescent="0.2">
      <c r="B105" s="738">
        <v>0</v>
      </c>
      <c r="C105" s="607" t="s">
        <v>547</v>
      </c>
      <c r="D105" s="607"/>
      <c r="E105" s="607"/>
      <c r="F105" s="607"/>
      <c r="G105" s="2359"/>
      <c r="H105" s="2359"/>
      <c r="I105" s="2376"/>
      <c r="J105" s="2377"/>
      <c r="K105" s="2378">
        <f>'6. T3 TASE'!G46/1000</f>
        <v>0</v>
      </c>
      <c r="L105" s="2378"/>
      <c r="M105" s="2378">
        <f>'6. T3 TASE'!H46/1000</f>
        <v>0</v>
      </c>
      <c r="N105" s="2378"/>
      <c r="O105" s="2378">
        <f>'6. T3 TASE'!I46/1000</f>
        <v>0</v>
      </c>
      <c r="P105" s="2378"/>
      <c r="Q105" s="2378">
        <f>'6. T3 TASE'!J46/1000</f>
        <v>0</v>
      </c>
      <c r="R105" s="2379"/>
    </row>
    <row r="106" spans="2:18" x14ac:dyDescent="0.2">
      <c r="B106" s="738"/>
      <c r="C106" s="607" t="s">
        <v>650</v>
      </c>
      <c r="D106" s="607"/>
      <c r="E106" s="607"/>
      <c r="F106" s="607"/>
      <c r="G106" s="2384"/>
      <c r="H106" s="2384"/>
      <c r="I106" s="2392"/>
      <c r="J106" s="2393"/>
      <c r="K106" s="2378">
        <f>'6. T3 TASE'!G47/1000</f>
        <v>0</v>
      </c>
      <c r="L106" s="2378"/>
      <c r="M106" s="2378">
        <f>'6. T3 TASE'!H47/1000</f>
        <v>0</v>
      </c>
      <c r="N106" s="2378"/>
      <c r="O106" s="2378">
        <f>'6. T3 TASE'!I47/1000</f>
        <v>0</v>
      </c>
      <c r="P106" s="2378"/>
      <c r="Q106" s="2378">
        <f>'6. T3 TASE'!J47/1000</f>
        <v>0</v>
      </c>
      <c r="R106" s="2379"/>
    </row>
    <row r="107" spans="2:18" x14ac:dyDescent="0.2">
      <c r="B107" s="738" t="s">
        <v>296</v>
      </c>
      <c r="C107" s="606" t="s">
        <v>548</v>
      </c>
      <c r="D107" s="606"/>
      <c r="E107" s="606"/>
      <c r="F107" s="606"/>
      <c r="G107" s="2354"/>
      <c r="H107" s="2354"/>
      <c r="I107" s="2406"/>
      <c r="J107" s="2407"/>
      <c r="K107" s="2403">
        <f>'6. T3 TASE'!G48/1000</f>
        <v>0</v>
      </c>
      <c r="L107" s="2403"/>
      <c r="M107" s="2403">
        <f>'6. T3 TASE'!H48/1000</f>
        <v>0</v>
      </c>
      <c r="N107" s="2403"/>
      <c r="O107" s="2403">
        <f>'6. T3 TASE'!I48/1000</f>
        <v>0</v>
      </c>
      <c r="P107" s="2403"/>
      <c r="Q107" s="2403">
        <f>'6. T3 TASE'!J48/1000</f>
        <v>0</v>
      </c>
      <c r="R107" s="2408"/>
    </row>
    <row r="108" spans="2:18" x14ac:dyDescent="0.2">
      <c r="B108" s="738" t="s">
        <v>298</v>
      </c>
      <c r="C108" s="606" t="s">
        <v>549</v>
      </c>
      <c r="D108" s="606"/>
      <c r="E108" s="606"/>
      <c r="F108" s="606"/>
      <c r="G108" s="2354"/>
      <c r="H108" s="2354"/>
      <c r="I108" s="2406"/>
      <c r="J108" s="2407"/>
      <c r="K108" s="2403">
        <f>'6. T3 TASE'!G49/1000</f>
        <v>0</v>
      </c>
      <c r="L108" s="2403"/>
      <c r="M108" s="2403">
        <f>'6. T3 TASE'!H49/1000</f>
        <v>0</v>
      </c>
      <c r="N108" s="2403"/>
      <c r="O108" s="2403">
        <f>'6. T3 TASE'!I49/1000</f>
        <v>0</v>
      </c>
      <c r="P108" s="2403"/>
      <c r="Q108" s="2403">
        <f>'6. T3 TASE'!J49/1000</f>
        <v>0</v>
      </c>
      <c r="R108" s="2408"/>
    </row>
    <row r="109" spans="2:18" ht="20.100000000000001" customHeight="1" x14ac:dyDescent="0.2">
      <c r="B109" s="1225"/>
      <c r="C109" s="1608" t="s">
        <v>550</v>
      </c>
      <c r="D109" s="1226"/>
      <c r="E109" s="1226"/>
      <c r="F109" s="1226"/>
      <c r="G109" s="2538"/>
      <c r="H109" s="2539"/>
      <c r="I109" s="2538"/>
      <c r="J109" s="2540"/>
      <c r="K109" s="2533">
        <f>'6. T3 TASE'!G51/1000</f>
        <v>0</v>
      </c>
      <c r="L109" s="2533"/>
      <c r="M109" s="2533">
        <f>'6. T3 TASE'!H51/1000</f>
        <v>0</v>
      </c>
      <c r="N109" s="2533"/>
      <c r="O109" s="2533">
        <f>'6. T3 TASE'!I51/1000</f>
        <v>0</v>
      </c>
      <c r="P109" s="2533"/>
      <c r="Q109" s="2533">
        <f>'6. T3 TASE'!J51/1000</f>
        <v>0</v>
      </c>
      <c r="R109" s="2533"/>
    </row>
    <row r="110" spans="2:18" x14ac:dyDescent="0.2">
      <c r="B110" s="2671" t="s">
        <v>551</v>
      </c>
      <c r="C110" s="2672"/>
      <c r="D110" s="2672"/>
      <c r="E110" s="2672"/>
      <c r="F110" s="2672"/>
      <c r="G110" s="2672"/>
      <c r="H110" s="2672"/>
      <c r="I110" s="2672"/>
      <c r="J110" s="2693"/>
      <c r="K110" s="2535" t="str">
        <f>K88</f>
        <v>YEAR</v>
      </c>
      <c r="L110" s="2536"/>
      <c r="M110" s="2535" t="str">
        <f>M88</f>
        <v>YEAR</v>
      </c>
      <c r="N110" s="2536"/>
      <c r="O110" s="2535" t="str">
        <f>O88</f>
        <v>YEAR</v>
      </c>
      <c r="P110" s="2536"/>
      <c r="Q110" s="2535" t="str">
        <f>Q88</f>
        <v>YEAR</v>
      </c>
      <c r="R110" s="2536"/>
    </row>
    <row r="111" spans="2:18" x14ac:dyDescent="0.2">
      <c r="B111" s="2694"/>
      <c r="C111" s="2695"/>
      <c r="D111" s="2695"/>
      <c r="E111" s="2695"/>
      <c r="F111" s="2695"/>
      <c r="G111" s="2695"/>
      <c r="H111" s="2695"/>
      <c r="I111" s="2695"/>
      <c r="J111" s="2696"/>
      <c r="K111" s="2541">
        <f>K89</f>
        <v>2027</v>
      </c>
      <c r="L111" s="2542"/>
      <c r="M111" s="2541">
        <f>M89</f>
        <v>2028</v>
      </c>
      <c r="N111" s="2542"/>
      <c r="O111" s="2541">
        <f>O89</f>
        <v>2029</v>
      </c>
      <c r="P111" s="2542"/>
      <c r="Q111" s="2541">
        <f>Q89</f>
        <v>2030</v>
      </c>
      <c r="R111" s="2542"/>
    </row>
    <row r="112" spans="2:18" x14ac:dyDescent="0.2">
      <c r="B112" s="737" t="s">
        <v>157</v>
      </c>
      <c r="C112" s="439" t="s">
        <v>552</v>
      </c>
      <c r="D112" s="439"/>
      <c r="E112" s="439"/>
      <c r="F112" s="439"/>
      <c r="G112" s="2492"/>
      <c r="H112" s="2493"/>
      <c r="I112" s="2691"/>
      <c r="J112" s="2692"/>
      <c r="K112" s="2396">
        <f>'6. T3 TASE'!G56/1000</f>
        <v>0</v>
      </c>
      <c r="L112" s="2396"/>
      <c r="M112" s="2396">
        <f>'6. T3 TASE'!H56/1000</f>
        <v>0</v>
      </c>
      <c r="N112" s="2396"/>
      <c r="O112" s="2396">
        <f>'6. T3 TASE'!I56/1000</f>
        <v>0</v>
      </c>
      <c r="P112" s="2396"/>
      <c r="Q112" s="2396">
        <f>'6. T3 TASE'!J56/1000</f>
        <v>0</v>
      </c>
      <c r="R112" s="2396"/>
    </row>
    <row r="113" spans="2:18" x14ac:dyDescent="0.2">
      <c r="B113" s="738">
        <v>0</v>
      </c>
      <c r="C113" s="608" t="s">
        <v>553</v>
      </c>
      <c r="D113" s="608"/>
      <c r="E113" s="608"/>
      <c r="F113" s="608"/>
      <c r="G113" s="2687"/>
      <c r="H113" s="2687"/>
      <c r="I113" s="2679"/>
      <c r="J113" s="2680"/>
      <c r="K113" s="2399">
        <f>'6. T3 TASE'!G57/1000</f>
        <v>0</v>
      </c>
      <c r="L113" s="2378"/>
      <c r="M113" s="2378">
        <f>'6. T3 TASE'!H57/1000</f>
        <v>0</v>
      </c>
      <c r="N113" s="2378"/>
      <c r="O113" s="2378">
        <f>'6. T3 TASE'!I57/1000</f>
        <v>0</v>
      </c>
      <c r="P113" s="2378"/>
      <c r="Q113" s="2378">
        <f>'6. T3 TASE'!J57/1000</f>
        <v>0</v>
      </c>
      <c r="R113" s="2379"/>
    </row>
    <row r="114" spans="2:18" x14ac:dyDescent="0.2">
      <c r="B114" s="738">
        <v>0</v>
      </c>
      <c r="C114" s="608" t="s">
        <v>554</v>
      </c>
      <c r="D114" s="608"/>
      <c r="E114" s="608"/>
      <c r="F114" s="608"/>
      <c r="G114" s="2687"/>
      <c r="H114" s="2687"/>
      <c r="I114" s="2679"/>
      <c r="J114" s="2680"/>
      <c r="K114" s="2399">
        <f>'6. T3 TASE'!G58/1000</f>
        <v>0</v>
      </c>
      <c r="L114" s="2378"/>
      <c r="M114" s="2378">
        <f>'6. T3 TASE'!H58/1000</f>
        <v>0</v>
      </c>
      <c r="N114" s="2378"/>
      <c r="O114" s="2378">
        <f>'6. T3 TASE'!I58/1000</f>
        <v>0</v>
      </c>
      <c r="P114" s="2378"/>
      <c r="Q114" s="2378">
        <f>'6. T3 TASE'!J58/1000</f>
        <v>0</v>
      </c>
      <c r="R114" s="2379"/>
    </row>
    <row r="115" spans="2:18" x14ac:dyDescent="0.2">
      <c r="B115" s="738">
        <v>0</v>
      </c>
      <c r="C115" s="608" t="s">
        <v>555</v>
      </c>
      <c r="D115" s="608"/>
      <c r="E115" s="608"/>
      <c r="F115" s="608"/>
      <c r="G115" s="2687"/>
      <c r="H115" s="2687"/>
      <c r="I115" s="2679"/>
      <c r="J115" s="2680"/>
      <c r="K115" s="2399">
        <f>'6. T3 TASE'!G59/1000</f>
        <v>0</v>
      </c>
      <c r="L115" s="2378"/>
      <c r="M115" s="2378">
        <f>'6. T3 TASE'!H59/1000</f>
        <v>0</v>
      </c>
      <c r="N115" s="2378"/>
      <c r="O115" s="2378">
        <f>'6. T3 TASE'!I59/1000</f>
        <v>0</v>
      </c>
      <c r="P115" s="2378"/>
      <c r="Q115" s="2378">
        <f>'6. T3 TASE'!J59/1000</f>
        <v>0</v>
      </c>
      <c r="R115" s="2379"/>
    </row>
    <row r="116" spans="2:18" x14ac:dyDescent="0.2">
      <c r="B116" s="738">
        <v>0</v>
      </c>
      <c r="C116" s="608" t="s">
        <v>556</v>
      </c>
      <c r="D116" s="608"/>
      <c r="E116" s="608"/>
      <c r="F116" s="608"/>
      <c r="G116" s="2687"/>
      <c r="H116" s="2687"/>
      <c r="I116" s="2679"/>
      <c r="J116" s="2680"/>
      <c r="K116" s="2399">
        <f>'6. T3 TASE'!G60/1000</f>
        <v>0</v>
      </c>
      <c r="L116" s="2378"/>
      <c r="M116" s="2378">
        <f>'6. T3 TASE'!H60/1000</f>
        <v>0</v>
      </c>
      <c r="N116" s="2378"/>
      <c r="O116" s="2378">
        <f>'6. T3 TASE'!I60/1000</f>
        <v>0</v>
      </c>
      <c r="P116" s="2378"/>
      <c r="Q116" s="2378">
        <f>'6. T3 TASE'!J60/1000</f>
        <v>0</v>
      </c>
      <c r="R116" s="2379"/>
    </row>
    <row r="117" spans="2:18" x14ac:dyDescent="0.2">
      <c r="B117" s="738">
        <v>0</v>
      </c>
      <c r="C117" s="608" t="s">
        <v>557</v>
      </c>
      <c r="D117" s="608"/>
      <c r="E117" s="608"/>
      <c r="F117" s="608"/>
      <c r="G117" s="2687"/>
      <c r="H117" s="2687"/>
      <c r="I117" s="2679"/>
      <c r="J117" s="2680"/>
      <c r="K117" s="2399">
        <f>'6. T3 TASE'!G61/1000</f>
        <v>0</v>
      </c>
      <c r="L117" s="2378"/>
      <c r="M117" s="2378">
        <f>'6. T3 TASE'!H61/1000</f>
        <v>0</v>
      </c>
      <c r="N117" s="2378"/>
      <c r="O117" s="2378">
        <f>'6. T3 TASE'!I61/1000</f>
        <v>0</v>
      </c>
      <c r="P117" s="2378"/>
      <c r="Q117" s="2378">
        <f>'6. T3 TASE'!J61/1000</f>
        <v>0</v>
      </c>
      <c r="R117" s="2379"/>
    </row>
    <row r="118" spans="2:18" x14ac:dyDescent="0.2">
      <c r="B118" s="737" t="s">
        <v>429</v>
      </c>
      <c r="C118" s="609" t="s">
        <v>558</v>
      </c>
      <c r="D118" s="609"/>
      <c r="E118" s="609"/>
      <c r="F118" s="609"/>
      <c r="G118" s="2688"/>
      <c r="H118" s="2688"/>
      <c r="I118" s="2689"/>
      <c r="J118" s="2690"/>
      <c r="K118" s="2402">
        <f>'6. T3 TASE'!G62/1000</f>
        <v>0</v>
      </c>
      <c r="L118" s="2403"/>
      <c r="M118" s="2403">
        <f>'6. T3 TASE'!H62/1000</f>
        <v>0</v>
      </c>
      <c r="N118" s="2403"/>
      <c r="O118" s="2403">
        <f>'6. T3 TASE'!I62/1000</f>
        <v>0</v>
      </c>
      <c r="P118" s="2403"/>
      <c r="Q118" s="2403">
        <f>'6. T3 TASE'!J62/1000</f>
        <v>0</v>
      </c>
      <c r="R118" s="2408"/>
    </row>
    <row r="119" spans="2:18" x14ac:dyDescent="0.2">
      <c r="B119" s="737" t="s">
        <v>169</v>
      </c>
      <c r="C119" s="609" t="s">
        <v>559</v>
      </c>
      <c r="D119" s="609"/>
      <c r="E119" s="609"/>
      <c r="F119" s="609"/>
      <c r="G119" s="2688"/>
      <c r="H119" s="2688"/>
      <c r="I119" s="2689"/>
      <c r="J119" s="2690"/>
      <c r="K119" s="2402">
        <f>'6. T3 TASE'!G66/1000</f>
        <v>0</v>
      </c>
      <c r="L119" s="2403"/>
      <c r="M119" s="2403">
        <f>'6. T3 TASE'!H66/1000</f>
        <v>0</v>
      </c>
      <c r="N119" s="2403"/>
      <c r="O119" s="2403">
        <f>'6. T3 TASE'!I66/1000</f>
        <v>0</v>
      </c>
      <c r="P119" s="2403"/>
      <c r="Q119" s="2403">
        <f>'6. T3 TASE'!J66/1000</f>
        <v>0</v>
      </c>
      <c r="R119" s="2408"/>
    </row>
    <row r="120" spans="2:18" x14ac:dyDescent="0.2">
      <c r="B120" s="737" t="s">
        <v>237</v>
      </c>
      <c r="C120" s="609" t="s">
        <v>560</v>
      </c>
      <c r="D120" s="609"/>
      <c r="E120" s="609"/>
      <c r="F120" s="609"/>
      <c r="G120" s="2688"/>
      <c r="H120" s="2688"/>
      <c r="I120" s="2689"/>
      <c r="J120" s="2690"/>
      <c r="K120" s="2402">
        <f>'6. T3 TASE'!G67/1000</f>
        <v>0</v>
      </c>
      <c r="L120" s="2403"/>
      <c r="M120" s="2403">
        <f>'6. T3 TASE'!H67/1000</f>
        <v>0</v>
      </c>
      <c r="N120" s="2403"/>
      <c r="O120" s="2403">
        <f>'6. T3 TASE'!I67/1000</f>
        <v>0</v>
      </c>
      <c r="P120" s="2403"/>
      <c r="Q120" s="2403">
        <f>'6. T3 TASE'!J67/1000</f>
        <v>0</v>
      </c>
      <c r="R120" s="2408"/>
    </row>
    <row r="121" spans="2:18" x14ac:dyDescent="0.2">
      <c r="B121" s="738" t="s">
        <v>0</v>
      </c>
      <c r="C121" s="608" t="s">
        <v>561</v>
      </c>
      <c r="D121" s="608"/>
      <c r="E121" s="608"/>
      <c r="F121" s="608"/>
      <c r="G121" s="2687"/>
      <c r="H121" s="2687"/>
      <c r="I121" s="2679"/>
      <c r="J121" s="2680"/>
      <c r="K121" s="2399">
        <f>'6. T3 TASE'!G68/1000</f>
        <v>0</v>
      </c>
      <c r="L121" s="2378"/>
      <c r="M121" s="2378">
        <f>'6. T3 TASE'!H68/1000</f>
        <v>0</v>
      </c>
      <c r="N121" s="2378"/>
      <c r="O121" s="2378">
        <f>'6. T3 TASE'!I68/1000</f>
        <v>0</v>
      </c>
      <c r="P121" s="2378"/>
      <c r="Q121" s="2378">
        <f>'6. T3 TASE'!J68/1000</f>
        <v>0</v>
      </c>
      <c r="R121" s="2379"/>
    </row>
    <row r="122" spans="2:18" x14ac:dyDescent="0.2">
      <c r="B122" s="738" t="s">
        <v>0</v>
      </c>
      <c r="C122" s="610" t="s">
        <v>562</v>
      </c>
      <c r="D122" s="610"/>
      <c r="E122" s="610"/>
      <c r="F122" s="610"/>
      <c r="G122" s="2687"/>
      <c r="H122" s="2687"/>
      <c r="I122" s="2679"/>
      <c r="J122" s="2680"/>
      <c r="K122" s="2399">
        <f>'6. T3 TASE'!G69/1000</f>
        <v>0</v>
      </c>
      <c r="L122" s="2378"/>
      <c r="M122" s="2378">
        <f>'6. T3 TASE'!H69/1000</f>
        <v>0</v>
      </c>
      <c r="N122" s="2378"/>
      <c r="O122" s="2378">
        <f>'6. T3 TASE'!I69/1000</f>
        <v>0</v>
      </c>
      <c r="P122" s="2378"/>
      <c r="Q122" s="2378">
        <f>'6. T3 TASE'!J69/1000</f>
        <v>0</v>
      </c>
      <c r="R122" s="2379"/>
    </row>
    <row r="123" spans="2:18" x14ac:dyDescent="0.2">
      <c r="B123" s="738" t="s">
        <v>0</v>
      </c>
      <c r="C123" s="608" t="s">
        <v>563</v>
      </c>
      <c r="D123" s="608"/>
      <c r="E123" s="608"/>
      <c r="F123" s="608"/>
      <c r="G123" s="2687"/>
      <c r="H123" s="2687"/>
      <c r="I123" s="2679"/>
      <c r="J123" s="2680"/>
      <c r="K123" s="2399">
        <f>'6. T3 TASE'!G70/1000</f>
        <v>0</v>
      </c>
      <c r="L123" s="2378"/>
      <c r="M123" s="2378">
        <f>'6. T3 TASE'!H70/1000</f>
        <v>0</v>
      </c>
      <c r="N123" s="2378"/>
      <c r="O123" s="2378">
        <f>'6. T3 TASE'!I70/1000</f>
        <v>0</v>
      </c>
      <c r="P123" s="2378"/>
      <c r="Q123" s="2378">
        <f>'6. T3 TASE'!J70/1000</f>
        <v>0</v>
      </c>
      <c r="R123" s="2379"/>
    </row>
    <row r="124" spans="2:18" x14ac:dyDescent="0.2">
      <c r="B124" s="738">
        <v>0</v>
      </c>
      <c r="C124" s="608" t="s">
        <v>564</v>
      </c>
      <c r="D124" s="608"/>
      <c r="E124" s="608"/>
      <c r="F124" s="608"/>
      <c r="G124" s="2687"/>
      <c r="H124" s="2687"/>
      <c r="I124" s="2679"/>
      <c r="J124" s="2680"/>
      <c r="K124" s="2399">
        <f>'6. T3 TASE'!G73/1000</f>
        <v>0</v>
      </c>
      <c r="L124" s="2378"/>
      <c r="M124" s="2378">
        <f>'6. T3 TASE'!H73/1000</f>
        <v>0</v>
      </c>
      <c r="N124" s="2378"/>
      <c r="O124" s="2378">
        <f>'6. T3 TASE'!I73/1000</f>
        <v>0</v>
      </c>
      <c r="P124" s="2378"/>
      <c r="Q124" s="2378">
        <f>'6. T3 TASE'!J73/1000</f>
        <v>0</v>
      </c>
      <c r="R124" s="2379"/>
    </row>
    <row r="125" spans="2:18" x14ac:dyDescent="0.2">
      <c r="B125" s="737" t="s">
        <v>238</v>
      </c>
      <c r="C125" s="611" t="s">
        <v>565</v>
      </c>
      <c r="D125" s="611"/>
      <c r="E125" s="611"/>
      <c r="F125" s="611"/>
      <c r="G125" s="2687"/>
      <c r="H125" s="2687"/>
      <c r="I125" s="2679"/>
      <c r="J125" s="2680"/>
      <c r="K125" s="2402">
        <f>'6. T3 TASE'!G74/1000</f>
        <v>0</v>
      </c>
      <c r="L125" s="2403"/>
      <c r="M125" s="2403">
        <f>'6. T3 TASE'!H74/1000</f>
        <v>0</v>
      </c>
      <c r="N125" s="2403"/>
      <c r="O125" s="2403">
        <f>'6. T3 TASE'!I74/1000</f>
        <v>0</v>
      </c>
      <c r="P125" s="2403"/>
      <c r="Q125" s="2403">
        <f>'6. T3 TASE'!J74/1000</f>
        <v>0</v>
      </c>
      <c r="R125" s="2408"/>
    </row>
    <row r="126" spans="2:18" x14ac:dyDescent="0.2">
      <c r="B126" s="738" t="s">
        <v>0</v>
      </c>
      <c r="C126" s="608" t="s">
        <v>561</v>
      </c>
      <c r="D126" s="608"/>
      <c r="E126" s="608"/>
      <c r="F126" s="608"/>
      <c r="G126" s="2687"/>
      <c r="H126" s="2687"/>
      <c r="I126" s="2679"/>
      <c r="J126" s="2680"/>
      <c r="K126" s="2399">
        <f>'6. T3 TASE'!G75/1000</f>
        <v>0</v>
      </c>
      <c r="L126" s="2378"/>
      <c r="M126" s="2378">
        <f>'6. T3 TASE'!H75/1000</f>
        <v>0</v>
      </c>
      <c r="N126" s="2378"/>
      <c r="O126" s="2378">
        <f>'6. T3 TASE'!I75/1000</f>
        <v>0</v>
      </c>
      <c r="P126" s="2378"/>
      <c r="Q126" s="2378">
        <f>'6. T3 TASE'!J75/1000</f>
        <v>0</v>
      </c>
      <c r="R126" s="2379"/>
    </row>
    <row r="127" spans="2:18" x14ac:dyDescent="0.2">
      <c r="B127" s="738">
        <v>0</v>
      </c>
      <c r="C127" s="608" t="s">
        <v>562</v>
      </c>
      <c r="D127" s="608"/>
      <c r="E127" s="608"/>
      <c r="F127" s="608"/>
      <c r="G127" s="2677"/>
      <c r="H127" s="2678"/>
      <c r="I127" s="2679"/>
      <c r="J127" s="2680"/>
      <c r="K127" s="2399">
        <f>'6. T3 TASE'!G78/1000</f>
        <v>0</v>
      </c>
      <c r="L127" s="2378"/>
      <c r="M127" s="2378">
        <f>'6. T3 TASE'!H78/1000</f>
        <v>0</v>
      </c>
      <c r="N127" s="2378"/>
      <c r="O127" s="2378">
        <f>'6. T3 TASE'!I78/1000</f>
        <v>0</v>
      </c>
      <c r="P127" s="2378"/>
      <c r="Q127" s="2378">
        <f>'6. T3 TASE'!J78/1000</f>
        <v>0</v>
      </c>
      <c r="R127" s="2379"/>
    </row>
    <row r="128" spans="2:18" x14ac:dyDescent="0.2">
      <c r="B128" s="738">
        <v>0</v>
      </c>
      <c r="C128" s="608" t="s">
        <v>638</v>
      </c>
      <c r="D128" s="608"/>
      <c r="E128" s="608"/>
      <c r="F128" s="608"/>
      <c r="G128" s="2677"/>
      <c r="H128" s="2678"/>
      <c r="I128" s="2679"/>
      <c r="J128" s="2680"/>
      <c r="K128" s="2399">
        <f>'6. T3 TASE'!G79/1000</f>
        <v>0</v>
      </c>
      <c r="L128" s="2378"/>
      <c r="M128" s="2378">
        <f>'6. T3 TASE'!H79/1000</f>
        <v>0</v>
      </c>
      <c r="N128" s="2378"/>
      <c r="O128" s="2378">
        <f>'6. T3 TASE'!I79/1000</f>
        <v>0</v>
      </c>
      <c r="P128" s="2378"/>
      <c r="Q128" s="2378">
        <f>'6. T3 TASE'!J79/1000</f>
        <v>0</v>
      </c>
      <c r="R128" s="2379"/>
    </row>
    <row r="129" spans="2:18" x14ac:dyDescent="0.2">
      <c r="B129" s="738"/>
      <c r="C129" s="2681" t="s">
        <v>602</v>
      </c>
      <c r="D129" s="2682"/>
      <c r="E129" s="716"/>
      <c r="F129" s="716"/>
      <c r="G129" s="2683"/>
      <c r="H129" s="2684"/>
      <c r="I129" s="2685"/>
      <c r="J129" s="2686"/>
      <c r="K129" s="2549">
        <f>'6. T3 TASE'!G81</f>
        <v>14</v>
      </c>
      <c r="L129" s="2550"/>
      <c r="M129" s="2550">
        <f>'6. T3 TASE'!H81</f>
        <v>14</v>
      </c>
      <c r="N129" s="2550"/>
      <c r="O129" s="2550">
        <f>'6. T3 TASE'!I81</f>
        <v>14</v>
      </c>
      <c r="P129" s="2550"/>
      <c r="Q129" s="2550">
        <f>'6. T3 TASE'!J81</f>
        <v>14</v>
      </c>
      <c r="R129" s="2551"/>
    </row>
    <row r="130" spans="2:18" x14ac:dyDescent="0.2">
      <c r="B130" s="738" t="s">
        <v>0</v>
      </c>
      <c r="C130" s="608" t="s">
        <v>566</v>
      </c>
      <c r="D130" s="608"/>
      <c r="E130" s="608"/>
      <c r="F130" s="608"/>
      <c r="G130" s="2677"/>
      <c r="H130" s="2678"/>
      <c r="I130" s="2679"/>
      <c r="J130" s="2680"/>
      <c r="K130" s="2399">
        <f>'6. T3 TASE'!G83/1000</f>
        <v>0</v>
      </c>
      <c r="L130" s="2378"/>
      <c r="M130" s="2378">
        <f>'6. T3 TASE'!H83/1000</f>
        <v>0</v>
      </c>
      <c r="N130" s="2378"/>
      <c r="O130" s="2378">
        <f>'6. T3 TASE'!I83/1000</f>
        <v>0</v>
      </c>
      <c r="P130" s="2378"/>
      <c r="Q130" s="2378">
        <f>'6. T3 TASE'!J83/1000</f>
        <v>0</v>
      </c>
      <c r="R130" s="2379"/>
    </row>
    <row r="131" spans="2:18" x14ac:dyDescent="0.2">
      <c r="B131" s="738" t="s">
        <v>0</v>
      </c>
      <c r="C131" s="608" t="s">
        <v>567</v>
      </c>
      <c r="D131" s="608"/>
      <c r="E131" s="608"/>
      <c r="F131" s="608"/>
      <c r="G131" s="2677"/>
      <c r="H131" s="2678"/>
      <c r="I131" s="2679"/>
      <c r="J131" s="2680"/>
      <c r="K131" s="2399">
        <f>'6. T3 TASE'!G89/1000</f>
        <v>0</v>
      </c>
      <c r="L131" s="2378"/>
      <c r="M131" s="2378">
        <f>'6. T3 TASE'!H89/1000</f>
        <v>0</v>
      </c>
      <c r="N131" s="2378"/>
      <c r="O131" s="2378">
        <f>'6. T3 TASE'!I89/1000</f>
        <v>0</v>
      </c>
      <c r="P131" s="2378"/>
      <c r="Q131" s="2378">
        <f>'6. T3 TASE'!J89/1000</f>
        <v>0</v>
      </c>
      <c r="R131" s="2379"/>
    </row>
    <row r="132" spans="2:18" x14ac:dyDescent="0.2">
      <c r="B132" s="738">
        <v>0</v>
      </c>
      <c r="C132" s="608" t="s">
        <v>644</v>
      </c>
      <c r="D132" s="608"/>
      <c r="E132" s="608"/>
      <c r="F132" s="608"/>
      <c r="G132" s="2677"/>
      <c r="H132" s="2678"/>
      <c r="I132" s="2679"/>
      <c r="J132" s="2680"/>
      <c r="K132" s="2399">
        <f>'6. T3 TASE'!G94/1000</f>
        <v>0</v>
      </c>
      <c r="L132" s="2378"/>
      <c r="M132" s="2378">
        <f>'6. T3 TASE'!H94/1000</f>
        <v>0</v>
      </c>
      <c r="N132" s="2378"/>
      <c r="O132" s="2378">
        <f>'6. T3 TASE'!I94/1000</f>
        <v>0</v>
      </c>
      <c r="P132" s="2378"/>
      <c r="Q132" s="2378">
        <f>'6. T3 TASE'!J94/1000</f>
        <v>0</v>
      </c>
      <c r="R132" s="2379"/>
    </row>
    <row r="133" spans="2:18" ht="20.100000000000001" customHeight="1" x14ac:dyDescent="0.2">
      <c r="B133" s="1227">
        <v>0</v>
      </c>
      <c r="C133" s="1608" t="s">
        <v>568</v>
      </c>
      <c r="D133" s="1226"/>
      <c r="E133" s="1226"/>
      <c r="F133" s="1226"/>
      <c r="G133" s="2538"/>
      <c r="H133" s="2539"/>
      <c r="I133" s="2675"/>
      <c r="J133" s="2676"/>
      <c r="K133" s="2558">
        <f>'6. T3 TASE'!G98/1000</f>
        <v>0</v>
      </c>
      <c r="L133" s="2558"/>
      <c r="M133" s="2558">
        <f>'6. T3 TASE'!H98/1000</f>
        <v>0</v>
      </c>
      <c r="N133" s="2558"/>
      <c r="O133" s="2558">
        <f>'6. T3 TASE'!I98/1000</f>
        <v>0</v>
      </c>
      <c r="P133" s="2558"/>
      <c r="Q133" s="2558">
        <f>'6. T3 TASE'!J98/1000</f>
        <v>0</v>
      </c>
      <c r="R133" s="2558"/>
    </row>
    <row r="134" spans="2:18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</row>
    <row r="135" spans="2:18" x14ac:dyDescent="0.2">
      <c r="B135" s="2671" t="s">
        <v>853</v>
      </c>
      <c r="C135" s="2672"/>
      <c r="D135" s="2672"/>
      <c r="E135" s="2672"/>
      <c r="F135" s="2672"/>
      <c r="G135" s="2672"/>
      <c r="H135" s="2672"/>
      <c r="I135" s="2672"/>
      <c r="J135" s="2672"/>
      <c r="K135" s="2374" t="str">
        <f>K110</f>
        <v>YEAR</v>
      </c>
      <c r="L135" s="2373"/>
      <c r="M135" s="2374" t="str">
        <f>M110</f>
        <v>YEAR</v>
      </c>
      <c r="N135" s="2373"/>
      <c r="O135" s="2374" t="str">
        <f>O110</f>
        <v>YEAR</v>
      </c>
      <c r="P135" s="2373"/>
      <c r="Q135" s="2374" t="str">
        <f>Q110</f>
        <v>YEAR</v>
      </c>
      <c r="R135" s="2373"/>
    </row>
    <row r="136" spans="2:18" x14ac:dyDescent="0.2">
      <c r="B136" s="2673"/>
      <c r="C136" s="2674"/>
      <c r="D136" s="2674"/>
      <c r="E136" s="2674"/>
      <c r="F136" s="2674"/>
      <c r="G136" s="2674"/>
      <c r="H136" s="2674"/>
      <c r="I136" s="2674"/>
      <c r="J136" s="2674"/>
      <c r="K136" s="2552">
        <f>K111</f>
        <v>2027</v>
      </c>
      <c r="L136" s="2553"/>
      <c r="M136" s="2552">
        <f>M111</f>
        <v>2028</v>
      </c>
      <c r="N136" s="2553"/>
      <c r="O136" s="2552">
        <f>O111</f>
        <v>2029</v>
      </c>
      <c r="P136" s="2553"/>
      <c r="Q136" s="2552">
        <f>Q111</f>
        <v>2030</v>
      </c>
      <c r="R136" s="2553"/>
    </row>
    <row r="137" spans="2:18" x14ac:dyDescent="0.2">
      <c r="B137" s="1228" t="s">
        <v>574</v>
      </c>
      <c r="C137" s="1229"/>
      <c r="D137" s="1230"/>
      <c r="E137" s="1230"/>
      <c r="F137" s="1230"/>
      <c r="G137" s="1231"/>
      <c r="H137" s="1232"/>
      <c r="I137" s="1232"/>
      <c r="J137" s="1232"/>
      <c r="K137" s="2559"/>
      <c r="L137" s="2559"/>
      <c r="M137" s="2559"/>
      <c r="N137" s="2559"/>
      <c r="O137" s="2559"/>
      <c r="P137" s="2559"/>
      <c r="Q137" s="2560"/>
      <c r="R137" s="2561"/>
    </row>
    <row r="138" spans="2:18" x14ac:dyDescent="0.2">
      <c r="B138" s="612" t="s">
        <v>2</v>
      </c>
      <c r="C138" s="2409" t="s">
        <v>569</v>
      </c>
      <c r="D138" s="2409"/>
      <c r="E138" s="2409"/>
      <c r="F138" s="2409"/>
      <c r="G138" s="2409"/>
      <c r="H138" s="607"/>
      <c r="I138" s="607"/>
      <c r="J138" s="613"/>
      <c r="K138" s="2562">
        <f>'5. T4 RAHOITUSSUUN.'!G15/1000</f>
        <v>0</v>
      </c>
      <c r="L138" s="2562"/>
      <c r="M138" s="2562">
        <f>'5. T4 RAHOITUSSUUN.'!H15/1000</f>
        <v>0</v>
      </c>
      <c r="N138" s="2562"/>
      <c r="O138" s="2562">
        <f>'5. T4 RAHOITUSSUUN.'!I15/1000</f>
        <v>0</v>
      </c>
      <c r="P138" s="2562"/>
      <c r="Q138" s="2562">
        <f>'5. T4 RAHOITUSSUUN.'!J15/1000</f>
        <v>0</v>
      </c>
      <c r="R138" s="2399"/>
    </row>
    <row r="139" spans="2:18" x14ac:dyDescent="0.2">
      <c r="B139" s="612" t="s">
        <v>3</v>
      </c>
      <c r="C139" s="2409" t="s">
        <v>570</v>
      </c>
      <c r="D139" s="2409"/>
      <c r="E139" s="2409"/>
      <c r="F139" s="2409"/>
      <c r="G139" s="2409"/>
      <c r="H139" s="607"/>
      <c r="I139" s="607"/>
      <c r="J139" s="613"/>
      <c r="K139" s="2562">
        <f>'5. T4 RAHOITUSSUUN.'!G16/1000</f>
        <v>0</v>
      </c>
      <c r="L139" s="2562"/>
      <c r="M139" s="2562">
        <f>'5. T4 RAHOITUSSUUN.'!H16/1000</f>
        <v>0</v>
      </c>
      <c r="N139" s="2562"/>
      <c r="O139" s="2562">
        <f>'5. T4 RAHOITUSSUUN.'!I16/1000</f>
        <v>0</v>
      </c>
      <c r="P139" s="2562"/>
      <c r="Q139" s="2562">
        <f>'5. T4 RAHOITUSSUUN.'!J16/1000</f>
        <v>0</v>
      </c>
      <c r="R139" s="2399"/>
    </row>
    <row r="140" spans="2:18" x14ac:dyDescent="0.2">
      <c r="B140" s="612" t="s">
        <v>4</v>
      </c>
      <c r="C140" s="2409" t="s">
        <v>571</v>
      </c>
      <c r="D140" s="2409"/>
      <c r="E140" s="2409"/>
      <c r="F140" s="2409"/>
      <c r="G140" s="2409"/>
      <c r="H140" s="607"/>
      <c r="I140" s="607"/>
      <c r="J140" s="613"/>
      <c r="K140" s="2562">
        <f>'5. T4 RAHOITUSSUUN.'!G17/1000</f>
        <v>0</v>
      </c>
      <c r="L140" s="2562"/>
      <c r="M140" s="2562">
        <f>'5. T4 RAHOITUSSUUN.'!H17/1000</f>
        <v>0</v>
      </c>
      <c r="N140" s="2562"/>
      <c r="O140" s="2562">
        <f>'5. T4 RAHOITUSSUUN.'!I17/1000</f>
        <v>0</v>
      </c>
      <c r="P140" s="2562"/>
      <c r="Q140" s="2562">
        <f>'5. T4 RAHOITUSSUUN.'!J17/1000</f>
        <v>0</v>
      </c>
      <c r="R140" s="2399"/>
    </row>
    <row r="141" spans="2:18" x14ac:dyDescent="0.2">
      <c r="B141" s="612" t="s">
        <v>5</v>
      </c>
      <c r="C141" s="2409" t="s">
        <v>852</v>
      </c>
      <c r="D141" s="2409"/>
      <c r="E141" s="2409"/>
      <c r="F141" s="2409"/>
      <c r="G141" s="2409"/>
      <c r="H141" s="607"/>
      <c r="I141" s="607"/>
      <c r="J141" s="613"/>
      <c r="K141" s="2562">
        <f>'5. T4 RAHOITUSSUUN.'!G18/1000</f>
        <v>0</v>
      </c>
      <c r="L141" s="2562"/>
      <c r="M141" s="2562">
        <f>'5. T4 RAHOITUSSUUN.'!H18/1000</f>
        <v>0</v>
      </c>
      <c r="N141" s="2562"/>
      <c r="O141" s="2562">
        <f>'5. T4 RAHOITUSSUUN.'!I18/1000</f>
        <v>0</v>
      </c>
      <c r="P141" s="2562"/>
      <c r="Q141" s="2562">
        <f>'5. T4 RAHOITUSSUUN.'!J18/1000</f>
        <v>0</v>
      </c>
      <c r="R141" s="2399"/>
    </row>
    <row r="142" spans="2:18" x14ac:dyDescent="0.2">
      <c r="B142" s="612" t="s">
        <v>6</v>
      </c>
      <c r="C142" s="2409" t="s">
        <v>572</v>
      </c>
      <c r="D142" s="2409"/>
      <c r="E142" s="2409"/>
      <c r="F142" s="2409"/>
      <c r="G142" s="2409"/>
      <c r="H142" s="607"/>
      <c r="I142" s="607"/>
      <c r="J142" s="613"/>
      <c r="K142" s="2562">
        <f>'5. T4 RAHOITUSSUUN.'!G19/1000</f>
        <v>0</v>
      </c>
      <c r="L142" s="2562"/>
      <c r="M142" s="2562">
        <f>'5. T4 RAHOITUSSUUN.'!H19/1000</f>
        <v>0</v>
      </c>
      <c r="N142" s="2562"/>
      <c r="O142" s="2562">
        <f>'5. T4 RAHOITUSSUUN.'!I19/1000</f>
        <v>0</v>
      </c>
      <c r="P142" s="2562"/>
      <c r="Q142" s="2562">
        <f>'5. T4 RAHOITUSSUUN.'!J19/1000</f>
        <v>0</v>
      </c>
      <c r="R142" s="2399"/>
    </row>
    <row r="143" spans="2:18" x14ac:dyDescent="0.2">
      <c r="B143" s="612" t="s">
        <v>7</v>
      </c>
      <c r="C143" s="2412" t="s">
        <v>575</v>
      </c>
      <c r="D143" s="2412"/>
      <c r="E143" s="2412"/>
      <c r="F143" s="2412"/>
      <c r="G143" s="2412"/>
      <c r="H143" s="2412"/>
      <c r="I143" s="2412"/>
      <c r="J143" s="2563"/>
      <c r="K143" s="2562">
        <f>'5. T4 RAHOITUSSUUN.'!G20/1000</f>
        <v>0</v>
      </c>
      <c r="L143" s="2562"/>
      <c r="M143" s="2562">
        <f>'5. T4 RAHOITUSSUUN.'!H20/1000</f>
        <v>0</v>
      </c>
      <c r="N143" s="2562"/>
      <c r="O143" s="2562">
        <f>'5. T4 RAHOITUSSUUN.'!I20/1000</f>
        <v>0</v>
      </c>
      <c r="P143" s="2562"/>
      <c r="Q143" s="2562">
        <f>'5. T4 RAHOITUSSUUN.'!J20/1000</f>
        <v>0</v>
      </c>
      <c r="R143" s="2399"/>
    </row>
    <row r="144" spans="2:18" ht="18" customHeight="1" x14ac:dyDescent="0.2">
      <c r="B144" s="625" t="s">
        <v>8</v>
      </c>
      <c r="C144" s="599" t="s">
        <v>573</v>
      </c>
      <c r="D144" s="599"/>
      <c r="E144" s="599"/>
      <c r="F144" s="599"/>
      <c r="G144" s="1233"/>
      <c r="H144" s="603"/>
      <c r="I144" s="603"/>
      <c r="J144" s="603"/>
      <c r="K144" s="2564">
        <f>'5. T4 RAHOITUSSUUN.'!G21/1000</f>
        <v>0</v>
      </c>
      <c r="L144" s="2564"/>
      <c r="M144" s="2564">
        <f>'5. T4 RAHOITUSSUUN.'!H21/1000</f>
        <v>0</v>
      </c>
      <c r="N144" s="2564"/>
      <c r="O144" s="2564">
        <f>'5. T4 RAHOITUSSUUN.'!I21/1000</f>
        <v>0</v>
      </c>
      <c r="P144" s="2564"/>
      <c r="Q144" s="2564">
        <f>'5. T4 RAHOITUSSUUN.'!J21/1000</f>
        <v>0</v>
      </c>
      <c r="R144" s="2402"/>
    </row>
    <row r="145" spans="2:18" x14ac:dyDescent="0.2">
      <c r="B145" s="1234" t="s">
        <v>576</v>
      </c>
      <c r="C145" s="1229"/>
      <c r="D145" s="1230"/>
      <c r="E145" s="1230"/>
      <c r="F145" s="1230"/>
      <c r="G145" s="1231"/>
      <c r="H145" s="1232"/>
      <c r="I145" s="1232"/>
      <c r="J145" s="1232"/>
      <c r="K145" s="2559"/>
      <c r="L145" s="2559"/>
      <c r="M145" s="2559"/>
      <c r="N145" s="2559"/>
      <c r="O145" s="2559"/>
      <c r="P145" s="2559"/>
      <c r="Q145" s="2560"/>
      <c r="R145" s="2561"/>
    </row>
    <row r="146" spans="2:18" x14ac:dyDescent="0.2">
      <c r="B146" s="612" t="s">
        <v>9</v>
      </c>
      <c r="C146" s="2409" t="s">
        <v>542</v>
      </c>
      <c r="D146" s="2409"/>
      <c r="E146" s="2409"/>
      <c r="F146" s="2409"/>
      <c r="G146" s="2409"/>
      <c r="H146" s="607"/>
      <c r="I146" s="607"/>
      <c r="J146" s="613"/>
      <c r="K146" s="2565">
        <f>('5. T4 RAHOITUSSUUN.'!G24+'5. T4 RAHOITUSSUUN.'!G25+'5. T4 RAHOITUSSUUN.'!G26)/1000</f>
        <v>0</v>
      </c>
      <c r="L146" s="2566"/>
      <c r="M146" s="2565">
        <f>('5. T4 RAHOITUSSUUN.'!H24+'5. T4 RAHOITUSSUUN.'!H25+'5. T4 RAHOITUSSUUN.'!H26)/1000</f>
        <v>0</v>
      </c>
      <c r="N146" s="2566"/>
      <c r="O146" s="2565">
        <f>('5. T4 RAHOITUSSUUN.'!I24+'5. T4 RAHOITUSSUUN.'!I25+'5. T4 RAHOITUSSUUN.'!I26)/1000</f>
        <v>0</v>
      </c>
      <c r="P146" s="2566"/>
      <c r="Q146" s="2565">
        <f>('5. T4 RAHOITUSSUUN.'!J24+'5. T4 RAHOITUSSUUN.'!J25+'5. T4 RAHOITUSSUUN.'!J26)/1000</f>
        <v>0</v>
      </c>
      <c r="R146" s="2567"/>
    </row>
    <row r="147" spans="2:18" x14ac:dyDescent="0.2">
      <c r="B147" s="612" t="s">
        <v>10</v>
      </c>
      <c r="C147" s="2409" t="s">
        <v>548</v>
      </c>
      <c r="D147" s="2409"/>
      <c r="E147" s="2409"/>
      <c r="F147" s="2409"/>
      <c r="G147" s="2409"/>
      <c r="H147" s="607"/>
      <c r="I147" s="607"/>
      <c r="J147" s="613"/>
      <c r="K147" s="2565">
        <f>('5. T4 RAHOITUSSUUN.'!G27)/1000</f>
        <v>0</v>
      </c>
      <c r="L147" s="2566"/>
      <c r="M147" s="2565">
        <f>('5. T4 RAHOITUSSUUN.'!H27)/1000</f>
        <v>0</v>
      </c>
      <c r="N147" s="2566"/>
      <c r="O147" s="2565">
        <f>('5. T4 RAHOITUSSUUN.'!I27)/1000</f>
        <v>0</v>
      </c>
      <c r="P147" s="2566"/>
      <c r="Q147" s="2565">
        <f>('5. T4 RAHOITUSSUUN.'!J27)/1000</f>
        <v>0</v>
      </c>
      <c r="R147" s="2567"/>
    </row>
    <row r="148" spans="2:18" x14ac:dyDescent="0.2">
      <c r="B148" s="612" t="s">
        <v>11</v>
      </c>
      <c r="C148" s="2409" t="s">
        <v>577</v>
      </c>
      <c r="D148" s="2409"/>
      <c r="E148" s="2409"/>
      <c r="F148" s="2409"/>
      <c r="G148" s="2409"/>
      <c r="H148" s="607"/>
      <c r="I148" s="607"/>
      <c r="J148" s="613"/>
      <c r="K148" s="2565">
        <f>('5. T4 RAHOITUSSUUN.'!G28)/1000</f>
        <v>0</v>
      </c>
      <c r="L148" s="2566"/>
      <c r="M148" s="2565">
        <f>('5. T4 RAHOITUSSUUN.'!H28)/1000</f>
        <v>0</v>
      </c>
      <c r="N148" s="2566"/>
      <c r="O148" s="2565">
        <f>('5. T4 RAHOITUSSUUN.'!I28)/1000</f>
        <v>0</v>
      </c>
      <c r="P148" s="2566"/>
      <c r="Q148" s="2565">
        <f>('5. T4 RAHOITUSSUUN.'!J28)/1000</f>
        <v>0</v>
      </c>
      <c r="R148" s="2567"/>
    </row>
    <row r="149" spans="2:18" x14ac:dyDescent="0.2">
      <c r="B149" s="612" t="s">
        <v>109</v>
      </c>
      <c r="C149" s="2412" t="s">
        <v>578</v>
      </c>
      <c r="D149" s="2412"/>
      <c r="E149" s="2412"/>
      <c r="F149" s="2412"/>
      <c r="G149" s="2412"/>
      <c r="H149" s="2412"/>
      <c r="I149" s="2412"/>
      <c r="J149" s="2563"/>
      <c r="K149" s="2565">
        <f>('5. T4 RAHOITUSSUUN.'!G29)/1000</f>
        <v>0</v>
      </c>
      <c r="L149" s="2566"/>
      <c r="M149" s="2565">
        <f>('5. T4 RAHOITUSSUUN.'!H29)/1000</f>
        <v>0</v>
      </c>
      <c r="N149" s="2566"/>
      <c r="O149" s="2565">
        <f>('5. T4 RAHOITUSSUUN.'!I29)/1000</f>
        <v>0</v>
      </c>
      <c r="P149" s="2566"/>
      <c r="Q149" s="2565">
        <f>('5. T4 RAHOITUSSUUN.'!J29)/1000</f>
        <v>0</v>
      </c>
      <c r="R149" s="2567"/>
    </row>
    <row r="150" spans="2:18" x14ac:dyDescent="0.2">
      <c r="B150" s="612" t="s">
        <v>110</v>
      </c>
      <c r="C150" s="2412" t="s">
        <v>582</v>
      </c>
      <c r="D150" s="2412"/>
      <c r="E150" s="2412"/>
      <c r="F150" s="2412"/>
      <c r="G150" s="1067"/>
      <c r="H150" s="1067"/>
      <c r="I150" s="1067"/>
      <c r="J150" s="1071"/>
      <c r="K150" s="2565">
        <f>('5. T4 RAHOITUSSUUN.'!G30)/1000</f>
        <v>0</v>
      </c>
      <c r="L150" s="2566"/>
      <c r="M150" s="2565">
        <f>('5. T4 RAHOITUSSUUN.'!H30)/1000</f>
        <v>0</v>
      </c>
      <c r="N150" s="2566"/>
      <c r="O150" s="2565">
        <f>('5. T4 RAHOITUSSUUN.'!I30)/1000</f>
        <v>0</v>
      </c>
      <c r="P150" s="2566"/>
      <c r="Q150" s="2565">
        <f>('5. T4 RAHOITUSSUUN.'!J30)/1000</f>
        <v>0</v>
      </c>
      <c r="R150" s="2566"/>
    </row>
    <row r="151" spans="2:18" ht="13.15" customHeight="1" x14ac:dyDescent="0.2">
      <c r="B151" s="612" t="s">
        <v>293</v>
      </c>
      <c r="C151" s="2412" t="s">
        <v>579</v>
      </c>
      <c r="D151" s="2412"/>
      <c r="E151" s="2412"/>
      <c r="F151" s="2412"/>
      <c r="G151" s="2412"/>
      <c r="H151" s="2412"/>
      <c r="I151" s="2412"/>
      <c r="J151" s="2563"/>
      <c r="K151" s="2568">
        <f>('5. T4 RAHOITUSSUUN.'!G31)/1000</f>
        <v>0</v>
      </c>
      <c r="L151" s="2569"/>
      <c r="M151" s="2565">
        <f>('5. T4 RAHOITUSSUUN.'!H31)/1000</f>
        <v>0</v>
      </c>
      <c r="N151" s="2566"/>
      <c r="O151" s="2565">
        <f>('5. T4 RAHOITUSSUUN.'!I31)/1000</f>
        <v>0</v>
      </c>
      <c r="P151" s="2566"/>
      <c r="Q151" s="2565">
        <f>('5. T4 RAHOITUSSUUN.'!J31)/1000</f>
        <v>0</v>
      </c>
      <c r="R151" s="2567"/>
    </row>
    <row r="152" spans="2:18" x14ac:dyDescent="0.2">
      <c r="B152" s="612" t="s">
        <v>111</v>
      </c>
      <c r="C152" s="2412" t="s">
        <v>580</v>
      </c>
      <c r="D152" s="2412"/>
      <c r="E152" s="2412"/>
      <c r="F152" s="2412"/>
      <c r="G152" s="1067"/>
      <c r="H152" s="1067"/>
      <c r="I152" s="1067"/>
      <c r="J152" s="1071"/>
      <c r="K152" s="2568">
        <f>('5. T4 RAHOITUSSUUN.'!G32)/1000</f>
        <v>0</v>
      </c>
      <c r="L152" s="2569"/>
      <c r="M152" s="2565">
        <f>('5. T4 RAHOITUSSUUN.'!H32)/1000</f>
        <v>0</v>
      </c>
      <c r="N152" s="2566"/>
      <c r="O152" s="2565">
        <f>('5. T4 RAHOITUSSUUN.'!I32)/1000</f>
        <v>0</v>
      </c>
      <c r="P152" s="2566"/>
      <c r="Q152" s="2565">
        <f>('5. T4 RAHOITUSSUUN.'!J32)/1000</f>
        <v>0</v>
      </c>
      <c r="R152" s="2567"/>
    </row>
    <row r="153" spans="2:18" x14ac:dyDescent="0.2">
      <c r="B153" s="612" t="s">
        <v>112</v>
      </c>
      <c r="C153" s="2412" t="s">
        <v>581</v>
      </c>
      <c r="D153" s="2412"/>
      <c r="E153" s="2412"/>
      <c r="F153" s="1067"/>
      <c r="G153" s="1067"/>
      <c r="H153" s="1067"/>
      <c r="I153" s="1067"/>
      <c r="J153" s="1071"/>
      <c r="K153" s="2568">
        <f>('5. T4 RAHOITUSSUUN.'!G33)/1000</f>
        <v>0</v>
      </c>
      <c r="L153" s="2569"/>
      <c r="M153" s="2565">
        <f>('5. T4 RAHOITUSSUUN.'!H33)/1000</f>
        <v>0</v>
      </c>
      <c r="N153" s="2566"/>
      <c r="O153" s="2565">
        <f>('5. T4 RAHOITUSSUUN.'!I33)/1000</f>
        <v>0</v>
      </c>
      <c r="P153" s="2566"/>
      <c r="Q153" s="2565">
        <f>('5. T4 RAHOITUSSUUN.'!J33)/1000</f>
        <v>0</v>
      </c>
      <c r="R153" s="2567"/>
    </row>
    <row r="154" spans="2:18" x14ac:dyDescent="0.2">
      <c r="B154" s="612" t="s">
        <v>113</v>
      </c>
      <c r="C154" s="2409" t="s">
        <v>583</v>
      </c>
      <c r="D154" s="2409"/>
      <c r="E154" s="2409"/>
      <c r="F154" s="2409"/>
      <c r="G154" s="2409"/>
      <c r="H154" s="607"/>
      <c r="I154" s="607"/>
      <c r="J154" s="613"/>
      <c r="K154" s="2568">
        <f>('5. T4 RAHOITUSSUUN.'!G34)/1000</f>
        <v>0</v>
      </c>
      <c r="L154" s="2569"/>
      <c r="M154" s="2565">
        <f>('5. T4 RAHOITUSSUUN.'!H34)/1000</f>
        <v>0</v>
      </c>
      <c r="N154" s="2566"/>
      <c r="O154" s="2565">
        <f>('5. T4 RAHOITUSSUUN.'!I34)/1000</f>
        <v>0</v>
      </c>
      <c r="P154" s="2566"/>
      <c r="Q154" s="2565">
        <f>('5. T4 RAHOITUSSUUN.'!J34)/1000</f>
        <v>0</v>
      </c>
      <c r="R154" s="2567"/>
    </row>
    <row r="155" spans="2:18" x14ac:dyDescent="0.2">
      <c r="B155" s="612" t="s">
        <v>114</v>
      </c>
      <c r="C155" s="2409" t="s">
        <v>584</v>
      </c>
      <c r="D155" s="2409"/>
      <c r="E155" s="2409"/>
      <c r="F155" s="2409"/>
      <c r="G155" s="2409"/>
      <c r="H155" s="607"/>
      <c r="I155" s="607"/>
      <c r="J155" s="613"/>
      <c r="K155" s="2565">
        <f>('5. T4 RAHOITUSSUUN.'!G35)/1000</f>
        <v>0</v>
      </c>
      <c r="L155" s="2566"/>
      <c r="M155" s="2565">
        <f>('5. T4 RAHOITUSSUUN.'!H35)/1000</f>
        <v>0</v>
      </c>
      <c r="N155" s="2566"/>
      <c r="O155" s="2565">
        <f>('5. T4 RAHOITUSSUUN.'!I35)/1000</f>
        <v>0</v>
      </c>
      <c r="P155" s="2566"/>
      <c r="Q155" s="2565">
        <f>('5. T4 RAHOITUSSUUN.'!J35)/1000</f>
        <v>0</v>
      </c>
      <c r="R155" s="2567"/>
    </row>
    <row r="156" spans="2:18" x14ac:dyDescent="0.2">
      <c r="B156" s="612" t="s">
        <v>115</v>
      </c>
      <c r="C156" s="614" t="s">
        <v>585</v>
      </c>
      <c r="D156" s="614"/>
      <c r="E156" s="614"/>
      <c r="F156" s="614"/>
      <c r="G156" s="614"/>
      <c r="H156" s="607"/>
      <c r="I156" s="607"/>
      <c r="J156" s="613"/>
      <c r="K156" s="2565">
        <f>('5. T4 RAHOITUSSUUN.'!G36)/1000</f>
        <v>0</v>
      </c>
      <c r="L156" s="2566"/>
      <c r="M156" s="2565">
        <f>('5. T4 RAHOITUSSUUN.'!H36)/1000</f>
        <v>0</v>
      </c>
      <c r="N156" s="2566"/>
      <c r="O156" s="2565">
        <f>('5. T4 RAHOITUSSUUN.'!I36)/1000</f>
        <v>0</v>
      </c>
      <c r="P156" s="2566"/>
      <c r="Q156" s="2565">
        <f>('5. T4 RAHOITUSSUUN.'!J36)/1000</f>
        <v>0</v>
      </c>
      <c r="R156" s="2567"/>
    </row>
    <row r="157" spans="2:18" x14ac:dyDescent="0.2">
      <c r="B157" s="612" t="s">
        <v>116</v>
      </c>
      <c r="C157" s="2409" t="s">
        <v>586</v>
      </c>
      <c r="D157" s="2409"/>
      <c r="E157" s="2409"/>
      <c r="F157" s="2409"/>
      <c r="G157" s="2409"/>
      <c r="H157" s="607"/>
      <c r="I157" s="607"/>
      <c r="J157" s="613"/>
      <c r="K157" s="2565">
        <f>('5. T4 RAHOITUSSUUN.'!G37)/1000</f>
        <v>0</v>
      </c>
      <c r="L157" s="2566"/>
      <c r="M157" s="2565">
        <f>('5. T4 RAHOITUSSUUN.'!H37)/1000</f>
        <v>0</v>
      </c>
      <c r="N157" s="2566"/>
      <c r="O157" s="2565">
        <f>('5. T4 RAHOITUSSUUN.'!I37)/1000</f>
        <v>0</v>
      </c>
      <c r="P157" s="2566"/>
      <c r="Q157" s="2565">
        <f>('5. T4 RAHOITUSSUUN.'!J37)/1000</f>
        <v>0</v>
      </c>
      <c r="R157" s="2567"/>
    </row>
    <row r="158" spans="2:18" x14ac:dyDescent="0.2">
      <c r="B158" s="612" t="s">
        <v>33</v>
      </c>
      <c r="C158" s="545" t="s">
        <v>587</v>
      </c>
      <c r="D158" s="545"/>
      <c r="E158" s="545"/>
      <c r="F158" s="545"/>
      <c r="G158" s="545"/>
      <c r="H158" s="607"/>
      <c r="I158" s="607"/>
      <c r="J158" s="613"/>
      <c r="K158" s="2565">
        <f>('5. T4 RAHOITUSSUUN.'!G38)/1000</f>
        <v>0</v>
      </c>
      <c r="L158" s="2566"/>
      <c r="M158" s="2565">
        <f>('5. T4 RAHOITUSSUUN.'!H38)/1000</f>
        <v>0</v>
      </c>
      <c r="N158" s="2566"/>
      <c r="O158" s="2565">
        <f>('5. T4 RAHOITUSSUUN.'!I38)/1000</f>
        <v>0</v>
      </c>
      <c r="P158" s="2566"/>
      <c r="Q158" s="2565">
        <f>('5. T4 RAHOITUSSUUN.'!J38)/1000</f>
        <v>0</v>
      </c>
      <c r="R158" s="2567"/>
    </row>
    <row r="159" spans="2:18" x14ac:dyDescent="0.2">
      <c r="B159" s="612" t="s">
        <v>311</v>
      </c>
      <c r="C159" s="2409" t="s">
        <v>588</v>
      </c>
      <c r="D159" s="2409"/>
      <c r="E159" s="2409"/>
      <c r="F159" s="2409"/>
      <c r="G159" s="2409"/>
      <c r="H159" s="607"/>
      <c r="I159" s="607"/>
      <c r="J159" s="613"/>
      <c r="K159" s="2565">
        <f>('5. T4 RAHOITUSSUUN.'!G39)/1000</f>
        <v>0</v>
      </c>
      <c r="L159" s="2566"/>
      <c r="M159" s="2565">
        <f>('5. T4 RAHOITUSSUUN.'!H39)/1000</f>
        <v>0</v>
      </c>
      <c r="N159" s="2566"/>
      <c r="O159" s="2565">
        <f>('5. T4 RAHOITUSSUUN.'!I39)/1000</f>
        <v>0</v>
      </c>
      <c r="P159" s="2566"/>
      <c r="Q159" s="2565">
        <f>('5. T4 RAHOITUSSUUN.'!J39)/1000</f>
        <v>0</v>
      </c>
      <c r="R159" s="2567"/>
    </row>
    <row r="160" spans="2:18" x14ac:dyDescent="0.2">
      <c r="B160" s="612" t="s">
        <v>312</v>
      </c>
      <c r="C160" s="2409" t="s">
        <v>542</v>
      </c>
      <c r="D160" s="2409"/>
      <c r="E160" s="2409"/>
      <c r="F160" s="2409"/>
      <c r="G160" s="2409"/>
      <c r="H160" s="607"/>
      <c r="I160" s="607"/>
      <c r="J160" s="613"/>
      <c r="K160" s="2565">
        <f>('5. T4 RAHOITUSSUUN.'!G40)/1000</f>
        <v>0</v>
      </c>
      <c r="L160" s="2566"/>
      <c r="M160" s="2565">
        <f>('5. T4 RAHOITUSSUUN.'!H40)/1000</f>
        <v>0</v>
      </c>
      <c r="N160" s="2566"/>
      <c r="O160" s="2565">
        <f>('5. T4 RAHOITUSSUUN.'!I40)/1000</f>
        <v>0</v>
      </c>
      <c r="P160" s="2566"/>
      <c r="Q160" s="2565">
        <f>('5. T4 RAHOITUSSUUN.'!J40)/1000</f>
        <v>0</v>
      </c>
      <c r="R160" s="2567"/>
    </row>
    <row r="161" spans="2:18" ht="18" customHeight="1" x14ac:dyDescent="0.2">
      <c r="B161" s="612" t="s">
        <v>316</v>
      </c>
      <c r="C161" s="615" t="s">
        <v>573</v>
      </c>
      <c r="D161" s="615"/>
      <c r="E161" s="615"/>
      <c r="F161" s="615"/>
      <c r="G161" s="616"/>
      <c r="H161" s="606"/>
      <c r="I161" s="606"/>
      <c r="J161" s="617"/>
      <c r="K161" s="2579">
        <f>('5. T4 RAHOITUSSUUN.'!G41)/1000</f>
        <v>0</v>
      </c>
      <c r="L161" s="2580"/>
      <c r="M161" s="2579">
        <f>('5. T4 RAHOITUSSUUN.'!H41)/1000</f>
        <v>0</v>
      </c>
      <c r="N161" s="2580"/>
      <c r="O161" s="2579">
        <f>('5. T4 RAHOITUSSUUN.'!I41)/1000</f>
        <v>0</v>
      </c>
      <c r="P161" s="2580"/>
      <c r="Q161" s="2579">
        <f>('5. T4 RAHOITUSSUUN.'!J41)/1000</f>
        <v>0</v>
      </c>
      <c r="R161" s="2600"/>
    </row>
    <row r="162" spans="2:18" x14ac:dyDescent="0.2">
      <c r="B162" s="612" t="s">
        <v>323</v>
      </c>
      <c r="C162" s="614" t="s">
        <v>589</v>
      </c>
      <c r="D162" s="614"/>
      <c r="E162" s="614"/>
      <c r="F162" s="614"/>
      <c r="G162" s="614"/>
      <c r="H162" s="607"/>
      <c r="I162" s="607"/>
      <c r="J162" s="613"/>
      <c r="K162" s="2565">
        <f>('5. T4 RAHOITUSSUUN.'!G42)/1000</f>
        <v>0</v>
      </c>
      <c r="L162" s="2566"/>
      <c r="M162" s="2565">
        <f>('5. T4 RAHOITUSSUUN.'!H42)/1000</f>
        <v>0</v>
      </c>
      <c r="N162" s="2566"/>
      <c r="O162" s="2565">
        <f>('5. T4 RAHOITUSSUUN.'!I42)/1000</f>
        <v>0</v>
      </c>
      <c r="P162" s="2566"/>
      <c r="Q162" s="2565">
        <f>('5. T4 RAHOITUSSUUN.'!J42)/1000</f>
        <v>0</v>
      </c>
      <c r="R162" s="2567"/>
    </row>
    <row r="163" spans="2:18" x14ac:dyDescent="0.2">
      <c r="B163" s="625" t="s">
        <v>326</v>
      </c>
      <c r="C163" s="1235" t="s">
        <v>590</v>
      </c>
      <c r="D163" s="1235"/>
      <c r="E163" s="1235"/>
      <c r="F163" s="1235"/>
      <c r="G163" s="1162">
        <v>0</v>
      </c>
      <c r="H163" s="603"/>
      <c r="I163" s="603"/>
      <c r="J163" s="603"/>
      <c r="K163" s="2579">
        <f>('5. T4 RAHOITUSSUUN.'!G43)/1000</f>
        <v>0</v>
      </c>
      <c r="L163" s="2580"/>
      <c r="M163" s="2579">
        <f>('5. T4 RAHOITUSSUUN.'!H43)/1000</f>
        <v>0</v>
      </c>
      <c r="N163" s="2580"/>
      <c r="O163" s="2579">
        <f>('5. T4 RAHOITUSSUUN.'!I43)/1000</f>
        <v>0</v>
      </c>
      <c r="P163" s="2580"/>
      <c r="Q163" s="2579">
        <f>('5. T4 RAHOITUSSUUN.'!J43)/1000</f>
        <v>0</v>
      </c>
      <c r="R163" s="2600"/>
    </row>
    <row r="164" spans="2:18" x14ac:dyDescent="0.2">
      <c r="B164" s="130"/>
      <c r="C164" s="455"/>
      <c r="D164" s="455"/>
      <c r="E164" s="455"/>
      <c r="F164" s="455"/>
      <c r="G164" s="464"/>
      <c r="H164" s="439"/>
      <c r="I164" s="439"/>
      <c r="J164" s="439"/>
      <c r="K164" s="727"/>
      <c r="L164" s="727"/>
      <c r="M164" s="727"/>
      <c r="N164" s="727"/>
      <c r="O164" s="727"/>
      <c r="P164" s="727"/>
      <c r="Q164" s="727"/>
      <c r="R164" s="727"/>
    </row>
    <row r="165" spans="2:18" x14ac:dyDescent="0.2">
      <c r="B165" s="417" t="str">
        <f>B82</f>
        <v>BusinessPilot offered by</v>
      </c>
      <c r="C165" s="415"/>
      <c r="D165" s="415"/>
      <c r="E165" s="415"/>
      <c r="F165" s="415"/>
      <c r="G165" s="416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639"/>
    </row>
    <row r="166" spans="2:18" x14ac:dyDescent="0.2">
      <c r="B166" s="2334" t="str">
        <f>OHJE!G8</f>
        <v>Kehittämisyhtiö Witas Oy</v>
      </c>
      <c r="C166" s="2334"/>
      <c r="D166" s="2334"/>
      <c r="E166" s="2334"/>
      <c r="F166" s="2334"/>
      <c r="G166" s="2334"/>
      <c r="H166" s="2334"/>
      <c r="I166" s="2334"/>
      <c r="J166" s="2334"/>
      <c r="K166" s="2334"/>
      <c r="L166" s="2334"/>
      <c r="M166" s="2334"/>
      <c r="N166" s="85"/>
      <c r="O166" s="85"/>
      <c r="P166" s="85"/>
      <c r="Q166" s="85"/>
      <c r="R166" s="85" t="s">
        <v>438</v>
      </c>
    </row>
    <row r="167" spans="2:18" x14ac:dyDescent="0.2">
      <c r="B167" s="130"/>
      <c r="C167" s="455"/>
      <c r="D167" s="455"/>
      <c r="E167" s="455"/>
      <c r="F167" s="455"/>
      <c r="G167" s="464"/>
      <c r="H167" s="439"/>
      <c r="I167" s="439"/>
      <c r="J167" s="439"/>
      <c r="K167" s="636"/>
      <c r="L167" s="636"/>
      <c r="M167" s="636"/>
      <c r="N167" s="636"/>
      <c r="O167" s="636"/>
      <c r="P167" s="636"/>
      <c r="Q167" s="636"/>
      <c r="R167" s="636"/>
    </row>
    <row r="168" spans="2:18" x14ac:dyDescent="0.2">
      <c r="B168" s="184" t="s">
        <v>0</v>
      </c>
      <c r="C168" s="483" t="s">
        <v>0</v>
      </c>
      <c r="F168" s="138"/>
      <c r="G168" s="129"/>
      <c r="H168" s="129"/>
      <c r="I168" s="129"/>
      <c r="J168" s="129"/>
      <c r="L168" s="129"/>
      <c r="M168" s="2589"/>
      <c r="N168" s="2590"/>
      <c r="O168" s="544"/>
      <c r="P168" s="544"/>
      <c r="Q168" s="420"/>
      <c r="R168" s="153"/>
    </row>
    <row r="169" spans="2:18" ht="2.1" customHeight="1" x14ac:dyDescent="0.2">
      <c r="B169" s="2337">
        <f>B7</f>
        <v>0</v>
      </c>
      <c r="C169" s="2337"/>
      <c r="D169" s="2337"/>
      <c r="E169" s="2337"/>
      <c r="F169" s="2337"/>
      <c r="G169" s="2337"/>
      <c r="H169" s="2337"/>
      <c r="I169" s="2337"/>
      <c r="J169" s="2337"/>
      <c r="L169" s="544"/>
      <c r="M169" s="2604"/>
      <c r="N169" s="2604"/>
      <c r="O169" s="544"/>
      <c r="P169" s="544"/>
      <c r="Q169" s="420"/>
      <c r="R169" s="153"/>
    </row>
    <row r="170" spans="2:18" ht="2.1" customHeight="1" x14ac:dyDescent="0.2">
      <c r="B170" s="184"/>
      <c r="C170" s="483"/>
      <c r="F170" s="439"/>
      <c r="G170" s="411"/>
      <c r="H170" s="543"/>
      <c r="I170" s="544"/>
      <c r="J170" s="544"/>
      <c r="L170" s="544"/>
      <c r="M170" s="735"/>
      <c r="N170" s="735"/>
      <c r="O170" s="544"/>
      <c r="P170" s="544"/>
      <c r="Q170" s="420"/>
      <c r="R170" s="153"/>
    </row>
    <row r="171" spans="2:18" ht="2.1" customHeight="1" x14ac:dyDescent="0.2">
      <c r="B171" s="417"/>
      <c r="C171" s="418"/>
      <c r="D171" s="418"/>
      <c r="E171" s="418"/>
      <c r="F171" s="418"/>
      <c r="G171" s="419"/>
      <c r="H171" s="411"/>
      <c r="I171" s="543"/>
      <c r="J171" s="544"/>
      <c r="K171" s="544"/>
      <c r="L171" s="544"/>
      <c r="M171" s="544"/>
      <c r="N171" s="544"/>
      <c r="O171" s="544"/>
      <c r="P171" s="544"/>
      <c r="Q171" s="420"/>
      <c r="R171" s="153"/>
    </row>
    <row r="172" spans="2:18" ht="12.4" customHeight="1" x14ac:dyDescent="0.2">
      <c r="B172" s="2665" t="s">
        <v>595</v>
      </c>
      <c r="C172" s="2666"/>
      <c r="D172" s="2666"/>
      <c r="E172" s="2666"/>
      <c r="F172" s="2666"/>
      <c r="G172" s="2666"/>
      <c r="H172" s="2666"/>
      <c r="I172" s="2666"/>
      <c r="J172" s="2667"/>
      <c r="K172" s="2570" t="str">
        <f>K135</f>
        <v>YEAR</v>
      </c>
      <c r="L172" s="2571"/>
      <c r="M172" s="2570" t="str">
        <f>M135</f>
        <v>YEAR</v>
      </c>
      <c r="N172" s="2571"/>
      <c r="O172" s="2570" t="str">
        <f>O135</f>
        <v>YEAR</v>
      </c>
      <c r="P172" s="2571"/>
      <c r="Q172" s="2570" t="str">
        <f>Q135</f>
        <v>YEAR</v>
      </c>
      <c r="R172" s="2571"/>
    </row>
    <row r="173" spans="2:18" x14ac:dyDescent="0.2">
      <c r="B173" s="2668"/>
      <c r="C173" s="2669"/>
      <c r="D173" s="2669"/>
      <c r="E173" s="2669"/>
      <c r="F173" s="2669"/>
      <c r="G173" s="2669"/>
      <c r="H173" s="2669"/>
      <c r="I173" s="2669"/>
      <c r="J173" s="2670"/>
      <c r="K173" s="2599">
        <f>K136</f>
        <v>2027</v>
      </c>
      <c r="L173" s="2528"/>
      <c r="M173" s="2599">
        <f>M136</f>
        <v>2028</v>
      </c>
      <c r="N173" s="2528"/>
      <c r="O173" s="2599">
        <f>O136</f>
        <v>2029</v>
      </c>
      <c r="P173" s="2528"/>
      <c r="Q173" s="2599">
        <f>Q136</f>
        <v>2030</v>
      </c>
      <c r="R173" s="2528"/>
    </row>
    <row r="174" spans="2:18" x14ac:dyDescent="0.2">
      <c r="B174" s="1159" t="s">
        <v>326</v>
      </c>
      <c r="C174" s="253" t="s">
        <v>544</v>
      </c>
      <c r="D174" s="253"/>
      <c r="E174" s="253"/>
      <c r="F174" s="253"/>
      <c r="G174" s="464"/>
      <c r="H174" s="439"/>
      <c r="I174" s="1155"/>
      <c r="J174" s="1156" t="s">
        <v>30</v>
      </c>
      <c r="K174" s="2587">
        <f>'5. T4 RAHOITUSSUUN.'!G47/1000</f>
        <v>0</v>
      </c>
      <c r="L174" s="2588"/>
      <c r="M174" s="2587">
        <f>'5. T4 RAHOITUSSUUN.'!H47/1000</f>
        <v>0</v>
      </c>
      <c r="N174" s="2588"/>
      <c r="O174" s="2587">
        <f>'5. T4 RAHOITUSSUUN.'!I47/1000</f>
        <v>0</v>
      </c>
      <c r="P174" s="2588"/>
      <c r="Q174" s="2587">
        <f>'5. T4 RAHOITUSSUUN.'!J47/1000</f>
        <v>0</v>
      </c>
      <c r="R174" s="2588"/>
    </row>
    <row r="175" spans="2:18" x14ac:dyDescent="0.2">
      <c r="B175" s="618"/>
      <c r="C175" s="2413" t="s">
        <v>545</v>
      </c>
      <c r="D175" s="2413"/>
      <c r="E175" s="2413"/>
      <c r="F175" s="2413"/>
      <c r="G175" s="2413"/>
      <c r="H175" s="2413"/>
      <c r="I175" s="2413"/>
      <c r="J175" s="602"/>
      <c r="K175" s="2585">
        <f>'5. T4 RAHOITUSSUUN.'!G48</f>
        <v>0</v>
      </c>
      <c r="L175" s="2586"/>
      <c r="M175" s="2585">
        <f>'5. T4 RAHOITUSSUUN.'!H48</f>
        <v>0</v>
      </c>
      <c r="N175" s="2586"/>
      <c r="O175" s="2585">
        <f>'5. T4 RAHOITUSSUUN.'!I48</f>
        <v>0</v>
      </c>
      <c r="P175" s="2586"/>
      <c r="Q175" s="2585">
        <f>'5. T4 RAHOITUSSUUN.'!J48</f>
        <v>0</v>
      </c>
      <c r="R175" s="2586"/>
    </row>
    <row r="176" spans="2:18" x14ac:dyDescent="0.2">
      <c r="B176" s="1160" t="s">
        <v>327</v>
      </c>
      <c r="C176" s="545" t="s">
        <v>597</v>
      </c>
      <c r="D176" s="545"/>
      <c r="E176" s="545"/>
      <c r="F176" s="545"/>
      <c r="G176" s="619"/>
      <c r="H176" s="606"/>
      <c r="I176" s="620"/>
      <c r="J176" s="621" t="s">
        <v>30</v>
      </c>
      <c r="K176" s="2572">
        <f>'5. T4 RAHOITUSSUUN.'!G49/1000</f>
        <v>0</v>
      </c>
      <c r="L176" s="2573"/>
      <c r="M176" s="2572">
        <f>'5. T4 RAHOITUSSUUN.'!H49/1000</f>
        <v>0</v>
      </c>
      <c r="N176" s="2573"/>
      <c r="O176" s="2572">
        <f>'5. T4 RAHOITUSSUUN.'!I49/1000</f>
        <v>0</v>
      </c>
      <c r="P176" s="2573"/>
      <c r="Q176" s="2572">
        <f>'5. T4 RAHOITUSSUUN.'!J49/1000</f>
        <v>0</v>
      </c>
      <c r="R176" s="2573"/>
    </row>
    <row r="177" spans="2:24" x14ac:dyDescent="0.2">
      <c r="B177" s="618"/>
      <c r="C177" s="2414" t="s">
        <v>596</v>
      </c>
      <c r="D177" s="2414"/>
      <c r="E177" s="2414"/>
      <c r="F177" s="2414"/>
      <c r="G177" s="2414"/>
      <c r="H177" s="2414"/>
      <c r="I177" s="2414"/>
      <c r="J177" s="1157"/>
      <c r="K177" s="2601">
        <f>'5. T4 RAHOITUSSUUN.'!G50</f>
        <v>14</v>
      </c>
      <c r="L177" s="2602"/>
      <c r="M177" s="2601">
        <f>'5. T4 RAHOITUSSUUN.'!H50</f>
        <v>14</v>
      </c>
      <c r="N177" s="2602"/>
      <c r="O177" s="2601">
        <f>'5. T4 RAHOITUSSUUN.'!I50</f>
        <v>14</v>
      </c>
      <c r="P177" s="2602"/>
      <c r="Q177" s="2601">
        <f>'5. T4 RAHOITUSSUUN.'!J50</f>
        <v>14</v>
      </c>
      <c r="R177" s="2602"/>
    </row>
    <row r="178" spans="2:24" x14ac:dyDescent="0.2">
      <c r="B178" s="1160" t="s">
        <v>328</v>
      </c>
      <c r="C178" s="545" t="s">
        <v>598</v>
      </c>
      <c r="D178" s="545"/>
      <c r="E178" s="545"/>
      <c r="F178" s="545"/>
      <c r="G178" s="619"/>
      <c r="H178" s="606"/>
      <c r="I178" s="620"/>
      <c r="J178" s="621" t="s">
        <v>30</v>
      </c>
      <c r="K178" s="2572">
        <f>'5. T4 RAHOITUSSUUN.'!G51/1000</f>
        <v>0</v>
      </c>
      <c r="L178" s="2573"/>
      <c r="M178" s="2572">
        <f>'5. T4 RAHOITUSSUUN.'!H51/1000</f>
        <v>0</v>
      </c>
      <c r="N178" s="2573"/>
      <c r="O178" s="2572">
        <f>'5. T4 RAHOITUSSUUN.'!I51/1000</f>
        <v>0</v>
      </c>
      <c r="P178" s="2573"/>
      <c r="Q178" s="2572">
        <f>'5. T4 RAHOITUSSUUN.'!J51/1000</f>
        <v>0</v>
      </c>
      <c r="R178" s="2573"/>
    </row>
    <row r="179" spans="2:24" x14ac:dyDescent="0.2">
      <c r="B179" s="1160" t="s">
        <v>329</v>
      </c>
      <c r="C179" s="545" t="s">
        <v>599</v>
      </c>
      <c r="D179" s="545"/>
      <c r="E179" s="545"/>
      <c r="F179" s="545"/>
      <c r="G179" s="619"/>
      <c r="H179" s="606"/>
      <c r="I179" s="620"/>
      <c r="J179" s="621" t="s">
        <v>30</v>
      </c>
      <c r="K179" s="2572">
        <f>'5. T4 RAHOITUSSUUN.'!G52/1000</f>
        <v>0</v>
      </c>
      <c r="L179" s="2573"/>
      <c r="M179" s="2572">
        <f>'5. T4 RAHOITUSSUUN.'!H52/1000</f>
        <v>0</v>
      </c>
      <c r="N179" s="2573"/>
      <c r="O179" s="2572">
        <f>'5. T4 RAHOITUSSUUN.'!I52/1000</f>
        <v>0</v>
      </c>
      <c r="P179" s="2573"/>
      <c r="Q179" s="2572">
        <f>'5. T4 RAHOITUSSUUN.'!J52/1000</f>
        <v>0</v>
      </c>
      <c r="R179" s="2573"/>
    </row>
    <row r="180" spans="2:24" x14ac:dyDescent="0.2">
      <c r="B180" s="1160" t="s">
        <v>330</v>
      </c>
      <c r="C180" s="545" t="s">
        <v>603</v>
      </c>
      <c r="D180" s="545"/>
      <c r="E180" s="545"/>
      <c r="F180" s="545"/>
      <c r="G180" s="619"/>
      <c r="H180" s="606"/>
      <c r="I180" s="620"/>
      <c r="J180" s="621" t="s">
        <v>30</v>
      </c>
      <c r="K180" s="2572">
        <f>'5. T4 RAHOITUSSUUN.'!G53/1000</f>
        <v>0</v>
      </c>
      <c r="L180" s="2573"/>
      <c r="M180" s="2572">
        <f>'5. T4 RAHOITUSSUUN.'!H53/1000</f>
        <v>0</v>
      </c>
      <c r="N180" s="2573"/>
      <c r="O180" s="2572">
        <f>'5. T4 RAHOITUSSUUN.'!I53/1000</f>
        <v>0</v>
      </c>
      <c r="P180" s="2573"/>
      <c r="Q180" s="2572">
        <f>'5. T4 RAHOITUSSUUN.'!J53/1000</f>
        <v>0</v>
      </c>
      <c r="R180" s="2573"/>
    </row>
    <row r="181" spans="2:24" x14ac:dyDescent="0.2">
      <c r="B181" s="1160"/>
      <c r="C181" s="2413" t="s">
        <v>604</v>
      </c>
      <c r="D181" s="2413"/>
      <c r="E181" s="2413"/>
      <c r="F181" s="2413"/>
      <c r="G181" s="2413"/>
      <c r="H181" s="2413"/>
      <c r="I181" s="2413"/>
      <c r="J181" s="602"/>
      <c r="K181" s="2585">
        <f>'5. T4 RAHOITUSSUUN.'!G54</f>
        <v>0</v>
      </c>
      <c r="L181" s="2586"/>
      <c r="M181" s="2585">
        <f>'5. T4 RAHOITUSSUUN.'!H54</f>
        <v>0</v>
      </c>
      <c r="N181" s="2586"/>
      <c r="O181" s="2585">
        <f>'5. T4 RAHOITUSSUUN.'!I54</f>
        <v>0</v>
      </c>
      <c r="P181" s="2586"/>
      <c r="Q181" s="2585">
        <f>'5. T4 RAHOITUSSUUN.'!J54</f>
        <v>0</v>
      </c>
      <c r="R181" s="2586"/>
    </row>
    <row r="182" spans="2:24" x14ac:dyDescent="0.2">
      <c r="B182" s="1160" t="s">
        <v>331</v>
      </c>
      <c r="C182" s="545" t="s">
        <v>601</v>
      </c>
      <c r="D182" s="545"/>
      <c r="E182" s="545"/>
      <c r="F182" s="545"/>
      <c r="G182" s="619"/>
      <c r="H182" s="606"/>
      <c r="I182" s="620"/>
      <c r="J182" s="621" t="s">
        <v>31</v>
      </c>
      <c r="K182" s="2597">
        <f>'5. T4 RAHOITUSSUUN.'!G55/1000</f>
        <v>0</v>
      </c>
      <c r="L182" s="2598"/>
      <c r="M182" s="2597">
        <f>'5. T4 RAHOITUSSUUN.'!H55/1000</f>
        <v>0</v>
      </c>
      <c r="N182" s="2598"/>
      <c r="O182" s="2597">
        <f>'5. T4 RAHOITUSSUUN.'!I55/1000</f>
        <v>0</v>
      </c>
      <c r="P182" s="2598"/>
      <c r="Q182" s="2597">
        <f>'5. T4 RAHOITUSSUUN.'!J55/1000</f>
        <v>0</v>
      </c>
      <c r="R182" s="2598"/>
    </row>
    <row r="183" spans="2:24" x14ac:dyDescent="0.2">
      <c r="B183" s="1160"/>
      <c r="C183" s="2413" t="s">
        <v>602</v>
      </c>
      <c r="D183" s="2413"/>
      <c r="E183" s="2413"/>
      <c r="F183" s="2413"/>
      <c r="G183" s="2413"/>
      <c r="H183" s="2413"/>
      <c r="I183" s="2413"/>
      <c r="J183" s="602"/>
      <c r="K183" s="2595">
        <f>'5. T4 RAHOITUSSUUN.'!G56</f>
        <v>14</v>
      </c>
      <c r="L183" s="2596"/>
      <c r="M183" s="2595">
        <f>'5. T4 RAHOITUSSUUN.'!H56</f>
        <v>14</v>
      </c>
      <c r="N183" s="2596"/>
      <c r="O183" s="2595">
        <f>'5. T4 RAHOITUSSUUN.'!I56</f>
        <v>14</v>
      </c>
      <c r="P183" s="2596"/>
      <c r="Q183" s="2595">
        <f>'5. T4 RAHOITUSSUUN.'!J56</f>
        <v>14</v>
      </c>
      <c r="R183" s="2596"/>
    </row>
    <row r="184" spans="2:24" x14ac:dyDescent="0.2">
      <c r="B184" s="1160" t="s">
        <v>332</v>
      </c>
      <c r="C184" s="545" t="s">
        <v>600</v>
      </c>
      <c r="D184" s="545"/>
      <c r="E184" s="545"/>
      <c r="F184" s="545"/>
      <c r="G184" s="619"/>
      <c r="H184" s="606"/>
      <c r="I184" s="620"/>
      <c r="J184" s="621" t="s">
        <v>31</v>
      </c>
      <c r="K184" s="2572">
        <f>'5. T4 RAHOITUSSUUN.'!G57/1000</f>
        <v>0</v>
      </c>
      <c r="L184" s="2573"/>
      <c r="M184" s="2572">
        <f>'5. T4 RAHOITUSSUUN.'!H57/1000</f>
        <v>0</v>
      </c>
      <c r="N184" s="2573"/>
      <c r="O184" s="2572">
        <f>'5. T4 RAHOITUSSUUN.'!I57/1000</f>
        <v>0</v>
      </c>
      <c r="P184" s="2573"/>
      <c r="Q184" s="2572">
        <f>'5. T4 RAHOITUSSUUN.'!J57/1000</f>
        <v>0</v>
      </c>
      <c r="R184" s="2573"/>
    </row>
    <row r="185" spans="2:24" x14ac:dyDescent="0.2">
      <c r="B185" s="1160"/>
      <c r="C185" s="2413" t="s">
        <v>605</v>
      </c>
      <c r="D185" s="2413"/>
      <c r="E185" s="2413"/>
      <c r="F185" s="2413"/>
      <c r="G185" s="2413"/>
      <c r="H185" s="2413"/>
      <c r="I185" s="2413"/>
      <c r="J185" s="715"/>
      <c r="K185" s="2585">
        <f>'5. T4 RAHOITUSSUUN.'!G58</f>
        <v>0</v>
      </c>
      <c r="L185" s="2586"/>
      <c r="M185" s="2585">
        <f>'5. T4 RAHOITUSSUUN.'!H58</f>
        <v>0</v>
      </c>
      <c r="N185" s="2586"/>
      <c r="O185" s="2585">
        <f>'5. T4 RAHOITUSSUUN.'!I58</f>
        <v>0</v>
      </c>
      <c r="P185" s="2586"/>
      <c r="Q185" s="2585">
        <f>'5. T4 RAHOITUSSUUN.'!J58</f>
        <v>0</v>
      </c>
      <c r="R185" s="2586"/>
      <c r="X185" s="483" t="s">
        <v>0</v>
      </c>
    </row>
    <row r="186" spans="2:24" x14ac:dyDescent="0.2">
      <c r="B186" s="1160" t="s">
        <v>333</v>
      </c>
      <c r="C186" s="545" t="s">
        <v>606</v>
      </c>
      <c r="D186" s="545"/>
      <c r="E186" s="545"/>
      <c r="F186" s="545"/>
      <c r="G186" s="619"/>
      <c r="H186" s="606"/>
      <c r="I186" s="620"/>
      <c r="J186" s="621" t="s">
        <v>86</v>
      </c>
      <c r="K186" s="2572">
        <f>'5. T4 RAHOITUSSUUN.'!G59/1000</f>
        <v>0</v>
      </c>
      <c r="L186" s="2573"/>
      <c r="M186" s="2572">
        <f>'5. T4 RAHOITUSSUUN.'!H59/1000</f>
        <v>0</v>
      </c>
      <c r="N186" s="2573"/>
      <c r="O186" s="2572">
        <f>'5. T4 RAHOITUSSUUN.'!I59/1000</f>
        <v>0</v>
      </c>
      <c r="P186" s="2573"/>
      <c r="Q186" s="2572">
        <f>'5. T4 RAHOITUSSUUN.'!J59/1000</f>
        <v>0</v>
      </c>
      <c r="R186" s="2573"/>
    </row>
    <row r="187" spans="2:24" x14ac:dyDescent="0.2">
      <c r="B187" s="1161" t="s">
        <v>334</v>
      </c>
      <c r="C187" s="1068" t="s">
        <v>577</v>
      </c>
      <c r="D187" s="1068"/>
      <c r="E187" s="1068"/>
      <c r="F187" s="1068"/>
      <c r="G187" s="1162"/>
      <c r="H187" s="603"/>
      <c r="I187" s="1163"/>
      <c r="J187" s="1164" t="s">
        <v>41</v>
      </c>
      <c r="K187" s="2581" t="s">
        <v>0</v>
      </c>
      <c r="L187" s="2582"/>
      <c r="M187" s="2583">
        <f>'5. T4 RAHOITUSSUUN.'!H60/1000</f>
        <v>0</v>
      </c>
      <c r="N187" s="2584"/>
      <c r="O187" s="2583">
        <f>'5. T4 RAHOITUSSUUN.'!I60/1000</f>
        <v>0</v>
      </c>
      <c r="P187" s="2584"/>
      <c r="Q187" s="2583">
        <f>'5. T4 RAHOITUSSUUN.'!J60/1000</f>
        <v>0</v>
      </c>
      <c r="R187" s="2584"/>
    </row>
    <row r="188" spans="2:24" x14ac:dyDescent="0.2">
      <c r="B188" s="702"/>
      <c r="C188" s="702"/>
      <c r="D188" s="702"/>
      <c r="E188" s="702"/>
      <c r="F188" s="702"/>
      <c r="G188" s="703"/>
      <c r="H188" s="704"/>
      <c r="I188" s="705"/>
      <c r="J188" s="706"/>
      <c r="K188" s="707"/>
      <c r="L188" s="707"/>
      <c r="M188" s="707"/>
      <c r="N188" s="707"/>
      <c r="O188" s="707"/>
      <c r="P188" s="707"/>
      <c r="Q188" s="707"/>
      <c r="R188" s="707"/>
    </row>
    <row r="189" spans="2:24" x14ac:dyDescent="0.2">
      <c r="B189" s="417"/>
      <c r="C189" s="418"/>
      <c r="D189" s="418"/>
      <c r="E189" s="418"/>
      <c r="F189" s="418"/>
      <c r="G189" s="419"/>
      <c r="H189" s="411"/>
      <c r="I189" s="543"/>
      <c r="J189" s="544"/>
      <c r="K189" s="544"/>
      <c r="L189" s="544"/>
      <c r="M189" s="544"/>
      <c r="N189" s="544"/>
      <c r="O189" s="544"/>
      <c r="P189" s="544"/>
      <c r="Q189" s="420"/>
      <c r="R189" s="153"/>
    </row>
    <row r="190" spans="2:24" ht="14.25" x14ac:dyDescent="0.2">
      <c r="B190" s="184" t="s">
        <v>647</v>
      </c>
      <c r="C190" s="76"/>
      <c r="G190" s="411"/>
      <c r="H190" s="543"/>
      <c r="I190" s="544"/>
      <c r="J190" s="544"/>
      <c r="L190" s="544"/>
      <c r="O190" s="544"/>
      <c r="P190" s="544"/>
      <c r="Q190" s="420"/>
      <c r="R190" s="153"/>
    </row>
    <row r="191" spans="2:24" x14ac:dyDescent="0.2">
      <c r="B191" s="417"/>
      <c r="C191" s="418"/>
      <c r="D191" s="418"/>
      <c r="E191" s="418"/>
      <c r="F191" s="418"/>
      <c r="G191" s="419"/>
      <c r="H191" s="411"/>
      <c r="I191" s="543"/>
      <c r="J191" s="544"/>
      <c r="K191" s="544"/>
      <c r="L191" s="544"/>
      <c r="M191" s="544"/>
      <c r="N191" s="544"/>
      <c r="O191" s="544"/>
      <c r="P191" s="544"/>
      <c r="Q191" s="420"/>
      <c r="R191" s="153"/>
    </row>
    <row r="192" spans="2:24" x14ac:dyDescent="0.2">
      <c r="B192" s="2422" t="s">
        <v>607</v>
      </c>
      <c r="C192" s="2423"/>
      <c r="D192" s="2645" t="s">
        <v>608</v>
      </c>
      <c r="E192" s="2647" t="s">
        <v>609</v>
      </c>
      <c r="F192" s="2649" t="s">
        <v>610</v>
      </c>
      <c r="G192" s="2651" t="s">
        <v>591</v>
      </c>
      <c r="H192" s="2652"/>
      <c r="I192" s="2653"/>
      <c r="J192" s="2657" t="s">
        <v>592</v>
      </c>
      <c r="K192" s="2658"/>
      <c r="L192" s="2659"/>
      <c r="M192" s="2662" t="s">
        <v>593</v>
      </c>
      <c r="N192" s="2663"/>
      <c r="O192" s="2664"/>
      <c r="P192" s="2658" t="s">
        <v>594</v>
      </c>
      <c r="Q192" s="2658"/>
      <c r="R192" s="2659"/>
    </row>
    <row r="193" spans="2:18" x14ac:dyDescent="0.2">
      <c r="B193" s="2424"/>
      <c r="C193" s="2425"/>
      <c r="D193" s="2646"/>
      <c r="E193" s="2648"/>
      <c r="F193" s="2650"/>
      <c r="G193" s="2654"/>
      <c r="H193" s="2655"/>
      <c r="I193" s="2656"/>
      <c r="J193" s="2660"/>
      <c r="K193" s="2016"/>
      <c r="L193" s="2661"/>
      <c r="M193" s="2654"/>
      <c r="N193" s="2655"/>
      <c r="O193" s="2656"/>
      <c r="P193" s="2016"/>
      <c r="Q193" s="2016"/>
      <c r="R193" s="2661"/>
    </row>
    <row r="194" spans="2:18" x14ac:dyDescent="0.2">
      <c r="B194" s="2424"/>
      <c r="C194" s="2425"/>
      <c r="D194" s="2646"/>
      <c r="E194" s="2648"/>
      <c r="F194" s="2650"/>
      <c r="G194" s="2350">
        <f>G16</f>
        <v>2027</v>
      </c>
      <c r="H194" s="2351"/>
      <c r="I194" s="2352"/>
      <c r="J194" s="2350">
        <f>H16</f>
        <v>2028</v>
      </c>
      <c r="K194" s="2351"/>
      <c r="L194" s="2352"/>
      <c r="M194" s="2350">
        <f>I16</f>
        <v>2029</v>
      </c>
      <c r="N194" s="2351"/>
      <c r="O194" s="2352"/>
      <c r="P194" s="2603">
        <f>J16</f>
        <v>2030</v>
      </c>
      <c r="Q194" s="2351"/>
      <c r="R194" s="2352"/>
    </row>
    <row r="195" spans="2:18" x14ac:dyDescent="0.2">
      <c r="B195" s="1144" t="s">
        <v>617</v>
      </c>
      <c r="C195" s="1408"/>
      <c r="D195" s="2646"/>
      <c r="E195" s="2648"/>
      <c r="F195" s="2650"/>
      <c r="G195" s="1147" t="s">
        <v>613</v>
      </c>
      <c r="H195" s="1384" t="s">
        <v>611</v>
      </c>
      <c r="I195" s="1146" t="s">
        <v>612</v>
      </c>
      <c r="J195" s="1147" t="s">
        <v>613</v>
      </c>
      <c r="K195" s="1384" t="s">
        <v>611</v>
      </c>
      <c r="L195" s="1146" t="s">
        <v>612</v>
      </c>
      <c r="M195" s="1147" t="s">
        <v>613</v>
      </c>
      <c r="N195" s="1384" t="s">
        <v>611</v>
      </c>
      <c r="O195" s="1146" t="s">
        <v>612</v>
      </c>
      <c r="P195" s="1147" t="s">
        <v>613</v>
      </c>
      <c r="Q195" s="1384" t="s">
        <v>611</v>
      </c>
      <c r="R195" s="1146" t="s">
        <v>612</v>
      </c>
    </row>
    <row r="196" spans="2:18" x14ac:dyDescent="0.2">
      <c r="B196" s="2605" t="str">
        <f>'2. T7 LAINAT'!B13</f>
        <v xml:space="preserve"> Laina, 1. ennustevuosi</v>
      </c>
      <c r="C196" s="2606"/>
      <c r="D196" s="1174">
        <f>'2. T7 LAINAT'!C13/1000</f>
        <v>0</v>
      </c>
      <c r="E196" s="1165">
        <f>'2. T7 LAINAT'!D13</f>
        <v>0</v>
      </c>
      <c r="F196" s="1411">
        <f>'2. T7 LAINAT'!E13*100</f>
        <v>0</v>
      </c>
      <c r="G196" s="1423">
        <f>'2. T7 LAINAT'!F13/1000</f>
        <v>0</v>
      </c>
      <c r="H196" s="1166">
        <f>'2. T7 LAINAT'!G13/1000</f>
        <v>0</v>
      </c>
      <c r="I196" s="1385">
        <f>'2. T7 LAINAT'!H13/1000</f>
        <v>0</v>
      </c>
      <c r="J196" s="1423">
        <f>'2. T7 LAINAT'!I13/1000</f>
        <v>0</v>
      </c>
      <c r="K196" s="1166">
        <f>'2. T7 LAINAT'!J13/1000</f>
        <v>0</v>
      </c>
      <c r="L196" s="1385">
        <f>'2. T7 LAINAT'!K13/1000</f>
        <v>0</v>
      </c>
      <c r="M196" s="1423">
        <f>'2. T7 LAINAT'!L13/1000</f>
        <v>0</v>
      </c>
      <c r="N196" s="1166">
        <f>'2. T7 LAINAT'!M13/1000</f>
        <v>0</v>
      </c>
      <c r="O196" s="1385">
        <f>'2. T7 LAINAT'!N13/1000</f>
        <v>0</v>
      </c>
      <c r="P196" s="1174">
        <f>'2. T7 LAINAT'!O13/1000</f>
        <v>0</v>
      </c>
      <c r="Q196" s="1166">
        <f>'2. T7 LAINAT'!P13/1000</f>
        <v>0</v>
      </c>
      <c r="R196" s="1385">
        <f>'2. T7 LAINAT'!Q13/1000</f>
        <v>0</v>
      </c>
    </row>
    <row r="197" spans="2:18" x14ac:dyDescent="0.2">
      <c r="B197" s="2607">
        <f>'2. T7 LAINAT'!B14</f>
        <v>0</v>
      </c>
      <c r="C197" s="2608"/>
      <c r="D197" s="1175">
        <f>'2. T7 LAINAT'!C14/1000</f>
        <v>0</v>
      </c>
      <c r="E197" s="1167">
        <f>'2. T7 LAINAT'!D14</f>
        <v>0</v>
      </c>
      <c r="F197" s="1412">
        <f>'2. T7 LAINAT'!E14*100</f>
        <v>0</v>
      </c>
      <c r="G197" s="1424">
        <f>'2. T7 LAINAT'!F14/1000</f>
        <v>0</v>
      </c>
      <c r="H197" s="1168">
        <f>'2. T7 LAINAT'!G14/1000</f>
        <v>0</v>
      </c>
      <c r="I197" s="1386">
        <f>'2. T7 LAINAT'!H14/1000</f>
        <v>0</v>
      </c>
      <c r="J197" s="1424">
        <f>'2. T7 LAINAT'!I14/1000</f>
        <v>0</v>
      </c>
      <c r="K197" s="1168">
        <f>'2. T7 LAINAT'!J14/1000</f>
        <v>0</v>
      </c>
      <c r="L197" s="1386">
        <f>'2. T7 LAINAT'!K14/1000</f>
        <v>0</v>
      </c>
      <c r="M197" s="1424">
        <f>'2. T7 LAINAT'!L14/1000</f>
        <v>0</v>
      </c>
      <c r="N197" s="1168">
        <f>'2. T7 LAINAT'!M14/1000</f>
        <v>0</v>
      </c>
      <c r="O197" s="1386">
        <f>'2. T7 LAINAT'!N14/1000</f>
        <v>0</v>
      </c>
      <c r="P197" s="1175">
        <f>'2. T7 LAINAT'!O14/1000</f>
        <v>0</v>
      </c>
      <c r="Q197" s="1168">
        <f>'2. T7 LAINAT'!P14/1000</f>
        <v>0</v>
      </c>
      <c r="R197" s="1386">
        <f>'2. T7 LAINAT'!Q14/1000</f>
        <v>0</v>
      </c>
    </row>
    <row r="198" spans="2:18" x14ac:dyDescent="0.2">
      <c r="B198" s="2607">
        <f>'2. T7 LAINAT'!B15</f>
        <v>0</v>
      </c>
      <c r="C198" s="2608"/>
      <c r="D198" s="1175">
        <f>'2. T7 LAINAT'!C15/1000</f>
        <v>0</v>
      </c>
      <c r="E198" s="1167">
        <f>'2. T7 LAINAT'!D15</f>
        <v>0</v>
      </c>
      <c r="F198" s="1412">
        <f>'2. T7 LAINAT'!E15*100</f>
        <v>0</v>
      </c>
      <c r="G198" s="1424">
        <f>'2. T7 LAINAT'!F15/1000</f>
        <v>0</v>
      </c>
      <c r="H198" s="1168">
        <f>'2. T7 LAINAT'!G15/1000</f>
        <v>0</v>
      </c>
      <c r="I198" s="1386">
        <f>'2. T7 LAINAT'!H15/1000</f>
        <v>0</v>
      </c>
      <c r="J198" s="1424">
        <f>'2. T7 LAINAT'!I15/1000</f>
        <v>0</v>
      </c>
      <c r="K198" s="1168">
        <f>'2. T7 LAINAT'!J15/1000</f>
        <v>0</v>
      </c>
      <c r="L198" s="1386">
        <f>'2. T7 LAINAT'!K15/1000</f>
        <v>0</v>
      </c>
      <c r="M198" s="1424">
        <f>'2. T7 LAINAT'!L15/1000</f>
        <v>0</v>
      </c>
      <c r="N198" s="1168">
        <f>'2. T7 LAINAT'!M15/1000</f>
        <v>0</v>
      </c>
      <c r="O198" s="1386">
        <f>'2. T7 LAINAT'!N15/1000</f>
        <v>0</v>
      </c>
      <c r="P198" s="1175">
        <f>'2. T7 LAINAT'!O15/1000</f>
        <v>0</v>
      </c>
      <c r="Q198" s="1168">
        <f>'2. T7 LAINAT'!P15/1000</f>
        <v>0</v>
      </c>
      <c r="R198" s="1386">
        <f>'2. T7 LAINAT'!Q15/1000</f>
        <v>0</v>
      </c>
    </row>
    <row r="199" spans="2:18" x14ac:dyDescent="0.2">
      <c r="B199" s="2607">
        <f>'2. T7 LAINAT'!B16</f>
        <v>0</v>
      </c>
      <c r="C199" s="2608"/>
      <c r="D199" s="1175">
        <f>'2. T7 LAINAT'!C16/1000</f>
        <v>0</v>
      </c>
      <c r="E199" s="1167">
        <f>'2. T7 LAINAT'!D16</f>
        <v>0</v>
      </c>
      <c r="F199" s="1412">
        <f>'2. T7 LAINAT'!E16*100</f>
        <v>0</v>
      </c>
      <c r="G199" s="1424">
        <f>'2. T7 LAINAT'!F16/1000</f>
        <v>0</v>
      </c>
      <c r="H199" s="1168">
        <f>'2. T7 LAINAT'!G16/1000</f>
        <v>0</v>
      </c>
      <c r="I199" s="1386">
        <f>'2. T7 LAINAT'!H16/1000</f>
        <v>0</v>
      </c>
      <c r="J199" s="1424">
        <f>'2. T7 LAINAT'!I16/1000</f>
        <v>0</v>
      </c>
      <c r="K199" s="1168">
        <f>'2. T7 LAINAT'!J16/1000</f>
        <v>0</v>
      </c>
      <c r="L199" s="1386">
        <f>'2. T7 LAINAT'!K16/1000</f>
        <v>0</v>
      </c>
      <c r="M199" s="1424">
        <f>'2. T7 LAINAT'!L16/1000</f>
        <v>0</v>
      </c>
      <c r="N199" s="1168">
        <f>'2. T7 LAINAT'!M16/1000</f>
        <v>0</v>
      </c>
      <c r="O199" s="1386">
        <f>'2. T7 LAINAT'!N16/1000</f>
        <v>0</v>
      </c>
      <c r="P199" s="1175">
        <f>'2. T7 LAINAT'!O16/1000</f>
        <v>0</v>
      </c>
      <c r="Q199" s="1168">
        <f>'2. T7 LAINAT'!P16/1000</f>
        <v>0</v>
      </c>
      <c r="R199" s="1386">
        <f>'2. T7 LAINAT'!Q16/1000</f>
        <v>0</v>
      </c>
    </row>
    <row r="200" spans="2:18" x14ac:dyDescent="0.2">
      <c r="B200" s="1145" t="s">
        <v>614</v>
      </c>
      <c r="C200" s="1409"/>
      <c r="D200" s="1136"/>
      <c r="E200" s="1136"/>
      <c r="F200" s="1413"/>
      <c r="G200" s="1147" t="s">
        <v>613</v>
      </c>
      <c r="H200" s="1384" t="s">
        <v>611</v>
      </c>
      <c r="I200" s="1146" t="s">
        <v>612</v>
      </c>
      <c r="J200" s="1147" t="s">
        <v>613</v>
      </c>
      <c r="K200" s="1384" t="s">
        <v>611</v>
      </c>
      <c r="L200" s="1146" t="s">
        <v>612</v>
      </c>
      <c r="M200" s="1147" t="s">
        <v>613</v>
      </c>
      <c r="N200" s="1384" t="s">
        <v>611</v>
      </c>
      <c r="O200" s="1146" t="s">
        <v>612</v>
      </c>
      <c r="P200" s="1147" t="s">
        <v>613</v>
      </c>
      <c r="Q200" s="1384" t="s">
        <v>611</v>
      </c>
      <c r="R200" s="1146" t="s">
        <v>612</v>
      </c>
    </row>
    <row r="201" spans="2:18" x14ac:dyDescent="0.2">
      <c r="B201" s="2605">
        <f>'2. T7 LAINAT'!B18</f>
        <v>0</v>
      </c>
      <c r="C201" s="2606"/>
      <c r="D201" s="1174">
        <f>'2. T7 LAINAT'!C18/1000</f>
        <v>0</v>
      </c>
      <c r="E201" s="1165">
        <f>'2. T7 LAINAT'!D18</f>
        <v>0</v>
      </c>
      <c r="F201" s="1411">
        <f>'2. T7 LAINAT'!E18*100</f>
        <v>0</v>
      </c>
      <c r="G201" s="1423">
        <f>'2. T7 LAINAT'!F18/1000</f>
        <v>0</v>
      </c>
      <c r="H201" s="1166">
        <f>'2. T7 LAINAT'!G18/1000</f>
        <v>0</v>
      </c>
      <c r="I201" s="1385">
        <f>'2. T7 LAINAT'!H18/1000</f>
        <v>0</v>
      </c>
      <c r="J201" s="1423">
        <f>'2. T7 LAINAT'!I18/1000</f>
        <v>0</v>
      </c>
      <c r="K201" s="1166">
        <f>'2. T7 LAINAT'!J18/1000</f>
        <v>0</v>
      </c>
      <c r="L201" s="1385">
        <f>'2. T7 LAINAT'!K18/1000</f>
        <v>0</v>
      </c>
      <c r="M201" s="1423">
        <f>'2. T7 LAINAT'!L18/1000</f>
        <v>0</v>
      </c>
      <c r="N201" s="1166">
        <f>'2. T7 LAINAT'!M18/1000</f>
        <v>0</v>
      </c>
      <c r="O201" s="1385">
        <f>'2. T7 LAINAT'!N18/1000</f>
        <v>0</v>
      </c>
      <c r="P201" s="1174">
        <f>'2. T7 LAINAT'!O18/1000</f>
        <v>0</v>
      </c>
      <c r="Q201" s="1166">
        <f>'2. T7 LAINAT'!P18/1000</f>
        <v>0</v>
      </c>
      <c r="R201" s="1385">
        <f>'2. T7 LAINAT'!Q18/1000</f>
        <v>0</v>
      </c>
    </row>
    <row r="202" spans="2:18" x14ac:dyDescent="0.2">
      <c r="B202" s="2609">
        <f>'2. T7 LAINAT'!B19</f>
        <v>0</v>
      </c>
      <c r="C202" s="2610"/>
      <c r="D202" s="1175">
        <f>'2. T7 LAINAT'!C19/1000</f>
        <v>0</v>
      </c>
      <c r="E202" s="1167">
        <f>'2. T7 LAINAT'!D19</f>
        <v>0</v>
      </c>
      <c r="F202" s="1412">
        <f>'2. T7 LAINAT'!E19*100</f>
        <v>0</v>
      </c>
      <c r="G202" s="1424">
        <f>'2. T7 LAINAT'!F19/1000</f>
        <v>0</v>
      </c>
      <c r="H202" s="1168">
        <f>'2. T7 LAINAT'!G19/1000</f>
        <v>0</v>
      </c>
      <c r="I202" s="1386">
        <f>'2. T7 LAINAT'!H19/1000</f>
        <v>0</v>
      </c>
      <c r="J202" s="1424">
        <f>'2. T7 LAINAT'!I19/1000</f>
        <v>0</v>
      </c>
      <c r="K202" s="1168">
        <f>'2. T7 LAINAT'!J19/1000</f>
        <v>0</v>
      </c>
      <c r="L202" s="1386">
        <f>'2. T7 LAINAT'!K19/1000</f>
        <v>0</v>
      </c>
      <c r="M202" s="1424">
        <f>'2. T7 LAINAT'!L19/1000</f>
        <v>0</v>
      </c>
      <c r="N202" s="1168">
        <f>'2. T7 LAINAT'!M19/1000</f>
        <v>0</v>
      </c>
      <c r="O202" s="1386">
        <f>'2. T7 LAINAT'!N19/1000</f>
        <v>0</v>
      </c>
      <c r="P202" s="1175">
        <f>'2. T7 LAINAT'!O19/1000</f>
        <v>0</v>
      </c>
      <c r="Q202" s="1168">
        <f>'2. T7 LAINAT'!P19/1000</f>
        <v>0</v>
      </c>
      <c r="R202" s="1386">
        <f>'2. T7 LAINAT'!Q19/1000</f>
        <v>0</v>
      </c>
    </row>
    <row r="203" spans="2:18" x14ac:dyDescent="0.2">
      <c r="B203" s="2605">
        <f>'2. T7 LAINAT'!B20</f>
        <v>0</v>
      </c>
      <c r="C203" s="2606"/>
      <c r="D203" s="1176">
        <f>'2. T7 LAINAT'!C20/1000</f>
        <v>0</v>
      </c>
      <c r="E203" s="1169">
        <f>'2. T7 LAINAT'!D20</f>
        <v>0</v>
      </c>
      <c r="F203" s="1414">
        <f>'2. T7 LAINAT'!E20*100</f>
        <v>0</v>
      </c>
      <c r="G203" s="1425">
        <f>'2. T7 LAINAT'!F20/1000</f>
        <v>0</v>
      </c>
      <c r="H203" s="1170">
        <f>'2. T7 LAINAT'!G20/1000</f>
        <v>0</v>
      </c>
      <c r="I203" s="1387">
        <f>'2. T7 LAINAT'!H20/1000</f>
        <v>0</v>
      </c>
      <c r="J203" s="1425">
        <f>'2. T7 LAINAT'!I20/1000</f>
        <v>0</v>
      </c>
      <c r="K203" s="1170">
        <f>'2. T7 LAINAT'!J20/1000</f>
        <v>0</v>
      </c>
      <c r="L203" s="1387">
        <f>'2. T7 LAINAT'!K20/1000</f>
        <v>0</v>
      </c>
      <c r="M203" s="1425">
        <f>'2. T7 LAINAT'!L20/1000</f>
        <v>0</v>
      </c>
      <c r="N203" s="1170">
        <f>'2. T7 LAINAT'!M20/1000</f>
        <v>0</v>
      </c>
      <c r="O203" s="1387">
        <f>'2. T7 LAINAT'!N20/1000</f>
        <v>0</v>
      </c>
      <c r="P203" s="1176">
        <f>'2. T7 LAINAT'!O20/1000</f>
        <v>0</v>
      </c>
      <c r="Q203" s="1170">
        <f>'2. T7 LAINAT'!P20/1000</f>
        <v>0</v>
      </c>
      <c r="R203" s="1387">
        <f>'2. T7 LAINAT'!Q20/1000</f>
        <v>0</v>
      </c>
    </row>
    <row r="204" spans="2:18" x14ac:dyDescent="0.2">
      <c r="B204" s="2609">
        <f>'2. T7 LAINAT'!B21</f>
        <v>0</v>
      </c>
      <c r="C204" s="2610"/>
      <c r="D204" s="1176">
        <f>'2. T7 LAINAT'!C21/1000</f>
        <v>0</v>
      </c>
      <c r="E204" s="1169">
        <f>'2. T7 LAINAT'!D21</f>
        <v>0</v>
      </c>
      <c r="F204" s="1414">
        <f>'2. T7 LAINAT'!E21*100</f>
        <v>0</v>
      </c>
      <c r="G204" s="1425">
        <f>'2. T7 LAINAT'!F21/1000</f>
        <v>0</v>
      </c>
      <c r="H204" s="1170">
        <f>'2. T7 LAINAT'!G21/1000</f>
        <v>0</v>
      </c>
      <c r="I204" s="1387">
        <f>'2. T7 LAINAT'!H21/1000</f>
        <v>0</v>
      </c>
      <c r="J204" s="1425">
        <f>'2. T7 LAINAT'!I21/1000</f>
        <v>0</v>
      </c>
      <c r="K204" s="1170">
        <f>'2. T7 LAINAT'!J21/1000</f>
        <v>0</v>
      </c>
      <c r="L204" s="1387">
        <f>'2. T7 LAINAT'!K21/1000</f>
        <v>0</v>
      </c>
      <c r="M204" s="1425">
        <f>'2. T7 LAINAT'!L21/1000</f>
        <v>0</v>
      </c>
      <c r="N204" s="1170">
        <f>'2. T7 LAINAT'!M21/1000</f>
        <v>0</v>
      </c>
      <c r="O204" s="1387">
        <f>'2. T7 LAINAT'!N21/1000</f>
        <v>0</v>
      </c>
      <c r="P204" s="1176">
        <f>'2. T7 LAINAT'!O21/1000</f>
        <v>0</v>
      </c>
      <c r="Q204" s="1170">
        <f>'2. T7 LAINAT'!P21/1000</f>
        <v>0</v>
      </c>
      <c r="R204" s="1387">
        <f>'2. T7 LAINAT'!Q21/1000</f>
        <v>0</v>
      </c>
    </row>
    <row r="205" spans="2:18" x14ac:dyDescent="0.2">
      <c r="B205" s="1145" t="s">
        <v>615</v>
      </c>
      <c r="C205" s="1409"/>
      <c r="D205" s="1136"/>
      <c r="E205" s="1136"/>
      <c r="F205" s="1413"/>
      <c r="G205" s="1147" t="s">
        <v>613</v>
      </c>
      <c r="H205" s="1384" t="s">
        <v>611</v>
      </c>
      <c r="I205" s="1146" t="s">
        <v>612</v>
      </c>
      <c r="J205" s="1147" t="s">
        <v>613</v>
      </c>
      <c r="K205" s="1384" t="s">
        <v>611</v>
      </c>
      <c r="L205" s="1146" t="s">
        <v>612</v>
      </c>
      <c r="M205" s="1147" t="s">
        <v>613</v>
      </c>
      <c r="N205" s="1384" t="s">
        <v>611</v>
      </c>
      <c r="O205" s="1146" t="s">
        <v>612</v>
      </c>
      <c r="P205" s="1147" t="s">
        <v>613</v>
      </c>
      <c r="Q205" s="1384" t="s">
        <v>611</v>
      </c>
      <c r="R205" s="1146" t="s">
        <v>612</v>
      </c>
    </row>
    <row r="206" spans="2:18" x14ac:dyDescent="0.2">
      <c r="B206" s="2611">
        <f>'2. T7 LAINAT'!B23</f>
        <v>0</v>
      </c>
      <c r="C206" s="2612"/>
      <c r="D206" s="1177">
        <f>'2. T7 LAINAT'!C23/1000</f>
        <v>0</v>
      </c>
      <c r="E206" s="1149">
        <f>'2. T7 LAINAT'!D23</f>
        <v>0</v>
      </c>
      <c r="F206" s="1415">
        <f>'2. T7 LAINAT'!E23*100</f>
        <v>0</v>
      </c>
      <c r="G206" s="1426">
        <f>'2. T7 LAINAT'!F23/1000</f>
        <v>0</v>
      </c>
      <c r="H206" s="1150">
        <f>'2. T7 LAINAT'!G23/1000</f>
        <v>0</v>
      </c>
      <c r="I206" s="1388">
        <f>'2. T7 LAINAT'!H23/1000</f>
        <v>0</v>
      </c>
      <c r="J206" s="1426">
        <f>'2. T7 LAINAT'!I23/1000</f>
        <v>0</v>
      </c>
      <c r="K206" s="1150">
        <f>'2. T7 LAINAT'!J23/1000</f>
        <v>0</v>
      </c>
      <c r="L206" s="1388">
        <f>'2. T7 LAINAT'!K23/1000</f>
        <v>0</v>
      </c>
      <c r="M206" s="1426">
        <f>'2. T7 LAINAT'!L23/1000</f>
        <v>0</v>
      </c>
      <c r="N206" s="1150">
        <f>'2. T7 LAINAT'!M23/1000</f>
        <v>0</v>
      </c>
      <c r="O206" s="1388">
        <f>'2. T7 LAINAT'!N23/1000</f>
        <v>0</v>
      </c>
      <c r="P206" s="1177">
        <f>'2. T7 LAINAT'!O23/1000</f>
        <v>0</v>
      </c>
      <c r="Q206" s="1150">
        <f>'2. T7 LAINAT'!P23/1000</f>
        <v>0</v>
      </c>
      <c r="R206" s="1388">
        <f>'2. T7 LAINAT'!Q23/1000</f>
        <v>0</v>
      </c>
    </row>
    <row r="207" spans="2:18" x14ac:dyDescent="0.2">
      <c r="B207" s="2426">
        <f>'2. T7 LAINAT'!B24</f>
        <v>0</v>
      </c>
      <c r="C207" s="2427"/>
      <c r="D207" s="1178">
        <f>'2. T7 LAINAT'!C24/1000</f>
        <v>0</v>
      </c>
      <c r="E207" s="1151">
        <f>'2. T7 LAINAT'!D24</f>
        <v>0</v>
      </c>
      <c r="F207" s="1416">
        <f>'2. T7 LAINAT'!E24*100</f>
        <v>0</v>
      </c>
      <c r="G207" s="1427">
        <f>'2. T7 LAINAT'!F24/1000</f>
        <v>0</v>
      </c>
      <c r="H207" s="1152">
        <f>'2. T7 LAINAT'!G24/1000</f>
        <v>0</v>
      </c>
      <c r="I207" s="1389">
        <f>'2. T7 LAINAT'!H24/1000</f>
        <v>0</v>
      </c>
      <c r="J207" s="1427">
        <f>'2. T7 LAINAT'!I24/1000</f>
        <v>0</v>
      </c>
      <c r="K207" s="1152">
        <f>'2. T7 LAINAT'!J24/1000</f>
        <v>0</v>
      </c>
      <c r="L207" s="1389">
        <f>'2. T7 LAINAT'!K24/1000</f>
        <v>0</v>
      </c>
      <c r="M207" s="1427">
        <f>'2. T7 LAINAT'!L24/1000</f>
        <v>0</v>
      </c>
      <c r="N207" s="1152">
        <f>'2. T7 LAINAT'!M24/1000</f>
        <v>0</v>
      </c>
      <c r="O207" s="1389">
        <f>'2. T7 LAINAT'!N24/1000</f>
        <v>0</v>
      </c>
      <c r="P207" s="1178">
        <f>'2. T7 LAINAT'!O24/1000</f>
        <v>0</v>
      </c>
      <c r="Q207" s="1152">
        <f>'2. T7 LAINAT'!P24/1000</f>
        <v>0</v>
      </c>
      <c r="R207" s="1389">
        <f>'2. T7 LAINAT'!Q24/1000</f>
        <v>0</v>
      </c>
    </row>
    <row r="208" spans="2:18" x14ac:dyDescent="0.2">
      <c r="B208" s="2426">
        <f>'2. T7 LAINAT'!B25</f>
        <v>0</v>
      </c>
      <c r="C208" s="2427"/>
      <c r="D208" s="1178">
        <f>'2. T7 LAINAT'!C25/1000</f>
        <v>0</v>
      </c>
      <c r="E208" s="1151">
        <f>'2. T7 LAINAT'!D25</f>
        <v>0</v>
      </c>
      <c r="F208" s="1416">
        <f>'2. T7 LAINAT'!E25*100</f>
        <v>0</v>
      </c>
      <c r="G208" s="1427">
        <f>'2. T7 LAINAT'!F25/1000</f>
        <v>0</v>
      </c>
      <c r="H208" s="1152">
        <f>'2. T7 LAINAT'!G25/1000</f>
        <v>0</v>
      </c>
      <c r="I208" s="1389">
        <f>'2. T7 LAINAT'!H25/1000</f>
        <v>0</v>
      </c>
      <c r="J208" s="1427">
        <f>'2. T7 LAINAT'!I25/1000</f>
        <v>0</v>
      </c>
      <c r="K208" s="1152">
        <f>'2. T7 LAINAT'!J25/1000</f>
        <v>0</v>
      </c>
      <c r="L208" s="1389">
        <f>'2. T7 LAINAT'!K25/1000</f>
        <v>0</v>
      </c>
      <c r="M208" s="1427">
        <f>'2. T7 LAINAT'!L25/1000</f>
        <v>0</v>
      </c>
      <c r="N208" s="1152">
        <f>'2. T7 LAINAT'!M25/1000</f>
        <v>0</v>
      </c>
      <c r="O208" s="1389">
        <f>'2. T7 LAINAT'!N25/1000</f>
        <v>0</v>
      </c>
      <c r="P208" s="1178">
        <f>'2. T7 LAINAT'!O25/1000</f>
        <v>0</v>
      </c>
      <c r="Q208" s="1152">
        <f>'2. T7 LAINAT'!P25/1000</f>
        <v>0</v>
      </c>
      <c r="R208" s="1389">
        <f>'2. T7 LAINAT'!Q25/1000</f>
        <v>0</v>
      </c>
    </row>
    <row r="209" spans="2:18" x14ac:dyDescent="0.2">
      <c r="B209" s="2428">
        <f>'2. T7 LAINAT'!B26</f>
        <v>0</v>
      </c>
      <c r="C209" s="2429"/>
      <c r="D209" s="1179">
        <f>'2. T7 LAINAT'!C26/1000</f>
        <v>0</v>
      </c>
      <c r="E209" s="1153">
        <f>'2. T7 LAINAT'!D26</f>
        <v>0</v>
      </c>
      <c r="F209" s="1417">
        <f>'2. T7 LAINAT'!E26*100</f>
        <v>0</v>
      </c>
      <c r="G209" s="1428">
        <f>'2. T7 LAINAT'!F26/1000</f>
        <v>0</v>
      </c>
      <c r="H209" s="1154">
        <f>'2. T7 LAINAT'!G26/1000</f>
        <v>0</v>
      </c>
      <c r="I209" s="1390">
        <f>'2. T7 LAINAT'!H26/1000</f>
        <v>0</v>
      </c>
      <c r="J209" s="1428">
        <f>'2. T7 LAINAT'!I26/1000</f>
        <v>0</v>
      </c>
      <c r="K209" s="1154">
        <f>'2. T7 LAINAT'!J26/1000</f>
        <v>0</v>
      </c>
      <c r="L209" s="1390">
        <f>'2. T7 LAINAT'!K26/1000</f>
        <v>0</v>
      </c>
      <c r="M209" s="1428">
        <f>'2. T7 LAINAT'!L26/1000</f>
        <v>0</v>
      </c>
      <c r="N209" s="1154">
        <f>'2. T7 LAINAT'!M26/1000</f>
        <v>0</v>
      </c>
      <c r="O209" s="1390">
        <f>'2. T7 LAINAT'!N26/1000</f>
        <v>0</v>
      </c>
      <c r="P209" s="1179">
        <f>'2. T7 LAINAT'!O26/1000</f>
        <v>0</v>
      </c>
      <c r="Q209" s="1154">
        <f>'2. T7 LAINAT'!P26/1000</f>
        <v>0</v>
      </c>
      <c r="R209" s="1390">
        <f>'2. T7 LAINAT'!Q26/1000</f>
        <v>0</v>
      </c>
    </row>
    <row r="210" spans="2:18" x14ac:dyDescent="0.2">
      <c r="B210" s="1145" t="s">
        <v>616</v>
      </c>
      <c r="C210" s="1409"/>
      <c r="D210" s="1136"/>
      <c r="E210" s="1136"/>
      <c r="F210" s="1413"/>
      <c r="G210" s="1147" t="s">
        <v>613</v>
      </c>
      <c r="H210" s="1384" t="s">
        <v>611</v>
      </c>
      <c r="I210" s="1146" t="s">
        <v>612</v>
      </c>
      <c r="J210" s="1147" t="s">
        <v>613</v>
      </c>
      <c r="K210" s="1384" t="s">
        <v>611</v>
      </c>
      <c r="L210" s="1146" t="s">
        <v>612</v>
      </c>
      <c r="M210" s="1147" t="s">
        <v>613</v>
      </c>
      <c r="N210" s="1384" t="s">
        <v>611</v>
      </c>
      <c r="O210" s="1146" t="s">
        <v>612</v>
      </c>
      <c r="P210" s="1147" t="s">
        <v>613</v>
      </c>
      <c r="Q210" s="1384" t="s">
        <v>611</v>
      </c>
      <c r="R210" s="1146" t="s">
        <v>612</v>
      </c>
    </row>
    <row r="211" spans="2:18" x14ac:dyDescent="0.2">
      <c r="B211" s="2605">
        <f>'2. T7 LAINAT'!B28</f>
        <v>0</v>
      </c>
      <c r="C211" s="2606"/>
      <c r="D211" s="1180">
        <f>'2. T7 LAINAT'!C28/1000</f>
        <v>0</v>
      </c>
      <c r="E211" s="1171">
        <f>'2. T7 LAINAT'!D28</f>
        <v>0</v>
      </c>
      <c r="F211" s="1418">
        <f>'2. T7 LAINAT'!E28*100</f>
        <v>0</v>
      </c>
      <c r="G211" s="1429">
        <f>'2. T7 LAINAT'!F28/1000</f>
        <v>0</v>
      </c>
      <c r="H211" s="1172">
        <f>'2. T7 LAINAT'!G28/1000</f>
        <v>0</v>
      </c>
      <c r="I211" s="1391">
        <f>'2. T7 LAINAT'!H28/1000</f>
        <v>0</v>
      </c>
      <c r="J211" s="1429">
        <f>'2. T7 LAINAT'!I28/1000</f>
        <v>0</v>
      </c>
      <c r="K211" s="1172">
        <f>'2. T7 LAINAT'!J28/1000</f>
        <v>0</v>
      </c>
      <c r="L211" s="1391">
        <f>'2. T7 LAINAT'!K28/1000</f>
        <v>0</v>
      </c>
      <c r="M211" s="1429">
        <f>'2. T7 LAINAT'!L28/1000</f>
        <v>0</v>
      </c>
      <c r="N211" s="1172">
        <f>'2. T7 LAINAT'!M28/1000</f>
        <v>0</v>
      </c>
      <c r="O211" s="1391">
        <f>'2. T7 LAINAT'!N28/1000</f>
        <v>0</v>
      </c>
      <c r="P211" s="1180">
        <f>'2. T7 LAINAT'!O28/1000</f>
        <v>0</v>
      </c>
      <c r="Q211" s="1172">
        <f>'2. T7 LAINAT'!P28/1000</f>
        <v>0</v>
      </c>
      <c r="R211" s="1391">
        <f>'2. T7 LAINAT'!Q28/1000</f>
        <v>0</v>
      </c>
    </row>
    <row r="212" spans="2:18" x14ac:dyDescent="0.2">
      <c r="B212" s="2607">
        <f>'2. T7 LAINAT'!B29</f>
        <v>0</v>
      </c>
      <c r="C212" s="2608"/>
      <c r="D212" s="1175">
        <f>'2. T7 LAINAT'!C29/1000</f>
        <v>0</v>
      </c>
      <c r="E212" s="1167">
        <f>'2. T7 LAINAT'!D29</f>
        <v>0</v>
      </c>
      <c r="F212" s="1412">
        <f>'2. T7 LAINAT'!E29*100</f>
        <v>0</v>
      </c>
      <c r="G212" s="1424">
        <f>'2. T7 LAINAT'!F29/1000</f>
        <v>0</v>
      </c>
      <c r="H212" s="1168">
        <f>'2. T7 LAINAT'!G29/1000</f>
        <v>0</v>
      </c>
      <c r="I212" s="1386">
        <f>'2. T7 LAINAT'!H29/1000</f>
        <v>0</v>
      </c>
      <c r="J212" s="1424">
        <f>'2. T7 LAINAT'!I29/1000</f>
        <v>0</v>
      </c>
      <c r="K212" s="1168">
        <f>'2. T7 LAINAT'!J29/1000</f>
        <v>0</v>
      </c>
      <c r="L212" s="1386">
        <f>'2. T7 LAINAT'!K29/1000</f>
        <v>0</v>
      </c>
      <c r="M212" s="1424">
        <f>'2. T7 LAINAT'!L29/1000</f>
        <v>0</v>
      </c>
      <c r="N212" s="1168">
        <f>'2. T7 LAINAT'!M29/1000</f>
        <v>0</v>
      </c>
      <c r="O212" s="1386">
        <f>'2. T7 LAINAT'!N29/1000</f>
        <v>0</v>
      </c>
      <c r="P212" s="1175">
        <f>'2. T7 LAINAT'!O29/1000</f>
        <v>0</v>
      </c>
      <c r="Q212" s="1168">
        <f>'2. T7 LAINAT'!P29/1000</f>
        <v>0</v>
      </c>
      <c r="R212" s="1386">
        <f>'2. T7 LAINAT'!Q29/1000</f>
        <v>0</v>
      </c>
    </row>
    <row r="213" spans="2:18" x14ac:dyDescent="0.2">
      <c r="B213" s="2607">
        <f>'2. T7 LAINAT'!B30</f>
        <v>0</v>
      </c>
      <c r="C213" s="2608"/>
      <c r="D213" s="1175">
        <f>'2. T7 LAINAT'!C30/1000</f>
        <v>0</v>
      </c>
      <c r="E213" s="1169">
        <f>'2. T7 LAINAT'!D30</f>
        <v>0</v>
      </c>
      <c r="F213" s="1414">
        <f>'2. T7 LAINAT'!E30*100</f>
        <v>0</v>
      </c>
      <c r="G213" s="1424">
        <f>'2. T7 LAINAT'!F30/1000</f>
        <v>0</v>
      </c>
      <c r="H213" s="1168">
        <f>'2. T7 LAINAT'!G30/1000</f>
        <v>0</v>
      </c>
      <c r="I213" s="1386">
        <f>'2. T7 LAINAT'!H30/1000</f>
        <v>0</v>
      </c>
      <c r="J213" s="1424">
        <f>'2. T7 LAINAT'!I30/1000</f>
        <v>0</v>
      </c>
      <c r="K213" s="1168">
        <f>'2. T7 LAINAT'!J30/1000</f>
        <v>0</v>
      </c>
      <c r="L213" s="1386">
        <f>'2. T7 LAINAT'!K30/1000</f>
        <v>0</v>
      </c>
      <c r="M213" s="1424">
        <f>'2. T7 LAINAT'!L30/1000</f>
        <v>0</v>
      </c>
      <c r="N213" s="1168">
        <f>'2. T7 LAINAT'!M30/1000</f>
        <v>0</v>
      </c>
      <c r="O213" s="1386">
        <f>'2. T7 LAINAT'!N30/1000</f>
        <v>0</v>
      </c>
      <c r="P213" s="1175">
        <f>'2. T7 LAINAT'!O30/1000</f>
        <v>0</v>
      </c>
      <c r="Q213" s="1168">
        <f>'2. T7 LAINAT'!P30/1000</f>
        <v>0</v>
      </c>
      <c r="R213" s="1386">
        <f>'2. T7 LAINAT'!Q30/1000</f>
        <v>0</v>
      </c>
    </row>
    <row r="214" spans="2:18" x14ac:dyDescent="0.2">
      <c r="B214" s="2626">
        <f>'2. T7 LAINAT'!B31</f>
        <v>0</v>
      </c>
      <c r="C214" s="2627"/>
      <c r="D214" s="1176">
        <f>'2. T7 LAINAT'!C31/1000</f>
        <v>0</v>
      </c>
      <c r="E214" s="1169">
        <f>'2. T7 LAINAT'!D31</f>
        <v>0</v>
      </c>
      <c r="F214" s="1419">
        <f>'2. T7 LAINAT'!E31*100</f>
        <v>0</v>
      </c>
      <c r="G214" s="1425">
        <f>'2. T7 LAINAT'!F31/1000</f>
        <v>0</v>
      </c>
      <c r="H214" s="1173">
        <f>'2. T7 LAINAT'!G31/1000</f>
        <v>0</v>
      </c>
      <c r="I214" s="1392">
        <f>'2. T7 LAINAT'!H31/1000</f>
        <v>0</v>
      </c>
      <c r="J214" s="1433">
        <f>'2. T7 LAINAT'!I31/1000</f>
        <v>0</v>
      </c>
      <c r="K214" s="1173">
        <f>'2. T7 LAINAT'!J31/1000</f>
        <v>0</v>
      </c>
      <c r="L214" s="1392">
        <f>'2. T7 LAINAT'!K31/1000</f>
        <v>0</v>
      </c>
      <c r="M214" s="1433">
        <f>'2. T7 LAINAT'!L31/1000</f>
        <v>0</v>
      </c>
      <c r="N214" s="1173">
        <f>'2. T7 LAINAT'!M31/1000</f>
        <v>0</v>
      </c>
      <c r="O214" s="1392">
        <f>'2. T7 LAINAT'!N31/1000</f>
        <v>0</v>
      </c>
      <c r="P214" s="1181">
        <f>'2. T7 LAINAT'!O31/1000</f>
        <v>0</v>
      </c>
      <c r="Q214" s="1173">
        <f>'2. T7 LAINAT'!P31/1000</f>
        <v>0</v>
      </c>
      <c r="R214" s="1392">
        <f>'2. T7 LAINAT'!Q31/1000</f>
        <v>0</v>
      </c>
    </row>
    <row r="215" spans="2:18" x14ac:dyDescent="0.2">
      <c r="B215" s="2643" t="s">
        <v>618</v>
      </c>
      <c r="C215" s="2644"/>
      <c r="D215" s="1407">
        <f>'2. T7 LAINAT'!C32/1000</f>
        <v>0</v>
      </c>
      <c r="E215" s="1240"/>
      <c r="F215" s="1420"/>
      <c r="G215" s="1430">
        <f>'2. T7 LAINAT'!F32/1000</f>
        <v>0</v>
      </c>
      <c r="H215" s="1182">
        <f>'2. T7 LAINAT'!G32/1000</f>
        <v>0</v>
      </c>
      <c r="I215" s="1393">
        <f>'2. T7 LAINAT'!H32/1000</f>
        <v>0</v>
      </c>
      <c r="J215" s="1430">
        <f>'2. T7 LAINAT'!I32/1000</f>
        <v>0</v>
      </c>
      <c r="K215" s="1182">
        <f>'2. T7 LAINAT'!J32/1000</f>
        <v>0</v>
      </c>
      <c r="L215" s="1393">
        <f>'2. T7 LAINAT'!K32/1000</f>
        <v>0</v>
      </c>
      <c r="M215" s="1430">
        <f>'2. T7 LAINAT'!L32/1000</f>
        <v>0</v>
      </c>
      <c r="N215" s="1182">
        <f>'2. T7 LAINAT'!M32/1000</f>
        <v>0</v>
      </c>
      <c r="O215" s="1393">
        <f>'2. T7 LAINAT'!N32/1000</f>
        <v>0</v>
      </c>
      <c r="P215" s="1238">
        <f>'2. T7 LAINAT'!O32/1000</f>
        <v>0</v>
      </c>
      <c r="Q215" s="1182">
        <f>'2. T7 LAINAT'!P32/1000</f>
        <v>0</v>
      </c>
      <c r="R215" s="1393">
        <f>'2. T7 LAINAT'!Q32/1000</f>
        <v>0</v>
      </c>
    </row>
    <row r="216" spans="2:18" x14ac:dyDescent="0.2">
      <c r="B216" s="1145" t="s">
        <v>619</v>
      </c>
      <c r="C216" s="1602"/>
      <c r="D216" s="1603"/>
      <c r="E216" s="1604"/>
      <c r="F216" s="1605"/>
      <c r="G216" s="1147" t="s">
        <v>613</v>
      </c>
      <c r="H216" s="1384" t="s">
        <v>611</v>
      </c>
      <c r="I216" s="1146" t="s">
        <v>612</v>
      </c>
      <c r="J216" s="1147" t="s">
        <v>613</v>
      </c>
      <c r="K216" s="1384" t="s">
        <v>611</v>
      </c>
      <c r="L216" s="1146" t="s">
        <v>612</v>
      </c>
      <c r="M216" s="1147" t="s">
        <v>613</v>
      </c>
      <c r="N216" s="1384" t="s">
        <v>611</v>
      </c>
      <c r="O216" s="1146" t="s">
        <v>612</v>
      </c>
      <c r="P216" s="1147" t="s">
        <v>613</v>
      </c>
      <c r="Q216" s="1384" t="s">
        <v>611</v>
      </c>
      <c r="R216" s="1146" t="s">
        <v>612</v>
      </c>
    </row>
    <row r="217" spans="2:18" x14ac:dyDescent="0.2">
      <c r="B217" s="2628" t="str">
        <f>'2. T7 LAINAT'!B34</f>
        <v xml:space="preserve"> Osamaksuvelka 1. ennustevuosi </v>
      </c>
      <c r="C217" s="2629"/>
      <c r="D217" s="1239">
        <f>'2. T7 LAINAT'!C34/1000</f>
        <v>0</v>
      </c>
      <c r="E217" s="1183">
        <f>'2. T7 LAINAT'!D34</f>
        <v>0</v>
      </c>
      <c r="F217" s="1422">
        <f>'2. T7 LAINAT'!E34*100</f>
        <v>0</v>
      </c>
      <c r="G217" s="1432">
        <f>'2. T7 LAINAT'!F34/1000</f>
        <v>0</v>
      </c>
      <c r="H217" s="1184">
        <f>'2. T7 LAINAT'!G34/1000</f>
        <v>0</v>
      </c>
      <c r="I217" s="1395">
        <f>'2. T7 LAINAT'!H34/1000</f>
        <v>0</v>
      </c>
      <c r="J217" s="1432">
        <f>'2. T7 LAINAT'!I34/1000</f>
        <v>0</v>
      </c>
      <c r="K217" s="1184">
        <f>'2. T7 LAINAT'!J34/1000</f>
        <v>0</v>
      </c>
      <c r="L217" s="1395">
        <f>'2. T7 LAINAT'!K34/1000</f>
        <v>0</v>
      </c>
      <c r="M217" s="1432">
        <f>'2. T7 LAINAT'!L34/1000</f>
        <v>0</v>
      </c>
      <c r="N217" s="1184">
        <f>'2. T7 LAINAT'!M34/1000</f>
        <v>0</v>
      </c>
      <c r="O217" s="1395">
        <f>'2. T7 LAINAT'!N34/1000</f>
        <v>0</v>
      </c>
      <c r="P217" s="1239">
        <f>'2. T7 LAINAT'!O34/1000</f>
        <v>0</v>
      </c>
      <c r="Q217" s="1184">
        <f>'2. T7 LAINAT'!P34/1000</f>
        <v>0</v>
      </c>
      <c r="R217" s="1395">
        <f>'2. T7 LAINAT'!Q34/1000</f>
        <v>0</v>
      </c>
    </row>
    <row r="218" spans="2:18" x14ac:dyDescent="0.2">
      <c r="B218" s="2607" t="str">
        <f>'2. T7 LAINAT'!B35</f>
        <v xml:space="preserve"> Osamaksuvelka 2. ennustevuosi</v>
      </c>
      <c r="C218" s="2608"/>
      <c r="D218" s="1175">
        <f>'2. T7 LAINAT'!C35/1000</f>
        <v>0</v>
      </c>
      <c r="E218" s="1167">
        <f>'2. T7 LAINAT'!D35</f>
        <v>0</v>
      </c>
      <c r="F218" s="1412">
        <f>'2. T7 LAINAT'!E35*100</f>
        <v>0</v>
      </c>
      <c r="G218" s="1424">
        <f>'2. T7 LAINAT'!F35/1000</f>
        <v>0</v>
      </c>
      <c r="H218" s="1168">
        <f>'2. T7 LAINAT'!G35/1000</f>
        <v>0</v>
      </c>
      <c r="I218" s="1386">
        <f>'2. T7 LAINAT'!H35/1000</f>
        <v>0</v>
      </c>
      <c r="J218" s="1424">
        <f>'2. T7 LAINAT'!I35/1000</f>
        <v>0</v>
      </c>
      <c r="K218" s="1168">
        <f>'2. T7 LAINAT'!J35/1000</f>
        <v>0</v>
      </c>
      <c r="L218" s="1386">
        <f>'2. T7 LAINAT'!K35/1000</f>
        <v>0</v>
      </c>
      <c r="M218" s="1424">
        <f>'2. T7 LAINAT'!L35/1000</f>
        <v>0</v>
      </c>
      <c r="N218" s="1168">
        <f>'2. T7 LAINAT'!M35/1000</f>
        <v>0</v>
      </c>
      <c r="O218" s="1386">
        <f>'2. T7 LAINAT'!N35/1000</f>
        <v>0</v>
      </c>
      <c r="P218" s="1175">
        <f>'2. T7 LAINAT'!O35/1000</f>
        <v>0</v>
      </c>
      <c r="Q218" s="1168">
        <f>'2. T7 LAINAT'!P35/1000</f>
        <v>0</v>
      </c>
      <c r="R218" s="1386">
        <f>'2. T7 LAINAT'!Q35/1000</f>
        <v>0</v>
      </c>
    </row>
    <row r="219" spans="2:18" x14ac:dyDescent="0.2">
      <c r="B219" s="2607" t="str">
        <f>'2. T7 LAINAT'!B36</f>
        <v xml:space="preserve"> Osamaksuvelka 3. ennustevuosi</v>
      </c>
      <c r="C219" s="2608"/>
      <c r="D219" s="1175">
        <f>'2. T7 LAINAT'!C36/1000</f>
        <v>0</v>
      </c>
      <c r="E219" s="1167">
        <f>'2. T7 LAINAT'!D36</f>
        <v>0</v>
      </c>
      <c r="F219" s="1412">
        <f>'2. T7 LAINAT'!E36*100</f>
        <v>0</v>
      </c>
      <c r="G219" s="1424">
        <f>'2. T7 LAINAT'!F36/1000</f>
        <v>0</v>
      </c>
      <c r="H219" s="1168">
        <f>'2. T7 LAINAT'!G36/1000</f>
        <v>0</v>
      </c>
      <c r="I219" s="1386">
        <f>'2. T7 LAINAT'!H36/1000</f>
        <v>0</v>
      </c>
      <c r="J219" s="1424">
        <f>'2. T7 LAINAT'!I36/1000</f>
        <v>0</v>
      </c>
      <c r="K219" s="1168">
        <f>'2. T7 LAINAT'!J36/1000</f>
        <v>0</v>
      </c>
      <c r="L219" s="1386">
        <f>'2. T7 LAINAT'!K36/1000</f>
        <v>0</v>
      </c>
      <c r="M219" s="1424">
        <f>'2. T7 LAINAT'!L36/1000</f>
        <v>0</v>
      </c>
      <c r="N219" s="1168">
        <f>'2. T7 LAINAT'!M36/1000</f>
        <v>0</v>
      </c>
      <c r="O219" s="1386">
        <f>'2. T7 LAINAT'!N36/1000</f>
        <v>0</v>
      </c>
      <c r="P219" s="1175">
        <f>'2. T7 LAINAT'!O36/1000</f>
        <v>0</v>
      </c>
      <c r="Q219" s="1168">
        <f>'2. T7 LAINAT'!P36/1000</f>
        <v>0</v>
      </c>
      <c r="R219" s="1386">
        <f>'2. T7 LAINAT'!Q36/1000</f>
        <v>0</v>
      </c>
    </row>
    <row r="220" spans="2:18" x14ac:dyDescent="0.2">
      <c r="B220" s="2626" t="str">
        <f>'2. T7 LAINAT'!B37</f>
        <v xml:space="preserve"> Osamaksuvelka 4. ennustevuosi</v>
      </c>
      <c r="C220" s="2627"/>
      <c r="D220" s="1176">
        <f>'2. T7 LAINAT'!C37/1000</f>
        <v>0</v>
      </c>
      <c r="E220" s="1169">
        <f>'2. T7 LAINAT'!D37</f>
        <v>0</v>
      </c>
      <c r="F220" s="1419">
        <f>'2. T7 LAINAT'!E37*100</f>
        <v>0</v>
      </c>
      <c r="G220" s="1433">
        <f>'2. T7 LAINAT'!F37/1000</f>
        <v>0</v>
      </c>
      <c r="H220" s="1173">
        <f>'2. T7 LAINAT'!G37/1000</f>
        <v>0</v>
      </c>
      <c r="I220" s="1392">
        <f>'2. T7 LAINAT'!H37/1000</f>
        <v>0</v>
      </c>
      <c r="J220" s="1433">
        <f>'2. T7 LAINAT'!I37/1000</f>
        <v>0</v>
      </c>
      <c r="K220" s="1173">
        <f>'2. T7 LAINAT'!J37/1000</f>
        <v>0</v>
      </c>
      <c r="L220" s="1392">
        <f>'2. T7 LAINAT'!K37/1000</f>
        <v>0</v>
      </c>
      <c r="M220" s="1433">
        <f>'2. T7 LAINAT'!L37/1000</f>
        <v>0</v>
      </c>
      <c r="N220" s="1173">
        <f>'2. T7 LAINAT'!M37/1000</f>
        <v>0</v>
      </c>
      <c r="O220" s="1392">
        <f>'2. T7 LAINAT'!N37/1000</f>
        <v>0</v>
      </c>
      <c r="P220" s="1181">
        <f>'2. T7 LAINAT'!O37/1000</f>
        <v>0</v>
      </c>
      <c r="Q220" s="1173">
        <f>'2. T7 LAINAT'!P37/1000</f>
        <v>0</v>
      </c>
      <c r="R220" s="1392">
        <f>'2. T7 LAINAT'!Q37/1000</f>
        <v>0</v>
      </c>
    </row>
    <row r="221" spans="2:18" x14ac:dyDescent="0.2">
      <c r="B221" s="2641" t="s">
        <v>618</v>
      </c>
      <c r="C221" s="2642"/>
      <c r="D221" s="1238">
        <f>'2. T7 LAINAT'!C38/1000</f>
        <v>0</v>
      </c>
      <c r="E221" s="1240"/>
      <c r="F221" s="1420"/>
      <c r="G221" s="1430">
        <f>'2. T7 LAINAT'!F38/1000</f>
        <v>0</v>
      </c>
      <c r="H221" s="1182">
        <f>'2. T7 LAINAT'!G38/1000</f>
        <v>0</v>
      </c>
      <c r="I221" s="1393">
        <f>'2. T7 LAINAT'!H38/1000</f>
        <v>0</v>
      </c>
      <c r="J221" s="1430">
        <f>'2. T7 LAINAT'!I38/1000</f>
        <v>0</v>
      </c>
      <c r="K221" s="1182">
        <f>'2. T7 LAINAT'!J38/1000</f>
        <v>0</v>
      </c>
      <c r="L221" s="1393">
        <f>'2. T7 LAINAT'!K38/1000</f>
        <v>0</v>
      </c>
      <c r="M221" s="1430">
        <f>'2. T7 LAINAT'!L38/1000</f>
        <v>0</v>
      </c>
      <c r="N221" s="1182">
        <f>'2. T7 LAINAT'!M38/1000</f>
        <v>0</v>
      </c>
      <c r="O221" s="1393">
        <f>'2. T7 LAINAT'!N38/1000</f>
        <v>0</v>
      </c>
      <c r="P221" s="1238">
        <f>'2. T7 LAINAT'!O38/1000</f>
        <v>0</v>
      </c>
      <c r="Q221" s="1182">
        <f>'2. T7 LAINAT'!P38/1000</f>
        <v>0</v>
      </c>
      <c r="R221" s="1393">
        <f>'2. T7 LAINAT'!Q38/1000</f>
        <v>0</v>
      </c>
    </row>
    <row r="222" spans="2:18" x14ac:dyDescent="0.2">
      <c r="B222" s="1383"/>
      <c r="C222" s="455"/>
      <c r="D222" s="461"/>
      <c r="E222" s="461"/>
      <c r="F222" s="461"/>
      <c r="G222" s="925"/>
      <c r="H222" s="461"/>
      <c r="I222" s="1138"/>
      <c r="J222" s="1139"/>
      <c r="K222" s="1139"/>
      <c r="L222" s="1140"/>
      <c r="M222" s="1139"/>
      <c r="N222" s="1139"/>
      <c r="O222" s="1140"/>
      <c r="P222" s="1139"/>
      <c r="Q222" s="727"/>
      <c r="R222" s="1396"/>
    </row>
    <row r="223" spans="2:18" x14ac:dyDescent="0.2">
      <c r="B223" s="2345" t="s">
        <v>620</v>
      </c>
      <c r="C223" s="2346"/>
      <c r="D223" s="1435">
        <f>'2. T7 LAINAT'!C40/1000</f>
        <v>0</v>
      </c>
      <c r="E223" s="1241"/>
      <c r="F223" s="1278">
        <f>'2. T7 LAINAT'!E40*100</f>
        <v>10</v>
      </c>
      <c r="G223" s="1434"/>
      <c r="H223" s="1242"/>
      <c r="I223" s="1278">
        <f>'2. T7 LAINAT'!H40/1000</f>
        <v>0</v>
      </c>
      <c r="J223" s="1436"/>
      <c r="K223" s="1242"/>
      <c r="L223" s="1182">
        <f>'2. T7 LAINAT'!K40/1000</f>
        <v>0</v>
      </c>
      <c r="M223" s="1434"/>
      <c r="N223" s="1242"/>
      <c r="O223" s="1182">
        <f>'2. T7 LAINAT'!N40/1000</f>
        <v>0</v>
      </c>
      <c r="P223" s="1434"/>
      <c r="Q223" s="1242"/>
      <c r="R223" s="1393">
        <f>'2. T7 LAINAT'!Q40/1000</f>
        <v>0</v>
      </c>
    </row>
    <row r="224" spans="2:18" x14ac:dyDescent="0.2">
      <c r="B224" s="1466"/>
      <c r="C224" s="1467"/>
      <c r="D224" s="461"/>
      <c r="E224" s="461"/>
      <c r="F224" s="461"/>
      <c r="G224" s="925"/>
      <c r="H224" s="461"/>
      <c r="I224" s="1141"/>
      <c r="J224" s="1142"/>
      <c r="K224" s="1142"/>
      <c r="L224" s="1439"/>
      <c r="M224" s="1142"/>
      <c r="N224" s="1142"/>
      <c r="O224" s="1439"/>
      <c r="P224" s="1142"/>
      <c r="Q224" s="727"/>
      <c r="R224" s="1394"/>
    </row>
    <row r="225" spans="2:18" x14ac:dyDescent="0.2">
      <c r="B225" s="2345" t="s">
        <v>621</v>
      </c>
      <c r="C225" s="2347"/>
      <c r="D225" s="1238">
        <f>'2. T7 LAINAT'!C42/1000</f>
        <v>0</v>
      </c>
      <c r="E225" s="1241"/>
      <c r="F225" s="1278">
        <f>'2. T7 LAINAT'!E42*100</f>
        <v>10</v>
      </c>
      <c r="G225" s="1434"/>
      <c r="H225" s="1242"/>
      <c r="I225" s="1278">
        <f>'2. T7 LAINAT'!H42/1000</f>
        <v>0</v>
      </c>
      <c r="J225" s="1434"/>
      <c r="K225" s="1242"/>
      <c r="L225" s="1182">
        <f>'2. T7 LAINAT'!K42/1000</f>
        <v>0</v>
      </c>
      <c r="M225" s="1434"/>
      <c r="N225" s="1242"/>
      <c r="O225" s="1182">
        <f>'2. T7 LAINAT'!N42/1000</f>
        <v>0</v>
      </c>
      <c r="P225" s="1434"/>
      <c r="Q225" s="1242"/>
      <c r="R225" s="1393">
        <f>'2. T7 LAINAT'!Q42/1000</f>
        <v>0</v>
      </c>
    </row>
    <row r="226" spans="2:18" x14ac:dyDescent="0.2">
      <c r="B226" s="1466"/>
      <c r="C226" s="1467"/>
      <c r="D226" s="461"/>
      <c r="E226" s="461"/>
      <c r="F226" s="461"/>
      <c r="G226" s="925"/>
      <c r="H226" s="461"/>
      <c r="I226" s="1141"/>
      <c r="J226" s="1142"/>
      <c r="K226" s="1142"/>
      <c r="L226" s="1143"/>
      <c r="M226" s="1142"/>
      <c r="N226" s="1142"/>
      <c r="O226" s="1143"/>
      <c r="P226" s="1142"/>
      <c r="Q226" s="727"/>
      <c r="R226" s="1394"/>
    </row>
    <row r="227" spans="2:18" x14ac:dyDescent="0.2">
      <c r="B227" s="2436" t="s">
        <v>622</v>
      </c>
      <c r="C227" s="2437"/>
      <c r="D227" s="2440">
        <f>'2. T7 LAINAT'!C44/1000</f>
        <v>0</v>
      </c>
      <c r="E227" s="2442"/>
      <c r="F227" s="2444">
        <f>'2. T7 LAINAT'!E44*100</f>
        <v>10</v>
      </c>
      <c r="G227" s="2446"/>
      <c r="H227" s="2448"/>
      <c r="I227" s="2444">
        <f>'2. T7 LAINAT'!H44/1000</f>
        <v>0</v>
      </c>
      <c r="J227" s="2446"/>
      <c r="K227" s="2448"/>
      <c r="L227" s="2450">
        <f>'2. T7 LAINAT'!K44/1000</f>
        <v>0</v>
      </c>
      <c r="M227" s="2446"/>
      <c r="N227" s="2448"/>
      <c r="O227" s="2450">
        <f>'2. T7 LAINAT'!N44/1000</f>
        <v>0</v>
      </c>
      <c r="P227" s="2446"/>
      <c r="Q227" s="2448"/>
      <c r="R227" s="2452">
        <f>'2. T7 LAINAT'!Q44/1000</f>
        <v>0</v>
      </c>
    </row>
    <row r="228" spans="2:18" x14ac:dyDescent="0.2">
      <c r="B228" s="2438"/>
      <c r="C228" s="2439"/>
      <c r="D228" s="2441"/>
      <c r="E228" s="2443"/>
      <c r="F228" s="2445">
        <f>'2. T7 LAINAT'!E45*100</f>
        <v>0</v>
      </c>
      <c r="G228" s="2447"/>
      <c r="H228" s="2449"/>
      <c r="I228" s="2445">
        <f>'2. T7 LAINAT'!H45/1000</f>
        <v>0</v>
      </c>
      <c r="J228" s="2447"/>
      <c r="K228" s="2449"/>
      <c r="L228" s="2451">
        <f>'2. T7 LAINAT'!K45/1000</f>
        <v>0</v>
      </c>
      <c r="M228" s="2447"/>
      <c r="N228" s="2449"/>
      <c r="O228" s="2451">
        <f>'2. T7 LAINAT'!N45/1000</f>
        <v>0</v>
      </c>
      <c r="P228" s="2447"/>
      <c r="Q228" s="2449"/>
      <c r="R228" s="2453">
        <f>'2. T7 LAINAT'!Q45/1000</f>
        <v>0</v>
      </c>
    </row>
    <row r="229" spans="2:18" x14ac:dyDescent="0.2">
      <c r="B229" s="1466"/>
      <c r="C229" s="1467"/>
      <c r="D229" s="461"/>
      <c r="E229" s="461"/>
      <c r="F229" s="461"/>
      <c r="G229" s="925"/>
      <c r="H229" s="461"/>
      <c r="I229" s="1138"/>
      <c r="J229" s="1139"/>
      <c r="K229" s="1139"/>
      <c r="L229" s="1140"/>
      <c r="M229" s="1139"/>
      <c r="N229" s="1139"/>
      <c r="O229" s="1140"/>
      <c r="P229" s="1139"/>
      <c r="Q229" s="727"/>
      <c r="R229" s="1396"/>
    </row>
    <row r="230" spans="2:18" x14ac:dyDescent="0.2">
      <c r="B230" s="2415" t="s">
        <v>623</v>
      </c>
      <c r="C230" s="2416"/>
      <c r="D230" s="1437"/>
      <c r="E230" s="1243"/>
      <c r="F230" s="1277"/>
      <c r="G230" s="1438"/>
      <c r="H230" s="1243"/>
      <c r="I230" s="1278">
        <f>'2. T7 LAINAT'!H46/1000</f>
        <v>0</v>
      </c>
      <c r="J230" s="1434"/>
      <c r="K230" s="1242"/>
      <c r="L230" s="1182">
        <f>'2. T7 LAINAT'!K46/1000</f>
        <v>0</v>
      </c>
      <c r="M230" s="1434"/>
      <c r="N230" s="1242"/>
      <c r="O230" s="1182">
        <f>'2. T7 LAINAT'!N46/1000</f>
        <v>0</v>
      </c>
      <c r="P230" s="1434"/>
      <c r="Q230" s="1242"/>
      <c r="R230" s="1393">
        <f>'2. T7 LAINAT'!Q46/1000</f>
        <v>0</v>
      </c>
    </row>
    <row r="231" spans="2:18" x14ac:dyDescent="0.2">
      <c r="B231" s="1466"/>
      <c r="C231" s="1467"/>
      <c r="D231" s="461"/>
      <c r="E231" s="461"/>
      <c r="F231" s="461"/>
      <c r="G231" s="925"/>
      <c r="H231" s="461"/>
      <c r="I231" s="1138"/>
      <c r="J231" s="1139"/>
      <c r="K231" s="1139"/>
      <c r="L231" s="1140"/>
      <c r="M231" s="1139"/>
      <c r="N231" s="1139"/>
      <c r="O231" s="1140"/>
      <c r="P231" s="1139"/>
      <c r="Q231" s="727"/>
      <c r="R231" s="1396"/>
    </row>
    <row r="232" spans="2:18" x14ac:dyDescent="0.2">
      <c r="B232" s="2345" t="s">
        <v>624</v>
      </c>
      <c r="C232" s="2347"/>
      <c r="D232" s="1238">
        <f>'2. T7 LAINAT'!C48/1000</f>
        <v>0</v>
      </c>
      <c r="E232" s="1277"/>
      <c r="F232" s="1277"/>
      <c r="G232" s="1238">
        <f>'2. T7 LAINAT'!F48/1000</f>
        <v>0</v>
      </c>
      <c r="H232" s="1278">
        <f>'2. T7 LAINAT'!G48/1000</f>
        <v>0</v>
      </c>
      <c r="I232" s="1278">
        <f>'2. T7 LAINAT'!H48/1000</f>
        <v>0</v>
      </c>
      <c r="J232" s="1238">
        <f>'2. T7 LAINAT'!I48/1000</f>
        <v>0</v>
      </c>
      <c r="K232" s="1278">
        <f>'2. T7 LAINAT'!J48/1000</f>
        <v>0</v>
      </c>
      <c r="L232" s="1182">
        <f>'2. T7 LAINAT'!K48/1000</f>
        <v>0</v>
      </c>
      <c r="M232" s="1238">
        <f>'2. T7 LAINAT'!L48/1000</f>
        <v>0</v>
      </c>
      <c r="N232" s="1278">
        <f>'2. T7 LAINAT'!M48/1000</f>
        <v>0</v>
      </c>
      <c r="O232" s="1182">
        <f>'2. T7 LAINAT'!N48/1000</f>
        <v>0</v>
      </c>
      <c r="P232" s="1238">
        <f>'2. T7 LAINAT'!O48/1000</f>
        <v>0</v>
      </c>
      <c r="Q232" s="1278">
        <f>'2. T7 LAINAT'!P48/1000</f>
        <v>0</v>
      </c>
      <c r="R232" s="1393">
        <f>'2. T7 LAINAT'!Q48/1000</f>
        <v>0</v>
      </c>
    </row>
    <row r="233" spans="2:18" x14ac:dyDescent="0.2">
      <c r="B233" s="417"/>
      <c r="C233" s="418"/>
      <c r="D233" s="418"/>
      <c r="E233" s="418"/>
      <c r="F233" s="418"/>
      <c r="G233" s="419"/>
      <c r="H233" s="411"/>
      <c r="I233" s="543"/>
      <c r="J233" s="544"/>
      <c r="K233" s="544"/>
      <c r="L233" s="544"/>
      <c r="M233" s="544"/>
      <c r="N233" s="544"/>
      <c r="O233" s="544"/>
      <c r="P233" s="544"/>
      <c r="Q233" s="420"/>
      <c r="R233" s="153"/>
    </row>
    <row r="234" spans="2:18" x14ac:dyDescent="0.2">
      <c r="B234" s="572"/>
      <c r="C234" s="572"/>
      <c r="D234" s="572"/>
      <c r="E234" s="572"/>
      <c r="O234" s="129"/>
      <c r="P234" s="129"/>
      <c r="Q234" s="129"/>
      <c r="R234" s="129"/>
    </row>
    <row r="235" spans="2:18" x14ac:dyDescent="0.2">
      <c r="C235" s="2342" t="s">
        <v>640</v>
      </c>
      <c r="D235" s="2342"/>
      <c r="E235" s="2342"/>
      <c r="F235" s="2342"/>
      <c r="G235" s="2342"/>
      <c r="H235" s="2342"/>
      <c r="I235" s="2342"/>
      <c r="J235" s="2574" t="str">
        <f>K110</f>
        <v>YEAR</v>
      </c>
      <c r="K235" s="2575"/>
      <c r="L235" s="2574" t="str">
        <f>M110</f>
        <v>YEAR</v>
      </c>
      <c r="M235" s="2575"/>
      <c r="N235" s="2574" t="str">
        <f>O110</f>
        <v>YEAR</v>
      </c>
      <c r="O235" s="2575"/>
      <c r="P235" s="2574" t="str">
        <f>Q110</f>
        <v>YEAR</v>
      </c>
      <c r="Q235" s="2575"/>
    </row>
    <row r="236" spans="2:18" x14ac:dyDescent="0.2">
      <c r="B236" s="440"/>
      <c r="C236" s="2342"/>
      <c r="D236" s="2342"/>
      <c r="E236" s="2342"/>
      <c r="F236" s="2342"/>
      <c r="G236" s="2342"/>
      <c r="H236" s="2342"/>
      <c r="I236" s="2342"/>
      <c r="J236" s="2577">
        <f>K136</f>
        <v>2027</v>
      </c>
      <c r="K236" s="2578"/>
      <c r="L236" s="2577">
        <f>M136</f>
        <v>2028</v>
      </c>
      <c r="M236" s="2578"/>
      <c r="N236" s="2577">
        <f>O136</f>
        <v>2029</v>
      </c>
      <c r="O236" s="2578"/>
      <c r="P236" s="2577">
        <f>Q136</f>
        <v>2030</v>
      </c>
      <c r="Q236" s="2578"/>
      <c r="R236" s="1135"/>
    </row>
    <row r="237" spans="2:18" x14ac:dyDescent="0.2">
      <c r="B237" s="439" t="s">
        <v>0</v>
      </c>
      <c r="C237" s="605"/>
      <c r="D237" s="438"/>
      <c r="E237" s="438"/>
      <c r="F237" s="438"/>
      <c r="G237" s="2417"/>
      <c r="H237" s="2417"/>
      <c r="J237" s="148"/>
      <c r="K237" s="148"/>
      <c r="L237" s="148"/>
      <c r="M237" s="148"/>
      <c r="N237" s="709"/>
      <c r="O237" s="709"/>
      <c r="P237" s="709"/>
      <c r="Q237" s="709"/>
      <c r="R237" s="711"/>
    </row>
    <row r="238" spans="2:18" x14ac:dyDescent="0.2">
      <c r="C238" s="2486" t="s">
        <v>215</v>
      </c>
      <c r="D238" s="2486"/>
      <c r="E238" s="2486"/>
      <c r="F238" s="2486"/>
      <c r="G238" s="2486"/>
      <c r="H238" s="2486"/>
      <c r="I238" s="2486"/>
      <c r="J238" s="2640">
        <f>'5. T4 RAHOITUSSUUN.'!Q27</f>
        <v>0</v>
      </c>
      <c r="K238" s="2640"/>
      <c r="L238" s="2640">
        <f>'5. T4 RAHOITUSSUUN.'!R27</f>
        <v>0</v>
      </c>
      <c r="M238" s="2640"/>
      <c r="N238" s="2640">
        <f>'5. T4 RAHOITUSSUUN.'!S27</f>
        <v>0</v>
      </c>
      <c r="O238" s="2640"/>
      <c r="P238" s="2640">
        <f>'5. T4 RAHOITUSSUUN.'!T27</f>
        <v>0</v>
      </c>
      <c r="Q238" s="2640"/>
      <c r="R238" s="710"/>
    </row>
    <row r="239" spans="2:18" x14ac:dyDescent="0.2">
      <c r="B239" s="328"/>
      <c r="C239" s="1397"/>
      <c r="D239" s="2454" t="s">
        <v>627</v>
      </c>
      <c r="E239" s="2454"/>
      <c r="F239" s="2454"/>
      <c r="G239" s="2454"/>
      <c r="H239" s="2454"/>
      <c r="I239" s="2454"/>
      <c r="J239" s="2434">
        <f>IF(J238=0,0,IF(J238&gt;1,"Good",IF(J238&lt;0.5,"Weak","Saatisfactory")))</f>
        <v>0</v>
      </c>
      <c r="K239" s="2434"/>
      <c r="L239" s="2434">
        <f>IF(L238=0,0,IF(L238&gt;1,"Good",IF(L238&lt;0.5,"Weak","Saatisfactory")))</f>
        <v>0</v>
      </c>
      <c r="M239" s="2434"/>
      <c r="N239" s="2434">
        <f>IF(N238=0,0,IF(N238&gt;1,"Good",IF(N238&lt;0.5,"Weak","Satisfactory")))</f>
        <v>0</v>
      </c>
      <c r="O239" s="2434"/>
      <c r="P239" s="2434">
        <f>IF(P238=0,0,IF(P238&gt;1,"Good",IF(P238&lt;0.5,"Weak","Saatisfactory")))</f>
        <v>0</v>
      </c>
      <c r="Q239" s="2434"/>
      <c r="R239" s="712"/>
    </row>
    <row r="240" spans="2:18" x14ac:dyDescent="0.2">
      <c r="C240" s="2636" t="s">
        <v>216</v>
      </c>
      <c r="D240" s="2636"/>
      <c r="E240" s="2636"/>
      <c r="F240" s="2636"/>
      <c r="G240" s="2636"/>
      <c r="H240" s="2636"/>
      <c r="I240" s="2636"/>
      <c r="J240" s="2640">
        <f>'5. T4 RAHOITUSSUUN.'!Q29</f>
        <v>0</v>
      </c>
      <c r="K240" s="2640"/>
      <c r="L240" s="2640">
        <f>'5. T4 RAHOITUSSUUN.'!R29</f>
        <v>0</v>
      </c>
      <c r="M240" s="2640"/>
      <c r="N240" s="2640">
        <f>'5. T4 RAHOITUSSUUN.'!S29</f>
        <v>0</v>
      </c>
      <c r="O240" s="2640"/>
      <c r="P240" s="2640">
        <f>'5. T4 RAHOITUSSUUN.'!T29</f>
        <v>0</v>
      </c>
      <c r="Q240" s="2640"/>
      <c r="R240" s="710"/>
    </row>
    <row r="241" spans="2:18" x14ac:dyDescent="0.2">
      <c r="B241" s="328"/>
      <c r="C241" s="1397"/>
      <c r="D241" s="2454" t="s">
        <v>627</v>
      </c>
      <c r="E241" s="2454"/>
      <c r="F241" s="2454"/>
      <c r="G241" s="2454"/>
      <c r="H241" s="2454"/>
      <c r="I241" s="2454"/>
      <c r="J241" s="2434">
        <f>IF(J240=0,0,IF(J240&gt;2,"Good",IF(J240&lt;1,"Weak","Satisfactory")))</f>
        <v>0</v>
      </c>
      <c r="K241" s="2434"/>
      <c r="L241" s="2434">
        <f>IF(L240=0,0,IF(L240&gt;2,"Good",IF(L240&lt;1,"Weak","Satisfactory")))</f>
        <v>0</v>
      </c>
      <c r="M241" s="2434"/>
      <c r="N241" s="2434">
        <f>IF(N240=0,0,IF(N240&gt;2,"Good",IF(N240&lt;1,"Weak","Satisfactory")))</f>
        <v>0</v>
      </c>
      <c r="O241" s="2434"/>
      <c r="P241" s="2434">
        <f>IF(P240=0,0,IF(P240&gt;2,"Good",IF(P240&lt;1,"Weak","Satisfactory")))</f>
        <v>0</v>
      </c>
      <c r="Q241" s="2434"/>
      <c r="R241" s="712"/>
    </row>
    <row r="242" spans="2:18" x14ac:dyDescent="0.2">
      <c r="C242" s="2636" t="s">
        <v>625</v>
      </c>
      <c r="D242" s="2636"/>
      <c r="E242" s="2636"/>
      <c r="F242" s="2636"/>
      <c r="G242" s="2636"/>
      <c r="H242" s="2636"/>
      <c r="I242" s="2636"/>
      <c r="J242" s="2640">
        <f>'5. T4 RAHOITUSSUUN.'!Q31</f>
        <v>0</v>
      </c>
      <c r="K242" s="2640"/>
      <c r="L242" s="2640">
        <f>'5. T4 RAHOITUSSUUN.'!R31</f>
        <v>0</v>
      </c>
      <c r="M242" s="2640"/>
      <c r="N242" s="2640">
        <f>'5. T4 RAHOITUSSUUN.'!S31</f>
        <v>0</v>
      </c>
      <c r="O242" s="2640"/>
      <c r="P242" s="2640">
        <f>'5. T4 RAHOITUSSUUN.'!T31</f>
        <v>0</v>
      </c>
      <c r="Q242" s="2640"/>
      <c r="R242" s="710"/>
    </row>
    <row r="243" spans="2:18" x14ac:dyDescent="0.2">
      <c r="C243" s="2638" t="s">
        <v>641</v>
      </c>
      <c r="D243" s="2639"/>
      <c r="E243" s="2639"/>
      <c r="F243" s="2639"/>
      <c r="G243" s="2639"/>
      <c r="H243" s="2639"/>
      <c r="I243" s="2639"/>
      <c r="J243" s="2640">
        <f>'5. T4 RAHOITUSSUUN.'!Q32</f>
        <v>0</v>
      </c>
      <c r="K243" s="2640"/>
      <c r="L243" s="2640">
        <f>'5. T4 RAHOITUSSUUN.'!R32</f>
        <v>0</v>
      </c>
      <c r="M243" s="2640"/>
      <c r="N243" s="2640">
        <f>'5. T4 RAHOITUSSUUN.'!S32</f>
        <v>0</v>
      </c>
      <c r="O243" s="2640"/>
      <c r="P243" s="2640">
        <f>'5. T4 RAHOITUSSUUN.'!T32</f>
        <v>0</v>
      </c>
      <c r="Q243" s="2640"/>
      <c r="R243" s="710"/>
    </row>
    <row r="244" spans="2:18" x14ac:dyDescent="0.2">
      <c r="B244" s="328"/>
      <c r="C244" s="1398"/>
      <c r="D244" s="2410" t="s">
        <v>627</v>
      </c>
      <c r="E244" s="2410"/>
      <c r="F244" s="2410"/>
      <c r="G244" s="2410"/>
      <c r="H244" s="2410"/>
      <c r="I244" s="2410"/>
      <c r="J244" s="2431">
        <f>IF(J243=0,0,IF(J243&gt;2,"Good",IF(J243&lt;1,"Weak","Satisfactory")))</f>
        <v>0</v>
      </c>
      <c r="K244" s="2431"/>
      <c r="L244" s="2431">
        <f>IF(L243=0,0,IF(L243&gt;2,"Good",IF(L243&lt;1,"Weak","Satisfactory")))</f>
        <v>0</v>
      </c>
      <c r="M244" s="2431"/>
      <c r="N244" s="2431">
        <f>IF(N243=0,0,IF(N243&gt;2,"Good",IF(N243&lt;1,"Weak","Satisfactory")))</f>
        <v>0</v>
      </c>
      <c r="O244" s="2431"/>
      <c r="P244" s="2431">
        <f>IF(P243=0,0,IF(P243&gt;2,"Good",IF(P243&lt;1,"Weak","Satisfactory")))</f>
        <v>0</v>
      </c>
      <c r="Q244" s="2431"/>
      <c r="R244" s="712"/>
    </row>
    <row r="245" spans="2:18" x14ac:dyDescent="0.2">
      <c r="C245" s="598"/>
      <c r="D245" s="598"/>
      <c r="E245" s="598"/>
      <c r="F245" s="598"/>
      <c r="G245" s="131"/>
      <c r="H245" s="131"/>
      <c r="J245" s="778"/>
      <c r="K245" s="778"/>
      <c r="L245" s="778"/>
      <c r="M245" s="778"/>
      <c r="N245" s="778"/>
      <c r="O245" s="778"/>
      <c r="P245" s="778"/>
      <c r="Q245" s="778"/>
      <c r="R245" s="131"/>
    </row>
    <row r="246" spans="2:18" x14ac:dyDescent="0.2">
      <c r="C246" s="2636" t="s">
        <v>642</v>
      </c>
      <c r="D246" s="2636"/>
      <c r="E246" s="2636"/>
      <c r="F246" s="2636"/>
      <c r="G246" s="2636"/>
      <c r="H246" s="2636"/>
      <c r="I246" s="2636"/>
      <c r="J246" s="2433">
        <f>'5. T4 RAHOITUSSUUN.'!Q35</f>
        <v>0</v>
      </c>
      <c r="K246" s="2433"/>
      <c r="L246" s="2433">
        <f>'5. T4 RAHOITUSSUUN.'!R35</f>
        <v>0</v>
      </c>
      <c r="M246" s="2433"/>
      <c r="N246" s="2433">
        <f>'5. T4 RAHOITUSSUUN.'!S35</f>
        <v>0</v>
      </c>
      <c r="O246" s="2433"/>
      <c r="P246" s="2433">
        <f>'5. T4 RAHOITUSSUUN.'!T35</f>
        <v>0</v>
      </c>
      <c r="Q246" s="2433"/>
      <c r="R246" s="714"/>
    </row>
    <row r="247" spans="2:18" x14ac:dyDescent="0.2">
      <c r="B247" s="328"/>
      <c r="C247" s="1397"/>
      <c r="D247" s="2411" t="s">
        <v>627</v>
      </c>
      <c r="E247" s="2411"/>
      <c r="F247" s="2411"/>
      <c r="G247" s="2411"/>
      <c r="H247" s="2411"/>
      <c r="I247" s="2411"/>
      <c r="J247" s="2432">
        <f>IF(J246=0,0,IF(J246&gt;40%,"Good",IF(J246&lt;20%,"Weak","Satisfactory")))</f>
        <v>0</v>
      </c>
      <c r="K247" s="2432"/>
      <c r="L247" s="2432">
        <f>IF(L246=0,0,IF(L246&gt;40%,"Good",IF(L246&lt;20%,"Weak","Satisfactory")))</f>
        <v>0</v>
      </c>
      <c r="M247" s="2432"/>
      <c r="N247" s="2432">
        <f>IF(N246=0,0,IF(N246&gt;40%,"Good",IF(N246&lt;20%,"Weak","Satisfactory")))</f>
        <v>0</v>
      </c>
      <c r="O247" s="2432"/>
      <c r="P247" s="2432">
        <f>IF(P246=0,0,IF(P246&gt;40%,"Good",IF(P246&lt;20%,"Weak","Satisfactory")))</f>
        <v>0</v>
      </c>
      <c r="Q247" s="2432"/>
      <c r="R247" s="573"/>
    </row>
    <row r="248" spans="2:18" x14ac:dyDescent="0.2">
      <c r="C248" s="2636" t="s">
        <v>626</v>
      </c>
      <c r="D248" s="2636"/>
      <c r="E248" s="2636"/>
      <c r="F248" s="2636"/>
      <c r="G248" s="2636"/>
      <c r="H248" s="2636"/>
      <c r="I248" s="2636"/>
      <c r="J248" s="2637">
        <f>'5. T4 RAHOITUSSUUN.'!Q37</f>
        <v>0</v>
      </c>
      <c r="K248" s="2637"/>
      <c r="L248" s="2637">
        <f>'5. T4 RAHOITUSSUUN.'!R37</f>
        <v>0</v>
      </c>
      <c r="M248" s="2637"/>
      <c r="N248" s="2637">
        <f>'5. T4 RAHOITUSSUUN.'!S37</f>
        <v>0</v>
      </c>
      <c r="O248" s="2637"/>
      <c r="P248" s="2637">
        <f>'5. T4 RAHOITUSSUUN.'!T37</f>
        <v>0</v>
      </c>
      <c r="Q248" s="2637"/>
      <c r="R248" s="713"/>
    </row>
    <row r="249" spans="2:18" x14ac:dyDescent="0.2">
      <c r="B249" s="328"/>
      <c r="C249" s="1398"/>
      <c r="D249" s="2455" t="s">
        <v>627</v>
      </c>
      <c r="E249" s="2455"/>
      <c r="F249" s="2455"/>
      <c r="G249" s="2455"/>
      <c r="H249" s="2455"/>
      <c r="I249" s="2455"/>
      <c r="J249" s="2432" t="str">
        <f>'5. T4 RAHOITUSSUUN.'!Q38</f>
        <v/>
      </c>
      <c r="K249" s="2432"/>
      <c r="L249" s="2432" t="str">
        <f>'5. T4 RAHOITUSSUUN.'!R38</f>
        <v/>
      </c>
      <c r="M249" s="2432"/>
      <c r="N249" s="2432" t="str">
        <f>'5. T4 RAHOITUSSUUN.'!S38</f>
        <v/>
      </c>
      <c r="O249" s="2432"/>
      <c r="P249" s="2432" t="str">
        <f>'5. T4 RAHOITUSSUUN.'!T38</f>
        <v/>
      </c>
      <c r="Q249" s="2432"/>
      <c r="R249" s="573"/>
    </row>
    <row r="250" spans="2:18" ht="30" customHeight="1" x14ac:dyDescent="0.2">
      <c r="B250" s="328"/>
      <c r="C250" s="4"/>
      <c r="D250" s="632"/>
      <c r="E250" s="633"/>
      <c r="F250" s="4"/>
      <c r="G250" s="632"/>
      <c r="H250" s="633"/>
      <c r="I250" s="734"/>
      <c r="J250" s="734"/>
      <c r="K250" s="734"/>
      <c r="L250" s="734"/>
      <c r="M250" s="734"/>
      <c r="N250" s="734"/>
      <c r="O250" s="734"/>
      <c r="P250" s="734"/>
      <c r="Q250" s="635"/>
      <c r="R250" s="573"/>
    </row>
    <row r="251" spans="2:18" x14ac:dyDescent="0.2">
      <c r="B251" s="52" t="str">
        <f>B82</f>
        <v>BusinessPilot offered by</v>
      </c>
      <c r="H251" s="129"/>
      <c r="I251" s="640"/>
      <c r="J251" s="641"/>
      <c r="K251" s="641"/>
      <c r="L251" s="641"/>
      <c r="M251" s="641"/>
      <c r="N251" s="641"/>
      <c r="O251" s="641"/>
      <c r="P251" s="641"/>
      <c r="Q251" s="418"/>
      <c r="R251" s="1260"/>
    </row>
    <row r="252" spans="2:18" x14ac:dyDescent="0.2">
      <c r="B252" s="2334" t="str">
        <f>OHJE!G8</f>
        <v>Kehittämisyhtiö Witas Oy</v>
      </c>
      <c r="C252" s="2334"/>
      <c r="D252" s="2334"/>
      <c r="E252" s="2334"/>
      <c r="F252" s="2334"/>
      <c r="G252" s="2334"/>
      <c r="H252" s="2334"/>
      <c r="I252" s="2334"/>
      <c r="J252" s="2334"/>
      <c r="K252" s="2334"/>
      <c r="L252" s="2334"/>
      <c r="M252" s="2334"/>
      <c r="N252" s="634"/>
      <c r="O252" s="634"/>
      <c r="P252" s="634"/>
      <c r="Q252" s="635"/>
      <c r="R252" s="1272" t="s">
        <v>438</v>
      </c>
    </row>
    <row r="253" spans="2:18" x14ac:dyDescent="0.2">
      <c r="B253" s="328"/>
      <c r="C253" s="4"/>
      <c r="D253" s="632"/>
      <c r="E253" s="633"/>
      <c r="F253" s="4"/>
      <c r="G253" s="632"/>
      <c r="H253" s="633"/>
      <c r="I253" s="634"/>
      <c r="J253" s="634"/>
      <c r="K253" s="634"/>
      <c r="L253" s="634"/>
      <c r="M253" s="634"/>
      <c r="N253" s="634"/>
      <c r="O253" s="634"/>
      <c r="P253" s="634"/>
      <c r="Q253" s="635"/>
      <c r="R253" s="573"/>
    </row>
    <row r="254" spans="2:18" x14ac:dyDescent="0.2">
      <c r="B254" s="417" t="s">
        <v>0</v>
      </c>
      <c r="C254" s="418"/>
      <c r="D254" s="418"/>
      <c r="E254" s="418"/>
      <c r="F254" s="418"/>
      <c r="G254" s="419"/>
      <c r="H254" s="411"/>
      <c r="J254" s="2435"/>
      <c r="K254" s="2435"/>
      <c r="L254" s="2435"/>
      <c r="M254" s="2435"/>
      <c r="N254" s="2435"/>
      <c r="O254" s="2435"/>
      <c r="P254" s="2435"/>
      <c r="Q254" s="2435"/>
      <c r="R254" s="2435"/>
    </row>
    <row r="255" spans="2:18" ht="15" x14ac:dyDescent="0.25">
      <c r="B255" s="1276"/>
      <c r="C255" s="638"/>
      <c r="D255" s="572"/>
      <c r="E255" s="572"/>
      <c r="F255" s="138"/>
      <c r="G255" s="129"/>
      <c r="H255" s="129"/>
      <c r="I255" s="129"/>
      <c r="J255" s="129"/>
      <c r="K255" s="129"/>
      <c r="M255" s="138"/>
      <c r="N255" s="129"/>
      <c r="O255" s="129"/>
      <c r="P255" s="129"/>
      <c r="Q255" s="129"/>
      <c r="R255" s="129"/>
    </row>
    <row r="256" spans="2:18" x14ac:dyDescent="0.2">
      <c r="B256" s="572"/>
      <c r="C256" s="572"/>
      <c r="D256" s="572"/>
      <c r="E256" s="572"/>
      <c r="F256" s="598"/>
      <c r="G256" s="601"/>
      <c r="H256" s="601"/>
      <c r="I256" s="601"/>
      <c r="J256" s="601"/>
      <c r="K256" s="601"/>
      <c r="M256" s="2372"/>
      <c r="N256" s="2372"/>
      <c r="O256" s="129"/>
      <c r="P256" s="129"/>
      <c r="Q256" s="129"/>
      <c r="R256" s="129"/>
    </row>
    <row r="257" spans="2:18" x14ac:dyDescent="0.2">
      <c r="B257" s="1275"/>
      <c r="C257" s="572"/>
      <c r="D257" s="572"/>
      <c r="E257" s="572"/>
      <c r="F257" s="598"/>
      <c r="G257" s="601"/>
      <c r="H257" s="601"/>
      <c r="I257" s="601"/>
      <c r="J257" s="601"/>
      <c r="K257" s="601"/>
      <c r="M257" s="637"/>
      <c r="N257" s="637"/>
      <c r="O257" s="129"/>
      <c r="P257" s="129"/>
      <c r="Q257" s="129"/>
      <c r="R257" s="129"/>
    </row>
    <row r="258" spans="2:18" x14ac:dyDescent="0.2"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</row>
    <row r="259" spans="2:18" x14ac:dyDescent="0.2"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</row>
    <row r="260" spans="2:18" x14ac:dyDescent="0.2"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</row>
    <row r="261" spans="2:18" x14ac:dyDescent="0.2"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</row>
    <row r="262" spans="2:18" x14ac:dyDescent="0.2"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</row>
    <row r="263" spans="2:18" x14ac:dyDescent="0.2"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</row>
    <row r="264" spans="2:18" x14ac:dyDescent="0.2"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</row>
    <row r="265" spans="2:18" x14ac:dyDescent="0.2"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</row>
    <row r="266" spans="2:18" x14ac:dyDescent="0.2"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</row>
    <row r="267" spans="2:18" x14ac:dyDescent="0.2"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</row>
    <row r="268" spans="2:18" x14ac:dyDescent="0.2"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</row>
    <row r="269" spans="2:18" x14ac:dyDescent="0.2"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</row>
    <row r="270" spans="2:18" x14ac:dyDescent="0.2"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</row>
    <row r="271" spans="2:18" x14ac:dyDescent="0.2"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</row>
    <row r="272" spans="2:18" x14ac:dyDescent="0.2"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</row>
    <row r="273" spans="2:18" x14ac:dyDescent="0.2"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</row>
    <row r="274" spans="2:18" x14ac:dyDescent="0.2"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</row>
    <row r="275" spans="2:18" x14ac:dyDescent="0.2"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</row>
    <row r="276" spans="2:18" x14ac:dyDescent="0.2"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</row>
    <row r="277" spans="2:18" x14ac:dyDescent="0.2"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</row>
    <row r="278" spans="2:18" x14ac:dyDescent="0.2"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</row>
    <row r="279" spans="2:18" x14ac:dyDescent="0.2"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</row>
    <row r="280" spans="2:18" x14ac:dyDescent="0.2"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</row>
    <row r="281" spans="2:18" x14ac:dyDescent="0.2"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</row>
    <row r="282" spans="2:18" x14ac:dyDescent="0.2"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</row>
    <row r="283" spans="2:18" x14ac:dyDescent="0.2"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</row>
    <row r="284" spans="2:18" x14ac:dyDescent="0.2"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</row>
    <row r="285" spans="2:18" x14ac:dyDescent="0.2"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</row>
    <row r="286" spans="2:18" x14ac:dyDescent="0.2"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</row>
    <row r="287" spans="2:18" x14ac:dyDescent="0.2"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</row>
    <row r="288" spans="2:18" x14ac:dyDescent="0.2"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</row>
    <row r="289" spans="2:18" x14ac:dyDescent="0.2"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</row>
    <row r="290" spans="2:18" x14ac:dyDescent="0.2"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</row>
    <row r="291" spans="2:18" x14ac:dyDescent="0.2"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</row>
    <row r="292" spans="2:18" x14ac:dyDescent="0.2"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</row>
    <row r="293" spans="2:18" x14ac:dyDescent="0.2"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</row>
    <row r="294" spans="2:18" x14ac:dyDescent="0.2"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</row>
    <row r="295" spans="2:18" x14ac:dyDescent="0.2"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</row>
    <row r="296" spans="2:18" x14ac:dyDescent="0.2"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</row>
    <row r="297" spans="2:18" x14ac:dyDescent="0.2"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</row>
    <row r="298" spans="2:18" x14ac:dyDescent="0.2"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</row>
    <row r="299" spans="2:18" x14ac:dyDescent="0.2"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</row>
    <row r="300" spans="2:18" x14ac:dyDescent="0.2"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</row>
    <row r="301" spans="2:18" x14ac:dyDescent="0.2"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</row>
    <row r="302" spans="2:18" x14ac:dyDescent="0.2"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</row>
    <row r="303" spans="2:18" x14ac:dyDescent="0.2"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</row>
    <row r="304" spans="2:18" x14ac:dyDescent="0.2"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</row>
    <row r="305" spans="2:18" x14ac:dyDescent="0.2"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</row>
    <row r="306" spans="2:18" x14ac:dyDescent="0.2"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</row>
    <row r="307" spans="2:18" x14ac:dyDescent="0.2"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</row>
    <row r="308" spans="2:18" x14ac:dyDescent="0.2"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</row>
    <row r="309" spans="2:18" x14ac:dyDescent="0.2"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</row>
    <row r="310" spans="2:18" x14ac:dyDescent="0.2"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</row>
    <row r="311" spans="2:18" x14ac:dyDescent="0.2"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</row>
    <row r="312" spans="2:18" x14ac:dyDescent="0.2"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</row>
    <row r="313" spans="2:18" x14ac:dyDescent="0.2"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</row>
    <row r="314" spans="2:18" x14ac:dyDescent="0.2"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</row>
    <row r="315" spans="2:18" x14ac:dyDescent="0.2"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</row>
    <row r="316" spans="2:18" x14ac:dyDescent="0.2"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</row>
    <row r="317" spans="2:18" x14ac:dyDescent="0.2"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</row>
    <row r="318" spans="2:18" x14ac:dyDescent="0.2"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</row>
    <row r="319" spans="2:18" x14ac:dyDescent="0.2"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</row>
    <row r="320" spans="2:18" x14ac:dyDescent="0.2"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</row>
    <row r="321" spans="2:18" x14ac:dyDescent="0.2"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</row>
    <row r="322" spans="2:18" x14ac:dyDescent="0.2"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</row>
    <row r="323" spans="2:18" x14ac:dyDescent="0.2">
      <c r="B323" s="129"/>
      <c r="C323" s="129"/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</row>
    <row r="324" spans="2:18" x14ac:dyDescent="0.2">
      <c r="B324" s="129"/>
      <c r="C324" s="129"/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</row>
    <row r="325" spans="2:18" x14ac:dyDescent="0.2">
      <c r="B325" s="129"/>
      <c r="C325" s="129"/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</row>
    <row r="326" spans="2:18" x14ac:dyDescent="0.2">
      <c r="B326" s="129"/>
      <c r="C326" s="129"/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</row>
    <row r="327" spans="2:18" x14ac:dyDescent="0.2">
      <c r="B327" s="129"/>
      <c r="C327" s="129"/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</row>
    <row r="328" spans="2:18" x14ac:dyDescent="0.2">
      <c r="B328" s="129"/>
      <c r="C328" s="129"/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</row>
    <row r="329" spans="2:18" x14ac:dyDescent="0.2">
      <c r="B329" s="129"/>
      <c r="C329" s="129"/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</row>
    <row r="330" spans="2:18" x14ac:dyDescent="0.2">
      <c r="B330" s="129"/>
      <c r="C330" s="129"/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</row>
    <row r="331" spans="2:18" x14ac:dyDescent="0.2">
      <c r="B331" s="129"/>
      <c r="C331" s="129"/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</row>
    <row r="332" spans="2:18" x14ac:dyDescent="0.2">
      <c r="B332" s="129"/>
      <c r="C332" s="129"/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</row>
    <row r="333" spans="2:18" x14ac:dyDescent="0.2">
      <c r="B333" s="129"/>
      <c r="C333" s="129"/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</row>
    <row r="334" spans="2:18" x14ac:dyDescent="0.2">
      <c r="B334" s="129"/>
      <c r="C334" s="129"/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</row>
    <row r="335" spans="2:18" x14ac:dyDescent="0.2">
      <c r="B335" s="129"/>
      <c r="C335" s="129"/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</row>
    <row r="336" spans="2:18" x14ac:dyDescent="0.2">
      <c r="B336" s="129"/>
      <c r="C336" s="129"/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</row>
    <row r="337" spans="2:18" x14ac:dyDescent="0.2">
      <c r="B337" s="74" t="str">
        <f>B82</f>
        <v>BusinessPilot offered by</v>
      </c>
      <c r="I337" s="1255"/>
      <c r="J337" s="1255"/>
      <c r="K337" s="1255"/>
      <c r="L337" s="1255"/>
      <c r="M337" s="1255"/>
      <c r="N337" s="1255"/>
      <c r="O337" s="1255"/>
      <c r="P337" s="1255"/>
      <c r="Q337" s="52"/>
      <c r="R337" s="155"/>
    </row>
    <row r="338" spans="2:18" x14ac:dyDescent="0.2">
      <c r="B338" s="2334" t="str">
        <f>OHJE!G8</f>
        <v>Kehittämisyhtiö Witas Oy</v>
      </c>
      <c r="C338" s="2334"/>
      <c r="D338" s="2334"/>
      <c r="E338" s="2334"/>
      <c r="F338" s="2334"/>
      <c r="G338" s="2334"/>
      <c r="H338" s="2334"/>
      <c r="I338" s="2334"/>
      <c r="J338" s="2334"/>
      <c r="K338" s="2334"/>
      <c r="L338" s="2334"/>
      <c r="M338" s="2334"/>
      <c r="R338" s="1271" t="s">
        <v>438</v>
      </c>
    </row>
  </sheetData>
  <sheetProtection algorithmName="SHA-512" hashValue="LJNm67od7PQjOtqWoU7O0qcEo0cP74IhAepBcOe/hNgqWCNlfrJhVWupGCOPjsW+Gh9vfB4V0OH24KutYwH/5A==" saltValue="s41l4UHefRHofpmnrahuKw==" spinCount="100000" sheet="1" objects="1" scenarios="1" selectLockedCells="1"/>
  <mergeCells count="688">
    <mergeCell ref="L2:M2"/>
    <mergeCell ref="L3:M3"/>
    <mergeCell ref="H5:I5"/>
    <mergeCell ref="L6:R6"/>
    <mergeCell ref="B7:H7"/>
    <mergeCell ref="L7:R7"/>
    <mergeCell ref="L12:R12"/>
    <mergeCell ref="B13:H13"/>
    <mergeCell ref="L13:R13"/>
    <mergeCell ref="B15:F16"/>
    <mergeCell ref="K15:K16"/>
    <mergeCell ref="L15:R16"/>
    <mergeCell ref="L8:R8"/>
    <mergeCell ref="B9:H9"/>
    <mergeCell ref="L9:R9"/>
    <mergeCell ref="L10:R10"/>
    <mergeCell ref="B11:H11"/>
    <mergeCell ref="L11:R11"/>
    <mergeCell ref="C23:F23"/>
    <mergeCell ref="C24:F24"/>
    <mergeCell ref="C25:F25"/>
    <mergeCell ref="C27:F27"/>
    <mergeCell ref="C28:F28"/>
    <mergeCell ref="C29:F29"/>
    <mergeCell ref="C17:F17"/>
    <mergeCell ref="C18:F18"/>
    <mergeCell ref="C19:F19"/>
    <mergeCell ref="C20:F20"/>
    <mergeCell ref="C21:F21"/>
    <mergeCell ref="C22:F22"/>
    <mergeCell ref="K35:K36"/>
    <mergeCell ref="L35:R36"/>
    <mergeCell ref="B37:C37"/>
    <mergeCell ref="B44:C44"/>
    <mergeCell ref="O44:P44"/>
    <mergeCell ref="O45:P45"/>
    <mergeCell ref="C30:F30"/>
    <mergeCell ref="C31:F31"/>
    <mergeCell ref="C32:F32"/>
    <mergeCell ref="C33:F33"/>
    <mergeCell ref="C34:F34"/>
    <mergeCell ref="B35:F36"/>
    <mergeCell ref="O46:P46"/>
    <mergeCell ref="O47:P47"/>
    <mergeCell ref="O48:P48"/>
    <mergeCell ref="B55:E57"/>
    <mergeCell ref="G55:H55"/>
    <mergeCell ref="I55:J55"/>
    <mergeCell ref="K55:L55"/>
    <mergeCell ref="M55:N55"/>
    <mergeCell ref="O55:P55"/>
    <mergeCell ref="G58:H58"/>
    <mergeCell ref="I58:J58"/>
    <mergeCell ref="K58:L58"/>
    <mergeCell ref="M58:N58"/>
    <mergeCell ref="O58:P58"/>
    <mergeCell ref="Q58:R58"/>
    <mergeCell ref="Q55:R55"/>
    <mergeCell ref="G56:H56"/>
    <mergeCell ref="I56:J56"/>
    <mergeCell ref="K56:L56"/>
    <mergeCell ref="M56:N56"/>
    <mergeCell ref="O56:P56"/>
    <mergeCell ref="Q56:R56"/>
    <mergeCell ref="G80:H80"/>
    <mergeCell ref="I80:J80"/>
    <mergeCell ref="K80:L80"/>
    <mergeCell ref="M80:N80"/>
    <mergeCell ref="O80:P80"/>
    <mergeCell ref="Q80:R80"/>
    <mergeCell ref="G79:H79"/>
    <mergeCell ref="I79:J79"/>
    <mergeCell ref="K79:L79"/>
    <mergeCell ref="M79:N79"/>
    <mergeCell ref="O79:P79"/>
    <mergeCell ref="Q79:R79"/>
    <mergeCell ref="O88:P88"/>
    <mergeCell ref="Q88:R88"/>
    <mergeCell ref="K89:L89"/>
    <mergeCell ref="M89:N89"/>
    <mergeCell ref="O89:P89"/>
    <mergeCell ref="Q89:R89"/>
    <mergeCell ref="B83:M83"/>
    <mergeCell ref="B84:J84"/>
    <mergeCell ref="M84:N84"/>
    <mergeCell ref="M85:N85"/>
    <mergeCell ref="B86:L86"/>
    <mergeCell ref="K88:L88"/>
    <mergeCell ref="M88:N88"/>
    <mergeCell ref="B88:J89"/>
    <mergeCell ref="G91:H91"/>
    <mergeCell ref="I91:J91"/>
    <mergeCell ref="K91:L91"/>
    <mergeCell ref="M91:N91"/>
    <mergeCell ref="O91:P91"/>
    <mergeCell ref="Q91:R91"/>
    <mergeCell ref="G90:H90"/>
    <mergeCell ref="I90:J90"/>
    <mergeCell ref="K90:L90"/>
    <mergeCell ref="M90:N90"/>
    <mergeCell ref="O90:P90"/>
    <mergeCell ref="Q90:R90"/>
    <mergeCell ref="G93:H93"/>
    <mergeCell ref="I93:J93"/>
    <mergeCell ref="K93:L93"/>
    <mergeCell ref="M93:N93"/>
    <mergeCell ref="O93:P93"/>
    <mergeCell ref="Q93:R93"/>
    <mergeCell ref="G92:H92"/>
    <mergeCell ref="I92:J92"/>
    <mergeCell ref="K92:L92"/>
    <mergeCell ref="M92:N92"/>
    <mergeCell ref="O92:P92"/>
    <mergeCell ref="Q92:R92"/>
    <mergeCell ref="G95:H95"/>
    <mergeCell ref="I95:J95"/>
    <mergeCell ref="K95:L95"/>
    <mergeCell ref="M95:N95"/>
    <mergeCell ref="O95:P95"/>
    <mergeCell ref="Q95:R95"/>
    <mergeCell ref="G94:H94"/>
    <mergeCell ref="I94:J94"/>
    <mergeCell ref="K94:L94"/>
    <mergeCell ref="M94:N94"/>
    <mergeCell ref="O94:P94"/>
    <mergeCell ref="Q94:R94"/>
    <mergeCell ref="G97:H97"/>
    <mergeCell ref="I97:J97"/>
    <mergeCell ref="K97:L97"/>
    <mergeCell ref="M97:N97"/>
    <mergeCell ref="O97:P97"/>
    <mergeCell ref="Q97:R97"/>
    <mergeCell ref="G96:H96"/>
    <mergeCell ref="I96:J96"/>
    <mergeCell ref="K96:L96"/>
    <mergeCell ref="M96:N96"/>
    <mergeCell ref="O96:P96"/>
    <mergeCell ref="Q96:R96"/>
    <mergeCell ref="G99:H99"/>
    <mergeCell ref="I99:J99"/>
    <mergeCell ref="K99:L99"/>
    <mergeCell ref="M99:N99"/>
    <mergeCell ref="O99:P99"/>
    <mergeCell ref="Q99:R99"/>
    <mergeCell ref="G98:H98"/>
    <mergeCell ref="I98:J98"/>
    <mergeCell ref="K98:L98"/>
    <mergeCell ref="M98:N98"/>
    <mergeCell ref="O98:P98"/>
    <mergeCell ref="Q98:R98"/>
    <mergeCell ref="Q101:R101"/>
    <mergeCell ref="G102:H102"/>
    <mergeCell ref="I102:J102"/>
    <mergeCell ref="K102:L102"/>
    <mergeCell ref="M102:N102"/>
    <mergeCell ref="O102:P102"/>
    <mergeCell ref="Q102:R102"/>
    <mergeCell ref="C100:J100"/>
    <mergeCell ref="K100:L100"/>
    <mergeCell ref="M100:N100"/>
    <mergeCell ref="O100:P100"/>
    <mergeCell ref="Q100:R100"/>
    <mergeCell ref="G101:H101"/>
    <mergeCell ref="I101:J101"/>
    <mergeCell ref="K101:L101"/>
    <mergeCell ref="M101:N101"/>
    <mergeCell ref="O101:P101"/>
    <mergeCell ref="G105:H105"/>
    <mergeCell ref="I105:J105"/>
    <mergeCell ref="K105:L105"/>
    <mergeCell ref="M105:N105"/>
    <mergeCell ref="O105:P105"/>
    <mergeCell ref="Q105:R105"/>
    <mergeCell ref="Q103:R103"/>
    <mergeCell ref="K104:L104"/>
    <mergeCell ref="M104:N104"/>
    <mergeCell ref="O104:P104"/>
    <mergeCell ref="Q104:R104"/>
    <mergeCell ref="C104:J104"/>
    <mergeCell ref="C103:D103"/>
    <mergeCell ref="G103:H103"/>
    <mergeCell ref="I103:J103"/>
    <mergeCell ref="K103:L103"/>
    <mergeCell ref="M103:N103"/>
    <mergeCell ref="O103:P103"/>
    <mergeCell ref="G107:H107"/>
    <mergeCell ref="I107:J107"/>
    <mergeCell ref="K107:L107"/>
    <mergeCell ref="M107:N107"/>
    <mergeCell ref="O107:P107"/>
    <mergeCell ref="Q107:R107"/>
    <mergeCell ref="G106:H106"/>
    <mergeCell ref="I106:J106"/>
    <mergeCell ref="K106:L106"/>
    <mergeCell ref="M106:N106"/>
    <mergeCell ref="O106:P106"/>
    <mergeCell ref="Q106:R106"/>
    <mergeCell ref="G109:H109"/>
    <mergeCell ref="I109:J109"/>
    <mergeCell ref="K109:L109"/>
    <mergeCell ref="M109:N109"/>
    <mergeCell ref="O109:P109"/>
    <mergeCell ref="Q109:R109"/>
    <mergeCell ref="G108:H108"/>
    <mergeCell ref="I108:J108"/>
    <mergeCell ref="K108:L108"/>
    <mergeCell ref="M108:N108"/>
    <mergeCell ref="O108:P108"/>
    <mergeCell ref="Q108:R108"/>
    <mergeCell ref="Q110:R110"/>
    <mergeCell ref="K111:L111"/>
    <mergeCell ref="M111:N111"/>
    <mergeCell ref="O111:P111"/>
    <mergeCell ref="Q111:R111"/>
    <mergeCell ref="K110:L110"/>
    <mergeCell ref="M110:N110"/>
    <mergeCell ref="O110:P110"/>
    <mergeCell ref="B110:J111"/>
    <mergeCell ref="G113:H113"/>
    <mergeCell ref="I113:J113"/>
    <mergeCell ref="K113:L113"/>
    <mergeCell ref="M113:N113"/>
    <mergeCell ref="O113:P113"/>
    <mergeCell ref="Q113:R113"/>
    <mergeCell ref="G112:H112"/>
    <mergeCell ref="I112:J112"/>
    <mergeCell ref="K112:L112"/>
    <mergeCell ref="M112:N112"/>
    <mergeCell ref="O112:P112"/>
    <mergeCell ref="Q112:R112"/>
    <mergeCell ref="G115:H115"/>
    <mergeCell ref="I115:J115"/>
    <mergeCell ref="K115:L115"/>
    <mergeCell ref="M115:N115"/>
    <mergeCell ref="O115:P115"/>
    <mergeCell ref="Q115:R115"/>
    <mergeCell ref="G114:H114"/>
    <mergeCell ref="I114:J114"/>
    <mergeCell ref="K114:L114"/>
    <mergeCell ref="M114:N114"/>
    <mergeCell ref="O114:P114"/>
    <mergeCell ref="Q114:R114"/>
    <mergeCell ref="G117:H117"/>
    <mergeCell ref="I117:J117"/>
    <mergeCell ref="K117:L117"/>
    <mergeCell ref="M117:N117"/>
    <mergeCell ref="O117:P117"/>
    <mergeCell ref="Q117:R117"/>
    <mergeCell ref="G116:H116"/>
    <mergeCell ref="I116:J116"/>
    <mergeCell ref="K116:L116"/>
    <mergeCell ref="M116:N116"/>
    <mergeCell ref="O116:P116"/>
    <mergeCell ref="Q116:R116"/>
    <mergeCell ref="G119:H119"/>
    <mergeCell ref="I119:J119"/>
    <mergeCell ref="K119:L119"/>
    <mergeCell ref="M119:N119"/>
    <mergeCell ref="O119:P119"/>
    <mergeCell ref="Q119:R119"/>
    <mergeCell ref="G118:H118"/>
    <mergeCell ref="I118:J118"/>
    <mergeCell ref="K118:L118"/>
    <mergeCell ref="M118:N118"/>
    <mergeCell ref="O118:P118"/>
    <mergeCell ref="Q118:R118"/>
    <mergeCell ref="G121:H121"/>
    <mergeCell ref="I121:J121"/>
    <mergeCell ref="K121:L121"/>
    <mergeCell ref="M121:N121"/>
    <mergeCell ref="O121:P121"/>
    <mergeCell ref="Q121:R121"/>
    <mergeCell ref="G120:H120"/>
    <mergeCell ref="I120:J120"/>
    <mergeCell ref="K120:L120"/>
    <mergeCell ref="M120:N120"/>
    <mergeCell ref="O120:P120"/>
    <mergeCell ref="Q120:R120"/>
    <mergeCell ref="G123:H123"/>
    <mergeCell ref="I123:J123"/>
    <mergeCell ref="K123:L123"/>
    <mergeCell ref="M123:N123"/>
    <mergeCell ref="O123:P123"/>
    <mergeCell ref="Q123:R123"/>
    <mergeCell ref="G122:H122"/>
    <mergeCell ref="I122:J122"/>
    <mergeCell ref="K122:L122"/>
    <mergeCell ref="M122:N122"/>
    <mergeCell ref="O122:P122"/>
    <mergeCell ref="Q122:R122"/>
    <mergeCell ref="G125:H125"/>
    <mergeCell ref="I125:J125"/>
    <mergeCell ref="K125:L125"/>
    <mergeCell ref="M125:N125"/>
    <mergeCell ref="O125:P125"/>
    <mergeCell ref="Q125:R125"/>
    <mergeCell ref="G124:H124"/>
    <mergeCell ref="I124:J124"/>
    <mergeCell ref="K124:L124"/>
    <mergeCell ref="M124:N124"/>
    <mergeCell ref="O124:P124"/>
    <mergeCell ref="Q124:R124"/>
    <mergeCell ref="Q128:R128"/>
    <mergeCell ref="G127:H127"/>
    <mergeCell ref="I127:J127"/>
    <mergeCell ref="K127:L127"/>
    <mergeCell ref="M127:N127"/>
    <mergeCell ref="O127:P127"/>
    <mergeCell ref="Q127:R127"/>
    <mergeCell ref="G126:H126"/>
    <mergeCell ref="I126:J126"/>
    <mergeCell ref="K126:L126"/>
    <mergeCell ref="M126:N126"/>
    <mergeCell ref="O126:P126"/>
    <mergeCell ref="Q126:R126"/>
    <mergeCell ref="C129:D129"/>
    <mergeCell ref="G129:H129"/>
    <mergeCell ref="I129:J129"/>
    <mergeCell ref="K129:L129"/>
    <mergeCell ref="M129:N129"/>
    <mergeCell ref="O129:P129"/>
    <mergeCell ref="G128:H128"/>
    <mergeCell ref="I128:J128"/>
    <mergeCell ref="K128:L128"/>
    <mergeCell ref="M128:N128"/>
    <mergeCell ref="O128:P128"/>
    <mergeCell ref="G131:H131"/>
    <mergeCell ref="I131:J131"/>
    <mergeCell ref="K131:L131"/>
    <mergeCell ref="M131:N131"/>
    <mergeCell ref="O131:P131"/>
    <mergeCell ref="Q131:R131"/>
    <mergeCell ref="Q129:R129"/>
    <mergeCell ref="G130:H130"/>
    <mergeCell ref="I130:J130"/>
    <mergeCell ref="K130:L130"/>
    <mergeCell ref="M130:N130"/>
    <mergeCell ref="O130:P130"/>
    <mergeCell ref="Q130:R130"/>
    <mergeCell ref="G133:H133"/>
    <mergeCell ref="I133:J133"/>
    <mergeCell ref="K133:L133"/>
    <mergeCell ref="M133:N133"/>
    <mergeCell ref="O133:P133"/>
    <mergeCell ref="Q133:R133"/>
    <mergeCell ref="G132:H132"/>
    <mergeCell ref="I132:J132"/>
    <mergeCell ref="K132:L132"/>
    <mergeCell ref="M132:N132"/>
    <mergeCell ref="O132:P132"/>
    <mergeCell ref="Q132:R132"/>
    <mergeCell ref="B135:J136"/>
    <mergeCell ref="K135:L135"/>
    <mergeCell ref="M135:N135"/>
    <mergeCell ref="O135:P135"/>
    <mergeCell ref="Q135:R135"/>
    <mergeCell ref="K136:L136"/>
    <mergeCell ref="M136:N136"/>
    <mergeCell ref="O136:P136"/>
    <mergeCell ref="Q136:R136"/>
    <mergeCell ref="K137:L137"/>
    <mergeCell ref="M137:N137"/>
    <mergeCell ref="O137:P137"/>
    <mergeCell ref="Q137:R137"/>
    <mergeCell ref="C138:G138"/>
    <mergeCell ref="K138:L138"/>
    <mergeCell ref="M138:N138"/>
    <mergeCell ref="O138:P138"/>
    <mergeCell ref="Q138:R138"/>
    <mergeCell ref="C139:G139"/>
    <mergeCell ref="K139:L139"/>
    <mergeCell ref="M139:N139"/>
    <mergeCell ref="O139:P139"/>
    <mergeCell ref="Q139:R139"/>
    <mergeCell ref="C140:G140"/>
    <mergeCell ref="K140:L140"/>
    <mergeCell ref="M140:N140"/>
    <mergeCell ref="O140:P140"/>
    <mergeCell ref="Q140:R140"/>
    <mergeCell ref="C141:G141"/>
    <mergeCell ref="K141:L141"/>
    <mergeCell ref="M141:N141"/>
    <mergeCell ref="O141:P141"/>
    <mergeCell ref="Q141:R141"/>
    <mergeCell ref="C142:G142"/>
    <mergeCell ref="K142:L142"/>
    <mergeCell ref="M142:N142"/>
    <mergeCell ref="O142:P142"/>
    <mergeCell ref="Q142:R142"/>
    <mergeCell ref="C143:J143"/>
    <mergeCell ref="K143:L143"/>
    <mergeCell ref="M143:N143"/>
    <mergeCell ref="O143:P143"/>
    <mergeCell ref="Q143:R143"/>
    <mergeCell ref="K144:L144"/>
    <mergeCell ref="M144:N144"/>
    <mergeCell ref="O144:P144"/>
    <mergeCell ref="Q144:R144"/>
    <mergeCell ref="K145:L145"/>
    <mergeCell ref="M145:N145"/>
    <mergeCell ref="O145:P145"/>
    <mergeCell ref="Q145:R145"/>
    <mergeCell ref="C146:G146"/>
    <mergeCell ref="K146:L146"/>
    <mergeCell ref="M146:N146"/>
    <mergeCell ref="O146:P146"/>
    <mergeCell ref="Q146:R146"/>
    <mergeCell ref="C147:G147"/>
    <mergeCell ref="K147:L147"/>
    <mergeCell ref="M147:N147"/>
    <mergeCell ref="O147:P147"/>
    <mergeCell ref="Q147:R147"/>
    <mergeCell ref="C148:G148"/>
    <mergeCell ref="K148:L148"/>
    <mergeCell ref="M148:N148"/>
    <mergeCell ref="O148:P148"/>
    <mergeCell ref="Q148:R148"/>
    <mergeCell ref="C149:J149"/>
    <mergeCell ref="K149:L149"/>
    <mergeCell ref="M149:N149"/>
    <mergeCell ref="O149:P149"/>
    <mergeCell ref="Q149:R149"/>
    <mergeCell ref="C150:F150"/>
    <mergeCell ref="K150:L150"/>
    <mergeCell ref="M150:N150"/>
    <mergeCell ref="O150:P150"/>
    <mergeCell ref="Q150:R150"/>
    <mergeCell ref="K151:L151"/>
    <mergeCell ref="M151:N151"/>
    <mergeCell ref="O151:P151"/>
    <mergeCell ref="Q151:R151"/>
    <mergeCell ref="C152:F152"/>
    <mergeCell ref="K152:L152"/>
    <mergeCell ref="M152:N152"/>
    <mergeCell ref="O152:P152"/>
    <mergeCell ref="Q152:R152"/>
    <mergeCell ref="C151:J151"/>
    <mergeCell ref="C153:E153"/>
    <mergeCell ref="K153:L153"/>
    <mergeCell ref="M153:N153"/>
    <mergeCell ref="O153:P153"/>
    <mergeCell ref="Q153:R153"/>
    <mergeCell ref="C154:G154"/>
    <mergeCell ref="K154:L154"/>
    <mergeCell ref="M154:N154"/>
    <mergeCell ref="O154:P154"/>
    <mergeCell ref="Q154:R154"/>
    <mergeCell ref="C155:G155"/>
    <mergeCell ref="K155:L155"/>
    <mergeCell ref="M155:N155"/>
    <mergeCell ref="O155:P155"/>
    <mergeCell ref="Q155:R155"/>
    <mergeCell ref="K156:L156"/>
    <mergeCell ref="M156:N156"/>
    <mergeCell ref="O156:P156"/>
    <mergeCell ref="Q156:R156"/>
    <mergeCell ref="C157:G157"/>
    <mergeCell ref="K157:L157"/>
    <mergeCell ref="M157:N157"/>
    <mergeCell ref="O157:P157"/>
    <mergeCell ref="Q157:R157"/>
    <mergeCell ref="K158:L158"/>
    <mergeCell ref="M158:N158"/>
    <mergeCell ref="O158:P158"/>
    <mergeCell ref="Q158:R158"/>
    <mergeCell ref="C159:G159"/>
    <mergeCell ref="K159:L159"/>
    <mergeCell ref="M159:N159"/>
    <mergeCell ref="O159:P159"/>
    <mergeCell ref="Q159:R159"/>
    <mergeCell ref="C160:G160"/>
    <mergeCell ref="K160:L160"/>
    <mergeCell ref="M160:N160"/>
    <mergeCell ref="O160:P160"/>
    <mergeCell ref="Q160:R160"/>
    <mergeCell ref="Q163:R163"/>
    <mergeCell ref="B166:M166"/>
    <mergeCell ref="M168:N168"/>
    <mergeCell ref="K161:L161"/>
    <mergeCell ref="M161:N161"/>
    <mergeCell ref="O161:P161"/>
    <mergeCell ref="Q161:R161"/>
    <mergeCell ref="K162:L162"/>
    <mergeCell ref="M162:N162"/>
    <mergeCell ref="O162:P162"/>
    <mergeCell ref="Q162:R162"/>
    <mergeCell ref="B169:J169"/>
    <mergeCell ref="M169:N169"/>
    <mergeCell ref="K172:L172"/>
    <mergeCell ref="M172:N172"/>
    <mergeCell ref="O172:P172"/>
    <mergeCell ref="K163:L163"/>
    <mergeCell ref="M163:N163"/>
    <mergeCell ref="O163:P163"/>
    <mergeCell ref="B172:J173"/>
    <mergeCell ref="Q172:R172"/>
    <mergeCell ref="K173:L173"/>
    <mergeCell ref="M173:N173"/>
    <mergeCell ref="O173:P173"/>
    <mergeCell ref="Q173:R173"/>
    <mergeCell ref="K174:L174"/>
    <mergeCell ref="M174:N174"/>
    <mergeCell ref="O174:P174"/>
    <mergeCell ref="Q174:R174"/>
    <mergeCell ref="C175:I175"/>
    <mergeCell ref="K175:L175"/>
    <mergeCell ref="M175:N175"/>
    <mergeCell ref="O175:P175"/>
    <mergeCell ref="Q175:R175"/>
    <mergeCell ref="K176:L176"/>
    <mergeCell ref="M176:N176"/>
    <mergeCell ref="O176:P176"/>
    <mergeCell ref="Q176:R176"/>
    <mergeCell ref="K179:L179"/>
    <mergeCell ref="M179:N179"/>
    <mergeCell ref="O179:P179"/>
    <mergeCell ref="Q179:R179"/>
    <mergeCell ref="K180:L180"/>
    <mergeCell ref="M180:N180"/>
    <mergeCell ref="O180:P180"/>
    <mergeCell ref="Q180:R180"/>
    <mergeCell ref="C177:I177"/>
    <mergeCell ref="K177:L177"/>
    <mergeCell ref="M177:N177"/>
    <mergeCell ref="O177:P177"/>
    <mergeCell ref="Q177:R177"/>
    <mergeCell ref="K178:L178"/>
    <mergeCell ref="M178:N178"/>
    <mergeCell ref="O178:P178"/>
    <mergeCell ref="Q178:R178"/>
    <mergeCell ref="C181:I181"/>
    <mergeCell ref="K181:L181"/>
    <mergeCell ref="M181:N181"/>
    <mergeCell ref="O181:P181"/>
    <mergeCell ref="Q181:R181"/>
    <mergeCell ref="K182:L182"/>
    <mergeCell ref="M182:N182"/>
    <mergeCell ref="O182:P182"/>
    <mergeCell ref="Q182:R182"/>
    <mergeCell ref="Q186:R186"/>
    <mergeCell ref="C183:I183"/>
    <mergeCell ref="K183:L183"/>
    <mergeCell ref="M183:N183"/>
    <mergeCell ref="O183:P183"/>
    <mergeCell ref="Q183:R183"/>
    <mergeCell ref="K184:L184"/>
    <mergeCell ref="M184:N184"/>
    <mergeCell ref="O184:P184"/>
    <mergeCell ref="Q184:R184"/>
    <mergeCell ref="B192:C194"/>
    <mergeCell ref="D192:D195"/>
    <mergeCell ref="E192:E195"/>
    <mergeCell ref="F192:F195"/>
    <mergeCell ref="G192:I193"/>
    <mergeCell ref="J192:L193"/>
    <mergeCell ref="C185:I185"/>
    <mergeCell ref="K185:L185"/>
    <mergeCell ref="M185:N185"/>
    <mergeCell ref="M192:O193"/>
    <mergeCell ref="O185:P185"/>
    <mergeCell ref="P192:R193"/>
    <mergeCell ref="G194:I194"/>
    <mergeCell ref="J194:L194"/>
    <mergeCell ref="M194:O194"/>
    <mergeCell ref="P194:R194"/>
    <mergeCell ref="K187:L187"/>
    <mergeCell ref="M187:N187"/>
    <mergeCell ref="O187:P187"/>
    <mergeCell ref="Q187:R187"/>
    <mergeCell ref="Q185:R185"/>
    <mergeCell ref="K186:L186"/>
    <mergeCell ref="M186:N186"/>
    <mergeCell ref="O186:P186"/>
    <mergeCell ref="B203:C203"/>
    <mergeCell ref="B204:C204"/>
    <mergeCell ref="B206:C206"/>
    <mergeCell ref="B207:C207"/>
    <mergeCell ref="B208:C208"/>
    <mergeCell ref="B209:C209"/>
    <mergeCell ref="B196:C196"/>
    <mergeCell ref="B197:C197"/>
    <mergeCell ref="B198:C198"/>
    <mergeCell ref="B199:C199"/>
    <mergeCell ref="B201:C201"/>
    <mergeCell ref="B202:C202"/>
    <mergeCell ref="B218:C218"/>
    <mergeCell ref="B219:C219"/>
    <mergeCell ref="B220:C220"/>
    <mergeCell ref="B221:C221"/>
    <mergeCell ref="B223:C223"/>
    <mergeCell ref="B225:C225"/>
    <mergeCell ref="B211:C211"/>
    <mergeCell ref="B212:C212"/>
    <mergeCell ref="B213:C213"/>
    <mergeCell ref="B214:C214"/>
    <mergeCell ref="B215:C215"/>
    <mergeCell ref="B217:C217"/>
    <mergeCell ref="O227:O228"/>
    <mergeCell ref="P227:P228"/>
    <mergeCell ref="Q227:Q228"/>
    <mergeCell ref="R227:R228"/>
    <mergeCell ref="B230:C230"/>
    <mergeCell ref="B232:C232"/>
    <mergeCell ref="I227:I228"/>
    <mergeCell ref="J227:J228"/>
    <mergeCell ref="K227:K228"/>
    <mergeCell ref="L227:L228"/>
    <mergeCell ref="M227:M228"/>
    <mergeCell ref="N227:N228"/>
    <mergeCell ref="B227:C228"/>
    <mergeCell ref="D227:D228"/>
    <mergeCell ref="E227:E228"/>
    <mergeCell ref="F227:F228"/>
    <mergeCell ref="G227:G228"/>
    <mergeCell ref="H227:H228"/>
    <mergeCell ref="G237:H237"/>
    <mergeCell ref="C238:I238"/>
    <mergeCell ref="J238:K238"/>
    <mergeCell ref="L238:M238"/>
    <mergeCell ref="N238:O238"/>
    <mergeCell ref="P238:Q238"/>
    <mergeCell ref="C235:I236"/>
    <mergeCell ref="J235:K235"/>
    <mergeCell ref="L235:M235"/>
    <mergeCell ref="N235:O235"/>
    <mergeCell ref="P235:Q235"/>
    <mergeCell ref="J236:K236"/>
    <mergeCell ref="L236:M236"/>
    <mergeCell ref="N236:O236"/>
    <mergeCell ref="P236:Q236"/>
    <mergeCell ref="D239:I239"/>
    <mergeCell ref="J239:K239"/>
    <mergeCell ref="L239:M239"/>
    <mergeCell ref="N239:O239"/>
    <mergeCell ref="P239:Q239"/>
    <mergeCell ref="C240:I240"/>
    <mergeCell ref="J240:K240"/>
    <mergeCell ref="L240:M240"/>
    <mergeCell ref="N240:O240"/>
    <mergeCell ref="P240:Q240"/>
    <mergeCell ref="D241:I241"/>
    <mergeCell ref="J241:K241"/>
    <mergeCell ref="L241:M241"/>
    <mergeCell ref="N241:O241"/>
    <mergeCell ref="P241:Q241"/>
    <mergeCell ref="C242:I242"/>
    <mergeCell ref="J242:K242"/>
    <mergeCell ref="L242:M242"/>
    <mergeCell ref="N242:O242"/>
    <mergeCell ref="P242:Q242"/>
    <mergeCell ref="J247:K247"/>
    <mergeCell ref="L247:M247"/>
    <mergeCell ref="N247:O247"/>
    <mergeCell ref="P247:Q247"/>
    <mergeCell ref="C243:I243"/>
    <mergeCell ref="J243:K243"/>
    <mergeCell ref="L243:M243"/>
    <mergeCell ref="N243:O243"/>
    <mergeCell ref="P243:Q243"/>
    <mergeCell ref="D244:I244"/>
    <mergeCell ref="J244:K244"/>
    <mergeCell ref="L244:M244"/>
    <mergeCell ref="N244:O244"/>
    <mergeCell ref="P244:Q244"/>
    <mergeCell ref="K81:L81"/>
    <mergeCell ref="M81:N81"/>
    <mergeCell ref="O81:P81"/>
    <mergeCell ref="Q81:R81"/>
    <mergeCell ref="B252:M252"/>
    <mergeCell ref="J254:R254"/>
    <mergeCell ref="M256:N256"/>
    <mergeCell ref="B338:M338"/>
    <mergeCell ref="C248:I248"/>
    <mergeCell ref="J248:K248"/>
    <mergeCell ref="L248:M248"/>
    <mergeCell ref="N248:O248"/>
    <mergeCell ref="P248:Q248"/>
    <mergeCell ref="D249:I249"/>
    <mergeCell ref="J249:K249"/>
    <mergeCell ref="L249:M249"/>
    <mergeCell ref="N249:O249"/>
    <mergeCell ref="P249:Q249"/>
    <mergeCell ref="C246:I246"/>
    <mergeCell ref="J246:K246"/>
    <mergeCell ref="L246:M246"/>
    <mergeCell ref="N246:O246"/>
    <mergeCell ref="P246:Q246"/>
    <mergeCell ref="D247:I247"/>
  </mergeCells>
  <conditionalFormatting sqref="J247 L247 N247 P247">
    <cfRule type="containsText" dxfId="18" priority="1" operator="containsText" text="Good">
      <formula>NOT(ISERROR(SEARCH("Good",J247)))</formula>
    </cfRule>
    <cfRule type="containsText" dxfId="17" priority="2" operator="containsText" text="Satisfactory">
      <formula>NOT(ISERROR(SEARCH("Satisfactory",J247)))</formula>
    </cfRule>
    <cfRule type="containsText" dxfId="16" priority="3" operator="containsText" text="Weak">
      <formula>NOT(ISERROR(SEARCH("Weak",J247)))</formula>
    </cfRule>
  </conditionalFormatting>
  <conditionalFormatting sqref="J249 L249 N249 P249">
    <cfRule type="containsText" dxfId="15" priority="4" operator="containsText" text="Nettovelaton">
      <formula>NOT(ISERROR(SEARCH("Nettovelaton",J249)))</formula>
    </cfRule>
    <cfRule type="containsText" dxfId="14" priority="5" operator="containsText" text="Nettovelaton">
      <formula>NOT(ISERROR(SEARCH("Nettovelaton",J249)))</formula>
    </cfRule>
    <cfRule type="containsText" dxfId="13" priority="6" operator="containsText" text="Hyvä">
      <formula>NOT(ISERROR(SEARCH("Hyvä",J249)))</formula>
    </cfRule>
    <cfRule type="containsText" dxfId="12" priority="7" operator="containsText" text="Heikko">
      <formula>NOT(ISERROR(SEARCH("Heikko",J249)))</formula>
    </cfRule>
    <cfRule type="containsText" dxfId="11" priority="8" operator="containsText" text="Hyvä">
      <formula>NOT(ISERROR(SEARCH("Hyvä",J249)))</formula>
    </cfRule>
    <cfRule type="containsText" dxfId="10" priority="9" operator="containsText" text="Tyydyttävä">
      <formula>NOT(ISERROR(SEARCH("Tyydyttävä",J249)))</formula>
    </cfRule>
    <cfRule type="containsText" dxfId="9" priority="10" operator="containsText" text="Heikko">
      <formula>NOT(ISERROR(SEARCH("Heikko",J249)))</formula>
    </cfRule>
  </conditionalFormatting>
  <conditionalFormatting sqref="J239:Q239">
    <cfRule type="containsText" dxfId="8" priority="17" operator="containsText" text="Good">
      <formula>NOT(ISERROR(SEARCH("Good",J239)))</formula>
    </cfRule>
    <cfRule type="containsText" dxfId="7" priority="18" operator="containsText" text="Satisfactory">
      <formula>NOT(ISERROR(SEARCH("Satisfactory",J239)))</formula>
    </cfRule>
    <cfRule type="containsText" dxfId="6" priority="19" operator="containsText" text="Weak">
      <formula>NOT(ISERROR(SEARCH("Weak",J239)))</formula>
    </cfRule>
  </conditionalFormatting>
  <conditionalFormatting sqref="J241:Q241">
    <cfRule type="containsText" dxfId="5" priority="14" operator="containsText" text="Good">
      <formula>NOT(ISERROR(SEARCH("Good",J241)))</formula>
    </cfRule>
    <cfRule type="containsText" dxfId="4" priority="15" operator="containsText" text="Satisfactory">
      <formula>NOT(ISERROR(SEARCH("Satisfactory",J241)))</formula>
    </cfRule>
    <cfRule type="containsText" dxfId="3" priority="16" operator="containsText" text="Weak">
      <formula>NOT(ISERROR(SEARCH("Weak",J241)))</formula>
    </cfRule>
  </conditionalFormatting>
  <conditionalFormatting sqref="J244:Q244">
    <cfRule type="containsText" dxfId="2" priority="11" operator="containsText" text="Good">
      <formula>NOT(ISERROR(SEARCH("Good",J244)))</formula>
    </cfRule>
    <cfRule type="containsText" dxfId="1" priority="12" operator="containsText" text="Satisfactory">
      <formula>NOT(ISERROR(SEARCH("Satisfactory",J244)))</formula>
    </cfRule>
    <cfRule type="containsText" dxfId="0" priority="13" operator="containsText" text="Weak">
      <formula>NOT(ISERROR(SEARCH("Weak",J244)))</formula>
    </cfRule>
  </conditionalFormatting>
  <pageMargins left="0.7" right="0.7" top="0.75" bottom="0.75" header="0.3" footer="0.3"/>
  <pageSetup paperSize="9" scale="68" orientation="portrait" verticalDpi="1200" r:id="rId1"/>
  <rowBreaks count="3" manualBreakCount="3">
    <brk id="83" min="1" max="17" man="1"/>
    <brk id="166" min="1" max="17" man="1"/>
    <brk id="252" min="1" max="17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F52"/>
  <sheetViews>
    <sheetView workbookViewId="0"/>
  </sheetViews>
  <sheetFormatPr defaultRowHeight="12.75" x14ac:dyDescent="0.2"/>
  <cols>
    <col min="2" max="2" width="25.28515625" customWidth="1"/>
  </cols>
  <sheetData>
    <row r="1" spans="2:6" x14ac:dyDescent="0.2">
      <c r="B1" s="239" t="s">
        <v>207</v>
      </c>
    </row>
    <row r="2" spans="2:6" ht="13.5" thickBot="1" x14ac:dyDescent="0.25">
      <c r="C2" s="238">
        <f>'5. T4 RAHOITUSSUUN.'!Q11</f>
        <v>2027</v>
      </c>
      <c r="D2" s="238">
        <f>'5. T4 RAHOITUSSUUN.'!R11</f>
        <v>2028</v>
      </c>
      <c r="E2" s="238">
        <f>'5. T4 RAHOITUSSUUN.'!S11</f>
        <v>2029</v>
      </c>
      <c r="F2" s="238">
        <f>'5. T4 RAHOITUSSUUN.'!T11</f>
        <v>2030</v>
      </c>
    </row>
    <row r="3" spans="2:6" x14ac:dyDescent="0.2">
      <c r="B3" s="407" t="s">
        <v>204</v>
      </c>
      <c r="C3" s="1372">
        <f>'5. T4 RAHOITUSSUUN.'!Q13/1000</f>
        <v>0</v>
      </c>
      <c r="D3" s="1372">
        <f>'5. T4 RAHOITUSSUUN.'!R13/1000</f>
        <v>0</v>
      </c>
      <c r="E3" s="1372">
        <f>'5. T4 RAHOITUSSUUN.'!S13/1000</f>
        <v>0</v>
      </c>
      <c r="F3" s="1372">
        <f>'5. T4 RAHOITUSSUUN.'!T13/1000</f>
        <v>0</v>
      </c>
    </row>
    <row r="4" spans="2:6" x14ac:dyDescent="0.2">
      <c r="B4" s="475" t="s">
        <v>313</v>
      </c>
      <c r="C4" s="1372">
        <f>'6. T3 TASE'!G98/1000</f>
        <v>0</v>
      </c>
      <c r="D4" s="1372">
        <f>'6. T3 TASE'!H98/1000</f>
        <v>0</v>
      </c>
      <c r="E4" s="1372">
        <f>'6. T3 TASE'!I98/1000</f>
        <v>0</v>
      </c>
      <c r="F4" s="1372">
        <f>'6. T3 TASE'!J98/1000</f>
        <v>0</v>
      </c>
    </row>
    <row r="5" spans="2:6" x14ac:dyDescent="0.2">
      <c r="B5" s="408" t="s">
        <v>209</v>
      </c>
      <c r="C5" s="1372">
        <f>'5. T4 RAHOITUSSUUN.'!Q16/1000</f>
        <v>0</v>
      </c>
      <c r="D5" s="1372">
        <f>'5. T4 RAHOITUSSUUN.'!R16/1000</f>
        <v>0</v>
      </c>
      <c r="E5" s="1372">
        <f>'5. T4 RAHOITUSSUUN.'!S16/1000</f>
        <v>0</v>
      </c>
      <c r="F5" s="1372">
        <f>'5. T4 RAHOITUSSUUN.'!T16/1000</f>
        <v>0</v>
      </c>
    </row>
    <row r="25" spans="2:6" x14ac:dyDescent="0.2">
      <c r="B25" s="163" t="s">
        <v>208</v>
      </c>
    </row>
    <row r="26" spans="2:6" x14ac:dyDescent="0.2">
      <c r="C26" s="21">
        <f>C2</f>
        <v>2027</v>
      </c>
      <c r="D26" s="21">
        <f>D2</f>
        <v>2028</v>
      </c>
      <c r="E26" s="21">
        <f>E2</f>
        <v>2029</v>
      </c>
      <c r="F26" s="21">
        <f>F2</f>
        <v>2030</v>
      </c>
    </row>
    <row r="27" spans="2:6" x14ac:dyDescent="0.2">
      <c r="B27" s="406" t="s">
        <v>210</v>
      </c>
      <c r="C27" s="1373">
        <f>'5. T4 RAHOITUSSUUN.'!Q19</f>
        <v>0</v>
      </c>
      <c r="D27" s="1373">
        <f>'5. T4 RAHOITUSSUUN.'!R19</f>
        <v>0</v>
      </c>
      <c r="E27" s="1373">
        <f>'5. T4 RAHOITUSSUUN.'!S19</f>
        <v>0</v>
      </c>
      <c r="F27" s="1373">
        <f>'5. T4 RAHOITUSSUUN.'!T19</f>
        <v>0</v>
      </c>
    </row>
    <row r="28" spans="2:6" x14ac:dyDescent="0.2">
      <c r="B28" s="406" t="s">
        <v>213</v>
      </c>
      <c r="C28" s="1374">
        <f>'5. T4 RAHOITUSSUUN.'!Q24</f>
        <v>0</v>
      </c>
      <c r="D28" s="1374">
        <f>'5. T4 RAHOITUSSUUN.'!R24</f>
        <v>0</v>
      </c>
      <c r="E28" s="1374">
        <f>'5. T4 RAHOITUSSUUN.'!S24</f>
        <v>0</v>
      </c>
      <c r="F28" s="1374">
        <f>'5. T4 RAHOITUSSUUN.'!T24</f>
        <v>0</v>
      </c>
    </row>
    <row r="29" spans="2:6" x14ac:dyDescent="0.2">
      <c r="B29" s="408" t="s">
        <v>306</v>
      </c>
      <c r="C29" s="1374">
        <f>'5. T4 RAHOITUSSUUN.'!Q25</f>
        <v>0</v>
      </c>
      <c r="D29" s="1374">
        <f>'5. T4 RAHOITUSSUUN.'!R25</f>
        <v>0</v>
      </c>
      <c r="E29" s="1374">
        <f>'5. T4 RAHOITUSSUUN.'!S25</f>
        <v>0</v>
      </c>
      <c r="F29" s="1374">
        <f>'5. T4 RAHOITUSSUUN.'!T25</f>
        <v>0</v>
      </c>
    </row>
    <row r="30" spans="2:6" x14ac:dyDescent="0.2">
      <c r="B30" s="483" t="s">
        <v>390</v>
      </c>
      <c r="C30" s="1375">
        <f>'5. T4 RAHOITUSSUUN.'!Q21</f>
        <v>0</v>
      </c>
      <c r="D30" s="1375">
        <f>'5. T4 RAHOITUSSUUN.'!R21</f>
        <v>0</v>
      </c>
      <c r="E30" s="1375">
        <f>'5. T4 RAHOITUSSUUN.'!S21</f>
        <v>0</v>
      </c>
      <c r="F30" s="1375">
        <f>'5. T4 RAHOITUSSUUN.'!T21</f>
        <v>0</v>
      </c>
    </row>
    <row r="48" spans="2:2" x14ac:dyDescent="0.2">
      <c r="B48" s="300" t="s">
        <v>225</v>
      </c>
    </row>
    <row r="49" spans="2:6" x14ac:dyDescent="0.2">
      <c r="C49" s="422">
        <f>C2</f>
        <v>2027</v>
      </c>
      <c r="D49" s="422">
        <f>D2</f>
        <v>2028</v>
      </c>
      <c r="E49" s="422">
        <f>E2</f>
        <v>2029</v>
      </c>
      <c r="F49" s="422">
        <f>F2</f>
        <v>2030</v>
      </c>
    </row>
    <row r="50" spans="2:6" x14ac:dyDescent="0.2">
      <c r="B50" s="407" t="s">
        <v>201</v>
      </c>
      <c r="C50" s="1372">
        <f>'5. T4 RAHOITUSSUUN.'!Q43/1000</f>
        <v>0</v>
      </c>
      <c r="D50" s="1372">
        <f>'5. T4 RAHOITUSSUUN.'!R43/1000</f>
        <v>0</v>
      </c>
      <c r="E50" s="1372">
        <f>'5. T4 RAHOITUSSUUN.'!S43/1000</f>
        <v>0</v>
      </c>
      <c r="F50" s="1372">
        <f>'5. T4 RAHOITUSSUUN.'!T43/1000</f>
        <v>0</v>
      </c>
    </row>
    <row r="51" spans="2:6" x14ac:dyDescent="0.2">
      <c r="B51" s="406" t="s">
        <v>307</v>
      </c>
      <c r="C51" s="1372">
        <f>-'5. T4 RAHOITUSSUUN.'!Q44/1000</f>
        <v>0</v>
      </c>
      <c r="D51" s="1372">
        <f>-'5. T4 RAHOITUSSUUN.'!R44/1000</f>
        <v>0</v>
      </c>
      <c r="E51" s="1372">
        <f>-'5. T4 RAHOITUSSUUN.'!S44/1000</f>
        <v>0</v>
      </c>
      <c r="F51" s="1372">
        <f>-'5. T4 RAHOITUSSUUN.'!T44/1000</f>
        <v>0</v>
      </c>
    </row>
    <row r="52" spans="2:6" x14ac:dyDescent="0.2">
      <c r="B52" s="406" t="s">
        <v>200</v>
      </c>
      <c r="C52" s="1376">
        <f>'5. T4 RAHOITUSSUUN.'!Q47/1000</f>
        <v>0</v>
      </c>
      <c r="D52" s="1376">
        <f>'5. T4 RAHOITUSSUUN.'!R47/1000</f>
        <v>0</v>
      </c>
      <c r="E52" s="1376">
        <f>'5. T4 RAHOITUSSUUN.'!S47/1000</f>
        <v>0</v>
      </c>
      <c r="F52" s="1376">
        <f>'5. T4 RAHOITUSSUUN.'!T47/1000</f>
        <v>0</v>
      </c>
    </row>
  </sheetData>
  <sheetProtection algorithmName="SHA-512" hashValue="iAljKOIer9ycs7lU9HqblkIN7PWLO5yvv4rpMqTpA3B06t/2RdfQRrtvtEdZtprjl+3o0purFcZ+P2RABwv9uw==" saltValue="2edTYYeLWuRwzo6Ik40C0A==" spinCount="100000" sheet="1" objects="1" scenarios="1"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152A1"/>
  </sheetPr>
  <dimension ref="A1:W103"/>
  <sheetViews>
    <sheetView showGridLines="0" showZeros="0" zoomScale="110" zoomScaleNormal="110" workbookViewId="0">
      <selection activeCell="K15" sqref="K15"/>
    </sheetView>
  </sheetViews>
  <sheetFormatPr defaultRowHeight="12.75" x14ac:dyDescent="0.2"/>
  <cols>
    <col min="1" max="1" width="9.140625" customWidth="1"/>
    <col min="2" max="2" width="3.28515625" style="40" customWidth="1"/>
    <col min="3" max="3" width="32" customWidth="1"/>
    <col min="4" max="4" width="14.28515625" customWidth="1"/>
    <col min="5" max="9" width="11" customWidth="1"/>
    <col min="10" max="10" width="5.140625" customWidth="1"/>
    <col min="11" max="11" width="10.7109375" style="40" customWidth="1"/>
    <col min="12" max="20" width="10.7109375" customWidth="1"/>
  </cols>
  <sheetData>
    <row r="1" spans="1:19" ht="15" x14ac:dyDescent="0.25">
      <c r="B1" s="78" t="s">
        <v>0</v>
      </c>
      <c r="J1" s="61"/>
    </row>
    <row r="3" spans="1:19" ht="14.25" customHeight="1" x14ac:dyDescent="0.25">
      <c r="B3" s="1998" t="s">
        <v>338</v>
      </c>
      <c r="C3" s="1998"/>
      <c r="D3" s="1998"/>
      <c r="E3" s="1444"/>
      <c r="F3" s="1447" t="s">
        <v>35</v>
      </c>
      <c r="O3" s="24" t="s">
        <v>46</v>
      </c>
    </row>
    <row r="4" spans="1:19" ht="14.25" customHeight="1" x14ac:dyDescent="0.2">
      <c r="A4" s="1379" t="s">
        <v>457</v>
      </c>
      <c r="B4" s="1998"/>
      <c r="C4" s="1998"/>
      <c r="D4" s="1998"/>
      <c r="E4" s="1444"/>
      <c r="F4" s="1448">
        <v>0</v>
      </c>
      <c r="G4" s="1457"/>
      <c r="H4" s="1449"/>
      <c r="O4" s="2001"/>
      <c r="P4" s="2001"/>
      <c r="Q4" s="488"/>
    </row>
    <row r="5" spans="1:19" ht="7.5" customHeight="1" thickBot="1" x14ac:dyDescent="0.3">
      <c r="E5" s="1444"/>
      <c r="F5" s="2004"/>
      <c r="G5" s="2005"/>
      <c r="H5" s="40"/>
      <c r="I5" s="24"/>
    </row>
    <row r="6" spans="1:19" x14ac:dyDescent="0.2">
      <c r="B6" s="49" t="s">
        <v>476</v>
      </c>
      <c r="C6" s="64"/>
      <c r="D6" s="64"/>
      <c r="E6" s="1445"/>
      <c r="F6" s="1442" t="s">
        <v>460</v>
      </c>
      <c r="G6" s="1443"/>
      <c r="H6" s="1442"/>
      <c r="I6" s="1450"/>
      <c r="J6" s="64"/>
      <c r="K6" s="1550" t="s">
        <v>453</v>
      </c>
      <c r="L6" s="79"/>
      <c r="M6" s="79"/>
      <c r="N6" s="79"/>
      <c r="O6" s="79"/>
      <c r="P6" s="79"/>
      <c r="Q6" s="79"/>
      <c r="R6" s="79"/>
      <c r="S6" s="320"/>
    </row>
    <row r="7" spans="1:19" s="53" customFormat="1" ht="14.25" customHeight="1" x14ac:dyDescent="0.2">
      <c r="B7" s="1988"/>
      <c r="C7" s="1988"/>
      <c r="D7" s="1988"/>
      <c r="E7" s="1989"/>
      <c r="F7" s="2007">
        <v>0</v>
      </c>
      <c r="G7" s="2008"/>
      <c r="H7" s="2009"/>
      <c r="I7" s="2009"/>
      <c r="K7" s="316"/>
      <c r="L7" s="256"/>
      <c r="M7" s="256"/>
      <c r="N7" s="256"/>
      <c r="O7" s="256"/>
      <c r="P7" s="256"/>
      <c r="Q7" s="256"/>
      <c r="R7" s="256"/>
      <c r="S7" s="292"/>
    </row>
    <row r="8" spans="1:19" x14ac:dyDescent="0.2">
      <c r="B8" s="1451" t="s">
        <v>477</v>
      </c>
      <c r="C8" s="63"/>
      <c r="D8" s="63"/>
      <c r="E8" s="1446"/>
      <c r="F8" s="1440" t="s">
        <v>461</v>
      </c>
      <c r="G8" s="1440"/>
      <c r="H8" s="1440"/>
      <c r="I8" s="1452"/>
      <c r="J8" s="65"/>
      <c r="K8" s="372"/>
      <c r="L8" s="256"/>
      <c r="M8" s="256"/>
      <c r="N8" s="256"/>
      <c r="O8" s="256"/>
      <c r="P8" s="256"/>
      <c r="Q8" s="256"/>
      <c r="R8" s="256"/>
      <c r="S8" s="292"/>
    </row>
    <row r="9" spans="1:19" s="53" customFormat="1" ht="14.25" customHeight="1" x14ac:dyDescent="0.2">
      <c r="B9" s="1988"/>
      <c r="C9" s="1988"/>
      <c r="D9" s="1988"/>
      <c r="E9" s="1989"/>
      <c r="F9" s="2010"/>
      <c r="G9" s="2011"/>
      <c r="H9" s="2011"/>
      <c r="I9" s="2011"/>
      <c r="J9" s="71"/>
      <c r="K9" s="373"/>
      <c r="L9" s="256"/>
      <c r="M9" s="256"/>
      <c r="N9" s="256"/>
      <c r="O9" s="256"/>
      <c r="P9" s="256"/>
      <c r="Q9" s="256"/>
      <c r="R9" s="256"/>
      <c r="S9" s="292"/>
    </row>
    <row r="10" spans="1:19" s="2" customFormat="1" x14ac:dyDescent="0.2">
      <c r="A10"/>
      <c r="B10" s="1451" t="s">
        <v>479</v>
      </c>
      <c r="C10" s="63"/>
      <c r="D10" s="63"/>
      <c r="E10" s="1446"/>
      <c r="F10" s="2006" t="s">
        <v>462</v>
      </c>
      <c r="G10" s="2006"/>
      <c r="H10" s="2006"/>
      <c r="I10" s="2006"/>
      <c r="K10" s="373"/>
      <c r="L10" s="1453"/>
      <c r="M10" s="1453"/>
      <c r="N10" s="1453"/>
      <c r="O10" s="1453"/>
      <c r="P10" s="1453"/>
      <c r="Q10" s="1453"/>
      <c r="R10" s="1453"/>
      <c r="S10" s="374"/>
    </row>
    <row r="11" spans="1:19" s="53" customFormat="1" ht="14.25" customHeight="1" x14ac:dyDescent="0.2">
      <c r="B11" s="2012"/>
      <c r="C11" s="2012"/>
      <c r="D11" s="2012"/>
      <c r="E11" s="2013"/>
      <c r="F11" s="2010"/>
      <c r="G11" s="2011"/>
      <c r="H11" s="2011"/>
      <c r="I11" s="2011"/>
      <c r="J11" s="72"/>
      <c r="K11" s="373"/>
      <c r="L11" s="256"/>
      <c r="M11" s="256"/>
      <c r="N11" s="256"/>
      <c r="O11" s="256"/>
      <c r="P11" s="256"/>
      <c r="Q11" s="256"/>
      <c r="R11" s="256"/>
      <c r="S11" s="292"/>
    </row>
    <row r="12" spans="1:19" ht="14.25" customHeight="1" x14ac:dyDescent="0.2">
      <c r="B12" s="2012"/>
      <c r="C12" s="2012"/>
      <c r="D12" s="2012"/>
      <c r="E12" s="2013"/>
      <c r="F12" s="2006" t="s">
        <v>463</v>
      </c>
      <c r="G12" s="2006"/>
      <c r="H12" s="2006"/>
      <c r="I12" s="2006"/>
      <c r="K12" s="316"/>
      <c r="L12" s="256"/>
      <c r="M12" s="256"/>
      <c r="N12" s="256"/>
      <c r="O12" s="256"/>
      <c r="P12" s="256"/>
      <c r="Q12" s="256"/>
      <c r="R12" s="256"/>
      <c r="S12" s="292"/>
    </row>
    <row r="13" spans="1:19" ht="14.25" customHeight="1" thickBot="1" x14ac:dyDescent="0.3">
      <c r="A13" s="53"/>
      <c r="B13" s="2014"/>
      <c r="C13" s="2014"/>
      <c r="D13" s="2014"/>
      <c r="E13" s="2015"/>
      <c r="F13" s="1999"/>
      <c r="G13" s="2000"/>
      <c r="H13" s="2000"/>
      <c r="I13" s="2000"/>
      <c r="J13" s="66"/>
      <c r="K13" s="316"/>
      <c r="L13" s="256"/>
      <c r="M13" s="256"/>
      <c r="N13" s="256"/>
      <c r="O13" s="256"/>
      <c r="P13" s="256"/>
      <c r="Q13" s="256"/>
      <c r="R13" s="256"/>
      <c r="S13" s="292"/>
    </row>
    <row r="14" spans="1:19" ht="3" customHeight="1" thickBot="1" x14ac:dyDescent="0.25">
      <c r="A14" s="2"/>
      <c r="K14" s="290"/>
      <c r="L14" s="164"/>
      <c r="M14" s="164"/>
      <c r="N14" s="164"/>
      <c r="O14" s="164"/>
      <c r="P14" s="164"/>
      <c r="Q14" s="164"/>
      <c r="R14" s="164"/>
      <c r="S14" s="291"/>
    </row>
    <row r="15" spans="1:19" ht="13.5" customHeight="1" x14ac:dyDescent="0.2">
      <c r="A15" s="53"/>
      <c r="B15" s="1990" t="s">
        <v>447</v>
      </c>
      <c r="C15" s="1991"/>
      <c r="D15" s="1820"/>
      <c r="E15" s="1821" t="s">
        <v>52</v>
      </c>
      <c r="F15" s="1821" t="s">
        <v>43</v>
      </c>
      <c r="G15" s="1821" t="s">
        <v>44</v>
      </c>
      <c r="H15" s="1822" t="s">
        <v>188</v>
      </c>
      <c r="I15" s="2002" t="s">
        <v>126</v>
      </c>
      <c r="J15" s="62"/>
      <c r="K15" s="375"/>
      <c r="L15" s="1453"/>
      <c r="M15" s="256"/>
      <c r="N15" s="256"/>
      <c r="O15" s="256"/>
      <c r="P15" s="256"/>
      <c r="Q15" s="256"/>
      <c r="R15" s="256"/>
      <c r="S15" s="292"/>
    </row>
    <row r="16" spans="1:19" ht="13.5" customHeight="1" thickBot="1" x14ac:dyDescent="0.25">
      <c r="B16" s="1992"/>
      <c r="C16" s="1993"/>
      <c r="D16" s="1072"/>
      <c r="E16" s="443">
        <v>2027</v>
      </c>
      <c r="F16" s="1458">
        <f>E16+1</f>
        <v>2028</v>
      </c>
      <c r="G16" s="1458">
        <f>F16+1</f>
        <v>2029</v>
      </c>
      <c r="H16" s="1458">
        <f>G16+1</f>
        <v>2030</v>
      </c>
      <c r="I16" s="2003"/>
      <c r="J16" s="62"/>
      <c r="K16" s="375"/>
      <c r="L16" s="1453"/>
      <c r="M16" s="256"/>
      <c r="N16" s="256"/>
      <c r="O16" s="256"/>
      <c r="P16" s="256"/>
      <c r="Q16" s="256"/>
      <c r="R16" s="256"/>
      <c r="S16" s="292"/>
    </row>
    <row r="17" spans="1:19" ht="12.75" customHeight="1" x14ac:dyDescent="0.2">
      <c r="B17" s="1823" t="s">
        <v>2</v>
      </c>
      <c r="C17" s="308" t="s">
        <v>451</v>
      </c>
      <c r="D17" s="476"/>
      <c r="E17" s="1570">
        <v>0</v>
      </c>
      <c r="F17" s="1570">
        <v>0</v>
      </c>
      <c r="G17" s="1570">
        <v>0</v>
      </c>
      <c r="H17" s="1570">
        <v>0</v>
      </c>
      <c r="I17" s="534">
        <f>SUM(D17:H17)</f>
        <v>0</v>
      </c>
      <c r="J17" s="67"/>
      <c r="K17" s="316" t="s">
        <v>0</v>
      </c>
      <c r="L17" s="256"/>
      <c r="M17" s="256"/>
      <c r="N17" s="256"/>
      <c r="O17" s="256"/>
      <c r="P17" s="256"/>
      <c r="Q17" s="256"/>
      <c r="R17" s="256"/>
      <c r="S17" s="292"/>
    </row>
    <row r="18" spans="1:19" s="4" customFormat="1" ht="12.75" customHeight="1" x14ac:dyDescent="0.2">
      <c r="A18"/>
      <c r="B18" s="1824"/>
      <c r="C18" s="779" t="s">
        <v>815</v>
      </c>
      <c r="D18" s="477"/>
      <c r="E18" s="532" t="s">
        <v>0</v>
      </c>
      <c r="F18" s="532"/>
      <c r="G18" s="532" t="s">
        <v>0</v>
      </c>
      <c r="H18" s="532"/>
      <c r="I18" s="1825"/>
      <c r="J18" s="178"/>
      <c r="K18" s="316"/>
      <c r="L18" s="256"/>
      <c r="M18" s="256"/>
      <c r="N18" s="256"/>
      <c r="O18" s="256"/>
      <c r="P18" s="256"/>
      <c r="Q18" s="256"/>
      <c r="R18" s="256"/>
      <c r="S18" s="292"/>
    </row>
    <row r="19" spans="1:19" s="4" customFormat="1" ht="12.75" customHeight="1" thickBot="1" x14ac:dyDescent="0.25">
      <c r="A19"/>
      <c r="B19" s="1826"/>
      <c r="C19" s="164" t="s">
        <v>816</v>
      </c>
      <c r="D19" s="1571"/>
      <c r="E19" s="1303">
        <v>0</v>
      </c>
      <c r="F19" s="1303">
        <v>0</v>
      </c>
      <c r="G19" s="1303">
        <v>0</v>
      </c>
      <c r="H19" s="1303">
        <v>0</v>
      </c>
      <c r="I19" s="1825"/>
      <c r="J19" s="178"/>
      <c r="K19" s="316"/>
      <c r="L19" s="256"/>
      <c r="M19" s="256"/>
      <c r="N19" s="256"/>
      <c r="O19" s="256"/>
      <c r="P19" s="256"/>
      <c r="Q19" s="256"/>
      <c r="R19" s="256"/>
      <c r="S19" s="292"/>
    </row>
    <row r="20" spans="1:19" ht="12.75" customHeight="1" x14ac:dyDescent="0.2">
      <c r="B20" s="1827" t="s">
        <v>3</v>
      </c>
      <c r="C20" s="1994" t="s">
        <v>449</v>
      </c>
      <c r="D20" s="1995"/>
      <c r="E20" s="1572">
        <v>0</v>
      </c>
      <c r="F20" s="1572">
        <v>0</v>
      </c>
      <c r="G20" s="1572">
        <v>0</v>
      </c>
      <c r="H20" s="1572">
        <v>0</v>
      </c>
      <c r="I20" s="534">
        <f>SUM(D20:H20)</f>
        <v>0</v>
      </c>
      <c r="J20" s="68"/>
      <c r="K20" s="316"/>
      <c r="L20" s="1454"/>
      <c r="M20" s="256"/>
      <c r="N20" s="256"/>
      <c r="O20" s="256"/>
      <c r="P20" s="256"/>
      <c r="Q20" s="256"/>
      <c r="R20" s="256"/>
      <c r="S20" s="292"/>
    </row>
    <row r="21" spans="1:19" s="4" customFormat="1" ht="12.75" customHeight="1" x14ac:dyDescent="0.2">
      <c r="A21"/>
      <c r="B21" s="1824"/>
      <c r="C21" s="177" t="s">
        <v>817</v>
      </c>
      <c r="D21" s="480"/>
      <c r="E21" s="1300"/>
      <c r="F21" s="490">
        <v>0</v>
      </c>
      <c r="G21" s="490">
        <v>0</v>
      </c>
      <c r="H21" s="490">
        <v>0</v>
      </c>
      <c r="I21" s="1825"/>
      <c r="J21" s="180"/>
      <c r="K21" s="316"/>
      <c r="L21" s="1454"/>
      <c r="M21" s="256"/>
      <c r="N21" s="256"/>
      <c r="O21" s="256"/>
      <c r="P21" s="256"/>
      <c r="Q21" s="256"/>
      <c r="R21" s="256"/>
      <c r="S21" s="292"/>
    </row>
    <row r="22" spans="1:19" s="4" customFormat="1" ht="12.75" customHeight="1" x14ac:dyDescent="0.2">
      <c r="A22"/>
      <c r="B22" s="1824"/>
      <c r="C22" s="177" t="s">
        <v>818</v>
      </c>
      <c r="D22" s="478"/>
      <c r="E22" s="315">
        <v>0.255</v>
      </c>
      <c r="F22" s="315">
        <f>E22</f>
        <v>0.255</v>
      </c>
      <c r="G22" s="315">
        <f>F22</f>
        <v>0.255</v>
      </c>
      <c r="H22" s="315">
        <f>G22</f>
        <v>0.255</v>
      </c>
      <c r="I22" s="1825"/>
      <c r="J22" s="180"/>
      <c r="K22" s="316"/>
      <c r="L22" s="1454"/>
      <c r="M22" s="256"/>
      <c r="N22" s="256"/>
      <c r="O22" s="256"/>
      <c r="P22" s="256"/>
      <c r="Q22" s="256"/>
      <c r="R22" s="256"/>
      <c r="S22" s="292"/>
    </row>
    <row r="23" spans="1:19" s="4" customFormat="1" ht="12.75" customHeight="1" thickBot="1" x14ac:dyDescent="0.25">
      <c r="A23"/>
      <c r="B23" s="1826"/>
      <c r="C23" s="164" t="s">
        <v>816</v>
      </c>
      <c r="D23" s="1571"/>
      <c r="E23" s="1303">
        <v>0</v>
      </c>
      <c r="F23" s="1303">
        <v>0</v>
      </c>
      <c r="G23" s="1303">
        <v>0</v>
      </c>
      <c r="H23" s="1303">
        <v>0</v>
      </c>
      <c r="I23" s="1825"/>
      <c r="J23" s="180"/>
      <c r="K23" s="316"/>
      <c r="L23" s="1454"/>
      <c r="M23" s="256"/>
      <c r="N23" s="256"/>
      <c r="O23" s="256"/>
      <c r="P23" s="256"/>
      <c r="Q23" s="256"/>
      <c r="R23" s="256"/>
      <c r="S23" s="292"/>
    </row>
    <row r="24" spans="1:19" ht="12.75" customHeight="1" x14ac:dyDescent="0.2">
      <c r="B24" s="1827" t="s">
        <v>4</v>
      </c>
      <c r="C24" s="1994" t="s">
        <v>454</v>
      </c>
      <c r="D24" s="1995"/>
      <c r="E24" s="1572">
        <v>0</v>
      </c>
      <c r="F24" s="1572">
        <v>0</v>
      </c>
      <c r="G24" s="1572">
        <v>0</v>
      </c>
      <c r="H24" s="1572">
        <v>0</v>
      </c>
      <c r="I24" s="534">
        <f>SUM(D24:H24)</f>
        <v>0</v>
      </c>
      <c r="J24" s="68"/>
      <c r="K24" s="316"/>
      <c r="L24" s="1454"/>
      <c r="M24" s="256"/>
      <c r="N24" s="256"/>
      <c r="O24" s="256"/>
      <c r="P24" s="256"/>
      <c r="Q24" s="256"/>
      <c r="R24" s="256"/>
      <c r="S24" s="292"/>
    </row>
    <row r="25" spans="1:19" s="4" customFormat="1" ht="12.75" customHeight="1" x14ac:dyDescent="0.2">
      <c r="A25"/>
      <c r="B25" s="1824"/>
      <c r="C25" s="779" t="s">
        <v>817</v>
      </c>
      <c r="D25" s="480"/>
      <c r="E25" s="490">
        <v>0</v>
      </c>
      <c r="F25" s="490">
        <v>0</v>
      </c>
      <c r="G25" s="490">
        <v>0</v>
      </c>
      <c r="H25" s="490">
        <v>0</v>
      </c>
      <c r="I25" s="1825"/>
      <c r="J25" s="180"/>
      <c r="K25" s="316"/>
      <c r="L25" s="1454"/>
      <c r="M25" s="256"/>
      <c r="N25" s="256"/>
      <c r="O25" s="256"/>
      <c r="P25" s="256"/>
      <c r="Q25" s="256"/>
      <c r="R25" s="256"/>
      <c r="S25" s="292"/>
    </row>
    <row r="26" spans="1:19" s="4" customFormat="1" ht="12.75" customHeight="1" thickBot="1" x14ac:dyDescent="0.25">
      <c r="A26"/>
      <c r="B26" s="1826"/>
      <c r="C26" s="164" t="s">
        <v>816</v>
      </c>
      <c r="D26" s="1571"/>
      <c r="E26" s="1303">
        <v>0</v>
      </c>
      <c r="F26" s="1303">
        <v>0</v>
      </c>
      <c r="G26" s="1303">
        <v>0</v>
      </c>
      <c r="H26" s="1303">
        <v>0</v>
      </c>
      <c r="I26" s="1825"/>
      <c r="J26" s="180"/>
      <c r="K26" s="316"/>
      <c r="L26" s="1454" t="s">
        <v>53</v>
      </c>
      <c r="M26" s="256"/>
      <c r="N26" s="256"/>
      <c r="O26" s="256"/>
      <c r="P26" s="256"/>
      <c r="Q26" s="256"/>
      <c r="R26" s="256"/>
      <c r="S26" s="292"/>
    </row>
    <row r="27" spans="1:19" ht="12.75" customHeight="1" x14ac:dyDescent="0.2">
      <c r="B27" s="1827" t="s">
        <v>5</v>
      </c>
      <c r="C27" s="1994" t="s">
        <v>344</v>
      </c>
      <c r="D27" s="1995"/>
      <c r="E27" s="1572">
        <v>0</v>
      </c>
      <c r="F27" s="1572">
        <v>0</v>
      </c>
      <c r="G27" s="1572">
        <v>0</v>
      </c>
      <c r="H27" s="1572">
        <v>0</v>
      </c>
      <c r="I27" s="534">
        <f>SUM(D27:H27)</f>
        <v>0</v>
      </c>
      <c r="J27" s="68"/>
      <c r="K27" s="316"/>
      <c r="L27" s="1454"/>
      <c r="M27" s="256"/>
      <c r="N27" s="256"/>
      <c r="O27" s="256"/>
      <c r="P27" s="256"/>
      <c r="Q27" s="256"/>
      <c r="R27" s="256"/>
      <c r="S27" s="292"/>
    </row>
    <row r="28" spans="1:19" s="4" customFormat="1" ht="12.75" customHeight="1" x14ac:dyDescent="0.2">
      <c r="A28"/>
      <c r="B28" s="1824"/>
      <c r="C28" s="177" t="s">
        <v>818</v>
      </c>
      <c r="D28" s="478"/>
      <c r="E28" s="315">
        <v>0.255</v>
      </c>
      <c r="F28" s="315">
        <f>E28</f>
        <v>0.255</v>
      </c>
      <c r="G28" s="315">
        <f>F28</f>
        <v>0.255</v>
      </c>
      <c r="H28" s="315">
        <f>G28</f>
        <v>0.255</v>
      </c>
      <c r="I28" s="1825"/>
      <c r="J28" s="180"/>
      <c r="K28" s="316"/>
      <c r="L28" s="1454"/>
      <c r="M28" s="256"/>
      <c r="N28" s="256"/>
      <c r="O28" s="256"/>
      <c r="P28" s="256"/>
      <c r="Q28" s="256"/>
      <c r="R28" s="256"/>
      <c r="S28" s="292"/>
    </row>
    <row r="29" spans="1:19" s="4" customFormat="1" ht="12.75" customHeight="1" thickBot="1" x14ac:dyDescent="0.25">
      <c r="A29"/>
      <c r="B29" s="1826"/>
      <c r="C29" s="164" t="s">
        <v>816</v>
      </c>
      <c r="D29" s="1571"/>
      <c r="E29" s="1303">
        <v>0</v>
      </c>
      <c r="F29" s="1303">
        <v>0</v>
      </c>
      <c r="G29" s="1303">
        <v>0</v>
      </c>
      <c r="H29" s="1303">
        <v>0</v>
      </c>
      <c r="I29" s="1825"/>
      <c r="J29" s="180"/>
      <c r="K29" s="316"/>
      <c r="L29" s="1454"/>
      <c r="M29" s="256"/>
      <c r="N29" s="1455"/>
      <c r="O29" s="256"/>
      <c r="P29" s="256"/>
      <c r="Q29" s="256"/>
      <c r="R29" s="256"/>
      <c r="S29" s="292"/>
    </row>
    <row r="30" spans="1:19" ht="12.75" customHeight="1" x14ac:dyDescent="0.2">
      <c r="B30" s="1827" t="s">
        <v>6</v>
      </c>
      <c r="C30" s="1994" t="s">
        <v>343</v>
      </c>
      <c r="D30" s="1995"/>
      <c r="E30" s="1572">
        <v>0</v>
      </c>
      <c r="F30" s="1572">
        <v>0</v>
      </c>
      <c r="G30" s="1572">
        <v>0</v>
      </c>
      <c r="H30" s="1572">
        <v>0</v>
      </c>
      <c r="I30" s="534">
        <f>SUM(D30:H30)</f>
        <v>0</v>
      </c>
      <c r="J30" s="68"/>
      <c r="K30" s="316"/>
      <c r="L30" s="1454"/>
      <c r="M30" s="256"/>
      <c r="N30" s="256"/>
      <c r="O30" s="256"/>
      <c r="P30" s="256"/>
      <c r="Q30" s="256"/>
      <c r="R30" s="256"/>
      <c r="S30" s="292"/>
    </row>
    <row r="31" spans="1:19" s="4" customFormat="1" ht="12.75" customHeight="1" thickBot="1" x14ac:dyDescent="0.25">
      <c r="A31"/>
      <c r="B31" s="1826"/>
      <c r="C31" s="164" t="s">
        <v>816</v>
      </c>
      <c r="D31" s="1571"/>
      <c r="E31" s="1303">
        <v>0</v>
      </c>
      <c r="F31" s="1303">
        <v>0</v>
      </c>
      <c r="G31" s="1303">
        <v>0</v>
      </c>
      <c r="H31" s="1303">
        <v>0</v>
      </c>
      <c r="I31" s="1825"/>
      <c r="J31" s="180"/>
      <c r="K31" s="316"/>
      <c r="L31" s="1454"/>
      <c r="M31" s="256"/>
      <c r="N31" s="256"/>
      <c r="O31" s="256"/>
      <c r="P31" s="256"/>
      <c r="Q31" s="256"/>
      <c r="R31" s="256"/>
      <c r="S31" s="292"/>
    </row>
    <row r="32" spans="1:19" ht="12.75" customHeight="1" x14ac:dyDescent="0.2">
      <c r="B32" s="1827" t="s">
        <v>7</v>
      </c>
      <c r="C32" s="1994" t="s">
        <v>860</v>
      </c>
      <c r="D32" s="1995"/>
      <c r="E32" s="1572">
        <v>0</v>
      </c>
      <c r="F32" s="1572">
        <v>0</v>
      </c>
      <c r="G32" s="1572">
        <v>0</v>
      </c>
      <c r="H32" s="1572">
        <v>0</v>
      </c>
      <c r="I32" s="534">
        <f>SUM(D32:H32)</f>
        <v>0</v>
      </c>
      <c r="J32" s="68"/>
      <c r="K32" s="316"/>
      <c r="L32" s="1454"/>
      <c r="M32" s="256"/>
      <c r="N32" s="256"/>
      <c r="O32" s="256"/>
      <c r="P32" s="256"/>
      <c r="Q32" s="256"/>
      <c r="R32" s="256"/>
      <c r="S32" s="292"/>
    </row>
    <row r="33" spans="1:23" s="4" customFormat="1" ht="12.75" customHeight="1" x14ac:dyDescent="0.2">
      <c r="A33"/>
      <c r="B33" s="1824"/>
      <c r="C33" s="177" t="s">
        <v>818</v>
      </c>
      <c r="D33" s="478"/>
      <c r="E33" s="315">
        <v>0.255</v>
      </c>
      <c r="F33" s="315">
        <f>E33</f>
        <v>0.255</v>
      </c>
      <c r="G33" s="315">
        <f>F33</f>
        <v>0.255</v>
      </c>
      <c r="H33" s="315">
        <f>G33</f>
        <v>0.255</v>
      </c>
      <c r="I33" s="1825"/>
      <c r="J33" s="180"/>
      <c r="K33" s="316"/>
      <c r="L33" s="1454"/>
      <c r="M33" s="256"/>
      <c r="N33" s="256"/>
      <c r="O33" s="256"/>
      <c r="P33" s="256"/>
      <c r="Q33" s="256"/>
      <c r="R33" s="256"/>
      <c r="S33" s="292"/>
    </row>
    <row r="34" spans="1:23" s="4" customFormat="1" ht="12.75" customHeight="1" thickBot="1" x14ac:dyDescent="0.25">
      <c r="A34"/>
      <c r="B34" s="1826"/>
      <c r="C34" s="164" t="s">
        <v>816</v>
      </c>
      <c r="D34" s="1571"/>
      <c r="E34" s="1303">
        <v>0</v>
      </c>
      <c r="F34" s="1303">
        <v>0</v>
      </c>
      <c r="G34" s="1303">
        <v>0</v>
      </c>
      <c r="H34" s="1303">
        <v>0</v>
      </c>
      <c r="I34" s="1825"/>
      <c r="J34" s="180"/>
      <c r="K34" s="316"/>
      <c r="L34" s="1454"/>
      <c r="M34" s="256"/>
      <c r="N34" s="256"/>
      <c r="O34" s="256"/>
      <c r="P34" s="256"/>
      <c r="Q34" s="256"/>
      <c r="R34" s="256"/>
      <c r="S34" s="292"/>
    </row>
    <row r="35" spans="1:23" ht="12.75" customHeight="1" x14ac:dyDescent="0.2">
      <c r="B35" s="1827" t="s">
        <v>8</v>
      </c>
      <c r="C35" s="1994" t="s">
        <v>177</v>
      </c>
      <c r="D35" s="1995"/>
      <c r="E35" s="1572">
        <v>0</v>
      </c>
      <c r="F35" s="1572">
        <v>0</v>
      </c>
      <c r="G35" s="1572">
        <v>0</v>
      </c>
      <c r="H35" s="1572">
        <v>0</v>
      </c>
      <c r="I35" s="534">
        <f>SUM(D35:H35)</f>
        <v>0</v>
      </c>
      <c r="J35" s="68"/>
      <c r="K35" s="316"/>
      <c r="L35" s="1454"/>
      <c r="M35" s="256"/>
      <c r="N35" s="256"/>
      <c r="O35" s="256"/>
      <c r="P35" s="256"/>
      <c r="Q35" s="256"/>
      <c r="R35" s="256"/>
      <c r="S35" s="292"/>
    </row>
    <row r="36" spans="1:23" s="4" customFormat="1" ht="12.75" customHeight="1" x14ac:dyDescent="0.2">
      <c r="A36"/>
      <c r="B36" s="1824"/>
      <c r="C36" s="177" t="s">
        <v>818</v>
      </c>
      <c r="D36" s="478"/>
      <c r="E36" s="315">
        <v>0.255</v>
      </c>
      <c r="F36" s="315">
        <f>E36</f>
        <v>0.255</v>
      </c>
      <c r="G36" s="315">
        <f>F36</f>
        <v>0.255</v>
      </c>
      <c r="H36" s="315">
        <f>G36</f>
        <v>0.255</v>
      </c>
      <c r="I36" s="1825"/>
      <c r="J36" s="180"/>
      <c r="K36" s="316"/>
      <c r="L36" s="1454"/>
      <c r="M36" s="256"/>
      <c r="N36" s="256"/>
      <c r="O36" s="256"/>
      <c r="P36" s="256"/>
      <c r="Q36" s="256"/>
      <c r="R36" s="256"/>
      <c r="S36" s="292"/>
      <c r="W36" s="4">
        <v>0</v>
      </c>
    </row>
    <row r="37" spans="1:23" s="4" customFormat="1" ht="12.75" customHeight="1" thickBot="1" x14ac:dyDescent="0.25">
      <c r="A37"/>
      <c r="B37" s="1826"/>
      <c r="C37" s="164" t="s">
        <v>816</v>
      </c>
      <c r="D37" s="1571"/>
      <c r="E37" s="1303">
        <v>0</v>
      </c>
      <c r="F37" s="1303">
        <v>0</v>
      </c>
      <c r="G37" s="1303">
        <v>0</v>
      </c>
      <c r="H37" s="1303">
        <v>0</v>
      </c>
      <c r="I37" s="1825"/>
      <c r="J37" s="180"/>
      <c r="K37" s="316"/>
      <c r="L37" s="1454"/>
      <c r="M37" s="256"/>
      <c r="N37" s="256"/>
      <c r="O37" s="256"/>
      <c r="P37" s="256"/>
      <c r="Q37" s="256"/>
      <c r="R37" s="256"/>
      <c r="S37" s="292"/>
    </row>
    <row r="38" spans="1:23" s="4" customFormat="1" ht="12.75" customHeight="1" x14ac:dyDescent="0.2">
      <c r="A38"/>
      <c r="B38" s="1828" t="s">
        <v>9</v>
      </c>
      <c r="C38" s="1573" t="s">
        <v>822</v>
      </c>
      <c r="D38" s="1574"/>
      <c r="E38" s="1575">
        <v>0</v>
      </c>
      <c r="F38" s="1575">
        <v>0</v>
      </c>
      <c r="G38" s="1575">
        <v>0</v>
      </c>
      <c r="H38" s="1575">
        <v>0</v>
      </c>
      <c r="I38" s="534">
        <f>SUM(D38:H38)</f>
        <v>0</v>
      </c>
      <c r="J38" s="180"/>
      <c r="K38" s="316"/>
      <c r="L38" s="1454"/>
      <c r="M38" s="256"/>
      <c r="N38" s="256"/>
      <c r="O38" s="256"/>
      <c r="P38" s="256"/>
      <c r="Q38" s="256"/>
      <c r="R38" s="256"/>
      <c r="S38" s="292"/>
    </row>
    <row r="39" spans="1:23" ht="13.5" customHeight="1" x14ac:dyDescent="0.2">
      <c r="B39" s="1829" t="s">
        <v>10</v>
      </c>
      <c r="C39" s="1576" t="s">
        <v>675</v>
      </c>
      <c r="D39" s="1577"/>
      <c r="E39" s="1578">
        <v>0</v>
      </c>
      <c r="F39" s="1578">
        <v>0</v>
      </c>
      <c r="G39" s="1578">
        <v>0</v>
      </c>
      <c r="H39" s="1578">
        <v>0</v>
      </c>
      <c r="I39" s="534">
        <f>SUM(E39:H39)</f>
        <v>0</v>
      </c>
      <c r="J39" s="1470"/>
      <c r="K39" s="1469"/>
      <c r="L39" s="1455"/>
      <c r="M39" s="1455"/>
      <c r="N39" s="1455"/>
      <c r="O39" s="1455"/>
      <c r="P39" s="1455"/>
      <c r="Q39" s="1455"/>
      <c r="R39" s="1455"/>
      <c r="S39" s="1470"/>
      <c r="T39" s="1471"/>
    </row>
    <row r="40" spans="1:23" ht="12.75" customHeight="1" x14ac:dyDescent="0.2">
      <c r="B40" s="1824" t="s">
        <v>11</v>
      </c>
      <c r="C40" s="309" t="s">
        <v>678</v>
      </c>
      <c r="D40" s="479"/>
      <c r="E40" s="532">
        <v>0</v>
      </c>
      <c r="F40" s="1489">
        <v>0</v>
      </c>
      <c r="G40" s="1489">
        <v>0</v>
      </c>
      <c r="H40" s="1489">
        <v>0</v>
      </c>
      <c r="I40" s="534">
        <f>SUM(D40:H40)</f>
        <v>0</v>
      </c>
      <c r="J40" s="68"/>
      <c r="K40" s="316"/>
      <c r="L40" s="1454"/>
      <c r="M40" s="256"/>
      <c r="N40" s="256"/>
      <c r="O40" s="256"/>
      <c r="P40" s="256"/>
      <c r="Q40" s="256"/>
      <c r="R40" s="256"/>
      <c r="S40" s="292"/>
    </row>
    <row r="41" spans="1:23" ht="12.75" customHeight="1" x14ac:dyDescent="0.2">
      <c r="B41" s="1824"/>
      <c r="C41" s="177" t="s">
        <v>818</v>
      </c>
      <c r="D41" s="1468"/>
      <c r="E41" s="315">
        <v>0</v>
      </c>
      <c r="F41" s="1490">
        <v>0</v>
      </c>
      <c r="G41" s="1490">
        <v>0</v>
      </c>
      <c r="H41" s="1490">
        <f>G41</f>
        <v>0</v>
      </c>
      <c r="I41" s="534"/>
      <c r="J41" s="68"/>
      <c r="K41" s="316"/>
      <c r="L41" s="1454"/>
      <c r="M41" s="256"/>
      <c r="N41" s="256"/>
      <c r="O41" s="256"/>
      <c r="P41" s="256"/>
      <c r="Q41" s="256"/>
      <c r="R41" s="256"/>
      <c r="S41" s="292"/>
    </row>
    <row r="42" spans="1:23" ht="16.5" customHeight="1" thickBot="1" x14ac:dyDescent="0.25">
      <c r="B42" s="1830" t="s">
        <v>109</v>
      </c>
      <c r="C42" s="1831" t="s">
        <v>36</v>
      </c>
      <c r="D42" s="1832"/>
      <c r="E42" s="533">
        <f>E17+E20+E24+E27+E30+E32+E40+E35+E38+E39</f>
        <v>0</v>
      </c>
      <c r="F42" s="533">
        <f>F17+F20+F24+F27+F30+F32+F40+F35+F38+F39</f>
        <v>0</v>
      </c>
      <c r="G42" s="533">
        <f>G17+G20+G24+G27+G30+G32+G40+G35+G38+G39</f>
        <v>0</v>
      </c>
      <c r="H42" s="533">
        <f>H17+H20+H24+H27+H30+H32+H40+H35+H38+H39</f>
        <v>0</v>
      </c>
      <c r="I42" s="1833">
        <f>SUM(D42:H42)</f>
        <v>0</v>
      </c>
      <c r="J42" s="68"/>
      <c r="K42" s="316"/>
      <c r="L42" s="256"/>
      <c r="M42" s="256"/>
      <c r="N42" s="256"/>
      <c r="O42" s="256"/>
      <c r="P42" s="256"/>
      <c r="Q42" s="256"/>
      <c r="R42" s="256"/>
      <c r="S42" s="292"/>
    </row>
    <row r="43" spans="1:23" ht="10.5" customHeight="1" thickBot="1" x14ac:dyDescent="0.25">
      <c r="I43" s="1703"/>
      <c r="K43" s="181"/>
      <c r="L43" s="182"/>
      <c r="M43" s="182"/>
      <c r="N43" s="182"/>
      <c r="O43" s="182"/>
      <c r="P43" s="182"/>
      <c r="Q43" s="182"/>
      <c r="R43" s="182"/>
      <c r="S43" s="183"/>
    </row>
    <row r="44" spans="1:23" ht="13.5" customHeight="1" x14ac:dyDescent="0.2">
      <c r="B44" s="1990" t="s">
        <v>448</v>
      </c>
      <c r="C44" s="1991"/>
      <c r="D44" s="1820"/>
      <c r="E44" s="1821" t="str">
        <f>E15</f>
        <v>Ennuste 1</v>
      </c>
      <c r="F44" s="1821" t="s">
        <v>43</v>
      </c>
      <c r="G44" s="1821" t="s">
        <v>44</v>
      </c>
      <c r="H44" s="1834" t="s">
        <v>188</v>
      </c>
      <c r="I44" s="2002" t="s">
        <v>126</v>
      </c>
      <c r="K44" s="316"/>
      <c r="L44" s="256"/>
      <c r="M44" s="256"/>
      <c r="N44" s="256"/>
      <c r="O44" s="256"/>
      <c r="P44" s="256"/>
      <c r="Q44" s="256"/>
      <c r="R44" s="256"/>
      <c r="S44" s="292"/>
    </row>
    <row r="45" spans="1:23" ht="13.5" customHeight="1" thickBot="1" x14ac:dyDescent="0.25">
      <c r="B45" s="1992"/>
      <c r="C45" s="1993"/>
      <c r="D45" s="1073"/>
      <c r="E45" s="171">
        <f>E16</f>
        <v>2027</v>
      </c>
      <c r="F45" s="171">
        <f>F16</f>
        <v>2028</v>
      </c>
      <c r="G45" s="171">
        <f>G16</f>
        <v>2029</v>
      </c>
      <c r="H45" s="236">
        <f>H16</f>
        <v>2030</v>
      </c>
      <c r="I45" s="2003"/>
      <c r="K45" s="316"/>
      <c r="L45" s="256"/>
      <c r="M45" s="256"/>
      <c r="N45" s="256"/>
      <c r="O45" s="256"/>
      <c r="P45" s="256"/>
      <c r="Q45" s="256"/>
      <c r="R45" s="256"/>
      <c r="S45" s="292"/>
    </row>
    <row r="46" spans="1:23" ht="12.75" customHeight="1" x14ac:dyDescent="0.2">
      <c r="B46" s="1986" t="s">
        <v>362</v>
      </c>
      <c r="C46" s="1987"/>
      <c r="D46" s="481"/>
      <c r="E46" s="234"/>
      <c r="F46" s="234"/>
      <c r="G46" s="234"/>
      <c r="H46" s="235"/>
      <c r="I46" s="1835" t="s">
        <v>0</v>
      </c>
      <c r="J46" s="53"/>
      <c r="K46" s="316"/>
      <c r="L46" s="256"/>
      <c r="M46" s="256"/>
      <c r="N46" s="256"/>
      <c r="O46" s="256"/>
      <c r="P46" s="256"/>
      <c r="Q46" s="256"/>
      <c r="R46" s="256"/>
      <c r="S46" s="292"/>
    </row>
    <row r="47" spans="1:23" ht="12.75" customHeight="1" x14ac:dyDescent="0.2">
      <c r="B47" s="1826" t="s">
        <v>110</v>
      </c>
      <c r="C47" s="164" t="s">
        <v>391</v>
      </c>
      <c r="D47" s="398"/>
      <c r="E47" s="535"/>
      <c r="F47" s="535"/>
      <c r="G47" s="535"/>
      <c r="H47" s="535"/>
      <c r="I47" s="1836"/>
      <c r="J47" s="53"/>
      <c r="K47" s="316"/>
      <c r="L47" s="256"/>
      <c r="M47" s="256"/>
      <c r="N47" s="256"/>
      <c r="O47" s="256"/>
      <c r="P47" s="256"/>
      <c r="Q47" s="256"/>
      <c r="R47" s="256"/>
      <c r="S47" s="292"/>
    </row>
    <row r="48" spans="1:23" ht="12.75" customHeight="1" x14ac:dyDescent="0.2">
      <c r="B48" s="1824"/>
      <c r="C48" s="370" t="s">
        <v>850</v>
      </c>
      <c r="D48" s="507"/>
      <c r="E48" s="536">
        <v>0</v>
      </c>
      <c r="F48" s="536">
        <v>0</v>
      </c>
      <c r="G48" s="536">
        <v>0</v>
      </c>
      <c r="H48" s="536">
        <v>0</v>
      </c>
      <c r="I48" s="537">
        <f>SUM(D48:H48)</f>
        <v>0</v>
      </c>
      <c r="J48" s="69"/>
      <c r="K48" s="316"/>
      <c r="L48" s="256"/>
      <c r="M48" s="256"/>
      <c r="N48" s="256"/>
      <c r="O48" s="256"/>
      <c r="P48" s="256"/>
      <c r="Q48" s="256"/>
      <c r="R48" s="256"/>
      <c r="S48" s="292"/>
    </row>
    <row r="49" spans="2:21" ht="12.75" customHeight="1" x14ac:dyDescent="0.2">
      <c r="B49" s="1837"/>
      <c r="C49" s="1996" t="s">
        <v>865</v>
      </c>
      <c r="D49" s="1997"/>
      <c r="E49" s="532">
        <v>0</v>
      </c>
      <c r="F49" s="532">
        <v>0</v>
      </c>
      <c r="G49" s="532">
        <v>0</v>
      </c>
      <c r="H49" s="532">
        <v>0</v>
      </c>
      <c r="I49" s="534">
        <f>SUM(D49:H49)</f>
        <v>0</v>
      </c>
      <c r="J49" s="69"/>
      <c r="K49" s="456"/>
      <c r="L49" s="256"/>
      <c r="M49" s="256"/>
      <c r="N49" s="256"/>
      <c r="O49" s="256"/>
      <c r="P49" s="256"/>
      <c r="Q49" s="256"/>
      <c r="R49" s="256"/>
      <c r="S49" s="292"/>
    </row>
    <row r="50" spans="2:21" ht="12.75" customHeight="1" x14ac:dyDescent="0.2">
      <c r="B50" s="1837" t="s">
        <v>293</v>
      </c>
      <c r="C50" s="309" t="s">
        <v>828</v>
      </c>
      <c r="D50" s="508"/>
      <c r="E50" s="538">
        <f>E62-E61-E60-E57-E56-E55-E52-E51-E48-E49-E58-E59</f>
        <v>0</v>
      </c>
      <c r="F50" s="538">
        <f>F62-F61-F60-F57-F56-F55-F52-F51-F48-F49-F58-F59</f>
        <v>0</v>
      </c>
      <c r="G50" s="538">
        <f>G62-G61-G60-G57-G56-G55-G52-G51-G48-G49-G58-G59</f>
        <v>0</v>
      </c>
      <c r="H50" s="538">
        <f>H62-H61-H60-H57-H56-H55-H52-H51-H48-H49-H58-H59</f>
        <v>0</v>
      </c>
      <c r="I50" s="537">
        <f>I62-I61-I60-I57-I56-I55-I52-I51-I48-I49-I58-I59</f>
        <v>0</v>
      </c>
      <c r="J50" s="68"/>
      <c r="K50" s="371" t="str">
        <f>IF(E50&lt;0,"LISÄÄ LUKU RIVILLE 9. Käyttöpääoma!",IF(F50&lt;0,"LISÄÄ LUKU RIVILLE 9. Käyttöpääoma!",IF(G50&lt;0,"LISÄÄ LUKU RIVILLE 9. Käyttöpääoma!",IF(H50&lt;0,"LISÄÄ LUKU RIVILLE 9. Käyttöpääoma!",""))))</f>
        <v/>
      </c>
      <c r="L50" s="253"/>
      <c r="M50" s="253"/>
      <c r="N50" s="253"/>
      <c r="O50" s="253"/>
      <c r="P50" s="253"/>
      <c r="Q50" s="253"/>
      <c r="R50" s="253"/>
      <c r="S50" s="368"/>
    </row>
    <row r="51" spans="2:21" ht="12.75" customHeight="1" x14ac:dyDescent="0.2">
      <c r="B51" s="1837" t="s">
        <v>111</v>
      </c>
      <c r="C51" s="1996" t="s">
        <v>827</v>
      </c>
      <c r="D51" s="1997"/>
      <c r="E51" s="532">
        <v>0</v>
      </c>
      <c r="F51" s="532">
        <v>0</v>
      </c>
      <c r="G51" s="532">
        <v>0</v>
      </c>
      <c r="H51" s="532">
        <v>0</v>
      </c>
      <c r="I51" s="537">
        <f>SUM(D51:H51)</f>
        <v>0</v>
      </c>
      <c r="J51" s="70"/>
      <c r="K51" s="376"/>
      <c r="L51" s="256"/>
      <c r="M51" s="256"/>
      <c r="N51" s="256"/>
      <c r="O51" s="256"/>
      <c r="P51" s="256"/>
      <c r="Q51" s="256"/>
      <c r="R51" s="256"/>
      <c r="S51" s="292"/>
    </row>
    <row r="52" spans="2:21" ht="12.75" customHeight="1" x14ac:dyDescent="0.2">
      <c r="B52" s="1837" t="s">
        <v>112</v>
      </c>
      <c r="C52" s="1996" t="s">
        <v>863</v>
      </c>
      <c r="D52" s="1997"/>
      <c r="E52" s="541">
        <v>0</v>
      </c>
      <c r="F52" s="532">
        <v>0</v>
      </c>
      <c r="G52" s="532">
        <v>0</v>
      </c>
      <c r="H52" s="532">
        <v>0</v>
      </c>
      <c r="I52" s="537">
        <f>SUM(D52:H52)</f>
        <v>0</v>
      </c>
      <c r="J52" s="68"/>
      <c r="K52" s="371" t="str">
        <f>(IF(F52&gt;0,"JOS MYYDÄÄN omaisuutta vähennä arvo taulukossa 6. T3 TASE, VASTAAVAA, VÄHENNYKSET TILIKAUDELLA!",IF(G52&gt;0,"JOS MYYDÄÄN omaisuutta vähennä arvo taulukossa 6. T3 TASE, VASTAAVAA, VÄHENNYKSET TILIKAUDELLA!",IF(H52&gt;0,"JOS MYYDÄÄN omaisuutta vähennä arvo taulukossa 6. T3 TASE, VASTAAVAA, VÄHENNYKSET TILIKAUDELLA!",""))))</f>
        <v/>
      </c>
      <c r="L52" s="152"/>
      <c r="M52" s="152"/>
      <c r="N52" s="152"/>
      <c r="O52" s="152"/>
      <c r="P52" s="152"/>
      <c r="Q52" s="152"/>
      <c r="R52" s="152"/>
      <c r="S52" s="369"/>
    </row>
    <row r="53" spans="2:21" ht="12.75" customHeight="1" x14ac:dyDescent="0.2">
      <c r="B53" s="1984" t="s">
        <v>363</v>
      </c>
      <c r="C53" s="1985"/>
      <c r="D53" s="511"/>
      <c r="E53" s="539"/>
      <c r="F53" s="539"/>
      <c r="G53" s="539"/>
      <c r="H53" s="540"/>
      <c r="I53" s="1838"/>
      <c r="K53" s="736"/>
      <c r="L53" s="1453"/>
      <c r="M53" s="1441"/>
      <c r="N53" s="1453"/>
      <c r="O53" s="1453"/>
      <c r="P53" s="256"/>
      <c r="Q53" s="256"/>
      <c r="R53" s="256"/>
      <c r="S53" s="292"/>
      <c r="T53" s="164"/>
      <c r="U53" s="164"/>
    </row>
    <row r="54" spans="2:21" ht="12.75" customHeight="1" x14ac:dyDescent="0.2">
      <c r="B54" s="1826" t="s">
        <v>0</v>
      </c>
      <c r="C54" s="164" t="s">
        <v>38</v>
      </c>
      <c r="D54" s="398"/>
      <c r="E54" s="535"/>
      <c r="F54" s="535"/>
      <c r="G54" s="535"/>
      <c r="H54" s="535"/>
      <c r="I54" s="1836"/>
      <c r="K54" s="1644"/>
      <c r="L54" s="256"/>
      <c r="M54" s="1645"/>
      <c r="N54" s="1646"/>
      <c r="O54" s="1982"/>
      <c r="P54" s="1982"/>
      <c r="Q54" s="1982"/>
      <c r="R54" s="1982"/>
      <c r="S54" s="1983"/>
      <c r="T54" s="164"/>
      <c r="U54" s="164"/>
    </row>
    <row r="55" spans="2:21" ht="12.75" customHeight="1" x14ac:dyDescent="0.2">
      <c r="B55" s="1824" t="s">
        <v>113</v>
      </c>
      <c r="C55" s="512" t="s">
        <v>861</v>
      </c>
      <c r="D55" s="510"/>
      <c r="E55" s="536">
        <v>0</v>
      </c>
      <c r="F55" s="536">
        <v>0</v>
      </c>
      <c r="G55" s="536">
        <v>0</v>
      </c>
      <c r="H55" s="536">
        <v>0</v>
      </c>
      <c r="I55" s="537">
        <f t="shared" ref="I55:I61" si="0">SUM(D55:H55)</f>
        <v>0</v>
      </c>
      <c r="J55" s="68"/>
      <c r="K55" s="1644"/>
      <c r="L55" s="256"/>
      <c r="M55" s="1645"/>
      <c r="N55" s="1646"/>
      <c r="O55" s="1982"/>
      <c r="P55" s="1982"/>
      <c r="Q55" s="1982"/>
      <c r="R55" s="1982"/>
      <c r="S55" s="1983"/>
      <c r="T55" s="164"/>
      <c r="U55" s="164"/>
    </row>
    <row r="56" spans="2:21" ht="12.75" customHeight="1" x14ac:dyDescent="0.2">
      <c r="B56" s="1837" t="s">
        <v>114</v>
      </c>
      <c r="C56" s="509" t="s">
        <v>862</v>
      </c>
      <c r="D56" s="510"/>
      <c r="E56" s="532">
        <v>0</v>
      </c>
      <c r="F56" s="532">
        <v>0</v>
      </c>
      <c r="G56" s="532">
        <v>0</v>
      </c>
      <c r="H56" s="532">
        <v>0</v>
      </c>
      <c r="I56" s="537">
        <f t="shared" si="0"/>
        <v>0</v>
      </c>
      <c r="J56" s="68"/>
      <c r="K56" s="1644"/>
      <c r="L56" s="256"/>
      <c r="M56" s="1645"/>
      <c r="N56" s="1646"/>
      <c r="O56" s="1982"/>
      <c r="P56" s="1982"/>
      <c r="Q56" s="1982"/>
      <c r="R56" s="1982"/>
      <c r="S56" s="1983"/>
      <c r="T56" s="164"/>
      <c r="U56" s="164"/>
    </row>
    <row r="57" spans="2:21" ht="12.75" customHeight="1" x14ac:dyDescent="0.2">
      <c r="B57" s="1837" t="s">
        <v>115</v>
      </c>
      <c r="C57" s="509" t="s">
        <v>495</v>
      </c>
      <c r="D57" s="513"/>
      <c r="E57" s="532">
        <v>0</v>
      </c>
      <c r="F57" s="532">
        <v>0</v>
      </c>
      <c r="G57" s="532">
        <v>0</v>
      </c>
      <c r="H57" s="532">
        <v>0</v>
      </c>
      <c r="I57" s="537">
        <f>SUM(E57:H57)</f>
        <v>0</v>
      </c>
      <c r="J57" s="256"/>
      <c r="K57" s="1644"/>
      <c r="L57" s="256"/>
      <c r="M57" s="1645"/>
      <c r="N57" s="1646"/>
      <c r="O57" s="1982"/>
      <c r="P57" s="1982"/>
      <c r="Q57" s="1982"/>
      <c r="R57" s="1982"/>
      <c r="S57" s="1983"/>
      <c r="T57" s="164"/>
      <c r="U57" s="164"/>
    </row>
    <row r="58" spans="2:21" ht="12.75" hidden="1" customHeight="1" x14ac:dyDescent="0.2">
      <c r="B58" s="1837" t="s">
        <v>116</v>
      </c>
      <c r="C58" s="487" t="s">
        <v>345</v>
      </c>
      <c r="D58" s="514"/>
      <c r="E58" s="762">
        <v>0</v>
      </c>
      <c r="F58" s="762">
        <v>0</v>
      </c>
      <c r="G58" s="762">
        <v>0</v>
      </c>
      <c r="H58" s="762">
        <v>0</v>
      </c>
      <c r="I58" s="537">
        <f>SUM(E58:H58)</f>
        <v>0</v>
      </c>
      <c r="J58" s="50"/>
      <c r="K58" s="371" t="str">
        <f>IF(E58&gt;0,"LISÄÄ LEASINGKUSTANNUKSET TAULUKON E1 KUSTANNUKSET KOHTAAN 3.3!",IF(F58&gt;0,"LISÄÄ LEASINGKUSTANNUKSET TAULUKON E1 KUSTANNUKSET RIVILLE 63!",IF(G58&gt;0,"LISÄÄ LEASINGKUSTANNUKSET TAULUKON E1 KUSTANNUKSET RIVILLE 63",IF(H58&gt;0,"LISÄÄ LEASINGKUSTANNUKSET TAULUKON E1 KUSTANNUKSET RIVILLE 63",""))))</f>
        <v/>
      </c>
      <c r="L58" s="256"/>
      <c r="M58" s="256"/>
      <c r="N58" s="256"/>
      <c r="O58" s="256"/>
      <c r="P58" s="256"/>
      <c r="Q58" s="256"/>
      <c r="R58" s="256"/>
      <c r="S58" s="292"/>
      <c r="T58" s="316"/>
    </row>
    <row r="59" spans="2:21" ht="12.75" hidden="1" customHeight="1" x14ac:dyDescent="0.2">
      <c r="B59" s="1824" t="s">
        <v>33</v>
      </c>
      <c r="C59" s="370" t="s">
        <v>346</v>
      </c>
      <c r="D59" s="515"/>
      <c r="E59" s="762">
        <v>0</v>
      </c>
      <c r="F59" s="762">
        <v>0</v>
      </c>
      <c r="G59" s="762">
        <v>0</v>
      </c>
      <c r="H59" s="762">
        <v>0</v>
      </c>
      <c r="I59" s="537">
        <f>SUM(E59:H59)</f>
        <v>0</v>
      </c>
      <c r="J59" s="50"/>
      <c r="K59" s="371" t="str">
        <f>IF(E59&gt;0,"LISÄÄ VUOKRAKULUT E1 KUSTANNUKSET-TAULUKON RIVILLE 124!",IF(F59&gt;0,"LISÄÄ VUOKRAKULUT E1 KUSTANNUKSET-TAULUKON RIVILLE 124!",IF(G59&gt;0,"LISÄÄ VUOKRAKULUT E1 KUSTANNUKSET-TAULUKON RIVILLE 124!",IF(H59&gt;0,"LISÄÄ VUOKRAKULUT E1 KUSTANNUKSET-TAULUKON RIVILLE 124!",""))))</f>
        <v/>
      </c>
      <c r="L59" s="256"/>
      <c r="M59" s="256"/>
      <c r="N59" s="256"/>
      <c r="O59" s="256"/>
      <c r="P59" s="256"/>
      <c r="Q59" s="256"/>
      <c r="R59" s="256"/>
      <c r="S59" s="292"/>
      <c r="T59" s="256"/>
    </row>
    <row r="60" spans="2:21" ht="12.75" customHeight="1" x14ac:dyDescent="0.2">
      <c r="B60" s="1837" t="s">
        <v>116</v>
      </c>
      <c r="C60" s="309" t="s">
        <v>226</v>
      </c>
      <c r="D60" s="350"/>
      <c r="E60" s="541">
        <f>'AT1 Avustus, alv'!E49</f>
        <v>0</v>
      </c>
      <c r="F60" s="541">
        <f>'AT1 Avustus, alv'!F49</f>
        <v>0</v>
      </c>
      <c r="G60" s="541">
        <f>'AT1 Avustus, alv'!G49</f>
        <v>0</v>
      </c>
      <c r="H60" s="541">
        <f>'AT1 Avustus, alv'!H49</f>
        <v>0</v>
      </c>
      <c r="I60" s="537">
        <f t="shared" si="0"/>
        <v>0</v>
      </c>
      <c r="J60" s="68"/>
      <c r="K60" s="316"/>
      <c r="L60" s="256"/>
      <c r="M60" s="256"/>
      <c r="N60" s="256"/>
      <c r="O60" s="256"/>
      <c r="P60" s="256"/>
      <c r="Q60" s="256"/>
      <c r="R60" s="256"/>
      <c r="S60" s="292"/>
    </row>
    <row r="61" spans="2:21" ht="12.75" customHeight="1" x14ac:dyDescent="0.2">
      <c r="B61" s="1837" t="s">
        <v>33</v>
      </c>
      <c r="C61" s="309" t="s">
        <v>227</v>
      </c>
      <c r="D61" s="350"/>
      <c r="E61" s="541">
        <f>'AT1 Avustus, alv'!E50</f>
        <v>0</v>
      </c>
      <c r="F61" s="541">
        <f>'AT1 Avustus, alv'!F50</f>
        <v>0</v>
      </c>
      <c r="G61" s="541">
        <f>'AT1 Avustus, alv'!G50</f>
        <v>0</v>
      </c>
      <c r="H61" s="541">
        <f>'AT1 Avustus, alv'!H50</f>
        <v>0</v>
      </c>
      <c r="I61" s="537">
        <f t="shared" si="0"/>
        <v>0</v>
      </c>
      <c r="J61" s="68"/>
      <c r="K61" s="316"/>
      <c r="L61" s="256"/>
      <c r="M61" s="256"/>
      <c r="N61" s="256"/>
      <c r="O61" s="256"/>
      <c r="P61" s="256"/>
      <c r="Q61" s="256"/>
      <c r="R61" s="256"/>
      <c r="S61" s="292"/>
    </row>
    <row r="62" spans="2:21" ht="16.149999999999999" customHeight="1" thickBot="1" x14ac:dyDescent="0.25">
      <c r="B62" s="1839" t="s">
        <v>311</v>
      </c>
      <c r="C62" s="1831" t="s">
        <v>228</v>
      </c>
      <c r="D62" s="1840"/>
      <c r="E62" s="1841">
        <f>E42</f>
        <v>0</v>
      </c>
      <c r="F62" s="533">
        <f>F42</f>
        <v>0</v>
      </c>
      <c r="G62" s="533">
        <f>G42</f>
        <v>0</v>
      </c>
      <c r="H62" s="533">
        <f>H42</f>
        <v>0</v>
      </c>
      <c r="I62" s="1833">
        <f>SUM(D62:H62)</f>
        <v>0</v>
      </c>
      <c r="J62" s="68"/>
      <c r="K62" s="375"/>
      <c r="L62" s="256"/>
      <c r="M62" s="256"/>
      <c r="N62" s="256"/>
      <c r="O62" s="256"/>
      <c r="P62" s="256"/>
      <c r="Q62" s="256"/>
      <c r="R62" s="256"/>
      <c r="S62" s="292"/>
    </row>
    <row r="63" spans="2:21" ht="3" customHeight="1" x14ac:dyDescent="0.2">
      <c r="B63" s="77"/>
      <c r="C63" s="73"/>
      <c r="D63" s="73"/>
      <c r="E63" s="1261"/>
      <c r="F63" s="77"/>
      <c r="G63" s="77"/>
      <c r="H63" s="77"/>
      <c r="I63" s="542"/>
      <c r="J63" s="68"/>
      <c r="K63" s="181"/>
      <c r="L63" s="182"/>
      <c r="M63" s="182"/>
      <c r="N63" s="182"/>
      <c r="O63" s="182"/>
      <c r="P63" s="182"/>
      <c r="Q63" s="182"/>
      <c r="R63" s="182"/>
      <c r="S63" s="183"/>
    </row>
    <row r="64" spans="2:21" ht="12.75" customHeight="1" thickBot="1" x14ac:dyDescent="0.25">
      <c r="B64" s="1762" t="s">
        <v>312</v>
      </c>
      <c r="C64" s="1763" t="s">
        <v>51</v>
      </c>
      <c r="D64" s="1763"/>
      <c r="E64" s="1764">
        <v>0</v>
      </c>
      <c r="F64" s="1764">
        <v>0</v>
      </c>
      <c r="G64" s="1764">
        <v>0</v>
      </c>
      <c r="H64" s="1764">
        <v>0</v>
      </c>
      <c r="I64" s="1765">
        <v>0</v>
      </c>
      <c r="J64" s="68"/>
      <c r="K64" s="310"/>
      <c r="L64" s="311"/>
      <c r="M64" s="311"/>
      <c r="N64" s="311"/>
      <c r="O64" s="311"/>
      <c r="P64" s="311"/>
      <c r="Q64" s="311"/>
      <c r="R64" s="311"/>
      <c r="S64" s="314"/>
    </row>
    <row r="65" spans="2:9" ht="3" customHeight="1" x14ac:dyDescent="0.2"/>
    <row r="66" spans="2:9" x14ac:dyDescent="0.2">
      <c r="B66" s="74"/>
      <c r="C66" s="52"/>
      <c r="D66" s="1767" t="str">
        <f>IF(E50&lt;0,"13. TULORAHOITUS ei saa olla negatiivinen luku!",IF(F50&lt;0,"13. TULORAHOITUS ei saa olla negatiivinen luku!",IF(G50&lt;0,"13. TULORAHOITUS ei saa olla negatiivinen luku0!",IF(H50&lt;0,"13. TULORAHOITUS ei saa olla negatiivinen luku!",""))))</f>
        <v/>
      </c>
      <c r="E66" s="52"/>
      <c r="F66" s="52"/>
      <c r="G66" s="52"/>
      <c r="H66" s="52"/>
      <c r="I66" s="85">
        <f>OHJE!F6</f>
        <v>0</v>
      </c>
    </row>
    <row r="67" spans="2:9" x14ac:dyDescent="0.2">
      <c r="B67" s="52" t="s">
        <v>660</v>
      </c>
      <c r="C67" s="52"/>
      <c r="I67" s="383" t="str">
        <f>OHJE!G8</f>
        <v>Kehittämisyhtiö Witas Oy</v>
      </c>
    </row>
    <row r="68" spans="2:9" x14ac:dyDescent="0.2">
      <c r="B68" s="1978"/>
      <c r="C68" s="1978"/>
    </row>
    <row r="69" spans="2:9" x14ac:dyDescent="0.2">
      <c r="B69" s="327" t="s">
        <v>234</v>
      </c>
    </row>
    <row r="70" spans="2:9" x14ac:dyDescent="0.2">
      <c r="B70" s="52" t="s">
        <v>235</v>
      </c>
    </row>
    <row r="71" spans="2:9" x14ac:dyDescent="0.2">
      <c r="B71" s="52" t="s">
        <v>236</v>
      </c>
    </row>
    <row r="72" spans="2:9" ht="14.25" x14ac:dyDescent="0.2">
      <c r="B72" s="75"/>
      <c r="C72" s="76"/>
      <c r="D72" s="76"/>
    </row>
    <row r="73" spans="2:9" ht="14.25" x14ac:dyDescent="0.2">
      <c r="B73" s="75"/>
      <c r="C73" s="76"/>
      <c r="D73" s="76"/>
    </row>
    <row r="74" spans="2:9" ht="14.25" x14ac:dyDescent="0.2">
      <c r="B74" s="75"/>
      <c r="C74" s="76"/>
      <c r="D74" s="76"/>
    </row>
    <row r="75" spans="2:9" ht="14.25" x14ac:dyDescent="0.2">
      <c r="B75" s="75"/>
      <c r="C75" s="76"/>
      <c r="D75" s="76"/>
    </row>
    <row r="76" spans="2:9" ht="14.25" x14ac:dyDescent="0.2">
      <c r="B76" s="75"/>
      <c r="C76" s="76"/>
      <c r="D76" s="76"/>
    </row>
    <row r="77" spans="2:9" ht="14.25" x14ac:dyDescent="0.2">
      <c r="B77" s="75" t="s">
        <v>310</v>
      </c>
      <c r="C77" s="76"/>
    </row>
    <row r="78" spans="2:9" x14ac:dyDescent="0.2">
      <c r="B78" s="327"/>
    </row>
    <row r="79" spans="2:9" x14ac:dyDescent="0.2">
      <c r="B79" s="52"/>
    </row>
    <row r="80" spans="2:9" x14ac:dyDescent="0.2">
      <c r="B80" s="52"/>
    </row>
    <row r="103" spans="3:3" x14ac:dyDescent="0.2">
      <c r="C103" s="18"/>
    </row>
  </sheetData>
  <sheetProtection algorithmName="SHA-512" hashValue="dOAUsvwM1Pv/hQwrueS4hsVjUd467c1MLry0lKBZWU+6TlinuEb63KVL65n4o3evJXsLJGqDIwRaCi6OnSOu2w==" saltValue="SS4KrmzbMzQ7QGDOrGEWQQ==" spinCount="100000" sheet="1" objects="1" scenarios="1"/>
  <mergeCells count="34">
    <mergeCell ref="B3:D4"/>
    <mergeCell ref="F13:I13"/>
    <mergeCell ref="O4:P4"/>
    <mergeCell ref="I44:I45"/>
    <mergeCell ref="I15:I16"/>
    <mergeCell ref="F5:G5"/>
    <mergeCell ref="F12:I12"/>
    <mergeCell ref="B7:E7"/>
    <mergeCell ref="F7:I7"/>
    <mergeCell ref="F9:I9"/>
    <mergeCell ref="F11:I11"/>
    <mergeCell ref="F10:I10"/>
    <mergeCell ref="B11:E11"/>
    <mergeCell ref="B12:E12"/>
    <mergeCell ref="B13:E13"/>
    <mergeCell ref="B53:C53"/>
    <mergeCell ref="B46:C46"/>
    <mergeCell ref="B9:E9"/>
    <mergeCell ref="B15:C16"/>
    <mergeCell ref="B44:C45"/>
    <mergeCell ref="C20:D20"/>
    <mergeCell ref="C24:D24"/>
    <mergeCell ref="C27:D27"/>
    <mergeCell ref="C30:D30"/>
    <mergeCell ref="C32:D32"/>
    <mergeCell ref="C35:D35"/>
    <mergeCell ref="C51:D51"/>
    <mergeCell ref="C49:D49"/>
    <mergeCell ref="C52:D52"/>
    <mergeCell ref="O54:S54"/>
    <mergeCell ref="O56:S56"/>
    <mergeCell ref="O55:S55"/>
    <mergeCell ref="O57:S57"/>
    <mergeCell ref="B68:C68"/>
  </mergeCells>
  <printOptions horizontalCentered="1"/>
  <pageMargins left="0.25" right="0.25" top="0.75" bottom="0.75" header="0.3" footer="0.3"/>
  <pageSetup paperSize="9" scale="95" orientation="portrait" verticalDpi="4" r:id="rId1"/>
  <colBreaks count="1" manualBreakCount="1">
    <brk id="9" min="1" max="61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152A1"/>
  </sheetPr>
  <dimension ref="A1:S56"/>
  <sheetViews>
    <sheetView showGridLines="0" showZeros="0" zoomScale="110" zoomScaleNormal="110" workbookViewId="0">
      <selection activeCell="U42" sqref="U42"/>
    </sheetView>
  </sheetViews>
  <sheetFormatPr defaultRowHeight="12.75" x14ac:dyDescent="0.2"/>
  <cols>
    <col min="1" max="1" width="8.7109375" customWidth="1"/>
    <col min="2" max="2" width="26.85546875" customWidth="1"/>
    <col min="3" max="3" width="9.5703125" customWidth="1"/>
    <col min="4" max="4" width="7.85546875" customWidth="1"/>
    <col min="5" max="5" width="9" customWidth="1"/>
    <col min="6" max="7" width="9.5703125" customWidth="1"/>
    <col min="8" max="8" width="8.85546875" customWidth="1"/>
    <col min="9" max="10" width="9.5703125" customWidth="1"/>
    <col min="11" max="11" width="8.85546875" customWidth="1"/>
    <col min="12" max="13" width="9.5703125" customWidth="1"/>
    <col min="14" max="14" width="8.7109375" customWidth="1"/>
    <col min="15" max="16" width="9.5703125" customWidth="1"/>
    <col min="17" max="17" width="8.7109375" customWidth="1"/>
    <col min="18" max="18" width="4.28515625" customWidth="1"/>
  </cols>
  <sheetData>
    <row r="1" spans="1:19" ht="14.1" customHeight="1" x14ac:dyDescent="0.2">
      <c r="A1" s="324"/>
    </row>
    <row r="2" spans="1:19" ht="14.65" customHeight="1" x14ac:dyDescent="0.25">
      <c r="A2" s="325"/>
      <c r="B2" s="2035" t="s">
        <v>337</v>
      </c>
      <c r="C2" s="2035"/>
      <c r="D2" s="1"/>
      <c r="E2" s="96"/>
      <c r="F2" s="528" t="s">
        <v>17</v>
      </c>
      <c r="G2" s="95"/>
      <c r="H2" s="1"/>
      <c r="I2" s="1"/>
      <c r="J2" s="1"/>
      <c r="K2" s="1"/>
      <c r="L2" s="1"/>
      <c r="M2" s="1"/>
      <c r="N2" s="61" t="s">
        <v>0</v>
      </c>
      <c r="O2" s="1"/>
      <c r="P2" s="1"/>
      <c r="Q2" s="61" t="s">
        <v>0</v>
      </c>
    </row>
    <row r="3" spans="1:19" ht="6" customHeight="1" x14ac:dyDescent="0.2">
      <c r="A3" s="325"/>
      <c r="B3" s="2035"/>
      <c r="C3" s="2035"/>
      <c r="D3" s="1"/>
      <c r="E3" s="489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9" ht="4.1500000000000004" customHeight="1" x14ac:dyDescent="0.2">
      <c r="A4" s="326"/>
      <c r="B4" s="1"/>
      <c r="C4" s="1"/>
      <c r="D4" s="1"/>
      <c r="E4" s="65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9" s="52" customFormat="1" ht="14.65" customHeight="1" x14ac:dyDescent="0.2">
      <c r="A5" s="1380" t="s">
        <v>457</v>
      </c>
      <c r="B5" s="45" t="s">
        <v>39</v>
      </c>
      <c r="C5" s="45"/>
      <c r="D5" s="45"/>
      <c r="E5" s="45"/>
      <c r="F5" s="49" t="s">
        <v>365</v>
      </c>
      <c r="G5" s="49"/>
      <c r="H5" s="45"/>
      <c r="I5" s="45"/>
      <c r="J5" s="45" t="s">
        <v>15</v>
      </c>
      <c r="K5" s="45"/>
      <c r="L5" s="45" t="s">
        <v>0</v>
      </c>
      <c r="M5" s="45"/>
      <c r="N5" s="45"/>
      <c r="O5" s="45" t="s">
        <v>35</v>
      </c>
      <c r="P5" s="45"/>
      <c r="Q5" s="45"/>
    </row>
    <row r="6" spans="1:19" x14ac:dyDescent="0.2">
      <c r="B6" s="2036">
        <f>'1. T1 INVESTOINTISUUN.'!B7:E7</f>
        <v>0</v>
      </c>
      <c r="C6" s="2036"/>
      <c r="D6" s="2036"/>
      <c r="E6" s="73"/>
      <c r="F6" s="1236">
        <f>'1. T1 INVESTOINTISUUN.'!F7</f>
        <v>0</v>
      </c>
      <c r="G6" s="1236"/>
      <c r="H6" s="519"/>
      <c r="I6" s="519"/>
      <c r="J6" s="2036">
        <f>'1. T1 INVESTOINTISUUN.'!B9</f>
        <v>0</v>
      </c>
      <c r="K6" s="2036"/>
      <c r="L6" s="2036"/>
      <c r="M6" s="2036"/>
      <c r="N6" s="740"/>
      <c r="O6" s="2038">
        <f>'1. T1 INVESTOINTISUUN.'!F4</f>
        <v>0</v>
      </c>
      <c r="P6" s="2038"/>
      <c r="Q6" s="741"/>
    </row>
    <row r="7" spans="1:19" ht="9" customHeight="1" thickBot="1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9" s="53" customFormat="1" ht="24" customHeight="1" x14ac:dyDescent="0.2">
      <c r="A8"/>
      <c r="B8" s="2031" t="s">
        <v>487</v>
      </c>
      <c r="C8" s="2019" t="s">
        <v>435</v>
      </c>
      <c r="D8" s="2022" t="s">
        <v>432</v>
      </c>
      <c r="E8" s="2025" t="s">
        <v>65</v>
      </c>
      <c r="F8" s="2028" t="s">
        <v>360</v>
      </c>
      <c r="G8" s="2029"/>
      <c r="H8" s="2029"/>
      <c r="I8" s="2029"/>
      <c r="J8" s="2029"/>
      <c r="K8" s="2029"/>
      <c r="L8" s="2029"/>
      <c r="M8" s="2029"/>
      <c r="N8" s="2029"/>
      <c r="O8" s="2029"/>
      <c r="P8" s="2029"/>
      <c r="Q8" s="2030"/>
    </row>
    <row r="9" spans="1:19" s="53" customFormat="1" ht="12.75" customHeight="1" x14ac:dyDescent="0.2">
      <c r="B9" s="2032"/>
      <c r="C9" s="2020"/>
      <c r="D9" s="2023"/>
      <c r="E9" s="2026"/>
      <c r="F9" s="2018" t="str">
        <f>'1. T1 INVESTOINTISUUN.'!E15</f>
        <v>Ennuste 1</v>
      </c>
      <c r="G9" s="2016"/>
      <c r="H9" s="2016"/>
      <c r="I9" s="2018" t="str">
        <f>'1. T1 INVESTOINTISUUN.'!F15</f>
        <v>Ennuste 2</v>
      </c>
      <c r="J9" s="2016"/>
      <c r="K9" s="2016"/>
      <c r="L9" s="2018" t="str">
        <f>'1. T1 INVESTOINTISUUN.'!G15</f>
        <v>Ennuste 3</v>
      </c>
      <c r="M9" s="2016"/>
      <c r="N9" s="2017"/>
      <c r="O9" s="2016" t="s">
        <v>188</v>
      </c>
      <c r="P9" s="2016"/>
      <c r="Q9" s="2017"/>
    </row>
    <row r="10" spans="1:19" s="53" customFormat="1" ht="12.75" customHeight="1" thickBot="1" x14ac:dyDescent="0.25">
      <c r="B10" s="2032"/>
      <c r="C10" s="2020"/>
      <c r="D10" s="2023"/>
      <c r="E10" s="2026"/>
      <c r="F10" s="2018">
        <f>'1. T1 INVESTOINTISUUN.'!E16</f>
        <v>2027</v>
      </c>
      <c r="G10" s="2016"/>
      <c r="H10" s="2016"/>
      <c r="I10" s="2018">
        <f>'1. T1 INVESTOINTISUUN.'!F16</f>
        <v>2028</v>
      </c>
      <c r="J10" s="2016"/>
      <c r="K10" s="2016"/>
      <c r="L10" s="2018">
        <f>'1. T1 INVESTOINTISUUN.'!G16</f>
        <v>2029</v>
      </c>
      <c r="M10" s="2016"/>
      <c r="N10" s="2017"/>
      <c r="O10" s="2037">
        <f>'1. T1 INVESTOINTISUUN.'!H16</f>
        <v>2030</v>
      </c>
      <c r="P10" s="2016"/>
      <c r="Q10" s="2017"/>
    </row>
    <row r="11" spans="1:19" s="53" customFormat="1" ht="3" hidden="1" customHeight="1" thickBot="1" x14ac:dyDescent="0.25">
      <c r="B11" s="742"/>
      <c r="C11" s="2021"/>
      <c r="D11" s="2024"/>
      <c r="E11" s="2027"/>
      <c r="F11" s="347"/>
      <c r="G11" s="345"/>
      <c r="H11" s="348"/>
      <c r="I11" s="344"/>
      <c r="J11" s="345"/>
      <c r="K11" s="348"/>
      <c r="L11" s="344"/>
      <c r="M11" s="345"/>
      <c r="N11" s="348"/>
      <c r="O11" s="344"/>
      <c r="P11" s="345"/>
      <c r="Q11" s="346"/>
    </row>
    <row r="12" spans="1:19" s="53" customFormat="1" ht="16.149999999999999" customHeight="1" x14ac:dyDescent="0.2">
      <c r="B12" s="1074" t="s">
        <v>354</v>
      </c>
      <c r="C12" s="1075"/>
      <c r="D12" s="1076"/>
      <c r="E12" s="1076"/>
      <c r="F12" s="1077" t="s">
        <v>422</v>
      </c>
      <c r="G12" s="1077" t="s">
        <v>423</v>
      </c>
      <c r="H12" s="1077" t="s">
        <v>318</v>
      </c>
      <c r="I12" s="1077" t="s">
        <v>422</v>
      </c>
      <c r="J12" s="1077" t="s">
        <v>423</v>
      </c>
      <c r="K12" s="1077" t="s">
        <v>318</v>
      </c>
      <c r="L12" s="1077" t="s">
        <v>422</v>
      </c>
      <c r="M12" s="1077" t="s">
        <v>423</v>
      </c>
      <c r="N12" s="1077" t="s">
        <v>318</v>
      </c>
      <c r="O12" s="1077" t="s">
        <v>422</v>
      </c>
      <c r="P12" s="1077" t="s">
        <v>423</v>
      </c>
      <c r="Q12" s="1701" t="s">
        <v>318</v>
      </c>
    </row>
    <row r="13" spans="1:19" s="53" customFormat="1" ht="12.75" customHeight="1" x14ac:dyDescent="0.2">
      <c r="B13" s="604" t="s">
        <v>434</v>
      </c>
      <c r="C13" s="536">
        <v>0</v>
      </c>
      <c r="D13" s="337">
        <v>0</v>
      </c>
      <c r="E13" s="780">
        <v>0</v>
      </c>
      <c r="F13" s="781">
        <f>C13</f>
        <v>0</v>
      </c>
      <c r="G13" s="782">
        <f>IF($D13=0,0,$C13/$D13)</f>
        <v>0</v>
      </c>
      <c r="H13" s="759">
        <f>'AT2 Lainat, alv'!P8</f>
        <v>0</v>
      </c>
      <c r="I13" s="764">
        <v>0</v>
      </c>
      <c r="J13" s="782">
        <f>G13</f>
        <v>0</v>
      </c>
      <c r="K13" s="759">
        <f>'AT2 Lainat, alv'!V8</f>
        <v>0</v>
      </c>
      <c r="L13" s="764">
        <v>0</v>
      </c>
      <c r="M13" s="782">
        <f>IF($D13&lt;3,0,J13)</f>
        <v>0</v>
      </c>
      <c r="N13" s="537">
        <f>'AT2 Lainat, alv'!AB8</f>
        <v>0</v>
      </c>
      <c r="O13" s="764">
        <v>0</v>
      </c>
      <c r="P13" s="782">
        <f>IF(D13&lt;4,0,M13)</f>
        <v>0</v>
      </c>
      <c r="Q13" s="537">
        <f>IF(D13&lt;4,0,'AT2 Lainat, alv'!AH8)</f>
        <v>0</v>
      </c>
      <c r="S13" s="98"/>
    </row>
    <row r="14" spans="1:19" s="53" customFormat="1" ht="12.75" customHeight="1" x14ac:dyDescent="0.2">
      <c r="B14" s="604">
        <v>0</v>
      </c>
      <c r="C14" s="536">
        <v>0</v>
      </c>
      <c r="D14" s="337">
        <v>0</v>
      </c>
      <c r="E14" s="780">
        <v>0</v>
      </c>
      <c r="F14" s="781">
        <f>C14</f>
        <v>0</v>
      </c>
      <c r="G14" s="782">
        <f>IF(C14=0,0,C14/D14)</f>
        <v>0</v>
      </c>
      <c r="H14" s="759">
        <f>'AT2 Lainat, alv'!P9</f>
        <v>0</v>
      </c>
      <c r="I14" s="764"/>
      <c r="J14" s="782">
        <f>G14</f>
        <v>0</v>
      </c>
      <c r="K14" s="759">
        <f>'AT2 Lainat, alv'!V9</f>
        <v>0</v>
      </c>
      <c r="L14" s="764"/>
      <c r="M14" s="782">
        <f>IF($D14&lt;3,0,J14)</f>
        <v>0</v>
      </c>
      <c r="N14" s="537">
        <f>'AT2 Lainat, alv'!AB9</f>
        <v>0</v>
      </c>
      <c r="O14" s="764"/>
      <c r="P14" s="782">
        <f>IF(D14&lt;4,0,M14)</f>
        <v>0</v>
      </c>
      <c r="Q14" s="537">
        <f>IF(D14&lt;4,0,'AT2 Lainat, alv'!AH9)</f>
        <v>0</v>
      </c>
      <c r="S14" s="98"/>
    </row>
    <row r="15" spans="1:19" s="53" customFormat="1" ht="12.75" customHeight="1" x14ac:dyDescent="0.2">
      <c r="B15" s="604">
        <v>0</v>
      </c>
      <c r="C15" s="536">
        <v>0</v>
      </c>
      <c r="D15" s="337">
        <v>0</v>
      </c>
      <c r="E15" s="780">
        <v>0</v>
      </c>
      <c r="F15" s="781">
        <f>C15</f>
        <v>0</v>
      </c>
      <c r="G15" s="782">
        <f t="shared" ref="G15:G16" si="0">IF(C15=0,0,C15/D15)</f>
        <v>0</v>
      </c>
      <c r="H15" s="759">
        <f>'AT2 Lainat, alv'!P10</f>
        <v>0</v>
      </c>
      <c r="I15" s="764"/>
      <c r="J15" s="782">
        <f>G15</f>
        <v>0</v>
      </c>
      <c r="K15" s="759">
        <f>'AT2 Lainat, alv'!V10</f>
        <v>0</v>
      </c>
      <c r="L15" s="764"/>
      <c r="M15" s="782">
        <f>IF($D15&lt;3,0,J15)</f>
        <v>0</v>
      </c>
      <c r="N15" s="537">
        <f>'AT2 Lainat, alv'!AB10</f>
        <v>0</v>
      </c>
      <c r="O15" s="764"/>
      <c r="P15" s="782">
        <f>IF(D15&lt;4,0,M15)</f>
        <v>0</v>
      </c>
      <c r="Q15" s="537">
        <f>IF(D15&lt;4,0,'AT2 Lainat, alv'!AH10)</f>
        <v>0</v>
      </c>
      <c r="S15" s="98"/>
    </row>
    <row r="16" spans="1:19" s="53" customFormat="1" ht="12.75" customHeight="1" thickBot="1" x14ac:dyDescent="0.25">
      <c r="B16" s="646">
        <v>0</v>
      </c>
      <c r="C16" s="783">
        <v>0</v>
      </c>
      <c r="D16" s="502">
        <v>0</v>
      </c>
      <c r="E16" s="784">
        <v>0</v>
      </c>
      <c r="F16" s="781">
        <f>C16</f>
        <v>0</v>
      </c>
      <c r="G16" s="782">
        <f t="shared" si="0"/>
        <v>0</v>
      </c>
      <c r="H16" s="787">
        <f>'AT2 Lainat, alv'!P11</f>
        <v>0</v>
      </c>
      <c r="I16" s="788"/>
      <c r="J16" s="782">
        <f>G16</f>
        <v>0</v>
      </c>
      <c r="K16" s="787">
        <f>'AT2 Lainat, alv'!V11</f>
        <v>0</v>
      </c>
      <c r="L16" s="788"/>
      <c r="M16" s="782">
        <f>IF($D16&lt;3,0,J16)</f>
        <v>0</v>
      </c>
      <c r="N16" s="748">
        <f>'AT2 Lainat, alv'!AB11</f>
        <v>0</v>
      </c>
      <c r="O16" s="788"/>
      <c r="P16" s="782">
        <f>IF(D16&lt;4,0,M16)</f>
        <v>0</v>
      </c>
      <c r="Q16" s="537">
        <f>IF(D16&lt;4,0,'AT2 Lainat, alv'!AH11)</f>
        <v>0</v>
      </c>
      <c r="S16" s="98"/>
    </row>
    <row r="17" spans="2:19" s="53" customFormat="1" ht="16.149999999999999" customHeight="1" x14ac:dyDescent="0.2">
      <c r="B17" s="1074" t="s">
        <v>355</v>
      </c>
      <c r="C17" s="1075"/>
      <c r="D17" s="1076"/>
      <c r="E17" s="1076"/>
      <c r="F17" s="1077" t="s">
        <v>422</v>
      </c>
      <c r="G17" s="1077" t="s">
        <v>423</v>
      </c>
      <c r="H17" s="1077" t="s">
        <v>318</v>
      </c>
      <c r="I17" s="1077" t="s">
        <v>422</v>
      </c>
      <c r="J17" s="1077" t="s">
        <v>423</v>
      </c>
      <c r="K17" s="1077" t="s">
        <v>318</v>
      </c>
      <c r="L17" s="1077" t="s">
        <v>422</v>
      </c>
      <c r="M17" s="1077" t="s">
        <v>423</v>
      </c>
      <c r="N17" s="1077" t="s">
        <v>318</v>
      </c>
      <c r="O17" s="1077" t="s">
        <v>422</v>
      </c>
      <c r="P17" s="1077" t="s">
        <v>423</v>
      </c>
      <c r="Q17" s="1701" t="s">
        <v>318</v>
      </c>
    </row>
    <row r="18" spans="2:19" s="53" customFormat="1" ht="12.75" customHeight="1" x14ac:dyDescent="0.2">
      <c r="B18" s="501">
        <v>0</v>
      </c>
      <c r="C18" s="536">
        <v>0</v>
      </c>
      <c r="D18" s="337">
        <v>0</v>
      </c>
      <c r="E18" s="780">
        <v>0</v>
      </c>
      <c r="F18" s="764"/>
      <c r="G18" s="760"/>
      <c r="H18" s="759"/>
      <c r="I18" s="781">
        <f>C18</f>
        <v>0</v>
      </c>
      <c r="J18" s="782">
        <f>IF(C18=0,0,C18/D18)</f>
        <v>0</v>
      </c>
      <c r="K18" s="759">
        <f>'AT2 Lainat, alv'!V12</f>
        <v>0</v>
      </c>
      <c r="L18" s="764"/>
      <c r="M18" s="782">
        <f t="shared" ref="M18:M20" si="1">J18</f>
        <v>0</v>
      </c>
      <c r="N18" s="537">
        <f>'AT2 Lainat, alv'!AB12</f>
        <v>0</v>
      </c>
      <c r="O18" s="764"/>
      <c r="P18" s="782">
        <f>IF($D18&lt;3,0,M18)</f>
        <v>0</v>
      </c>
      <c r="Q18" s="537">
        <f>'AT2 Lainat, alv'!AH12</f>
        <v>0</v>
      </c>
      <c r="S18" s="98"/>
    </row>
    <row r="19" spans="2:19" s="53" customFormat="1" ht="12.75" customHeight="1" x14ac:dyDescent="0.2">
      <c r="B19" s="338">
        <v>0</v>
      </c>
      <c r="C19" s="536">
        <v>0</v>
      </c>
      <c r="D19" s="337">
        <v>0</v>
      </c>
      <c r="E19" s="780">
        <v>0</v>
      </c>
      <c r="F19" s="764"/>
      <c r="G19" s="760"/>
      <c r="H19" s="759"/>
      <c r="I19" s="781">
        <f>C19</f>
        <v>0</v>
      </c>
      <c r="J19" s="782">
        <f t="shared" ref="J19:J21" si="2">IF(C19=0,0,C19/D19)</f>
        <v>0</v>
      </c>
      <c r="K19" s="759">
        <f>'AT2 Lainat, alv'!V13</f>
        <v>0</v>
      </c>
      <c r="L19" s="764"/>
      <c r="M19" s="782">
        <f t="shared" si="1"/>
        <v>0</v>
      </c>
      <c r="N19" s="537">
        <f>'AT2 Lainat, alv'!AB13</f>
        <v>0</v>
      </c>
      <c r="O19" s="764"/>
      <c r="P19" s="782">
        <f>IF($D19&lt;3,0,M19)</f>
        <v>0</v>
      </c>
      <c r="Q19" s="537">
        <f>'AT2 Lainat, alv'!AH13</f>
        <v>0</v>
      </c>
      <c r="S19" s="98"/>
    </row>
    <row r="20" spans="2:19" s="53" customFormat="1" ht="12.75" customHeight="1" x14ac:dyDescent="0.2">
      <c r="B20" s="338">
        <v>0</v>
      </c>
      <c r="C20" s="536">
        <v>0</v>
      </c>
      <c r="D20" s="337">
        <v>0</v>
      </c>
      <c r="E20" s="780">
        <v>0</v>
      </c>
      <c r="F20" s="764"/>
      <c r="G20" s="760"/>
      <c r="H20" s="759"/>
      <c r="I20" s="781">
        <f>C20</f>
        <v>0</v>
      </c>
      <c r="J20" s="782">
        <f t="shared" si="2"/>
        <v>0</v>
      </c>
      <c r="K20" s="759">
        <f>'AT2 Lainat, alv'!V14</f>
        <v>0</v>
      </c>
      <c r="L20" s="764"/>
      <c r="M20" s="782">
        <f t="shared" si="1"/>
        <v>0</v>
      </c>
      <c r="N20" s="537">
        <f>'AT2 Lainat, alv'!AB14</f>
        <v>0</v>
      </c>
      <c r="O20" s="764"/>
      <c r="P20" s="782">
        <f>IF($D20&lt;3,0,M20)</f>
        <v>0</v>
      </c>
      <c r="Q20" s="537">
        <f>'AT2 Lainat, alv'!AH14</f>
        <v>0</v>
      </c>
      <c r="S20" s="98"/>
    </row>
    <row r="21" spans="2:19" s="53" customFormat="1" ht="12.75" customHeight="1" thickBot="1" x14ac:dyDescent="0.25">
      <c r="B21" s="503">
        <v>0</v>
      </c>
      <c r="C21" s="783">
        <v>0</v>
      </c>
      <c r="D21" s="502">
        <v>0</v>
      </c>
      <c r="E21" s="784">
        <v>0</v>
      </c>
      <c r="F21" s="788"/>
      <c r="G21" s="789"/>
      <c r="H21" s="787"/>
      <c r="I21" s="781">
        <f>C21</f>
        <v>0</v>
      </c>
      <c r="J21" s="782">
        <f t="shared" si="2"/>
        <v>0</v>
      </c>
      <c r="K21" s="787">
        <f>'AT2 Lainat, alv'!V15</f>
        <v>0</v>
      </c>
      <c r="L21" s="788"/>
      <c r="M21" s="786">
        <f>J21</f>
        <v>0</v>
      </c>
      <c r="N21" s="748">
        <f>'AT2 Lainat, alv'!AB15</f>
        <v>0</v>
      </c>
      <c r="O21" s="788"/>
      <c r="P21" s="782">
        <f>IF($D21&lt;3,0,M21)</f>
        <v>0</v>
      </c>
      <c r="Q21" s="748">
        <f>'AT2 Lainat, alv'!AH15</f>
        <v>0</v>
      </c>
      <c r="S21" s="98"/>
    </row>
    <row r="22" spans="2:19" s="53" customFormat="1" ht="16.149999999999999" customHeight="1" x14ac:dyDescent="0.2">
      <c r="B22" s="1074" t="s">
        <v>356</v>
      </c>
      <c r="C22" s="1075"/>
      <c r="D22" s="1076"/>
      <c r="E22" s="1076"/>
      <c r="F22" s="1077" t="s">
        <v>422</v>
      </c>
      <c r="G22" s="1077" t="s">
        <v>423</v>
      </c>
      <c r="H22" s="1077" t="s">
        <v>318</v>
      </c>
      <c r="I22" s="1077" t="s">
        <v>422</v>
      </c>
      <c r="J22" s="1077" t="s">
        <v>423</v>
      </c>
      <c r="K22" s="1077" t="s">
        <v>318</v>
      </c>
      <c r="L22" s="1077" t="s">
        <v>422</v>
      </c>
      <c r="M22" s="1077" t="s">
        <v>423</v>
      </c>
      <c r="N22" s="1077" t="s">
        <v>318</v>
      </c>
      <c r="O22" s="1077" t="s">
        <v>422</v>
      </c>
      <c r="P22" s="1077" t="s">
        <v>423</v>
      </c>
      <c r="Q22" s="1701" t="s">
        <v>318</v>
      </c>
    </row>
    <row r="23" spans="2:19" s="53" customFormat="1" ht="12.75" customHeight="1" x14ac:dyDescent="0.2">
      <c r="B23" s="501">
        <v>0</v>
      </c>
      <c r="C23" s="536">
        <v>0</v>
      </c>
      <c r="D23" s="337">
        <v>0</v>
      </c>
      <c r="E23" s="780">
        <v>0</v>
      </c>
      <c r="F23" s="764"/>
      <c r="G23" s="760"/>
      <c r="H23" s="759"/>
      <c r="I23" s="764">
        <v>0</v>
      </c>
      <c r="J23" s="760"/>
      <c r="K23" s="759"/>
      <c r="L23" s="781">
        <f>C23</f>
        <v>0</v>
      </c>
      <c r="M23" s="782">
        <f>IF($D23=0,0,$C23/$D23)</f>
        <v>0</v>
      </c>
      <c r="N23" s="537">
        <f>'AT2 Lainat, alv'!AB16</f>
        <v>0</v>
      </c>
      <c r="O23" s="764"/>
      <c r="P23" s="782">
        <f t="shared" ref="P23:P25" si="3">M23</f>
        <v>0</v>
      </c>
      <c r="Q23" s="537">
        <f>'AT2 Lainat, alv'!AH16</f>
        <v>0</v>
      </c>
      <c r="S23" s="98"/>
    </row>
    <row r="24" spans="2:19" s="53" customFormat="1" ht="12.75" customHeight="1" x14ac:dyDescent="0.2">
      <c r="B24" s="604">
        <v>0</v>
      </c>
      <c r="C24" s="536">
        <v>0</v>
      </c>
      <c r="D24" s="337">
        <v>0</v>
      </c>
      <c r="E24" s="780">
        <v>0</v>
      </c>
      <c r="F24" s="764"/>
      <c r="G24" s="760"/>
      <c r="H24" s="759"/>
      <c r="I24" s="764"/>
      <c r="J24" s="760"/>
      <c r="K24" s="759"/>
      <c r="L24" s="781">
        <f>C24</f>
        <v>0</v>
      </c>
      <c r="M24" s="782">
        <f>IF($D24=0,0,$C24/$D24)</f>
        <v>0</v>
      </c>
      <c r="N24" s="537">
        <f>'AT2 Lainat, alv'!AB17</f>
        <v>0</v>
      </c>
      <c r="O24" s="764"/>
      <c r="P24" s="782">
        <f t="shared" si="3"/>
        <v>0</v>
      </c>
      <c r="Q24" s="537">
        <f>'AT2 Lainat, alv'!AH17</f>
        <v>0</v>
      </c>
      <c r="S24" s="98"/>
    </row>
    <row r="25" spans="2:19" s="53" customFormat="1" ht="12.75" customHeight="1" x14ac:dyDescent="0.2">
      <c r="B25" s="604">
        <v>0</v>
      </c>
      <c r="C25" s="536">
        <v>0</v>
      </c>
      <c r="D25" s="337">
        <v>0</v>
      </c>
      <c r="E25" s="780">
        <v>0</v>
      </c>
      <c r="F25" s="764">
        <v>0</v>
      </c>
      <c r="G25" s="790"/>
      <c r="H25" s="791"/>
      <c r="I25" s="764"/>
      <c r="J25" s="760"/>
      <c r="K25" s="759"/>
      <c r="L25" s="781">
        <f>C25</f>
        <v>0</v>
      </c>
      <c r="M25" s="782">
        <f>IF($D25=0,0,$C25/$D25)</f>
        <v>0</v>
      </c>
      <c r="N25" s="537">
        <f>'AT2 Lainat, alv'!AB18</f>
        <v>0</v>
      </c>
      <c r="O25" s="764">
        <v>0</v>
      </c>
      <c r="P25" s="782">
        <f t="shared" si="3"/>
        <v>0</v>
      </c>
      <c r="Q25" s="537">
        <f>'AT2 Lainat, alv'!AH18</f>
        <v>0</v>
      </c>
      <c r="S25" s="98"/>
    </row>
    <row r="26" spans="2:19" s="53" customFormat="1" ht="12.75" customHeight="1" thickBot="1" x14ac:dyDescent="0.25">
      <c r="B26" s="646">
        <v>0</v>
      </c>
      <c r="C26" s="783">
        <v>0</v>
      </c>
      <c r="D26" s="502">
        <v>0</v>
      </c>
      <c r="E26" s="784">
        <v>0</v>
      </c>
      <c r="F26" s="788"/>
      <c r="G26" s="792"/>
      <c r="H26" s="793"/>
      <c r="I26" s="788"/>
      <c r="J26" s="789"/>
      <c r="K26" s="787"/>
      <c r="L26" s="785">
        <f>C26</f>
        <v>0</v>
      </c>
      <c r="M26" s="782">
        <f>IF($D26=0,0,$C26/$D26)</f>
        <v>0</v>
      </c>
      <c r="N26" s="748">
        <f>'AT2 Lainat, alv'!AB19</f>
        <v>0</v>
      </c>
      <c r="O26" s="788"/>
      <c r="P26" s="786">
        <f>M26</f>
        <v>0</v>
      </c>
      <c r="Q26" s="748">
        <f>'AT2 Lainat, alv'!AH19</f>
        <v>0</v>
      </c>
      <c r="S26" s="98"/>
    </row>
    <row r="27" spans="2:19" s="53" customFormat="1" ht="16.149999999999999" customHeight="1" x14ac:dyDescent="0.2">
      <c r="B27" s="1074" t="s">
        <v>357</v>
      </c>
      <c r="C27" s="1075"/>
      <c r="D27" s="1076"/>
      <c r="E27" s="1076"/>
      <c r="F27" s="1077" t="s">
        <v>422</v>
      </c>
      <c r="G27" s="1077" t="s">
        <v>423</v>
      </c>
      <c r="H27" s="1077" t="s">
        <v>318</v>
      </c>
      <c r="I27" s="1077" t="s">
        <v>422</v>
      </c>
      <c r="J27" s="1077" t="s">
        <v>423</v>
      </c>
      <c r="K27" s="1077" t="s">
        <v>318</v>
      </c>
      <c r="L27" s="1077" t="s">
        <v>422</v>
      </c>
      <c r="M27" s="1077" t="s">
        <v>423</v>
      </c>
      <c r="N27" s="1077" t="s">
        <v>318</v>
      </c>
      <c r="O27" s="1077" t="s">
        <v>422</v>
      </c>
      <c r="P27" s="1077" t="s">
        <v>423</v>
      </c>
      <c r="Q27" s="1701" t="s">
        <v>318</v>
      </c>
    </row>
    <row r="28" spans="2:19" s="53" customFormat="1" ht="12.75" customHeight="1" x14ac:dyDescent="0.2">
      <c r="B28" s="501">
        <v>0</v>
      </c>
      <c r="C28" s="536">
        <v>0</v>
      </c>
      <c r="D28" s="337">
        <v>0</v>
      </c>
      <c r="E28" s="780">
        <v>0</v>
      </c>
      <c r="F28" s="764">
        <v>0</v>
      </c>
      <c r="G28" s="790"/>
      <c r="H28" s="791"/>
      <c r="I28" s="764">
        <v>0</v>
      </c>
      <c r="J28" s="790">
        <v>0</v>
      </c>
      <c r="K28" s="759"/>
      <c r="L28" s="764">
        <v>0</v>
      </c>
      <c r="M28" s="760"/>
      <c r="N28" s="537"/>
      <c r="O28" s="781">
        <f>C28</f>
        <v>0</v>
      </c>
      <c r="P28" s="782">
        <f>IF($D28=0,0,$C28/$D28)</f>
        <v>0</v>
      </c>
      <c r="Q28" s="537">
        <f>'AT2 Lainat, alv'!AH20</f>
        <v>0</v>
      </c>
      <c r="S28" s="98"/>
    </row>
    <row r="29" spans="2:19" s="53" customFormat="1" ht="12.75" customHeight="1" x14ac:dyDescent="0.2">
      <c r="B29" s="604">
        <v>0</v>
      </c>
      <c r="C29" s="536">
        <v>0</v>
      </c>
      <c r="D29" s="337">
        <v>0</v>
      </c>
      <c r="E29" s="780">
        <v>0</v>
      </c>
      <c r="F29" s="764"/>
      <c r="G29" s="790"/>
      <c r="H29" s="791"/>
      <c r="I29" s="764"/>
      <c r="J29" s="790"/>
      <c r="K29" s="759"/>
      <c r="L29" s="764"/>
      <c r="M29" s="760"/>
      <c r="N29" s="537"/>
      <c r="O29" s="781">
        <f>C29</f>
        <v>0</v>
      </c>
      <c r="P29" s="782">
        <f>IF($D29=0,0,$C29/$D29)</f>
        <v>0</v>
      </c>
      <c r="Q29" s="537">
        <f>'AT2 Lainat, alv'!AH21</f>
        <v>0</v>
      </c>
      <c r="S29" s="98"/>
    </row>
    <row r="30" spans="2:19" s="53" customFormat="1" ht="12.75" customHeight="1" x14ac:dyDescent="0.2">
      <c r="B30" s="604">
        <v>0</v>
      </c>
      <c r="C30" s="536">
        <v>0</v>
      </c>
      <c r="D30" s="337">
        <v>0</v>
      </c>
      <c r="E30" s="780">
        <v>0</v>
      </c>
      <c r="F30" s="794"/>
      <c r="G30" s="178"/>
      <c r="H30" s="795"/>
      <c r="I30" s="794"/>
      <c r="J30" s="178"/>
      <c r="K30" s="796"/>
      <c r="L30" s="794"/>
      <c r="M30" s="644"/>
      <c r="N30" s="797"/>
      <c r="O30" s="781">
        <f>C30</f>
        <v>0</v>
      </c>
      <c r="P30" s="782">
        <f>IF($D30=0,0,$C30/$D30)</f>
        <v>0</v>
      </c>
      <c r="Q30" s="537">
        <f>'AT2 Lainat, alv'!AH22</f>
        <v>0</v>
      </c>
      <c r="S30" s="98"/>
    </row>
    <row r="31" spans="2:19" s="53" customFormat="1" ht="12.75" customHeight="1" thickBot="1" x14ac:dyDescent="0.25">
      <c r="B31" s="377">
        <v>0</v>
      </c>
      <c r="C31" s="798">
        <v>0</v>
      </c>
      <c r="D31" s="339">
        <v>0</v>
      </c>
      <c r="E31" s="799">
        <v>0</v>
      </c>
      <c r="F31" s="800">
        <v>0</v>
      </c>
      <c r="G31" s="801"/>
      <c r="H31" s="802"/>
      <c r="I31" s="800">
        <v>0</v>
      </c>
      <c r="J31" s="801"/>
      <c r="K31" s="803"/>
      <c r="L31" s="800">
        <v>0</v>
      </c>
      <c r="M31" s="801"/>
      <c r="N31" s="804"/>
      <c r="O31" s="805">
        <f>C31</f>
        <v>0</v>
      </c>
      <c r="P31" s="798">
        <f>IF($D31=0,0,$C31/$D31)</f>
        <v>0</v>
      </c>
      <c r="Q31" s="804">
        <f>'AT2 Lainat, alv'!AH23</f>
        <v>0</v>
      </c>
      <c r="S31" s="98"/>
    </row>
    <row r="32" spans="2:19" s="53" customFormat="1" ht="17.100000000000001" customHeight="1" thickTop="1" thickBot="1" x14ac:dyDescent="0.25">
      <c r="B32" s="340" t="s">
        <v>377</v>
      </c>
      <c r="C32" s="806">
        <f>SUM(C13:C31)</f>
        <v>0</v>
      </c>
      <c r="D32" s="807"/>
      <c r="E32" s="807"/>
      <c r="F32" s="808">
        <f t="shared" ref="F32:Q32" si="4">SUM(F13:F31)</f>
        <v>0</v>
      </c>
      <c r="G32" s="806">
        <f t="shared" si="4"/>
        <v>0</v>
      </c>
      <c r="H32" s="809">
        <f t="shared" si="4"/>
        <v>0</v>
      </c>
      <c r="I32" s="808">
        <f t="shared" si="4"/>
        <v>0</v>
      </c>
      <c r="J32" s="809">
        <f t="shared" si="4"/>
        <v>0</v>
      </c>
      <c r="K32" s="810">
        <f t="shared" si="4"/>
        <v>0</v>
      </c>
      <c r="L32" s="808">
        <f t="shared" si="4"/>
        <v>0</v>
      </c>
      <c r="M32" s="806">
        <f t="shared" si="4"/>
        <v>0</v>
      </c>
      <c r="N32" s="811">
        <f t="shared" si="4"/>
        <v>0</v>
      </c>
      <c r="O32" s="812">
        <f t="shared" si="4"/>
        <v>0</v>
      </c>
      <c r="P32" s="806">
        <f>SUM(P13:P31)</f>
        <v>0</v>
      </c>
      <c r="Q32" s="811">
        <f t="shared" si="4"/>
        <v>0</v>
      </c>
    </row>
    <row r="33" spans="1:19" s="53" customFormat="1" ht="16.149999999999999" customHeight="1" thickBot="1" x14ac:dyDescent="0.25">
      <c r="B33" s="1818" t="s">
        <v>798</v>
      </c>
      <c r="C33" s="1683"/>
      <c r="D33" s="1684"/>
      <c r="E33" s="1684"/>
      <c r="F33" s="925"/>
      <c r="G33" s="925"/>
      <c r="H33" s="925"/>
      <c r="I33" s="925"/>
      <c r="J33" s="925"/>
      <c r="K33" s="925"/>
      <c r="L33" s="925"/>
      <c r="M33" s="925"/>
      <c r="N33" s="925"/>
      <c r="O33" s="925"/>
      <c r="P33" s="925"/>
      <c r="Q33" s="925"/>
    </row>
    <row r="34" spans="1:19" s="53" customFormat="1" ht="14.1" customHeight="1" x14ac:dyDescent="0.2">
      <c r="B34" s="1690" t="s">
        <v>674</v>
      </c>
      <c r="C34" s="1570">
        <v>0</v>
      </c>
      <c r="D34" s="1691">
        <v>0</v>
      </c>
      <c r="E34" s="1692">
        <v>0</v>
      </c>
      <c r="F34" s="1693">
        <f>C34</f>
        <v>0</v>
      </c>
      <c r="G34" s="1694">
        <f>'AT2 Lainat, alv'!M29</f>
        <v>0</v>
      </c>
      <c r="H34" s="1695">
        <f>'AT2 Lainat, alv'!P29</f>
        <v>0</v>
      </c>
      <c r="I34" s="1696"/>
      <c r="J34" s="1697">
        <f>'AT2 Lainat, alv'!S29</f>
        <v>0</v>
      </c>
      <c r="K34" s="1698">
        <f>'AT2 Lainat, alv'!V29</f>
        <v>0</v>
      </c>
      <c r="L34" s="1699"/>
      <c r="M34" s="1697">
        <f>'AT2 Lainat, alv'!Y29</f>
        <v>0</v>
      </c>
      <c r="N34" s="1700">
        <f>'AT2 Lainat, alv'!AB29</f>
        <v>0</v>
      </c>
      <c r="O34" s="1652"/>
      <c r="P34" s="1697">
        <f>'AT2 Lainat, alv'!AE29</f>
        <v>0</v>
      </c>
      <c r="Q34" s="1700">
        <f>'AT2 Lainat, alv'!AH29</f>
        <v>0</v>
      </c>
      <c r="S34" s="98"/>
    </row>
    <row r="35" spans="1:19" s="53" customFormat="1" ht="14.1" customHeight="1" x14ac:dyDescent="0.2">
      <c r="B35" s="341" t="s">
        <v>671</v>
      </c>
      <c r="C35" s="532">
        <v>0</v>
      </c>
      <c r="D35" s="336">
        <v>0</v>
      </c>
      <c r="E35" s="816">
        <v>0</v>
      </c>
      <c r="F35" s="817"/>
      <c r="G35" s="818"/>
      <c r="H35" s="819"/>
      <c r="I35" s="781">
        <f>C35</f>
        <v>0</v>
      </c>
      <c r="J35" s="813">
        <f>'AT2 Lainat, alv'!S32</f>
        <v>0</v>
      </c>
      <c r="K35" s="537">
        <f>'AT2 Lainat, alv'!V32</f>
        <v>0</v>
      </c>
      <c r="L35" s="814">
        <v>0</v>
      </c>
      <c r="M35" s="813">
        <f>'AT2 Lainat, alv'!Y32</f>
        <v>0</v>
      </c>
      <c r="N35" s="537">
        <f>'AT2 Lainat, alv'!AB32</f>
        <v>0</v>
      </c>
      <c r="O35" s="815">
        <v>0</v>
      </c>
      <c r="P35" s="813">
        <f>IF(I35=0,0,'AT2 Lainat, alv'!AE32)</f>
        <v>0</v>
      </c>
      <c r="Q35" s="537">
        <f>'AT2 Lainat, alv'!AH32</f>
        <v>0</v>
      </c>
      <c r="S35" s="98"/>
    </row>
    <row r="36" spans="1:19" s="53" customFormat="1" ht="14.1" customHeight="1" x14ac:dyDescent="0.2">
      <c r="B36" s="341" t="s">
        <v>672</v>
      </c>
      <c r="C36" s="532">
        <v>0</v>
      </c>
      <c r="D36" s="336">
        <v>0</v>
      </c>
      <c r="E36" s="816">
        <v>0</v>
      </c>
      <c r="F36" s="768"/>
      <c r="G36" s="820"/>
      <c r="H36" s="761"/>
      <c r="I36" s="768"/>
      <c r="J36" s="821"/>
      <c r="K36" s="822"/>
      <c r="L36" s="823">
        <f>C36</f>
        <v>0</v>
      </c>
      <c r="M36" s="824">
        <f>'AT2 Lainat, alv'!Y35</f>
        <v>0</v>
      </c>
      <c r="N36" s="534">
        <f>'AT2 Lainat, alv'!AB35</f>
        <v>0</v>
      </c>
      <c r="O36" s="825">
        <v>0</v>
      </c>
      <c r="P36" s="813">
        <f>IF(L36=0,0,'AT2 Lainat, alv'!AE35)</f>
        <v>0</v>
      </c>
      <c r="Q36" s="537">
        <f>'AT2 Lainat, alv'!AH35</f>
        <v>0</v>
      </c>
      <c r="S36" s="98"/>
    </row>
    <row r="37" spans="1:19" s="53" customFormat="1" ht="14.1" customHeight="1" thickBot="1" x14ac:dyDescent="0.25">
      <c r="A37" s="73"/>
      <c r="B37" s="342" t="s">
        <v>673</v>
      </c>
      <c r="C37" s="798">
        <v>0</v>
      </c>
      <c r="D37" s="339">
        <v>0</v>
      </c>
      <c r="E37" s="826">
        <v>0</v>
      </c>
      <c r="F37" s="827"/>
      <c r="G37" s="828"/>
      <c r="H37" s="829"/>
      <c r="I37" s="830"/>
      <c r="J37" s="831"/>
      <c r="K37" s="832"/>
      <c r="L37" s="833"/>
      <c r="M37" s="834"/>
      <c r="N37" s="804"/>
      <c r="O37" s="805">
        <f>C37</f>
        <v>0</v>
      </c>
      <c r="P37" s="834">
        <f>IF(O37=0,0,'AT2 Lainat, alv'!AE38)</f>
        <v>0</v>
      </c>
      <c r="Q37" s="804">
        <f>'AT2 Lainat, alv'!AH38</f>
        <v>0</v>
      </c>
      <c r="S37" s="98"/>
    </row>
    <row r="38" spans="1:19" s="53" customFormat="1" ht="15" customHeight="1" thickTop="1" thickBot="1" x14ac:dyDescent="0.25">
      <c r="B38" s="1816" t="s">
        <v>378</v>
      </c>
      <c r="C38" s="835">
        <f>SUM(C34:C37)</f>
        <v>0</v>
      </c>
      <c r="D38" s="531"/>
      <c r="E38" s="836"/>
      <c r="F38" s="837">
        <f t="shared" ref="F38:Q38" si="5">SUM(F34:F37)</f>
        <v>0</v>
      </c>
      <c r="G38" s="835">
        <f t="shared" si="5"/>
        <v>0</v>
      </c>
      <c r="H38" s="838">
        <f t="shared" si="5"/>
        <v>0</v>
      </c>
      <c r="I38" s="837">
        <f t="shared" si="5"/>
        <v>0</v>
      </c>
      <c r="J38" s="835">
        <f t="shared" si="5"/>
        <v>0</v>
      </c>
      <c r="K38" s="838">
        <f t="shared" si="5"/>
        <v>0</v>
      </c>
      <c r="L38" s="837">
        <f t="shared" si="5"/>
        <v>0</v>
      </c>
      <c r="M38" s="835">
        <f t="shared" si="5"/>
        <v>0</v>
      </c>
      <c r="N38" s="838">
        <f t="shared" si="5"/>
        <v>0</v>
      </c>
      <c r="O38" s="837">
        <f t="shared" si="5"/>
        <v>0</v>
      </c>
      <c r="P38" s="839">
        <f t="shared" si="5"/>
        <v>0</v>
      </c>
      <c r="Q38" s="840">
        <f t="shared" si="5"/>
        <v>0</v>
      </c>
    </row>
    <row r="39" spans="1:19" s="53" customFormat="1" ht="4.3499999999999996" customHeight="1" thickBot="1" x14ac:dyDescent="0.25">
      <c r="B39" s="189"/>
      <c r="C39" s="925"/>
      <c r="D39" s="461"/>
      <c r="E39" s="461"/>
      <c r="F39" s="925"/>
      <c r="G39" s="925"/>
      <c r="H39" s="925"/>
      <c r="I39" s="925"/>
      <c r="J39" s="925"/>
      <c r="K39" s="925"/>
      <c r="L39" s="925"/>
      <c r="M39" s="925"/>
      <c r="N39" s="925"/>
      <c r="O39" s="925"/>
      <c r="P39" s="925"/>
      <c r="Q39" s="925"/>
    </row>
    <row r="40" spans="1:19" s="73" customFormat="1" ht="15" customHeight="1" thickBot="1" x14ac:dyDescent="0.25">
      <c r="B40" s="2033" t="s">
        <v>878</v>
      </c>
      <c r="C40" s="2034"/>
      <c r="D40" s="1814"/>
      <c r="E40" s="843">
        <v>0.1</v>
      </c>
      <c r="F40" s="1813">
        <v>0</v>
      </c>
      <c r="G40" s="845"/>
      <c r="H40" s="945">
        <f>F40*E40</f>
        <v>0</v>
      </c>
      <c r="I40" s="1813">
        <v>0</v>
      </c>
      <c r="J40" s="845"/>
      <c r="K40" s="945">
        <f>I40*E40</f>
        <v>0</v>
      </c>
      <c r="L40" s="1813">
        <v>0</v>
      </c>
      <c r="M40" s="845"/>
      <c r="N40" s="945">
        <f>L40*E40</f>
        <v>0</v>
      </c>
      <c r="O40" s="1813">
        <v>0</v>
      </c>
      <c r="P40" s="845"/>
      <c r="Q40" s="945">
        <f>O40*E40</f>
        <v>0</v>
      </c>
    </row>
    <row r="41" spans="1:19" s="73" customFormat="1" ht="4.5" customHeight="1" thickBot="1" x14ac:dyDescent="0.25">
      <c r="A41"/>
      <c r="B41" s="189"/>
      <c r="C41" s="180"/>
      <c r="D41" s="461"/>
      <c r="E41" s="1685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</row>
    <row r="42" spans="1:19" s="73" customFormat="1" ht="15" customHeight="1" thickBot="1" x14ac:dyDescent="0.25">
      <c r="B42" s="1734" t="s">
        <v>255</v>
      </c>
      <c r="C42" s="847">
        <f>'1. T1 INVESTOINTISUUN.'!E51</f>
        <v>0</v>
      </c>
      <c r="D42" s="842"/>
      <c r="E42" s="843">
        <v>0.1</v>
      </c>
      <c r="F42" s="844"/>
      <c r="G42" s="845"/>
      <c r="H42" s="1371">
        <f>C42*E42</f>
        <v>0</v>
      </c>
      <c r="I42" s="844"/>
      <c r="J42" s="845"/>
      <c r="K42" s="1371">
        <f>E42*('6. T3 TASE'!H69+'6. T3 TASE'!H78)</f>
        <v>0</v>
      </c>
      <c r="L42" s="844"/>
      <c r="M42" s="845"/>
      <c r="N42" s="1371">
        <f>E42*('6. T3 TASE'!I69+'6. T3 TASE'!I78)</f>
        <v>0</v>
      </c>
      <c r="O42" s="844"/>
      <c r="P42" s="845"/>
      <c r="Q42" s="1371">
        <f>E42*('6. T3 TASE'!J69+'6. T3 TASE'!J78)</f>
        <v>0</v>
      </c>
    </row>
    <row r="43" spans="1:19" s="73" customFormat="1" ht="4.5" customHeight="1" thickBot="1" x14ac:dyDescent="0.25">
      <c r="A43"/>
      <c r="B43" s="465"/>
      <c r="C43" s="180"/>
      <c r="D43" s="461"/>
      <c r="E43" s="1685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</row>
    <row r="44" spans="1:19" s="484" customFormat="1" ht="25.5" customHeight="1" thickBot="1" x14ac:dyDescent="0.25">
      <c r="A44"/>
      <c r="B44" s="1735" t="s">
        <v>879</v>
      </c>
      <c r="C44" s="841">
        <v>0</v>
      </c>
      <c r="D44" s="842"/>
      <c r="E44" s="843">
        <v>0.1</v>
      </c>
      <c r="F44" s="844">
        <v>0</v>
      </c>
      <c r="G44" s="1688">
        <v>0</v>
      </c>
      <c r="H44" s="945">
        <f>C44*E44/2+(C44-G44/2)*E44/2</f>
        <v>0</v>
      </c>
      <c r="I44" s="844"/>
      <c r="J44" s="1688">
        <f>G44</f>
        <v>0</v>
      </c>
      <c r="K44" s="945">
        <f>$E44/2*(C44-G44)+(C44-G44-J44/2)*E44/2</f>
        <v>0</v>
      </c>
      <c r="L44" s="844"/>
      <c r="M44" s="1688">
        <f>J44</f>
        <v>0</v>
      </c>
      <c r="N44" s="945">
        <f>$E44/2*(C44-G44-J44)+(C44-G44-J44-M44/2)*E44/2</f>
        <v>0</v>
      </c>
      <c r="O44" s="844"/>
      <c r="P44" s="1688">
        <f>M44</f>
        <v>0</v>
      </c>
      <c r="Q44" s="945">
        <f>$E44/2*(C44-G44-J44-M44)+(C44-G44-J44-M44-P44/2)*E44/2</f>
        <v>0</v>
      </c>
      <c r="R44" s="1377"/>
    </row>
    <row r="45" spans="1:19" s="484" customFormat="1" ht="4.5" customHeight="1" thickBot="1" x14ac:dyDescent="0.25">
      <c r="A45" s="53"/>
      <c r="B45" s="1686"/>
      <c r="C45" s="1687"/>
      <c r="D45" s="1135"/>
      <c r="E45" s="1188"/>
      <c r="F45" s="1687"/>
      <c r="G45" s="1687"/>
      <c r="H45" s="1687"/>
      <c r="I45" s="1687"/>
      <c r="J45" s="1687"/>
      <c r="K45" s="1687"/>
      <c r="L45" s="1687"/>
      <c r="M45" s="1687"/>
      <c r="N45" s="1687"/>
      <c r="O45" s="1687"/>
      <c r="P45" s="1687"/>
      <c r="Q45" s="1687"/>
    </row>
    <row r="46" spans="1:19" s="73" customFormat="1" ht="15" customHeight="1" thickBot="1" x14ac:dyDescent="0.25">
      <c r="A46"/>
      <c r="B46" s="1736" t="s">
        <v>455</v>
      </c>
      <c r="C46" s="1737"/>
      <c r="D46" s="1738"/>
      <c r="E46" s="1739"/>
      <c r="F46" s="1740"/>
      <c r="G46" s="845"/>
      <c r="H46" s="1590">
        <f>(F13+F14+F15+F16)*2%</f>
        <v>0</v>
      </c>
      <c r="I46" s="844"/>
      <c r="J46" s="845"/>
      <c r="K46" s="1590">
        <f>(I18+I19+I20+I21)*2%</f>
        <v>0</v>
      </c>
      <c r="L46" s="844"/>
      <c r="M46" s="845"/>
      <c r="N46" s="1590">
        <f>(L23+L24+L25+L26)*2%</f>
        <v>0</v>
      </c>
      <c r="O46" s="844"/>
      <c r="P46" s="845"/>
      <c r="Q46" s="1590">
        <f>(O28+O29+O30+O31)*2%</f>
        <v>0</v>
      </c>
    </row>
    <row r="47" spans="1:19" s="73" customFormat="1" ht="4.5" customHeight="1" thickBot="1" x14ac:dyDescent="0.25">
      <c r="A47"/>
      <c r="B47" s="189"/>
      <c r="C47" s="925"/>
      <c r="D47" s="461"/>
      <c r="E47" s="461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</row>
    <row r="48" spans="1:19" s="53" customFormat="1" ht="17.100000000000001" customHeight="1" thickBot="1" x14ac:dyDescent="0.25">
      <c r="A48"/>
      <c r="B48" s="343" t="s">
        <v>379</v>
      </c>
      <c r="C48" s="847">
        <f>C32+C38+C44+C42+F40+I40+L40+O40</f>
        <v>0</v>
      </c>
      <c r="D48" s="848"/>
      <c r="E48" s="849"/>
      <c r="F48" s="850">
        <f>F32+F38</f>
        <v>0</v>
      </c>
      <c r="G48" s="851">
        <f>G32+G38+G44</f>
        <v>0</v>
      </c>
      <c r="H48" s="852">
        <f>H32+H38+H40+H46+H44+H42</f>
        <v>0</v>
      </c>
      <c r="I48" s="850">
        <f>I32+I38</f>
        <v>0</v>
      </c>
      <c r="J48" s="851">
        <f>J32+J38</f>
        <v>0</v>
      </c>
      <c r="K48" s="852">
        <f>K32+K38+K40+K46+K44+K42</f>
        <v>0</v>
      </c>
      <c r="L48" s="850">
        <f>L32+L38</f>
        <v>0</v>
      </c>
      <c r="M48" s="851">
        <f>M32+M38</f>
        <v>0</v>
      </c>
      <c r="N48" s="852">
        <f>N32+N38+N40+N46+N44+N42</f>
        <v>0</v>
      </c>
      <c r="O48" s="850">
        <f>O32+O38</f>
        <v>0</v>
      </c>
      <c r="P48" s="851">
        <f>P32+P38</f>
        <v>0</v>
      </c>
      <c r="Q48" s="1689">
        <f>Q32+Q38+Q40+Q46+Q44+Q42</f>
        <v>0</v>
      </c>
    </row>
    <row r="49" spans="2:17" ht="6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2:17" x14ac:dyDescent="0.2">
      <c r="B50" s="74"/>
      <c r="C50" s="1"/>
      <c r="D50" s="4"/>
      <c r="E50" s="81"/>
      <c r="F50" s="81"/>
      <c r="G50" s="81"/>
      <c r="H50" s="81"/>
      <c r="I50" s="81"/>
      <c r="J50" s="81"/>
      <c r="K50" s="1"/>
      <c r="L50" s="1"/>
      <c r="M50" s="1"/>
      <c r="O50" s="1"/>
      <c r="P50" s="1"/>
      <c r="Q50" s="153">
        <f>OHJE!F6</f>
        <v>0</v>
      </c>
    </row>
    <row r="51" spans="2:17" x14ac:dyDescent="0.2">
      <c r="B51" s="1978" t="s">
        <v>660</v>
      </c>
      <c r="C51" s="1978"/>
      <c r="D51" s="1978"/>
      <c r="E51" s="4"/>
      <c r="F51" s="60"/>
      <c r="G51" s="60"/>
      <c r="H51" s="4"/>
      <c r="I51" s="60"/>
      <c r="J51" s="60"/>
      <c r="K51" s="4"/>
      <c r="L51" s="60"/>
      <c r="M51" s="60"/>
      <c r="O51" s="60"/>
      <c r="P51" s="60"/>
      <c r="Q51" s="380" t="str">
        <f>'1. T1 INVESTOINTISUUN.'!I67</f>
        <v>Kehittämisyhtiö Witas Oy</v>
      </c>
    </row>
    <row r="52" spans="2:17" x14ac:dyDescent="0.2">
      <c r="B52" s="1978"/>
      <c r="C52" s="1978"/>
    </row>
    <row r="54" spans="2:17" x14ac:dyDescent="0.2">
      <c r="B54" s="327" t="s">
        <v>234</v>
      </c>
    </row>
    <row r="55" spans="2:17" x14ac:dyDescent="0.2">
      <c r="B55" s="52" t="s">
        <v>235</v>
      </c>
    </row>
    <row r="56" spans="2:17" x14ac:dyDescent="0.2">
      <c r="B56" s="52" t="s">
        <v>236</v>
      </c>
    </row>
  </sheetData>
  <sheetProtection algorithmName="SHA-512" hashValue="/jWEtae6TTR5w3BO6TxprYOzqpAkO0JRxhpPCRRu3ZHwtm7yBq/ExqUybquchkfwK3zZG6/JihhT6tyep04gaA==" saltValue="v0otq2JJ5paed0WePYPx7Q==" spinCount="100000" sheet="1" objects="1" scenarios="1"/>
  <mergeCells count="20">
    <mergeCell ref="B2:C3"/>
    <mergeCell ref="I10:K10"/>
    <mergeCell ref="B6:D6"/>
    <mergeCell ref="O10:Q10"/>
    <mergeCell ref="I9:K9"/>
    <mergeCell ref="L10:N10"/>
    <mergeCell ref="F10:H10"/>
    <mergeCell ref="J6:M6"/>
    <mergeCell ref="O6:P6"/>
    <mergeCell ref="B52:C52"/>
    <mergeCell ref="B51:D51"/>
    <mergeCell ref="O9:Q9"/>
    <mergeCell ref="L9:N9"/>
    <mergeCell ref="F9:H9"/>
    <mergeCell ref="C8:C11"/>
    <mergeCell ref="D8:D11"/>
    <mergeCell ref="E8:E11"/>
    <mergeCell ref="F8:Q8"/>
    <mergeCell ref="B8:B10"/>
    <mergeCell ref="B40:C40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verticalDpi="4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ul3">
    <tabColor rgb="FF0152A1"/>
  </sheetPr>
  <dimension ref="A2:X168"/>
  <sheetViews>
    <sheetView showGridLines="0" showZeros="0" zoomScaleNormal="100" workbookViewId="0">
      <selection activeCell="R37" sqref="R37"/>
    </sheetView>
  </sheetViews>
  <sheetFormatPr defaultRowHeight="12.75" x14ac:dyDescent="0.2"/>
  <cols>
    <col min="1" max="1" width="8.7109375" customWidth="1"/>
    <col min="2" max="2" width="2.85546875" customWidth="1"/>
    <col min="3" max="3" width="39.85546875" customWidth="1"/>
    <col min="4" max="4" width="11.28515625" customWidth="1"/>
    <col min="5" max="5" width="6" customWidth="1"/>
    <col min="6" max="6" width="11.28515625" customWidth="1"/>
    <col min="7" max="7" width="6" customWidth="1"/>
    <col min="8" max="8" width="11.28515625" customWidth="1"/>
    <col min="9" max="9" width="6" customWidth="1"/>
    <col min="10" max="10" width="11.28515625" customWidth="1"/>
    <col min="11" max="11" width="6" customWidth="1"/>
    <col min="12" max="12" width="2.5703125" customWidth="1"/>
    <col min="13" max="15" width="9.28515625" customWidth="1"/>
    <col min="16" max="24" width="9.5703125" customWidth="1"/>
  </cols>
  <sheetData>
    <row r="2" spans="1:24" ht="15.75" x14ac:dyDescent="0.25">
      <c r="B2" s="24" t="s">
        <v>48</v>
      </c>
      <c r="M2" s="1"/>
    </row>
    <row r="3" spans="1:24" ht="14.25" customHeight="1" x14ac:dyDescent="0.25">
      <c r="D3" s="652"/>
      <c r="S3" s="24" t="s">
        <v>48</v>
      </c>
    </row>
    <row r="4" spans="1:24" ht="20.25" customHeight="1" x14ac:dyDescent="0.2">
      <c r="A4" s="1379" t="s">
        <v>457</v>
      </c>
      <c r="B4" s="49" t="s">
        <v>39</v>
      </c>
      <c r="C4" s="45"/>
      <c r="D4" s="2041" t="s">
        <v>35</v>
      </c>
      <c r="E4" s="2041"/>
      <c r="F4" s="40"/>
      <c r="G4" s="59" t="s">
        <v>0</v>
      </c>
      <c r="H4" s="59"/>
      <c r="I4" s="47"/>
      <c r="J4" s="47" t="s">
        <v>0</v>
      </c>
      <c r="K4" s="47"/>
      <c r="L4" s="19"/>
    </row>
    <row r="5" spans="1:24" ht="12.75" customHeight="1" x14ac:dyDescent="0.2">
      <c r="B5" s="2036">
        <f>'7. T2 TULOSSUUN.'!B5:D5</f>
        <v>0</v>
      </c>
      <c r="C5" s="2036"/>
      <c r="D5" s="2038">
        <f>'1. T1 INVESTOINTISUUN.'!F4</f>
        <v>0</v>
      </c>
      <c r="E5" s="2036"/>
      <c r="F5" s="73"/>
      <c r="G5" s="73"/>
      <c r="H5" s="520"/>
      <c r="I5" s="73"/>
      <c r="J5" s="73"/>
      <c r="K5" s="73"/>
      <c r="L5" s="73"/>
      <c r="M5" s="2001"/>
      <c r="N5" s="2001"/>
      <c r="O5" s="2001"/>
      <c r="U5" s="8"/>
      <c r="V5" s="8"/>
      <c r="W5" s="8"/>
    </row>
    <row r="6" spans="1:24" ht="10.5" customHeight="1" thickBot="1" x14ac:dyDescent="0.25">
      <c r="B6" s="4"/>
      <c r="C6" s="4"/>
      <c r="D6" s="18"/>
      <c r="M6" s="963"/>
      <c r="N6" s="963"/>
      <c r="O6" s="963"/>
      <c r="P6" s="963"/>
      <c r="Q6" s="963"/>
      <c r="R6" s="963"/>
      <c r="S6" s="963"/>
      <c r="T6" s="963"/>
      <c r="U6" s="964"/>
      <c r="V6" s="964"/>
      <c r="W6" s="964"/>
      <c r="X6" s="83"/>
    </row>
    <row r="7" spans="1:24" ht="22.35" customHeight="1" x14ac:dyDescent="0.2">
      <c r="B7" s="2042" t="str">
        <f>IF(D10=12,"HINNAT ILMAN ARVONLISÄVEROA","HINNAT ILMAN ARVONLISÄVEROA. ENNUSTE 2-TILIKAUSI. HUOMAA TILIKAUDEN PITUUS!")</f>
        <v>HINNAT ILMAN ARVONLISÄVEROA</v>
      </c>
      <c r="C7" s="2043"/>
      <c r="D7" s="2050" t="str">
        <f>'1. T1 INVESTOINTISUUN.'!E15</f>
        <v>Ennuste 1</v>
      </c>
      <c r="E7" s="2051"/>
      <c r="F7" s="2050" t="s">
        <v>43</v>
      </c>
      <c r="G7" s="2051"/>
      <c r="H7" s="2050" t="s">
        <v>44</v>
      </c>
      <c r="I7" s="2051"/>
      <c r="J7" s="2050" t="s">
        <v>188</v>
      </c>
      <c r="K7" s="2051"/>
      <c r="L7" s="25"/>
      <c r="M7" s="1551" t="s">
        <v>452</v>
      </c>
      <c r="N7" s="960"/>
      <c r="O7" s="961"/>
      <c r="P7" s="962"/>
      <c r="Q7" s="962"/>
      <c r="R7" s="962"/>
      <c r="S7" s="962"/>
      <c r="T7" s="256"/>
      <c r="U7" s="360"/>
      <c r="V7" s="360"/>
      <c r="W7" s="360"/>
      <c r="X7" s="361"/>
    </row>
    <row r="8" spans="1:24" ht="16.350000000000001" customHeight="1" x14ac:dyDescent="0.2">
      <c r="B8" s="2044" t="s">
        <v>866</v>
      </c>
      <c r="C8" s="2045"/>
      <c r="D8" s="2039">
        <f>'7. T2 TULOSSUUN.'!G8</f>
        <v>2027</v>
      </c>
      <c r="E8" s="2040"/>
      <c r="F8" s="2039">
        <f>'7. T2 TULOSSUUN.'!I8</f>
        <v>2028</v>
      </c>
      <c r="G8" s="2040"/>
      <c r="H8" s="2039">
        <f>'7. T2 TULOSSUUN.'!K8</f>
        <v>2029</v>
      </c>
      <c r="I8" s="2040"/>
      <c r="J8" s="2039">
        <f>'1. T1 INVESTOINTISUUN.'!H16</f>
        <v>2030</v>
      </c>
      <c r="K8" s="2040"/>
      <c r="L8" s="26"/>
      <c r="M8" s="312"/>
      <c r="N8" s="256"/>
      <c r="O8" s="256"/>
      <c r="P8" s="256"/>
      <c r="Q8" s="256"/>
      <c r="R8" s="256"/>
      <c r="S8" s="256"/>
      <c r="T8" s="256"/>
      <c r="U8" s="360"/>
      <c r="V8" s="360"/>
      <c r="W8" s="360"/>
      <c r="X8" s="361"/>
    </row>
    <row r="9" spans="1:24" ht="12.75" customHeight="1" x14ac:dyDescent="0.2">
      <c r="B9" s="2046"/>
      <c r="C9" s="2047"/>
      <c r="D9" s="221" t="s">
        <v>443</v>
      </c>
      <c r="E9" s="222" t="s">
        <v>13</v>
      </c>
      <c r="F9" s="221" t="s">
        <v>443</v>
      </c>
      <c r="G9" s="222" t="s">
        <v>13</v>
      </c>
      <c r="H9" s="221" t="s">
        <v>443</v>
      </c>
      <c r="I9" s="222" t="s">
        <v>13</v>
      </c>
      <c r="J9" s="221" t="s">
        <v>443</v>
      </c>
      <c r="K9" s="222" t="s">
        <v>13</v>
      </c>
      <c r="L9" s="26"/>
      <c r="M9" s="1472"/>
      <c r="N9" s="256"/>
      <c r="O9" s="256"/>
      <c r="P9" s="256"/>
      <c r="Q9" s="256"/>
      <c r="R9" s="256"/>
      <c r="S9" s="256"/>
      <c r="T9" s="256"/>
      <c r="U9" s="360"/>
      <c r="V9" s="360"/>
      <c r="W9" s="360"/>
      <c r="X9" s="361"/>
    </row>
    <row r="10" spans="1:24" ht="15" customHeight="1" thickBot="1" x14ac:dyDescent="0.25">
      <c r="B10" s="1078"/>
      <c r="C10" s="1079" t="s">
        <v>288</v>
      </c>
      <c r="D10" s="2052">
        <v>12</v>
      </c>
      <c r="E10" s="2053"/>
      <c r="F10" s="2052" t="str">
        <f>'7. T2 TULOSSUUN.'!I10</f>
        <v>12</v>
      </c>
      <c r="G10" s="2053"/>
      <c r="H10" s="2052" t="str">
        <f>'7. T2 TULOSSUUN.'!K10</f>
        <v>12</v>
      </c>
      <c r="I10" s="2053"/>
      <c r="J10" s="2052" t="str">
        <f>'7. T2 TULOSSUUN.'!M10</f>
        <v>12</v>
      </c>
      <c r="K10" s="2053"/>
      <c r="L10" s="26"/>
      <c r="M10" s="312"/>
      <c r="N10" s="256"/>
      <c r="O10" s="256"/>
      <c r="P10" s="256"/>
      <c r="Q10" s="256"/>
      <c r="R10" s="256"/>
      <c r="S10" s="256"/>
      <c r="T10" s="256"/>
      <c r="U10" s="360"/>
      <c r="V10" s="360"/>
      <c r="W10" s="360"/>
      <c r="X10" s="361"/>
    </row>
    <row r="11" spans="1:24" s="1" customFormat="1" ht="15" customHeight="1" x14ac:dyDescent="0.2">
      <c r="A11" s="53"/>
      <c r="B11" s="1708" t="s">
        <v>2</v>
      </c>
      <c r="C11" s="206" t="s">
        <v>792</v>
      </c>
      <c r="D11" s="853">
        <f>D12+D17+D24-D30</f>
        <v>0</v>
      </c>
      <c r="E11" s="854">
        <f>IF(D$44=0,0,D11/D$44*100)</f>
        <v>0</v>
      </c>
      <c r="F11" s="853">
        <f>F12+F17+F24-F30</f>
        <v>0</v>
      </c>
      <c r="G11" s="854">
        <f>IF(F$44=0,0,F11/F$44*100)</f>
        <v>0</v>
      </c>
      <c r="H11" s="853">
        <f>H12+H17+H24-H30</f>
        <v>0</v>
      </c>
      <c r="I11" s="854">
        <f>IF(H$44=0,0,H11/H$44*100)</f>
        <v>0</v>
      </c>
      <c r="J11" s="853">
        <f>J12+J17+J24-J30</f>
        <v>0</v>
      </c>
      <c r="K11" s="854">
        <f>IF(J$44=0,0,J11/J$44*100)</f>
        <v>0</v>
      </c>
      <c r="L11" s="3"/>
      <c r="M11" s="2048"/>
      <c r="N11" s="2049"/>
      <c r="O11" s="2049"/>
      <c r="P11" s="256"/>
      <c r="Q11" s="256"/>
      <c r="R11" s="256"/>
      <c r="S11" s="256"/>
      <c r="T11" s="256"/>
      <c r="U11" s="360"/>
      <c r="V11" s="360"/>
      <c r="W11" s="360"/>
      <c r="X11" s="361"/>
    </row>
    <row r="12" spans="1:24" s="4" customFormat="1" ht="12.6" customHeight="1" x14ac:dyDescent="0.2">
      <c r="A12"/>
      <c r="B12" s="207"/>
      <c r="C12" s="214" t="s">
        <v>791</v>
      </c>
      <c r="D12" s="855">
        <f>(D13+D14)*D15</f>
        <v>0</v>
      </c>
      <c r="E12" s="856"/>
      <c r="F12" s="855">
        <f>F13*F15+F14*IF(F15&gt;12,12,F15)</f>
        <v>0</v>
      </c>
      <c r="G12" s="856"/>
      <c r="H12" s="855">
        <f>H13*H15+H14*IF(H15&gt;12,12,H15)</f>
        <v>0</v>
      </c>
      <c r="I12" s="856"/>
      <c r="J12" s="855">
        <f>J13*J15+J14*IF(J15&gt;12,12,J15)</f>
        <v>0</v>
      </c>
      <c r="K12" s="856"/>
      <c r="L12" s="31"/>
      <c r="M12" s="243">
        <f>F$8</f>
        <v>2028</v>
      </c>
      <c r="N12" s="243">
        <f>H8</f>
        <v>2029</v>
      </c>
      <c r="O12" s="243">
        <f>J$8</f>
        <v>2030</v>
      </c>
      <c r="P12" s="256"/>
      <c r="Q12" s="256"/>
      <c r="R12" s="256"/>
      <c r="S12" s="256"/>
      <c r="T12" s="256"/>
      <c r="U12" s="360"/>
      <c r="V12" s="360"/>
      <c r="W12" s="360"/>
      <c r="X12" s="361"/>
    </row>
    <row r="13" spans="1:24" s="52" customFormat="1" ht="12.6" customHeight="1" x14ac:dyDescent="0.2">
      <c r="A13" s="53"/>
      <c r="B13" s="208"/>
      <c r="C13" s="1718" t="s">
        <v>681</v>
      </c>
      <c r="D13" s="857">
        <v>0</v>
      </c>
      <c r="E13" s="858"/>
      <c r="F13" s="857">
        <f>D13+D13*M13</f>
        <v>0</v>
      </c>
      <c r="G13" s="858"/>
      <c r="H13" s="857">
        <f>F13+F13*N13</f>
        <v>0</v>
      </c>
      <c r="I13" s="858"/>
      <c r="J13" s="857">
        <f>H13+H13*O13</f>
        <v>0</v>
      </c>
      <c r="K13" s="858"/>
      <c r="L13" s="57"/>
      <c r="M13" s="315">
        <v>0</v>
      </c>
      <c r="N13" s="315">
        <f>M13</f>
        <v>0</v>
      </c>
      <c r="O13" s="315">
        <f>N13</f>
        <v>0</v>
      </c>
      <c r="P13" s="256" t="s">
        <v>0</v>
      </c>
      <c r="R13" s="256"/>
      <c r="S13" s="256"/>
      <c r="T13" s="256"/>
      <c r="U13" s="360"/>
      <c r="V13" s="360"/>
      <c r="W13" s="360"/>
      <c r="X13" s="361"/>
    </row>
    <row r="14" spans="1:24" s="52" customFormat="1" ht="12.6" customHeight="1" x14ac:dyDescent="0.2">
      <c r="A14" s="2"/>
      <c r="B14" s="208"/>
      <c r="C14" s="1718" t="s">
        <v>682</v>
      </c>
      <c r="D14" s="857">
        <v>0</v>
      </c>
      <c r="E14" s="858"/>
      <c r="F14" s="857">
        <f>D14+D14*M14</f>
        <v>0</v>
      </c>
      <c r="G14" s="858"/>
      <c r="H14" s="857">
        <f>F14+F14*N14</f>
        <v>0</v>
      </c>
      <c r="I14" s="858"/>
      <c r="J14" s="857">
        <f>H14+H14*O14</f>
        <v>0</v>
      </c>
      <c r="K14" s="858"/>
      <c r="L14" s="57"/>
      <c r="M14" s="315">
        <v>0</v>
      </c>
      <c r="N14" s="315">
        <f>M14</f>
        <v>0</v>
      </c>
      <c r="O14" s="315">
        <f>N14</f>
        <v>0</v>
      </c>
      <c r="P14" s="256"/>
      <c r="Q14" s="256"/>
      <c r="R14" s="256"/>
      <c r="S14" s="256"/>
      <c r="T14" s="256"/>
      <c r="U14" s="360"/>
      <c r="V14" s="360"/>
      <c r="W14" s="360"/>
      <c r="X14" s="361"/>
    </row>
    <row r="15" spans="1:24" s="52" customFormat="1" ht="12.6" customHeight="1" x14ac:dyDescent="0.2">
      <c r="A15" s="53"/>
      <c r="B15" s="208"/>
      <c r="C15" s="1718" t="s">
        <v>683</v>
      </c>
      <c r="D15" s="859">
        <v>12</v>
      </c>
      <c r="E15" s="858"/>
      <c r="F15" s="859">
        <v>12.5</v>
      </c>
      <c r="G15" s="858"/>
      <c r="H15" s="859">
        <f>F15</f>
        <v>12.5</v>
      </c>
      <c r="I15" s="858"/>
      <c r="J15" s="859">
        <f>H15</f>
        <v>12.5</v>
      </c>
      <c r="K15" s="858"/>
      <c r="L15" s="57"/>
      <c r="M15" s="959"/>
      <c r="N15" s="165"/>
      <c r="O15" s="165"/>
      <c r="P15" s="256"/>
      <c r="Q15" s="256"/>
      <c r="R15" s="256"/>
      <c r="S15" s="256"/>
      <c r="T15" s="256"/>
      <c r="U15" s="360"/>
      <c r="V15" s="360"/>
      <c r="W15" s="360"/>
      <c r="X15" s="361"/>
    </row>
    <row r="16" spans="1:24" s="52" customFormat="1" ht="12.6" customHeight="1" x14ac:dyDescent="0.2">
      <c r="A16" s="53"/>
      <c r="B16" s="208"/>
      <c r="C16" s="1718" t="s">
        <v>691</v>
      </c>
      <c r="D16" s="974">
        <v>0.28999999999999998</v>
      </c>
      <c r="E16" s="869"/>
      <c r="F16" s="974">
        <f>D16</f>
        <v>0.28999999999999998</v>
      </c>
      <c r="G16" s="869"/>
      <c r="H16" s="974">
        <f>F16</f>
        <v>0.28999999999999998</v>
      </c>
      <c r="I16" s="869"/>
      <c r="J16" s="974">
        <f>H16</f>
        <v>0.28999999999999998</v>
      </c>
      <c r="K16" s="858"/>
      <c r="L16" s="57"/>
      <c r="M16" s="1305"/>
      <c r="N16" s="256"/>
      <c r="O16" s="256"/>
      <c r="P16" s="256"/>
      <c r="Q16" s="256"/>
      <c r="R16" s="256"/>
      <c r="S16" s="256"/>
      <c r="T16" s="256"/>
      <c r="U16" s="256"/>
      <c r="V16" s="360"/>
      <c r="W16" s="360"/>
      <c r="X16" s="361"/>
    </row>
    <row r="17" spans="1:24" s="4" customFormat="1" x14ac:dyDescent="0.2">
      <c r="A17"/>
      <c r="B17" s="207"/>
      <c r="C17" s="1284" t="s">
        <v>790</v>
      </c>
      <c r="D17" s="767">
        <f>D18*D19*D20*D21+D22</f>
        <v>0</v>
      </c>
      <c r="E17" s="856"/>
      <c r="F17" s="767">
        <f>F18*F19*F20*F21+F22</f>
        <v>0</v>
      </c>
      <c r="G17" s="856"/>
      <c r="H17" s="767">
        <f>H18*H19*H20*H21+H22</f>
        <v>0</v>
      </c>
      <c r="I17" s="856"/>
      <c r="J17" s="767">
        <f>J18*J19*J20*J21+J22</f>
        <v>0</v>
      </c>
      <c r="K17" s="856"/>
      <c r="L17" s="31"/>
      <c r="M17" s="1366"/>
      <c r="N17" s="1367"/>
      <c r="O17" s="1367"/>
      <c r="P17" s="256"/>
      <c r="Q17" s="256"/>
      <c r="R17" s="256"/>
      <c r="S17" s="256"/>
      <c r="T17" s="256"/>
      <c r="U17" s="360"/>
      <c r="V17" s="360"/>
      <c r="W17" s="360"/>
      <c r="X17" s="361"/>
    </row>
    <row r="18" spans="1:24" s="52" customFormat="1" ht="12.6" customHeight="1" x14ac:dyDescent="0.2">
      <c r="A18" s="53"/>
      <c r="B18" s="208"/>
      <c r="C18" s="1718" t="s">
        <v>684</v>
      </c>
      <c r="D18" s="860">
        <v>0</v>
      </c>
      <c r="E18" s="861"/>
      <c r="F18" s="860">
        <f>D18+D18*M18</f>
        <v>0</v>
      </c>
      <c r="G18" s="861"/>
      <c r="H18" s="860">
        <f>F18+F18*N18</f>
        <v>0</v>
      </c>
      <c r="I18" s="861"/>
      <c r="J18" s="860">
        <f>H18+H18*O18</f>
        <v>0</v>
      </c>
      <c r="K18" s="858"/>
      <c r="L18" s="55"/>
      <c r="M18" s="1301">
        <v>0.03</v>
      </c>
      <c r="N18" s="1301">
        <f>M18</f>
        <v>0.03</v>
      </c>
      <c r="O18" s="1301">
        <f>N18</f>
        <v>0.03</v>
      </c>
      <c r="P18" s="256" t="s">
        <v>0</v>
      </c>
      <c r="Q18" s="256"/>
      <c r="R18" s="256"/>
      <c r="S18" s="256"/>
      <c r="T18" s="256"/>
      <c r="U18" s="360"/>
      <c r="V18" s="360"/>
      <c r="W18" s="360"/>
      <c r="X18" s="361"/>
    </row>
    <row r="19" spans="1:24" s="52" customFormat="1" ht="12.6" customHeight="1" x14ac:dyDescent="0.2">
      <c r="A19"/>
      <c r="B19" s="208"/>
      <c r="C19" s="1718" t="s">
        <v>685</v>
      </c>
      <c r="D19" s="857">
        <v>0</v>
      </c>
      <c r="E19" s="858"/>
      <c r="F19" s="857">
        <f>D19</f>
        <v>0</v>
      </c>
      <c r="G19" s="858"/>
      <c r="H19" s="857">
        <f>F19</f>
        <v>0</v>
      </c>
      <c r="I19" s="858"/>
      <c r="J19" s="857">
        <f>H19</f>
        <v>0</v>
      </c>
      <c r="K19" s="858"/>
      <c r="L19" s="55"/>
      <c r="M19" s="956"/>
      <c r="N19" s="957"/>
      <c r="O19" s="957"/>
      <c r="P19" s="256"/>
      <c r="Q19" s="256"/>
      <c r="R19" s="256"/>
      <c r="S19" s="256"/>
      <c r="T19" s="256"/>
      <c r="U19" s="360"/>
      <c r="V19" s="360"/>
      <c r="W19" s="360"/>
      <c r="X19" s="361"/>
    </row>
    <row r="20" spans="1:24" s="52" customFormat="1" ht="12.6" customHeight="1" x14ac:dyDescent="0.2">
      <c r="A20" s="53"/>
      <c r="B20" s="208"/>
      <c r="C20" s="1718" t="s">
        <v>686</v>
      </c>
      <c r="D20" s="859">
        <v>0</v>
      </c>
      <c r="E20" s="858"/>
      <c r="F20" s="859">
        <f>D20</f>
        <v>0</v>
      </c>
      <c r="G20" s="858"/>
      <c r="H20" s="859">
        <f>F20</f>
        <v>0</v>
      </c>
      <c r="I20" s="858"/>
      <c r="J20" s="859">
        <f>H20</f>
        <v>0</v>
      </c>
      <c r="K20" s="858"/>
      <c r="L20" s="55"/>
      <c r="M20" s="958"/>
      <c r="N20" s="182"/>
      <c r="O20" s="182"/>
      <c r="P20" s="256"/>
      <c r="Q20" s="256"/>
      <c r="R20" s="256"/>
      <c r="S20" s="256"/>
      <c r="T20" s="256"/>
      <c r="U20" s="360"/>
      <c r="V20" s="360"/>
      <c r="W20" s="360"/>
      <c r="X20" s="361"/>
    </row>
    <row r="21" spans="1:24" s="52" customFormat="1" ht="12.6" customHeight="1" x14ac:dyDescent="0.2">
      <c r="A21" s="2"/>
      <c r="B21" s="208"/>
      <c r="C21" s="1718" t="s">
        <v>683</v>
      </c>
      <c r="D21" s="859">
        <v>12</v>
      </c>
      <c r="E21" s="858"/>
      <c r="F21" s="859">
        <v>12.5</v>
      </c>
      <c r="G21" s="858"/>
      <c r="H21" s="859">
        <f>F21</f>
        <v>12.5</v>
      </c>
      <c r="I21" s="858"/>
      <c r="J21" s="859">
        <f>H21</f>
        <v>12.5</v>
      </c>
      <c r="K21" s="858"/>
      <c r="L21" s="55"/>
      <c r="M21" s="1304"/>
      <c r="N21" s="1302"/>
      <c r="O21" s="1302"/>
      <c r="P21" s="365"/>
      <c r="Q21" s="256"/>
      <c r="R21" s="256"/>
      <c r="S21" s="256"/>
      <c r="T21" s="256"/>
      <c r="U21" s="360"/>
      <c r="V21" s="360"/>
      <c r="W21" s="360"/>
      <c r="X21" s="361"/>
    </row>
    <row r="22" spans="1:24" s="52" customFormat="1" ht="12.6" customHeight="1" x14ac:dyDescent="0.2">
      <c r="A22"/>
      <c r="B22" s="208"/>
      <c r="C22" s="1718" t="s">
        <v>687</v>
      </c>
      <c r="D22" s="857">
        <v>0</v>
      </c>
      <c r="E22" s="862"/>
      <c r="F22" s="857">
        <f>D22+D22*M22</f>
        <v>0</v>
      </c>
      <c r="G22" s="858"/>
      <c r="H22" s="857">
        <f>F22+F22*N22</f>
        <v>0</v>
      </c>
      <c r="I22" s="858"/>
      <c r="J22" s="857">
        <f>H22+H22*O22</f>
        <v>0</v>
      </c>
      <c r="K22" s="858"/>
      <c r="L22" s="55"/>
      <c r="M22" s="1301">
        <v>0.03</v>
      </c>
      <c r="N22" s="1301">
        <f>M22</f>
        <v>0.03</v>
      </c>
      <c r="O22" s="1301">
        <f>N22</f>
        <v>0.03</v>
      </c>
      <c r="P22" s="256"/>
      <c r="Q22" s="256"/>
      <c r="R22" s="256"/>
      <c r="S22" s="256"/>
      <c r="T22" s="256"/>
      <c r="U22" s="360"/>
      <c r="V22" s="360"/>
      <c r="W22" s="360"/>
      <c r="X22" s="361"/>
    </row>
    <row r="23" spans="1:24" s="52" customFormat="1" ht="12.6" customHeight="1" x14ac:dyDescent="0.2">
      <c r="A23" s="53"/>
      <c r="B23" s="208"/>
      <c r="C23" s="1718" t="s">
        <v>690</v>
      </c>
      <c r="D23" s="974">
        <v>0.2</v>
      </c>
      <c r="E23" s="869"/>
      <c r="F23" s="974">
        <f>D23</f>
        <v>0.2</v>
      </c>
      <c r="G23" s="869"/>
      <c r="H23" s="974">
        <f>F23</f>
        <v>0.2</v>
      </c>
      <c r="I23" s="869"/>
      <c r="J23" s="974">
        <f>H23</f>
        <v>0.2</v>
      </c>
      <c r="K23" s="858"/>
      <c r="L23" s="57"/>
      <c r="M23" s="975"/>
      <c r="N23" s="256"/>
      <c r="O23" s="256"/>
      <c r="P23" s="256"/>
      <c r="Q23" s="256"/>
      <c r="R23" s="256"/>
      <c r="S23" s="256"/>
      <c r="T23" s="256"/>
      <c r="U23" s="256"/>
      <c r="V23" s="360"/>
      <c r="W23" s="360"/>
      <c r="X23" s="361"/>
    </row>
    <row r="24" spans="1:24" s="4" customFormat="1" x14ac:dyDescent="0.2">
      <c r="A24"/>
      <c r="B24" s="207"/>
      <c r="C24" s="1284" t="s">
        <v>789</v>
      </c>
      <c r="D24" s="767">
        <f>D25*D26*D27+D28</f>
        <v>0</v>
      </c>
      <c r="E24" s="856"/>
      <c r="F24" s="767">
        <f>F25*F26*F27+F28</f>
        <v>0</v>
      </c>
      <c r="G24" s="856"/>
      <c r="H24" s="767">
        <f>H25*H26*H27+H28</f>
        <v>0</v>
      </c>
      <c r="I24" s="856"/>
      <c r="J24" s="767">
        <f>J25*J26*J27+J28</f>
        <v>0</v>
      </c>
      <c r="K24" s="856"/>
      <c r="L24" s="31"/>
      <c r="M24" s="1304"/>
      <c r="N24" s="1302"/>
      <c r="O24" s="1302"/>
      <c r="P24" s="256"/>
      <c r="Q24" s="256"/>
      <c r="R24" s="256"/>
      <c r="S24" s="256"/>
      <c r="T24" s="256"/>
      <c r="U24" s="360"/>
      <c r="V24" s="360"/>
      <c r="W24" s="360"/>
      <c r="X24" s="361"/>
    </row>
    <row r="25" spans="1:24" s="52" customFormat="1" ht="12.6" customHeight="1" x14ac:dyDescent="0.2">
      <c r="A25"/>
      <c r="B25" s="208"/>
      <c r="C25" s="1718" t="s">
        <v>688</v>
      </c>
      <c r="D25" s="857">
        <v>0</v>
      </c>
      <c r="E25" s="858"/>
      <c r="F25" s="857">
        <f>D25+D25*M25</f>
        <v>0</v>
      </c>
      <c r="G25" s="858"/>
      <c r="H25" s="857">
        <f>F25+F25*N25</f>
        <v>0</v>
      </c>
      <c r="I25" s="858"/>
      <c r="J25" s="857">
        <f>H25+H25*O25</f>
        <v>0</v>
      </c>
      <c r="K25" s="858"/>
      <c r="L25" s="55"/>
      <c r="M25" s="1301">
        <v>0.03</v>
      </c>
      <c r="N25" s="1301">
        <f>M25</f>
        <v>0.03</v>
      </c>
      <c r="O25" s="1301">
        <f>N25</f>
        <v>0.03</v>
      </c>
      <c r="P25" s="256"/>
      <c r="Q25" s="256"/>
      <c r="R25" s="256"/>
      <c r="S25" s="256"/>
      <c r="T25" s="256"/>
      <c r="U25" s="360"/>
      <c r="V25" s="360"/>
      <c r="W25" s="360"/>
      <c r="X25" s="361"/>
    </row>
    <row r="26" spans="1:24" s="52" customFormat="1" ht="12.6" customHeight="1" x14ac:dyDescent="0.2">
      <c r="A26"/>
      <c r="B26" s="208"/>
      <c r="C26" s="1718" t="s">
        <v>689</v>
      </c>
      <c r="D26" s="859">
        <v>0</v>
      </c>
      <c r="E26" s="858"/>
      <c r="F26" s="859">
        <f>D26</f>
        <v>0</v>
      </c>
      <c r="G26" s="858"/>
      <c r="H26" s="859">
        <f>F26</f>
        <v>0</v>
      </c>
      <c r="I26" s="858"/>
      <c r="J26" s="859">
        <f>H26</f>
        <v>0</v>
      </c>
      <c r="K26" s="858"/>
      <c r="L26" s="55"/>
      <c r="M26" s="349"/>
      <c r="N26" s="164"/>
      <c r="O26" s="164"/>
      <c r="P26" s="256"/>
      <c r="Q26" s="256"/>
      <c r="R26" s="256"/>
      <c r="S26" s="256"/>
      <c r="T26" s="256"/>
      <c r="U26" s="360"/>
      <c r="V26" s="360"/>
      <c r="W26" s="360"/>
      <c r="X26" s="361"/>
    </row>
    <row r="27" spans="1:24" s="52" customFormat="1" ht="12.6" customHeight="1" x14ac:dyDescent="0.2">
      <c r="A27"/>
      <c r="B27" s="208"/>
      <c r="C27" s="1718" t="s">
        <v>683</v>
      </c>
      <c r="D27" s="859">
        <v>12</v>
      </c>
      <c r="E27" s="858"/>
      <c r="F27" s="859">
        <v>12.5</v>
      </c>
      <c r="G27" s="858"/>
      <c r="H27" s="859">
        <f>F27</f>
        <v>12.5</v>
      </c>
      <c r="I27" s="858"/>
      <c r="J27" s="859">
        <f>H27</f>
        <v>12.5</v>
      </c>
      <c r="K27" s="858"/>
      <c r="L27" s="55"/>
      <c r="M27" s="1304"/>
      <c r="N27" s="1302"/>
      <c r="O27" s="1302"/>
      <c r="P27" s="365"/>
      <c r="Q27" s="256"/>
      <c r="R27" s="256"/>
      <c r="S27" s="256"/>
      <c r="T27" s="256"/>
      <c r="U27" s="360"/>
      <c r="V27" s="360"/>
      <c r="W27" s="360"/>
      <c r="X27" s="361"/>
    </row>
    <row r="28" spans="1:24" s="52" customFormat="1" ht="12.6" customHeight="1" x14ac:dyDescent="0.2">
      <c r="A28"/>
      <c r="B28" s="208"/>
      <c r="C28" s="1718" t="s">
        <v>687</v>
      </c>
      <c r="D28" s="857">
        <v>0</v>
      </c>
      <c r="E28" s="862"/>
      <c r="F28" s="857">
        <f>D28+D28*M28</f>
        <v>0</v>
      </c>
      <c r="G28" s="858"/>
      <c r="H28" s="857">
        <f>F28+F28*N28</f>
        <v>0</v>
      </c>
      <c r="I28" s="858"/>
      <c r="J28" s="857">
        <f>H28+H28*O28</f>
        <v>0</v>
      </c>
      <c r="K28" s="858"/>
      <c r="L28" s="55"/>
      <c r="M28" s="1301">
        <v>0.03</v>
      </c>
      <c r="N28" s="1301">
        <f>M28</f>
        <v>0.03</v>
      </c>
      <c r="O28" s="1301">
        <f>N28</f>
        <v>0.03</v>
      </c>
      <c r="P28" s="256"/>
      <c r="Q28" s="256"/>
      <c r="R28" s="256"/>
      <c r="S28" s="256"/>
      <c r="T28" s="256"/>
      <c r="U28" s="360"/>
      <c r="V28" s="360"/>
      <c r="W28" s="360"/>
      <c r="X28" s="361"/>
    </row>
    <row r="29" spans="1:24" s="52" customFormat="1" ht="12.6" customHeight="1" x14ac:dyDescent="0.2">
      <c r="A29" s="53"/>
      <c r="B29" s="208"/>
      <c r="C29" s="1718" t="s">
        <v>690</v>
      </c>
      <c r="D29" s="974">
        <v>0.25</v>
      </c>
      <c r="E29" s="869"/>
      <c r="F29" s="974">
        <f>D29</f>
        <v>0.25</v>
      </c>
      <c r="G29" s="869"/>
      <c r="H29" s="974">
        <f>F29</f>
        <v>0.25</v>
      </c>
      <c r="I29" s="869"/>
      <c r="J29" s="974">
        <f>H29</f>
        <v>0.25</v>
      </c>
      <c r="K29" s="858"/>
      <c r="L29" s="57"/>
      <c r="M29" s="975"/>
      <c r="N29" s="256"/>
      <c r="O29" s="256"/>
      <c r="P29" s="256"/>
      <c r="Q29" s="256"/>
      <c r="R29" s="256"/>
      <c r="S29" s="256"/>
      <c r="T29" s="256"/>
      <c r="U29" s="256"/>
      <c r="V29" s="360"/>
      <c r="W29" s="360"/>
      <c r="X29" s="361"/>
    </row>
    <row r="30" spans="1:24" s="52" customFormat="1" ht="12.6" customHeight="1" thickBot="1" x14ac:dyDescent="0.25">
      <c r="A30"/>
      <c r="B30" s="208"/>
      <c r="C30" s="1285" t="s">
        <v>788</v>
      </c>
      <c r="D30" s="863">
        <v>0</v>
      </c>
      <c r="E30" s="864"/>
      <c r="F30" s="863"/>
      <c r="G30" s="865"/>
      <c r="H30" s="863"/>
      <c r="I30" s="865"/>
      <c r="J30" s="863"/>
      <c r="K30" s="866"/>
      <c r="L30" s="55"/>
      <c r="M30" s="312"/>
      <c r="N30" s="256"/>
      <c r="O30" s="256"/>
      <c r="P30" s="256"/>
      <c r="Q30" s="256"/>
      <c r="R30" s="256"/>
      <c r="S30" s="256"/>
      <c r="T30" s="256"/>
      <c r="U30" s="360"/>
      <c r="V30" s="360"/>
      <c r="W30" s="360"/>
      <c r="X30" s="361"/>
    </row>
    <row r="31" spans="1:24" s="1" customFormat="1" ht="15" customHeight="1" x14ac:dyDescent="0.2">
      <c r="A31" s="53"/>
      <c r="B31" s="1708" t="s">
        <v>3</v>
      </c>
      <c r="C31" s="210" t="s">
        <v>787</v>
      </c>
      <c r="D31" s="867">
        <f>D32+D39+D41+D43+D42</f>
        <v>0</v>
      </c>
      <c r="E31" s="854">
        <f>IF(D$44=0,0,D31/D$44*100)</f>
        <v>0</v>
      </c>
      <c r="F31" s="867">
        <f>F32+F39+F41+F43+F42</f>
        <v>0</v>
      </c>
      <c r="G31" s="854">
        <f>IF(F$44=0,0,F31/F$44*100)</f>
        <v>0</v>
      </c>
      <c r="H31" s="867">
        <f>H32+H39+H41+H43+H42</f>
        <v>0</v>
      </c>
      <c r="I31" s="854">
        <f>IF(H$44=0,0,H31/H$44*100)</f>
        <v>0</v>
      </c>
      <c r="J31" s="867">
        <f>J32+J39+J41+J43+J42</f>
        <v>0</v>
      </c>
      <c r="K31" s="854">
        <f>IF(J$44=0,0,J31/J$44*100)</f>
        <v>0</v>
      </c>
      <c r="L31" s="3"/>
      <c r="M31" s="312"/>
      <c r="N31" s="256"/>
      <c r="O31" s="256"/>
      <c r="P31" s="256"/>
      <c r="Q31" s="256"/>
      <c r="R31" s="256"/>
      <c r="S31" s="256"/>
      <c r="T31" s="256"/>
      <c r="U31" s="360"/>
      <c r="V31" s="360"/>
      <c r="W31" s="360"/>
      <c r="X31" s="361"/>
    </row>
    <row r="32" spans="1:24" s="4" customFormat="1" ht="12.6" customHeight="1" x14ac:dyDescent="0.2">
      <c r="A32"/>
      <c r="B32" s="207"/>
      <c r="C32" s="1282" t="s">
        <v>19</v>
      </c>
      <c r="D32" s="767">
        <f>D34+D37+D38</f>
        <v>0</v>
      </c>
      <c r="E32" s="868"/>
      <c r="F32" s="767">
        <f>F34+F37+F38</f>
        <v>0</v>
      </c>
      <c r="G32" s="868"/>
      <c r="H32" s="767">
        <f>H34+H37+H38</f>
        <v>0</v>
      </c>
      <c r="I32" s="868"/>
      <c r="J32" s="767">
        <f>J34+J37+J38</f>
        <v>0</v>
      </c>
      <c r="K32" s="868"/>
      <c r="L32" s="32"/>
      <c r="M32" s="312"/>
      <c r="N32" s="256"/>
      <c r="O32" s="256"/>
      <c r="P32" s="256"/>
      <c r="Q32" s="256"/>
      <c r="R32" s="256"/>
      <c r="S32" s="256"/>
      <c r="T32" s="256"/>
      <c r="U32" s="360"/>
      <c r="V32" s="360"/>
      <c r="W32" s="360"/>
      <c r="X32" s="361"/>
    </row>
    <row r="33" spans="1:24" s="52" customFormat="1" ht="12.6" customHeight="1" x14ac:dyDescent="0.2">
      <c r="A33" s="53"/>
      <c r="B33" s="208"/>
      <c r="C33" s="1718" t="s">
        <v>697</v>
      </c>
      <c r="D33" s="758">
        <v>0.17100000000000001</v>
      </c>
      <c r="E33" s="869"/>
      <c r="F33" s="870">
        <f>D33</f>
        <v>0.17100000000000001</v>
      </c>
      <c r="G33" s="871"/>
      <c r="H33" s="870">
        <f>F33</f>
        <v>0.17100000000000001</v>
      </c>
      <c r="I33" s="869"/>
      <c r="J33" s="870">
        <f>H33</f>
        <v>0.17100000000000001</v>
      </c>
      <c r="K33" s="869"/>
      <c r="L33" s="55"/>
      <c r="M33" s="312"/>
      <c r="N33" s="256"/>
      <c r="O33" s="256"/>
      <c r="P33" s="256"/>
      <c r="Q33" s="256"/>
      <c r="R33" s="256"/>
      <c r="S33" s="256"/>
      <c r="T33" s="256"/>
      <c r="U33" s="360"/>
      <c r="V33" s="360"/>
      <c r="W33" s="360"/>
      <c r="X33" s="361"/>
    </row>
    <row r="34" spans="1:24" s="52" customFormat="1" ht="12.6" customHeight="1" x14ac:dyDescent="0.2">
      <c r="A34"/>
      <c r="B34" s="208"/>
      <c r="C34" s="1718" t="s">
        <v>692</v>
      </c>
      <c r="D34" s="872">
        <f>(D33)*(D17+D24+D22+D28)</f>
        <v>0</v>
      </c>
      <c r="E34" s="858"/>
      <c r="F34" s="872">
        <f>(F33)*(F17+F24+F22+F28)</f>
        <v>0</v>
      </c>
      <c r="G34" s="873"/>
      <c r="H34" s="872">
        <f>(H33)*(H17+H24+H22+H28)</f>
        <v>0</v>
      </c>
      <c r="I34" s="858"/>
      <c r="J34" s="872">
        <f>(J33)*(J17+J24+J22+J28)</f>
        <v>0</v>
      </c>
      <c r="K34" s="858"/>
      <c r="L34" s="55"/>
      <c r="M34" s="1368"/>
      <c r="N34" s="1369"/>
      <c r="O34" s="1369"/>
      <c r="P34" s="256"/>
      <c r="Q34" s="256"/>
      <c r="R34" s="256"/>
      <c r="S34" s="256"/>
      <c r="T34" s="256"/>
      <c r="U34" s="360"/>
      <c r="V34" s="360"/>
      <c r="W34" s="360"/>
      <c r="X34" s="361"/>
    </row>
    <row r="35" spans="1:24" s="52" customFormat="1" ht="12.6" customHeight="1" x14ac:dyDescent="0.2">
      <c r="A35" s="53"/>
      <c r="B35" s="208"/>
      <c r="C35" s="1718" t="s">
        <v>693</v>
      </c>
      <c r="D35" s="874">
        <f>D12+D14*D15</f>
        <v>0</v>
      </c>
      <c r="E35" s="858"/>
      <c r="F35" s="874">
        <f>D35+D35*M35</f>
        <v>0</v>
      </c>
      <c r="G35" s="875"/>
      <c r="H35" s="874">
        <f>F35+F35*N35</f>
        <v>0</v>
      </c>
      <c r="I35" s="876"/>
      <c r="J35" s="874">
        <f>H35+H35*O35</f>
        <v>0</v>
      </c>
      <c r="K35" s="858"/>
      <c r="L35" s="55"/>
      <c r="M35" s="1301">
        <v>0.03</v>
      </c>
      <c r="N35" s="1301">
        <f>M35</f>
        <v>0.03</v>
      </c>
      <c r="O35" s="1301">
        <f>N35</f>
        <v>0.03</v>
      </c>
      <c r="P35" s="256"/>
      <c r="Q35" s="256"/>
      <c r="R35" s="256"/>
      <c r="S35" s="256"/>
      <c r="T35" s="256"/>
      <c r="U35" s="360"/>
      <c r="V35" s="360"/>
      <c r="W35" s="360"/>
      <c r="X35" s="361"/>
    </row>
    <row r="36" spans="1:24" s="52" customFormat="1" ht="12.6" customHeight="1" x14ac:dyDescent="0.2">
      <c r="A36" s="2"/>
      <c r="B36" s="208"/>
      <c r="C36" s="1718" t="s">
        <v>694</v>
      </c>
      <c r="D36" s="758">
        <v>0.1903</v>
      </c>
      <c r="E36" s="869"/>
      <c r="F36" s="877">
        <f>D36</f>
        <v>0.1903</v>
      </c>
      <c r="G36" s="871"/>
      <c r="H36" s="877">
        <f>F36</f>
        <v>0.1903</v>
      </c>
      <c r="I36" s="869"/>
      <c r="J36" s="877">
        <f>H36</f>
        <v>0.1903</v>
      </c>
      <c r="K36" s="869"/>
      <c r="L36" s="55"/>
      <c r="M36" s="312"/>
      <c r="N36" s="256"/>
      <c r="O36" s="256"/>
      <c r="P36" s="256"/>
      <c r="Q36" s="256"/>
      <c r="R36" s="256"/>
      <c r="S36" s="256"/>
      <c r="T36" s="256"/>
      <c r="U36" s="360"/>
      <c r="V36" s="360"/>
      <c r="W36" s="360"/>
      <c r="X36" s="361"/>
    </row>
    <row r="37" spans="1:24" s="52" customFormat="1" ht="12.6" customHeight="1" x14ac:dyDescent="0.2">
      <c r="A37"/>
      <c r="B37" s="208"/>
      <c r="C37" s="1718" t="s">
        <v>695</v>
      </c>
      <c r="D37" s="872">
        <f>IF(D35&gt;0,D35*D36,(D13+D14)*D15*D36)</f>
        <v>0</v>
      </c>
      <c r="E37" s="858"/>
      <c r="F37" s="872">
        <f>IF(F35&gt;0,F35*F36,(F13+F14)*F15*F36)</f>
        <v>0</v>
      </c>
      <c r="G37" s="873"/>
      <c r="H37" s="872">
        <f>IF(H35&gt;0,H35*H36,(H13+H14)*H15*H36)</f>
        <v>0</v>
      </c>
      <c r="I37" s="858"/>
      <c r="J37" s="872">
        <f>IF(J35&gt;0,J35*J36,(J13+J14)*J15*J36)</f>
        <v>0</v>
      </c>
      <c r="K37" s="858"/>
      <c r="L37" s="55"/>
      <c r="M37" s="312"/>
      <c r="N37" s="256"/>
      <c r="O37" s="256"/>
      <c r="P37" s="256"/>
      <c r="Q37" s="256"/>
      <c r="R37" s="256" t="s">
        <v>371</v>
      </c>
      <c r="S37" s="256"/>
      <c r="T37" s="256"/>
      <c r="U37" s="360"/>
      <c r="V37" s="360"/>
      <c r="W37" s="360"/>
      <c r="X37" s="361"/>
    </row>
    <row r="38" spans="1:24" s="52" customFormat="1" ht="12.6" customHeight="1" x14ac:dyDescent="0.2">
      <c r="A38" s="53"/>
      <c r="B38" s="208"/>
      <c r="C38" s="1718" t="s">
        <v>696</v>
      </c>
      <c r="D38" s="857">
        <v>0</v>
      </c>
      <c r="E38" s="858"/>
      <c r="F38" s="857">
        <f>D38</f>
        <v>0</v>
      </c>
      <c r="G38" s="873"/>
      <c r="H38" s="857">
        <f>F38</f>
        <v>0</v>
      </c>
      <c r="I38" s="858"/>
      <c r="J38" s="857">
        <f>H38</f>
        <v>0</v>
      </c>
      <c r="K38" s="858"/>
      <c r="L38" s="55"/>
      <c r="M38" s="312"/>
      <c r="N38" s="256"/>
      <c r="O38" s="256"/>
      <c r="P38" s="256"/>
      <c r="Q38" s="256"/>
      <c r="R38" s="256"/>
      <c r="S38" s="256"/>
      <c r="T38" s="256"/>
      <c r="U38" s="360"/>
      <c r="V38" s="360"/>
      <c r="W38" s="360"/>
      <c r="X38" s="361"/>
    </row>
    <row r="39" spans="1:24" s="4" customFormat="1" x14ac:dyDescent="0.2">
      <c r="A39"/>
      <c r="B39" s="207"/>
      <c r="C39" s="1282" t="s">
        <v>786</v>
      </c>
      <c r="D39" s="872">
        <f>(D40)*(D17+D24+D22+D28)</f>
        <v>0</v>
      </c>
      <c r="E39" s="868"/>
      <c r="F39" s="872">
        <f>(F40)*(F17+F24+F22+F28)</f>
        <v>0</v>
      </c>
      <c r="G39" s="878"/>
      <c r="H39" s="872">
        <f>(H40)*(H17+H24+H22+H28)</f>
        <v>0</v>
      </c>
      <c r="I39" s="868"/>
      <c r="J39" s="872">
        <f>(J40)*(J17+J24+J22+J28)</f>
        <v>0</v>
      </c>
      <c r="K39" s="868"/>
      <c r="L39" s="32"/>
      <c r="M39" s="312">
        <v>0</v>
      </c>
      <c r="N39" s="256"/>
      <c r="O39" s="256"/>
      <c r="P39" s="256"/>
      <c r="Q39" s="256"/>
      <c r="R39" s="256"/>
      <c r="S39" s="256"/>
      <c r="T39" s="256"/>
      <c r="U39" s="360"/>
      <c r="V39" s="360"/>
      <c r="W39" s="360"/>
      <c r="X39" s="361"/>
    </row>
    <row r="40" spans="1:24" s="52" customFormat="1" ht="12.6" customHeight="1" x14ac:dyDescent="0.2">
      <c r="A40" s="53"/>
      <c r="B40" s="208"/>
      <c r="C40" s="1718" t="s">
        <v>698</v>
      </c>
      <c r="D40" s="758">
        <v>2.7900000000000001E-2</v>
      </c>
      <c r="E40" s="869"/>
      <c r="F40" s="870">
        <f>D40</f>
        <v>2.7900000000000001E-2</v>
      </c>
      <c r="G40" s="871"/>
      <c r="H40" s="870">
        <f>F40</f>
        <v>2.7900000000000001E-2</v>
      </c>
      <c r="I40" s="869"/>
      <c r="J40" s="870">
        <f>H40</f>
        <v>2.7900000000000001E-2</v>
      </c>
      <c r="K40" s="869"/>
      <c r="L40" s="55"/>
      <c r="M40" s="312"/>
      <c r="N40" s="256"/>
      <c r="O40" s="256"/>
      <c r="P40" s="256"/>
      <c r="Q40" s="256"/>
      <c r="R40" s="256"/>
      <c r="S40" s="256"/>
      <c r="T40" s="256"/>
      <c r="U40" s="360"/>
      <c r="V40" s="360"/>
      <c r="W40" s="360"/>
      <c r="X40" s="361"/>
    </row>
    <row r="41" spans="1:24" s="52" customFormat="1" ht="12.6" customHeight="1" x14ac:dyDescent="0.2">
      <c r="A41" s="2"/>
      <c r="B41" s="208"/>
      <c r="C41" s="1283" t="s">
        <v>785</v>
      </c>
      <c r="D41" s="767">
        <f>1.7%*D35+1.91%*(D12+D14*D15)</f>
        <v>0</v>
      </c>
      <c r="E41" s="868"/>
      <c r="F41" s="767">
        <f>1.7%*F35+1.91%*(F12+F14*F15)</f>
        <v>0</v>
      </c>
      <c r="G41" s="879"/>
      <c r="H41" s="767">
        <f>1.7%*H35+1.91%*(H12+H14*H15)</f>
        <v>0</v>
      </c>
      <c r="I41" s="868"/>
      <c r="J41" s="767">
        <f>1.7%*J35+1.91%*(J12+J14*J15)</f>
        <v>0</v>
      </c>
      <c r="K41" s="868"/>
      <c r="L41" s="55"/>
      <c r="M41" s="1309"/>
      <c r="P41" s="256"/>
      <c r="Q41" s="256"/>
      <c r="R41" s="256"/>
      <c r="S41" s="256"/>
      <c r="T41" s="256"/>
      <c r="U41" s="360"/>
      <c r="V41" s="360"/>
      <c r="W41" s="360"/>
      <c r="X41" s="361"/>
    </row>
    <row r="42" spans="1:24" s="52" customFormat="1" ht="12.6" customHeight="1" x14ac:dyDescent="0.2">
      <c r="A42" s="53"/>
      <c r="B42" s="208"/>
      <c r="C42" s="1283" t="s">
        <v>784</v>
      </c>
      <c r="D42" s="880">
        <f>0.008*'2. T7 LAINAT'!$F32</f>
        <v>0</v>
      </c>
      <c r="E42" s="881"/>
      <c r="F42" s="880">
        <f>D42+D42*M42</f>
        <v>0</v>
      </c>
      <c r="G42" s="882"/>
      <c r="H42" s="880">
        <f>F42+F42*N42</f>
        <v>0</v>
      </c>
      <c r="I42" s="881"/>
      <c r="J42" s="880">
        <f>H42+H42*O42</f>
        <v>0</v>
      </c>
      <c r="K42" s="868"/>
      <c r="L42" s="55"/>
      <c r="M42" s="315">
        <v>0.03</v>
      </c>
      <c r="N42" s="315">
        <f>M42</f>
        <v>0.03</v>
      </c>
      <c r="O42" s="315">
        <f>N42</f>
        <v>0.03</v>
      </c>
      <c r="P42" s="256"/>
      <c r="Q42" s="256"/>
      <c r="R42" s="256"/>
      <c r="S42" s="256"/>
      <c r="T42" s="256"/>
      <c r="U42" s="360"/>
      <c r="V42" s="360"/>
      <c r="W42" s="360"/>
      <c r="X42" s="361"/>
    </row>
    <row r="43" spans="1:24" s="52" customFormat="1" ht="12.6" customHeight="1" x14ac:dyDescent="0.2">
      <c r="A43"/>
      <c r="B43" s="208"/>
      <c r="C43" s="1282" t="s">
        <v>783</v>
      </c>
      <c r="D43" s="765">
        <v>0</v>
      </c>
      <c r="E43" s="868"/>
      <c r="F43" s="765">
        <f>D43+D43*M43</f>
        <v>0</v>
      </c>
      <c r="G43" s="868"/>
      <c r="H43" s="765">
        <f>F43+F43*N43</f>
        <v>0</v>
      </c>
      <c r="I43" s="868"/>
      <c r="J43" s="765">
        <f>H43+H43*O43</f>
        <v>0</v>
      </c>
      <c r="K43" s="868"/>
      <c r="L43" s="55"/>
      <c r="M43" s="315">
        <v>0.03</v>
      </c>
      <c r="N43" s="315">
        <f>M43</f>
        <v>0.03</v>
      </c>
      <c r="O43" s="315">
        <f>N43</f>
        <v>0.03</v>
      </c>
      <c r="P43" s="256"/>
      <c r="Q43" s="256"/>
      <c r="R43" s="256"/>
      <c r="S43" s="256"/>
      <c r="T43" s="256"/>
      <c r="U43" s="360"/>
      <c r="V43" s="360"/>
      <c r="W43" s="360"/>
      <c r="X43" s="361"/>
    </row>
    <row r="44" spans="1:24" s="52" customFormat="1" ht="17.25" customHeight="1" thickBot="1" x14ac:dyDescent="0.25">
      <c r="A44" s="53"/>
      <c r="B44" s="209"/>
      <c r="C44" s="1285" t="s">
        <v>781</v>
      </c>
      <c r="D44" s="788">
        <f>D31+D11</f>
        <v>0</v>
      </c>
      <c r="E44" s="883">
        <v>100</v>
      </c>
      <c r="F44" s="788">
        <f>F31+F11</f>
        <v>0</v>
      </c>
      <c r="G44" s="883">
        <v>100</v>
      </c>
      <c r="H44" s="788">
        <f>H31+H11</f>
        <v>0</v>
      </c>
      <c r="I44" s="883">
        <v>100</v>
      </c>
      <c r="J44" s="788">
        <f>J31+J11</f>
        <v>0</v>
      </c>
      <c r="K44" s="883">
        <v>100</v>
      </c>
      <c r="L44" s="55"/>
      <c r="M44" s="312"/>
      <c r="N44" s="256"/>
      <c r="O44" s="256"/>
      <c r="P44" s="256"/>
      <c r="Q44" s="256"/>
      <c r="R44" s="256"/>
      <c r="S44" s="256"/>
      <c r="T44" s="256"/>
      <c r="U44" s="360"/>
      <c r="V44" s="360"/>
      <c r="W44" s="360"/>
      <c r="X44" s="361"/>
    </row>
    <row r="45" spans="1:24" s="1" customFormat="1" ht="15" customHeight="1" thickBot="1" x14ac:dyDescent="0.25">
      <c r="A45"/>
      <c r="B45" s="1708" t="s">
        <v>4</v>
      </c>
      <c r="C45" s="211" t="s">
        <v>782</v>
      </c>
      <c r="D45" s="884">
        <f>D46+D52+D65+D71+D76+D82+D86+D90+D93+D94+D95+D101+D106+D111+D115+D120+D124+D125+D126+D127+D129+D130+D131+D128</f>
        <v>0</v>
      </c>
      <c r="E45" s="885">
        <v>100</v>
      </c>
      <c r="F45" s="886">
        <f>F46+F52+F65+F71+F76+F82+F86+F90+F93+F94+F95+F101+F106+F111+F115+F120+F124+F125+F126+F127+F129+F130+F131+F128</f>
        <v>0</v>
      </c>
      <c r="G45" s="887">
        <v>100</v>
      </c>
      <c r="H45" s="886">
        <f>H46+H52+H65+H71+H76+H82+H86+H90+H93+H94+H95+H101+H106+H111+H115+H120+H124+H125+H126+H127+H129+H130+H131+H128</f>
        <v>0</v>
      </c>
      <c r="I45" s="887">
        <v>100</v>
      </c>
      <c r="J45" s="886">
        <f>J46+J52+J65+J71+J76+J82+J86+J90+J93+J94+J95+J101+J106+J111+J115+J120+J124+J125+J126+J127+J129+J130+J131+J128</f>
        <v>0</v>
      </c>
      <c r="K45" s="887">
        <v>100</v>
      </c>
      <c r="L45" s="3"/>
      <c r="M45" s="312"/>
      <c r="N45" s="256"/>
      <c r="O45" s="256"/>
      <c r="P45" s="256"/>
      <c r="Q45" s="256"/>
      <c r="R45" s="256"/>
      <c r="S45" s="256"/>
      <c r="T45" s="256"/>
      <c r="U45" s="360"/>
      <c r="V45" s="360"/>
      <c r="W45" s="360"/>
      <c r="X45" s="361"/>
    </row>
    <row r="46" spans="1:24" s="4" customFormat="1" ht="12.75" customHeight="1" x14ac:dyDescent="0.2">
      <c r="A46" s="53"/>
      <c r="B46" s="207" t="s">
        <v>0</v>
      </c>
      <c r="C46" s="212" t="s">
        <v>780</v>
      </c>
      <c r="D46" s="888">
        <f>SUM(D47:D51)</f>
        <v>0</v>
      </c>
      <c r="E46" s="889">
        <f>IF(D$45=0,0,100*D46/D$45)</f>
        <v>0</v>
      </c>
      <c r="F46" s="888">
        <f>SUM(F47:F51)</f>
        <v>0</v>
      </c>
      <c r="G46" s="889">
        <f>IF(F$45=0,0,100*F46/F$45)</f>
        <v>0</v>
      </c>
      <c r="H46" s="888">
        <f>SUM(H47:H51)</f>
        <v>0</v>
      </c>
      <c r="I46" s="889">
        <f>IF(H$45=0,0,100*H46/H$45)</f>
        <v>0</v>
      </c>
      <c r="J46" s="888">
        <f>SUM(J47:J51)</f>
        <v>0</v>
      </c>
      <c r="K46" s="889">
        <f>IF(J$45=0,0,100*J46/J$45)</f>
        <v>0</v>
      </c>
      <c r="L46" s="51"/>
      <c r="M46" s="243">
        <f>F$8</f>
        <v>2028</v>
      </c>
      <c r="N46" s="243">
        <f>H$8</f>
        <v>2029</v>
      </c>
      <c r="O46" s="243">
        <f>J$8</f>
        <v>2030</v>
      </c>
      <c r="P46" s="256"/>
      <c r="Q46" s="256"/>
      <c r="R46" s="256"/>
      <c r="S46" s="256"/>
      <c r="T46" s="256"/>
      <c r="U46" s="360"/>
      <c r="V46" s="360"/>
      <c r="W46" s="360"/>
      <c r="X46" s="361"/>
    </row>
    <row r="47" spans="1:24" s="52" customFormat="1" ht="12.6" customHeight="1" x14ac:dyDescent="0.2">
      <c r="A47" s="2"/>
      <c r="B47" s="208"/>
      <c r="C47" s="1718" t="s">
        <v>699</v>
      </c>
      <c r="D47" s="857">
        <v>0</v>
      </c>
      <c r="E47" s="858"/>
      <c r="F47" s="857">
        <f>D47+D47*M47</f>
        <v>0</v>
      </c>
      <c r="G47" s="858"/>
      <c r="H47" s="857">
        <f>F47+F47*N47</f>
        <v>0</v>
      </c>
      <c r="I47" s="858"/>
      <c r="J47" s="857">
        <f>H47+H47*O47</f>
        <v>0</v>
      </c>
      <c r="K47" s="858"/>
      <c r="L47" s="56"/>
      <c r="M47" s="315">
        <v>0.03</v>
      </c>
      <c r="N47" s="315">
        <f t="shared" ref="N47:O51" si="0">M47</f>
        <v>0.03</v>
      </c>
      <c r="O47" s="315">
        <f t="shared" si="0"/>
        <v>0.03</v>
      </c>
      <c r="P47" s="256"/>
      <c r="Q47" s="256"/>
      <c r="R47" s="256"/>
      <c r="S47" s="256"/>
      <c r="T47" s="256"/>
      <c r="U47" s="360"/>
      <c r="V47" s="360"/>
      <c r="W47" s="360"/>
      <c r="X47" s="361"/>
    </row>
    <row r="48" spans="1:24" s="52" customFormat="1" ht="12.6" customHeight="1" x14ac:dyDescent="0.2">
      <c r="A48" s="53"/>
      <c r="B48" s="208"/>
      <c r="C48" s="1718" t="s">
        <v>701</v>
      </c>
      <c r="D48" s="857">
        <v>0</v>
      </c>
      <c r="E48" s="858"/>
      <c r="F48" s="857">
        <f>D48+D48*M48</f>
        <v>0</v>
      </c>
      <c r="G48" s="858"/>
      <c r="H48" s="857">
        <f>F48+F48*N48</f>
        <v>0</v>
      </c>
      <c r="I48" s="858"/>
      <c r="J48" s="857">
        <f>H48+H48*O48</f>
        <v>0</v>
      </c>
      <c r="K48" s="858"/>
      <c r="L48" s="55"/>
      <c r="M48" s="315">
        <v>0.03</v>
      </c>
      <c r="N48" s="315">
        <f t="shared" si="0"/>
        <v>0.03</v>
      </c>
      <c r="O48" s="315">
        <f t="shared" si="0"/>
        <v>0.03</v>
      </c>
      <c r="P48" s="256"/>
      <c r="Q48" s="256"/>
      <c r="R48" s="256"/>
      <c r="S48" s="256"/>
      <c r="T48" s="256"/>
      <c r="U48" s="360"/>
      <c r="V48" s="360"/>
      <c r="W48" s="360"/>
      <c r="X48" s="361"/>
    </row>
    <row r="49" spans="1:24" s="52" customFormat="1" ht="12.6" customHeight="1" x14ac:dyDescent="0.2">
      <c r="A49"/>
      <c r="B49" s="208"/>
      <c r="C49" s="1718" t="s">
        <v>700</v>
      </c>
      <c r="D49" s="857">
        <v>0</v>
      </c>
      <c r="E49" s="858"/>
      <c r="F49" s="857">
        <f>D49+D49*M49</f>
        <v>0</v>
      </c>
      <c r="G49" s="858"/>
      <c r="H49" s="857">
        <f>F49+F49*N49</f>
        <v>0</v>
      </c>
      <c r="I49" s="858"/>
      <c r="J49" s="857">
        <f>H49+H49*O49</f>
        <v>0</v>
      </c>
      <c r="K49" s="858"/>
      <c r="L49" s="55"/>
      <c r="M49" s="315">
        <v>0.03</v>
      </c>
      <c r="N49" s="315">
        <f t="shared" si="0"/>
        <v>0.03</v>
      </c>
      <c r="O49" s="315">
        <f t="shared" si="0"/>
        <v>0.03</v>
      </c>
      <c r="P49" s="256"/>
      <c r="Q49" s="256"/>
      <c r="R49" s="256"/>
      <c r="S49" s="256"/>
      <c r="T49" s="256"/>
      <c r="U49" s="360"/>
      <c r="V49" s="360"/>
      <c r="W49" s="360"/>
      <c r="X49" s="361"/>
    </row>
    <row r="50" spans="1:24" s="52" customFormat="1" ht="12.6" customHeight="1" x14ac:dyDescent="0.2">
      <c r="A50" s="53"/>
      <c r="B50" s="208"/>
      <c r="C50" s="1718" t="s">
        <v>703</v>
      </c>
      <c r="D50" s="857">
        <v>0</v>
      </c>
      <c r="E50" s="858"/>
      <c r="F50" s="857">
        <f>D50+D50*M50</f>
        <v>0</v>
      </c>
      <c r="G50" s="858"/>
      <c r="H50" s="857">
        <f>F50+F50*N50</f>
        <v>0</v>
      </c>
      <c r="I50" s="858"/>
      <c r="J50" s="857">
        <f>H50+H50*O50</f>
        <v>0</v>
      </c>
      <c r="K50" s="858"/>
      <c r="L50" s="55"/>
      <c r="M50" s="315">
        <v>0.03</v>
      </c>
      <c r="N50" s="315">
        <f t="shared" si="0"/>
        <v>0.03</v>
      </c>
      <c r="O50" s="315">
        <f t="shared" si="0"/>
        <v>0.03</v>
      </c>
      <c r="P50" s="256"/>
      <c r="Q50" s="256"/>
      <c r="R50" s="256"/>
      <c r="S50" s="256"/>
      <c r="T50" s="256"/>
      <c r="U50" s="360"/>
      <c r="V50" s="360"/>
      <c r="W50" s="360"/>
      <c r="X50" s="361"/>
    </row>
    <row r="51" spans="1:24" s="52" customFormat="1" ht="12.6" customHeight="1" thickBot="1" x14ac:dyDescent="0.25">
      <c r="A51"/>
      <c r="B51" s="208"/>
      <c r="C51" s="1719" t="s">
        <v>702</v>
      </c>
      <c r="D51" s="857">
        <v>0</v>
      </c>
      <c r="E51" s="890"/>
      <c r="F51" s="857">
        <f>D51+D51*M51</f>
        <v>0</v>
      </c>
      <c r="G51" s="890"/>
      <c r="H51" s="891">
        <f>F51+F51*N51</f>
        <v>0</v>
      </c>
      <c r="I51" s="890"/>
      <c r="J51" s="891">
        <f>H51+H51*O51</f>
        <v>0</v>
      </c>
      <c r="K51" s="890"/>
      <c r="L51" s="55"/>
      <c r="M51" s="315">
        <v>0.03</v>
      </c>
      <c r="N51" s="315">
        <f t="shared" si="0"/>
        <v>0.03</v>
      </c>
      <c r="O51" s="315">
        <f t="shared" si="0"/>
        <v>0.03</v>
      </c>
      <c r="P51" s="256"/>
      <c r="Q51" s="256"/>
      <c r="R51" s="256"/>
      <c r="S51" s="256"/>
      <c r="T51" s="256"/>
      <c r="U51" s="360"/>
      <c r="V51" s="360"/>
      <c r="W51" s="360"/>
      <c r="X51" s="361"/>
    </row>
    <row r="52" spans="1:24" s="4" customFormat="1" ht="12.75" customHeight="1" x14ac:dyDescent="0.2">
      <c r="A52" s="53"/>
      <c r="B52" s="285" t="s">
        <v>0</v>
      </c>
      <c r="C52" s="286" t="s">
        <v>779</v>
      </c>
      <c r="D52" s="1650">
        <f>D53+D56+D57+D58+D59+D60+D61+D62+D63*0.003+D64</f>
        <v>0</v>
      </c>
      <c r="E52" s="1651">
        <f>IF(D$45=0,0,100*D52/D$45)</f>
        <v>0</v>
      </c>
      <c r="F52" s="1650">
        <f>F53+F56+F57+F58+F59+F60+F61+F62+F63*0.003+F64</f>
        <v>0</v>
      </c>
      <c r="G52" s="1651">
        <f>IF(F$45=0,0,100*F52/F$45)</f>
        <v>0</v>
      </c>
      <c r="H52" s="1650">
        <f>H53+H56+H57+H58+H59+H60+H61+H62+H63*0.003+H64</f>
        <v>0</v>
      </c>
      <c r="I52" s="1651">
        <f>IF(H$45=0,0,100*H52/H$45)</f>
        <v>0</v>
      </c>
      <c r="J52" s="1650">
        <f>J53+J56+J57+J58+J59+J60+J61+J62+J63*0.003+J64</f>
        <v>0</v>
      </c>
      <c r="K52" s="1651">
        <f>IF(J$45=0,0,100*J52/J$45)</f>
        <v>0</v>
      </c>
      <c r="L52" s="51"/>
      <c r="M52" s="1307"/>
      <c r="N52" s="1306"/>
      <c r="O52" s="1306"/>
      <c r="P52" s="256"/>
      <c r="Q52" s="256"/>
      <c r="R52" s="256" t="s">
        <v>0</v>
      </c>
      <c r="S52" s="256"/>
      <c r="T52" s="256"/>
      <c r="U52" s="360"/>
      <c r="V52" s="360"/>
      <c r="W52" s="360"/>
      <c r="X52" s="361"/>
    </row>
    <row r="53" spans="1:24" s="52" customFormat="1" ht="12.6" customHeight="1" x14ac:dyDescent="0.2">
      <c r="A53" s="2"/>
      <c r="B53" s="213"/>
      <c r="C53" s="1718" t="s">
        <v>704</v>
      </c>
      <c r="D53" s="872">
        <f>D54*D55</f>
        <v>0</v>
      </c>
      <c r="E53" s="858"/>
      <c r="F53" s="872">
        <f>F54*F55</f>
        <v>0</v>
      </c>
      <c r="G53" s="858"/>
      <c r="H53" s="872">
        <f>H54*H55</f>
        <v>0</v>
      </c>
      <c r="I53" s="858"/>
      <c r="J53" s="872">
        <f>J54*J55</f>
        <v>0</v>
      </c>
      <c r="K53" s="858"/>
      <c r="L53" s="56"/>
      <c r="M53" s="315">
        <v>0.03</v>
      </c>
      <c r="N53" s="315">
        <f t="shared" ref="N53:O64" si="1">M53</f>
        <v>0.03</v>
      </c>
      <c r="O53" s="315">
        <f t="shared" si="1"/>
        <v>0.03</v>
      </c>
      <c r="P53" s="256" t="s">
        <v>0</v>
      </c>
      <c r="Q53" s="256"/>
      <c r="R53" s="256"/>
      <c r="S53" s="256"/>
      <c r="T53" s="256"/>
      <c r="U53" s="360"/>
      <c r="V53" s="360"/>
      <c r="W53" s="360"/>
      <c r="X53" s="361"/>
    </row>
    <row r="54" spans="1:24" s="52" customFormat="1" ht="12.6" customHeight="1" x14ac:dyDescent="0.2">
      <c r="A54" s="53"/>
      <c r="B54" s="213"/>
      <c r="C54" s="1718" t="s">
        <v>705</v>
      </c>
      <c r="D54" s="857">
        <v>0</v>
      </c>
      <c r="E54" s="858"/>
      <c r="F54" s="857">
        <f>D54+D54*M54</f>
        <v>0</v>
      </c>
      <c r="G54" s="858"/>
      <c r="H54" s="857">
        <f>F54+F54*N54</f>
        <v>0</v>
      </c>
      <c r="I54" s="858"/>
      <c r="J54" s="857">
        <f>H54+H54*O54</f>
        <v>0</v>
      </c>
      <c r="K54" s="858"/>
      <c r="L54" s="56"/>
      <c r="M54" s="1303">
        <v>0.03</v>
      </c>
      <c r="N54" s="1303">
        <v>0.03</v>
      </c>
      <c r="O54" s="1303">
        <v>0.03</v>
      </c>
      <c r="P54" s="256"/>
      <c r="Q54" s="256"/>
      <c r="R54" s="256"/>
      <c r="S54" s="256"/>
      <c r="T54" s="256"/>
      <c r="U54" s="360"/>
      <c r="V54" s="360"/>
      <c r="W54" s="360"/>
      <c r="X54" s="361"/>
    </row>
    <row r="55" spans="1:24" s="52" customFormat="1" ht="12.6" customHeight="1" x14ac:dyDescent="0.2">
      <c r="A55"/>
      <c r="B55" s="213"/>
      <c r="C55" s="1718" t="s">
        <v>706</v>
      </c>
      <c r="D55" s="857">
        <f>D10</f>
        <v>12</v>
      </c>
      <c r="E55" s="858"/>
      <c r="F55" s="857" t="str">
        <f>F10</f>
        <v>12</v>
      </c>
      <c r="G55" s="858"/>
      <c r="H55" s="857" t="str">
        <f>F55</f>
        <v>12</v>
      </c>
      <c r="I55" s="858"/>
      <c r="J55" s="857" t="str">
        <f>H55</f>
        <v>12</v>
      </c>
      <c r="K55" s="858"/>
      <c r="L55" s="56"/>
      <c r="M55" s="1307"/>
      <c r="N55" s="1308"/>
      <c r="O55" s="1308"/>
      <c r="P55" s="256"/>
      <c r="Q55" s="256"/>
      <c r="R55" s="256"/>
      <c r="S55" s="256"/>
      <c r="T55" s="256"/>
      <c r="U55" s="360"/>
      <c r="V55" s="360"/>
      <c r="W55" s="360"/>
      <c r="X55" s="361"/>
    </row>
    <row r="56" spans="1:24" s="52" customFormat="1" ht="12.6" customHeight="1" x14ac:dyDescent="0.2">
      <c r="A56" s="53"/>
      <c r="B56" s="208"/>
      <c r="C56" s="1718" t="s">
        <v>707</v>
      </c>
      <c r="D56" s="857">
        <v>0</v>
      </c>
      <c r="E56" s="858"/>
      <c r="F56" s="857">
        <f t="shared" ref="F56:F64" si="2">D56+D56*M56</f>
        <v>0</v>
      </c>
      <c r="G56" s="858"/>
      <c r="H56" s="857">
        <f t="shared" ref="H56:H64" si="3">F56+F56*N56</f>
        <v>0</v>
      </c>
      <c r="I56" s="858"/>
      <c r="J56" s="857">
        <f t="shared" ref="J56:J64" si="4">H56+H56*O56</f>
        <v>0</v>
      </c>
      <c r="K56" s="858"/>
      <c r="L56" s="57"/>
      <c r="M56" s="1301">
        <v>0.03</v>
      </c>
      <c r="N56" s="1301">
        <f t="shared" si="1"/>
        <v>0.03</v>
      </c>
      <c r="O56" s="1301">
        <f t="shared" si="1"/>
        <v>0.03</v>
      </c>
      <c r="P56" s="256"/>
      <c r="Q56" s="256"/>
      <c r="R56" s="256"/>
      <c r="S56" s="256"/>
      <c r="T56" s="256"/>
      <c r="U56" s="360"/>
      <c r="V56" s="360"/>
      <c r="W56" s="360"/>
      <c r="X56" s="361"/>
    </row>
    <row r="57" spans="1:24" s="52" customFormat="1" ht="12.6" customHeight="1" x14ac:dyDescent="0.2">
      <c r="A57" s="2"/>
      <c r="B57" s="208"/>
      <c r="C57" s="1718" t="s">
        <v>708</v>
      </c>
      <c r="D57" s="857">
        <v>0</v>
      </c>
      <c r="E57" s="858"/>
      <c r="F57" s="857">
        <f t="shared" si="2"/>
        <v>0</v>
      </c>
      <c r="G57" s="858"/>
      <c r="H57" s="857">
        <f t="shared" si="3"/>
        <v>0</v>
      </c>
      <c r="I57" s="858"/>
      <c r="J57" s="857">
        <f t="shared" si="4"/>
        <v>0</v>
      </c>
      <c r="K57" s="858"/>
      <c r="L57" s="57"/>
      <c r="M57" s="315">
        <v>0.03</v>
      </c>
      <c r="N57" s="315">
        <f t="shared" si="1"/>
        <v>0.03</v>
      </c>
      <c r="O57" s="315">
        <f t="shared" si="1"/>
        <v>0.03</v>
      </c>
      <c r="P57" s="256"/>
      <c r="Q57" s="256"/>
      <c r="R57" s="256"/>
      <c r="S57" s="256"/>
      <c r="T57" s="256"/>
      <c r="U57" s="360"/>
      <c r="V57" s="360"/>
      <c r="W57" s="360"/>
      <c r="X57" s="361"/>
    </row>
    <row r="58" spans="1:24" s="52" customFormat="1" ht="12.6" customHeight="1" x14ac:dyDescent="0.2">
      <c r="A58" s="53"/>
      <c r="B58" s="208"/>
      <c r="C58" s="1718" t="s">
        <v>709</v>
      </c>
      <c r="D58" s="857">
        <v>0</v>
      </c>
      <c r="E58" s="858"/>
      <c r="F58" s="857">
        <f t="shared" si="2"/>
        <v>0</v>
      </c>
      <c r="G58" s="858"/>
      <c r="H58" s="857">
        <f t="shared" si="3"/>
        <v>0</v>
      </c>
      <c r="I58" s="858"/>
      <c r="J58" s="857">
        <f t="shared" si="4"/>
        <v>0</v>
      </c>
      <c r="K58" s="858"/>
      <c r="L58" s="57"/>
      <c r="M58" s="315">
        <v>0.03</v>
      </c>
      <c r="N58" s="315">
        <f t="shared" si="1"/>
        <v>0.03</v>
      </c>
      <c r="O58" s="315">
        <f t="shared" si="1"/>
        <v>0.03</v>
      </c>
      <c r="P58" s="256"/>
      <c r="Q58" s="256"/>
      <c r="R58" s="256"/>
      <c r="S58" s="256"/>
      <c r="T58" s="256"/>
      <c r="U58" s="360"/>
      <c r="V58" s="360"/>
      <c r="W58" s="360"/>
      <c r="X58" s="361"/>
    </row>
    <row r="59" spans="1:24" s="52" customFormat="1" ht="12.6" customHeight="1" x14ac:dyDescent="0.2">
      <c r="A59" s="4"/>
      <c r="B59" s="208"/>
      <c r="C59" s="1718" t="s">
        <v>710</v>
      </c>
      <c r="D59" s="857">
        <v>0</v>
      </c>
      <c r="E59" s="858"/>
      <c r="F59" s="857">
        <f t="shared" si="2"/>
        <v>0</v>
      </c>
      <c r="G59" s="858"/>
      <c r="H59" s="857">
        <f t="shared" si="3"/>
        <v>0</v>
      </c>
      <c r="I59" s="858"/>
      <c r="J59" s="857">
        <f t="shared" si="4"/>
        <v>0</v>
      </c>
      <c r="K59" s="858"/>
      <c r="L59" s="57"/>
      <c r="M59" s="315">
        <v>0.03</v>
      </c>
      <c r="N59" s="315">
        <f t="shared" si="1"/>
        <v>0.03</v>
      </c>
      <c r="O59" s="315">
        <f t="shared" si="1"/>
        <v>0.03</v>
      </c>
      <c r="P59" s="256"/>
      <c r="Q59" s="256"/>
      <c r="R59" s="256"/>
      <c r="S59" s="256"/>
      <c r="T59" s="256"/>
      <c r="U59" s="360"/>
      <c r="V59" s="360"/>
      <c r="W59" s="360"/>
      <c r="X59" s="361"/>
    </row>
    <row r="60" spans="1:24" s="52" customFormat="1" ht="12.6" customHeight="1" x14ac:dyDescent="0.2">
      <c r="A60" s="4"/>
      <c r="B60" s="208"/>
      <c r="C60" s="1718" t="s">
        <v>715</v>
      </c>
      <c r="D60" s="857">
        <v>0</v>
      </c>
      <c r="E60" s="858"/>
      <c r="F60" s="857">
        <f t="shared" si="2"/>
        <v>0</v>
      </c>
      <c r="G60" s="858"/>
      <c r="H60" s="857">
        <f t="shared" si="3"/>
        <v>0</v>
      </c>
      <c r="I60" s="858"/>
      <c r="J60" s="857">
        <f t="shared" si="4"/>
        <v>0</v>
      </c>
      <c r="K60" s="858"/>
      <c r="L60" s="57"/>
      <c r="M60" s="315">
        <v>0.03</v>
      </c>
      <c r="N60" s="315">
        <f t="shared" si="1"/>
        <v>0.03</v>
      </c>
      <c r="O60" s="315">
        <f t="shared" si="1"/>
        <v>0.03</v>
      </c>
      <c r="P60" s="256"/>
      <c r="Q60" s="256"/>
      <c r="R60" s="256"/>
      <c r="S60" s="256"/>
      <c r="T60" s="256"/>
      <c r="U60" s="360"/>
      <c r="V60" s="360"/>
      <c r="W60" s="360"/>
      <c r="X60" s="361"/>
    </row>
    <row r="61" spans="1:24" s="52" customFormat="1" ht="12.6" customHeight="1" x14ac:dyDescent="0.2">
      <c r="B61" s="208"/>
      <c r="C61" s="1718" t="s">
        <v>711</v>
      </c>
      <c r="D61" s="857">
        <v>0</v>
      </c>
      <c r="E61" s="858"/>
      <c r="F61" s="857">
        <f t="shared" si="2"/>
        <v>0</v>
      </c>
      <c r="G61" s="858"/>
      <c r="H61" s="857">
        <f t="shared" si="3"/>
        <v>0</v>
      </c>
      <c r="I61" s="858"/>
      <c r="J61" s="857">
        <f t="shared" si="4"/>
        <v>0</v>
      </c>
      <c r="K61" s="858"/>
      <c r="L61" s="57"/>
      <c r="M61" s="315">
        <v>0.03</v>
      </c>
      <c r="N61" s="315">
        <f t="shared" si="1"/>
        <v>0.03</v>
      </c>
      <c r="O61" s="315">
        <f t="shared" si="1"/>
        <v>0.03</v>
      </c>
      <c r="P61" s="256"/>
      <c r="Q61" s="256"/>
      <c r="R61" s="256"/>
      <c r="S61" s="256"/>
      <c r="T61" s="256"/>
      <c r="U61" s="360"/>
      <c r="V61" s="360"/>
      <c r="W61" s="360"/>
      <c r="X61" s="361"/>
    </row>
    <row r="62" spans="1:24" s="52" customFormat="1" ht="12.6" customHeight="1" x14ac:dyDescent="0.2">
      <c r="B62" s="208"/>
      <c r="C62" s="1718" t="s">
        <v>712</v>
      </c>
      <c r="D62" s="857">
        <v>0</v>
      </c>
      <c r="E62" s="858"/>
      <c r="F62" s="857">
        <f t="shared" si="2"/>
        <v>0</v>
      </c>
      <c r="G62" s="858"/>
      <c r="H62" s="857">
        <f t="shared" si="3"/>
        <v>0</v>
      </c>
      <c r="I62" s="858"/>
      <c r="J62" s="857">
        <f t="shared" si="4"/>
        <v>0</v>
      </c>
      <c r="K62" s="858"/>
      <c r="L62" s="57"/>
      <c r="M62" s="315">
        <v>0.03</v>
      </c>
      <c r="N62" s="315">
        <f t="shared" si="1"/>
        <v>0.03</v>
      </c>
      <c r="O62" s="315">
        <f t="shared" si="1"/>
        <v>0.03</v>
      </c>
      <c r="P62" s="256"/>
      <c r="Q62" s="256"/>
      <c r="R62" s="256"/>
      <c r="S62" s="256"/>
      <c r="T62" s="256"/>
      <c r="U62" s="360"/>
      <c r="V62" s="360"/>
      <c r="W62" s="360"/>
      <c r="X62" s="361"/>
    </row>
    <row r="63" spans="1:24" s="52" customFormat="1" ht="12.6" customHeight="1" x14ac:dyDescent="0.2">
      <c r="B63" s="208"/>
      <c r="C63" s="1718" t="s">
        <v>713</v>
      </c>
      <c r="D63" s="857">
        <v>0</v>
      </c>
      <c r="E63" s="858"/>
      <c r="F63" s="857">
        <f t="shared" si="2"/>
        <v>0</v>
      </c>
      <c r="G63" s="858">
        <v>0</v>
      </c>
      <c r="H63" s="857">
        <f t="shared" si="3"/>
        <v>0</v>
      </c>
      <c r="I63" s="858"/>
      <c r="J63" s="857">
        <f t="shared" si="4"/>
        <v>0</v>
      </c>
      <c r="K63" s="858"/>
      <c r="L63" s="57"/>
      <c r="M63" s="315">
        <v>0.03</v>
      </c>
      <c r="N63" s="315">
        <f t="shared" si="1"/>
        <v>0.03</v>
      </c>
      <c r="O63" s="315">
        <f t="shared" si="1"/>
        <v>0.03</v>
      </c>
      <c r="P63" s="256"/>
      <c r="Q63" s="256"/>
      <c r="R63" s="256"/>
      <c r="S63" s="256"/>
      <c r="T63" s="256"/>
      <c r="U63" s="360"/>
      <c r="V63" s="360"/>
      <c r="W63" s="360"/>
      <c r="X63" s="361"/>
    </row>
    <row r="64" spans="1:24" s="52" customFormat="1" ht="12.6" customHeight="1" thickBot="1" x14ac:dyDescent="0.25">
      <c r="B64" s="208"/>
      <c r="C64" s="1720" t="s">
        <v>714</v>
      </c>
      <c r="D64" s="857">
        <v>0</v>
      </c>
      <c r="E64" s="892"/>
      <c r="F64" s="857">
        <f t="shared" si="2"/>
        <v>0</v>
      </c>
      <c r="G64" s="892"/>
      <c r="H64" s="857">
        <f t="shared" si="3"/>
        <v>0</v>
      </c>
      <c r="I64" s="892"/>
      <c r="J64" s="857">
        <f t="shared" si="4"/>
        <v>0</v>
      </c>
      <c r="K64" s="892"/>
      <c r="L64" s="57"/>
      <c r="M64" s="315">
        <v>0.03</v>
      </c>
      <c r="N64" s="315">
        <f t="shared" si="1"/>
        <v>0.03</v>
      </c>
      <c r="O64" s="315">
        <f t="shared" si="1"/>
        <v>0.03</v>
      </c>
      <c r="P64" s="256"/>
      <c r="Q64" s="256"/>
      <c r="R64" s="256"/>
      <c r="S64" s="256"/>
      <c r="T64" s="256"/>
      <c r="U64" s="360"/>
      <c r="V64" s="360"/>
      <c r="W64" s="360"/>
      <c r="X64" s="361"/>
    </row>
    <row r="65" spans="1:24" s="4" customFormat="1" ht="12.75" customHeight="1" x14ac:dyDescent="0.2">
      <c r="B65" s="207"/>
      <c r="C65" s="212" t="s">
        <v>855</v>
      </c>
      <c r="D65" s="1652">
        <f>IF(D69=0,0,PMT(D69/12,D68,(-D67+D70*D67)*D66))+D67*D70*(D69+3%)+IF(D69=0,0,D66*20)</f>
        <v>0</v>
      </c>
      <c r="E65" s="889">
        <f>IF(D$45=0,0,100*D65/D$45)</f>
        <v>0</v>
      </c>
      <c r="F65" s="888">
        <f>IF(F69=0,0,PMT(F69/12,F68,(-F67+F70*F67)*F66))+F67*F70*(F69+3%)+IF(F69=0,0,F66*20)</f>
        <v>0</v>
      </c>
      <c r="G65" s="889">
        <f>IF(F$45=0,0,100*F65/F$45)</f>
        <v>0</v>
      </c>
      <c r="H65" s="888">
        <f>IF(H69=0,0,PMT(H69/12,H68,(-H67+H70*H67)*H66))+H67*H70*(H69+3%)+IF(H69=0,0,H66*20)</f>
        <v>0</v>
      </c>
      <c r="I65" s="889">
        <f>IF(H$45=0,0,100*H65/H$45)</f>
        <v>0</v>
      </c>
      <c r="J65" s="888">
        <f>IF(J69=0,0,PMT(J69/12,J68,(-J67+J70*J67)*J66))+J67*J70*(J69+3%)+IF(J69=0,0,J66*20)</f>
        <v>0</v>
      </c>
      <c r="K65" s="889">
        <f>IF(J$45=0,0,100*J65/J$45)</f>
        <v>0</v>
      </c>
      <c r="L65" s="32"/>
      <c r="M65" s="965"/>
      <c r="N65" s="966"/>
      <c r="O65" s="966"/>
      <c r="P65" s="256"/>
      <c r="Q65" s="256"/>
      <c r="R65" s="256"/>
      <c r="S65" s="256"/>
      <c r="T65" s="256"/>
      <c r="U65" s="360"/>
      <c r="V65" s="360"/>
      <c r="W65" s="360"/>
      <c r="X65" s="361"/>
    </row>
    <row r="66" spans="1:24" s="4" customFormat="1" ht="12.75" customHeight="1" x14ac:dyDescent="0.2">
      <c r="B66" s="207"/>
      <c r="C66" s="1718" t="s">
        <v>810</v>
      </c>
      <c r="D66" s="893">
        <v>12</v>
      </c>
      <c r="E66" s="894"/>
      <c r="F66" s="893">
        <v>12</v>
      </c>
      <c r="G66" s="894"/>
      <c r="H66" s="893">
        <v>12</v>
      </c>
      <c r="I66" s="894">
        <v>0</v>
      </c>
      <c r="J66" s="893">
        <v>12</v>
      </c>
      <c r="K66" s="858"/>
      <c r="L66" s="32"/>
      <c r="M66" s="312"/>
      <c r="N66" s="256"/>
      <c r="O66" s="256"/>
      <c r="P66" s="256"/>
      <c r="Q66" s="256"/>
      <c r="R66" s="256"/>
      <c r="S66" s="256"/>
      <c r="T66" s="256"/>
      <c r="U66" s="360"/>
      <c r="V66" s="360"/>
      <c r="W66" s="360"/>
      <c r="X66" s="361"/>
    </row>
    <row r="67" spans="1:24" s="4" customFormat="1" ht="12.75" customHeight="1" x14ac:dyDescent="0.2">
      <c r="B67" s="207"/>
      <c r="C67" s="1721" t="s">
        <v>726</v>
      </c>
      <c r="D67" s="895">
        <v>0</v>
      </c>
      <c r="E67" s="866"/>
      <c r="F67" s="857">
        <f>IF(F66=0,0,D67)</f>
        <v>0</v>
      </c>
      <c r="G67" s="896"/>
      <c r="H67" s="857">
        <f>IF(H66=0,0,F67)</f>
        <v>0</v>
      </c>
      <c r="I67" s="896"/>
      <c r="J67" s="857">
        <f>IF(J66=0,0,H67)</f>
        <v>0</v>
      </c>
      <c r="K67" s="866"/>
      <c r="L67" s="32"/>
      <c r="M67" s="312"/>
      <c r="N67" s="256"/>
      <c r="O67" s="256"/>
      <c r="P67" s="256"/>
      <c r="Q67" s="256"/>
      <c r="R67" s="256"/>
      <c r="S67" s="256"/>
      <c r="T67" s="256"/>
      <c r="U67" s="360"/>
      <c r="V67" s="360"/>
      <c r="W67" s="360"/>
      <c r="X67" s="361"/>
    </row>
    <row r="68" spans="1:24" s="4" customFormat="1" ht="12.75" customHeight="1" x14ac:dyDescent="0.2">
      <c r="B68" s="207"/>
      <c r="C68" s="1721" t="s">
        <v>727</v>
      </c>
      <c r="D68" s="857">
        <v>0</v>
      </c>
      <c r="E68" s="858"/>
      <c r="F68" s="893">
        <f>D68</f>
        <v>0</v>
      </c>
      <c r="G68" s="858"/>
      <c r="H68" s="893">
        <f>F68</f>
        <v>0</v>
      </c>
      <c r="I68" s="858"/>
      <c r="J68" s="893">
        <f>H68</f>
        <v>0</v>
      </c>
      <c r="K68" s="858"/>
      <c r="L68" s="32"/>
      <c r="M68" s="1560"/>
      <c r="N68" s="256"/>
      <c r="O68" s="256"/>
      <c r="P68" s="256"/>
      <c r="Q68" s="256"/>
      <c r="R68" s="256"/>
      <c r="S68" s="256"/>
      <c r="T68" s="256"/>
      <c r="U68" s="360"/>
      <c r="V68" s="360"/>
      <c r="W68" s="360"/>
      <c r="X68" s="361"/>
    </row>
    <row r="69" spans="1:24" s="4" customFormat="1" ht="12.75" customHeight="1" x14ac:dyDescent="0.2">
      <c r="B69" s="207"/>
      <c r="C69" s="1721" t="s">
        <v>820</v>
      </c>
      <c r="D69" s="897">
        <v>0</v>
      </c>
      <c r="E69" s="858"/>
      <c r="F69" s="897">
        <f>IF(F66=0,0,D69)</f>
        <v>0</v>
      </c>
      <c r="G69" s="858"/>
      <c r="H69" s="897">
        <f>IF(H68=0,0,F69)</f>
        <v>0</v>
      </c>
      <c r="I69" s="858"/>
      <c r="J69" s="897">
        <f>IF(J68=0,0,H69)</f>
        <v>0</v>
      </c>
      <c r="K69" s="858"/>
      <c r="L69" s="32"/>
      <c r="M69" s="312"/>
      <c r="N69" s="256"/>
      <c r="O69" s="256"/>
      <c r="P69" s="256"/>
      <c r="Q69" s="256"/>
      <c r="R69" s="256"/>
      <c r="S69" s="256"/>
      <c r="T69" s="256"/>
      <c r="U69" s="360"/>
      <c r="V69" s="360"/>
      <c r="W69" s="360"/>
      <c r="X69" s="361"/>
    </row>
    <row r="70" spans="1:24" s="4" customFormat="1" ht="12.75" customHeight="1" thickBot="1" x14ac:dyDescent="0.25">
      <c r="B70" s="207"/>
      <c r="C70" s="1721" t="s">
        <v>728</v>
      </c>
      <c r="D70" s="897">
        <v>0.3</v>
      </c>
      <c r="E70" s="866"/>
      <c r="F70" s="897">
        <f>D70</f>
        <v>0.3</v>
      </c>
      <c r="G70" s="866"/>
      <c r="H70" s="897">
        <f>F70</f>
        <v>0.3</v>
      </c>
      <c r="I70" s="866"/>
      <c r="J70" s="897">
        <f>H70</f>
        <v>0.3</v>
      </c>
      <c r="K70" s="866"/>
      <c r="L70" s="32"/>
      <c r="M70" s="967"/>
      <c r="N70" s="648"/>
      <c r="O70" s="648"/>
      <c r="P70" s="648"/>
      <c r="Q70" s="648"/>
      <c r="R70" s="648"/>
      <c r="S70" s="648"/>
      <c r="T70" s="648"/>
      <c r="U70" s="649"/>
      <c r="V70" s="649"/>
      <c r="W70" s="649"/>
      <c r="X70" s="650"/>
    </row>
    <row r="71" spans="1:24" s="4" customFormat="1" ht="12.75" customHeight="1" x14ac:dyDescent="0.2">
      <c r="A71"/>
      <c r="B71" s="207"/>
      <c r="C71" s="212" t="s">
        <v>856</v>
      </c>
      <c r="D71" s="1652">
        <f>SUM(D72:D75)</f>
        <v>0</v>
      </c>
      <c r="E71" s="889">
        <f>IF(D$45=0,0,100*D71/D$45)</f>
        <v>0</v>
      </c>
      <c r="F71" s="888">
        <f>SUM(F72:F75)</f>
        <v>0</v>
      </c>
      <c r="G71" s="889">
        <f>IF(F$45=0,0,100*F71/F$45)</f>
        <v>0</v>
      </c>
      <c r="H71" s="888">
        <f>SUM(H72:H75)</f>
        <v>0</v>
      </c>
      <c r="I71" s="889">
        <f>IF(H$45=0,0,100*H71/H$45)</f>
        <v>0</v>
      </c>
      <c r="J71" s="888">
        <f>SUM(J72:J75)</f>
        <v>0</v>
      </c>
      <c r="K71" s="889">
        <f>IF(J$45=0,0,100*J71/J$45)</f>
        <v>0</v>
      </c>
      <c r="L71" s="32"/>
      <c r="M71" s="647">
        <f>F$8</f>
        <v>2028</v>
      </c>
      <c r="N71" s="647">
        <f>H$8</f>
        <v>2029</v>
      </c>
      <c r="O71" s="647">
        <f>J$8</f>
        <v>2030</v>
      </c>
      <c r="P71" s="256"/>
      <c r="Q71" s="256"/>
      <c r="R71" s="256"/>
      <c r="S71" s="256"/>
      <c r="T71" s="256"/>
      <c r="U71" s="360"/>
      <c r="V71" s="360"/>
      <c r="W71" s="360"/>
      <c r="X71" s="361"/>
    </row>
    <row r="72" spans="1:24" s="52" customFormat="1" ht="12.6" customHeight="1" x14ac:dyDescent="0.2">
      <c r="A72"/>
      <c r="B72" s="208"/>
      <c r="C72" s="1718" t="s">
        <v>716</v>
      </c>
      <c r="D72" s="857">
        <v>0</v>
      </c>
      <c r="E72" s="858"/>
      <c r="F72" s="857">
        <f>D72+D72*M72</f>
        <v>0</v>
      </c>
      <c r="G72" s="858"/>
      <c r="H72" s="857">
        <f>F72+F72*N72</f>
        <v>0</v>
      </c>
      <c r="I72" s="858"/>
      <c r="J72" s="857">
        <f>H72+H72*O72</f>
        <v>0</v>
      </c>
      <c r="K72" s="858"/>
      <c r="L72" s="55"/>
      <c r="M72" s="315">
        <v>0.03</v>
      </c>
      <c r="N72" s="315">
        <f t="shared" ref="N72:O75" si="5">M72</f>
        <v>0.03</v>
      </c>
      <c r="O72" s="315">
        <f t="shared" si="5"/>
        <v>0.03</v>
      </c>
      <c r="P72" s="256"/>
      <c r="Q72" s="256"/>
      <c r="R72" s="256"/>
      <c r="S72" s="256"/>
      <c r="T72" s="256"/>
      <c r="U72" s="360"/>
      <c r="V72" s="360"/>
      <c r="W72" s="360"/>
      <c r="X72" s="361"/>
    </row>
    <row r="73" spans="1:24" s="52" customFormat="1" ht="12.6" customHeight="1" x14ac:dyDescent="0.2">
      <c r="A73"/>
      <c r="B73" s="208"/>
      <c r="C73" s="1718" t="s">
        <v>717</v>
      </c>
      <c r="D73" s="857">
        <v>0</v>
      </c>
      <c r="E73" s="858"/>
      <c r="F73" s="857">
        <f>D73+D73*M73</f>
        <v>0</v>
      </c>
      <c r="G73" s="858"/>
      <c r="H73" s="857">
        <f>F73+F73*N73</f>
        <v>0</v>
      </c>
      <c r="I73" s="858"/>
      <c r="J73" s="857">
        <f>H73+H73*O73</f>
        <v>0</v>
      </c>
      <c r="K73" s="858"/>
      <c r="L73" s="55"/>
      <c r="M73" s="315">
        <v>0.03</v>
      </c>
      <c r="N73" s="315">
        <f t="shared" si="5"/>
        <v>0.03</v>
      </c>
      <c r="O73" s="315">
        <f t="shared" si="5"/>
        <v>0.03</v>
      </c>
      <c r="P73" s="256"/>
      <c r="Q73" s="256"/>
      <c r="R73" s="256"/>
      <c r="S73" s="256"/>
      <c r="T73" s="256"/>
      <c r="U73" s="360"/>
      <c r="V73" s="360"/>
      <c r="W73" s="360"/>
      <c r="X73" s="361"/>
    </row>
    <row r="74" spans="1:24" s="52" customFormat="1" ht="12.6" customHeight="1" x14ac:dyDescent="0.2">
      <c r="A74"/>
      <c r="B74" s="208"/>
      <c r="C74" s="1718" t="s">
        <v>718</v>
      </c>
      <c r="D74" s="857">
        <v>0</v>
      </c>
      <c r="E74" s="858"/>
      <c r="F74" s="857">
        <f>D74+D74*M74</f>
        <v>0</v>
      </c>
      <c r="G74" s="858"/>
      <c r="H74" s="857">
        <f>F74+F74*N74</f>
        <v>0</v>
      </c>
      <c r="I74" s="858"/>
      <c r="J74" s="857">
        <f>H74+H74*O74</f>
        <v>0</v>
      </c>
      <c r="K74" s="858"/>
      <c r="L74" s="55"/>
      <c r="M74" s="315">
        <v>0.03</v>
      </c>
      <c r="N74" s="315">
        <f t="shared" si="5"/>
        <v>0.03</v>
      </c>
      <c r="O74" s="315">
        <f t="shared" si="5"/>
        <v>0.03</v>
      </c>
      <c r="P74" s="256"/>
      <c r="Q74" s="256"/>
      <c r="R74" s="256"/>
      <c r="S74" s="256"/>
      <c r="T74" s="256"/>
      <c r="U74" s="360"/>
      <c r="V74" s="360"/>
      <c r="W74" s="360"/>
      <c r="X74" s="361"/>
    </row>
    <row r="75" spans="1:24" s="52" customFormat="1" ht="12.6" customHeight="1" thickBot="1" x14ac:dyDescent="0.25">
      <c r="A75"/>
      <c r="B75" s="208"/>
      <c r="C75" s="1720" t="s">
        <v>719</v>
      </c>
      <c r="D75" s="898">
        <v>0</v>
      </c>
      <c r="E75" s="892"/>
      <c r="F75" s="898">
        <f>D75+D75*M75</f>
        <v>0</v>
      </c>
      <c r="G75" s="892"/>
      <c r="H75" s="898">
        <f>F75+F75*N75</f>
        <v>0</v>
      </c>
      <c r="I75" s="892"/>
      <c r="J75" s="898">
        <f>H75+H75*O75</f>
        <v>0</v>
      </c>
      <c r="K75" s="892"/>
      <c r="L75" s="55"/>
      <c r="M75" s="315">
        <v>0.03</v>
      </c>
      <c r="N75" s="315">
        <f t="shared" si="5"/>
        <v>0.03</v>
      </c>
      <c r="O75" s="315">
        <f t="shared" si="5"/>
        <v>0.03</v>
      </c>
      <c r="P75" s="256"/>
      <c r="R75" s="256"/>
      <c r="S75" s="256"/>
      <c r="T75" s="256"/>
      <c r="U75" s="360"/>
      <c r="V75" s="360"/>
      <c r="W75" s="360"/>
      <c r="X75" s="361"/>
    </row>
    <row r="76" spans="1:24" s="4" customFormat="1" ht="12.75" customHeight="1" x14ac:dyDescent="0.2">
      <c r="A76"/>
      <c r="B76" s="207"/>
      <c r="C76" s="214" t="s">
        <v>778</v>
      </c>
      <c r="D76" s="815">
        <f>SUM(D77:D81)</f>
        <v>0</v>
      </c>
      <c r="E76" s="889">
        <f>IF(D$45=0,0,100*D76/D$45)</f>
        <v>0</v>
      </c>
      <c r="F76" s="764">
        <f>SUM(F77:F81)</f>
        <v>0</v>
      </c>
      <c r="G76" s="889">
        <f>IF(F$45=0,0,100*F76/F$45)</f>
        <v>0</v>
      </c>
      <c r="H76" s="764">
        <f>SUM(H77:H81)</f>
        <v>0</v>
      </c>
      <c r="I76" s="889">
        <f>IF(H$45=0,0,100*H76/H$45)</f>
        <v>0</v>
      </c>
      <c r="J76" s="764">
        <f>SUM(J77:J81)</f>
        <v>0</v>
      </c>
      <c r="K76" s="889">
        <f>IF(J$45=0,0,100*J76/J$45)</f>
        <v>0</v>
      </c>
      <c r="L76" s="32"/>
      <c r="M76" s="1310"/>
      <c r="P76" s="256"/>
      <c r="Q76" s="256"/>
      <c r="R76" s="256"/>
      <c r="S76" s="256"/>
      <c r="T76" s="256"/>
      <c r="U76" s="360"/>
      <c r="V76" s="360"/>
      <c r="W76" s="360"/>
      <c r="X76" s="361"/>
    </row>
    <row r="77" spans="1:24" s="52" customFormat="1" ht="12.6" customHeight="1" x14ac:dyDescent="0.2">
      <c r="A77"/>
      <c r="B77" s="208"/>
      <c r="C77" s="1718" t="s">
        <v>720</v>
      </c>
      <c r="D77" s="857">
        <v>0</v>
      </c>
      <c r="E77" s="858"/>
      <c r="F77" s="857">
        <f>D77+D77*M77</f>
        <v>0</v>
      </c>
      <c r="G77" s="858"/>
      <c r="H77" s="857">
        <f>F77+F77*N77</f>
        <v>0</v>
      </c>
      <c r="I77" s="858"/>
      <c r="J77" s="857">
        <f>H77+H77*O77</f>
        <v>0</v>
      </c>
      <c r="K77" s="858"/>
      <c r="L77" s="55"/>
      <c r="M77" s="315">
        <v>0.03</v>
      </c>
      <c r="N77" s="315">
        <f t="shared" ref="N77:O81" si="6">M77</f>
        <v>0.03</v>
      </c>
      <c r="O77" s="315">
        <f t="shared" si="6"/>
        <v>0.03</v>
      </c>
      <c r="P77" s="256"/>
      <c r="Q77" s="256"/>
      <c r="R77" s="256"/>
      <c r="S77" s="256"/>
      <c r="T77" s="256"/>
      <c r="U77" s="360"/>
      <c r="V77" s="360"/>
      <c r="W77" s="360"/>
      <c r="X77" s="361"/>
    </row>
    <row r="78" spans="1:24" s="52" customFormat="1" ht="12.6" customHeight="1" x14ac:dyDescent="0.2">
      <c r="A78"/>
      <c r="B78" s="208"/>
      <c r="C78" s="1718" t="s">
        <v>721</v>
      </c>
      <c r="D78" s="857">
        <v>0</v>
      </c>
      <c r="E78" s="858"/>
      <c r="F78" s="857">
        <f>D78+D78*M78</f>
        <v>0</v>
      </c>
      <c r="G78" s="858"/>
      <c r="H78" s="857">
        <f>F78+F78*N78</f>
        <v>0</v>
      </c>
      <c r="I78" s="858"/>
      <c r="J78" s="857">
        <f>H78+H78*O78</f>
        <v>0</v>
      </c>
      <c r="K78" s="858"/>
      <c r="L78" s="55"/>
      <c r="M78" s="315">
        <v>0.03</v>
      </c>
      <c r="N78" s="315">
        <f t="shared" si="6"/>
        <v>0.03</v>
      </c>
      <c r="O78" s="315">
        <f t="shared" si="6"/>
        <v>0.03</v>
      </c>
      <c r="P78" s="256"/>
      <c r="Q78" s="256"/>
      <c r="R78" s="256"/>
      <c r="S78" s="256"/>
      <c r="T78" s="256"/>
      <c r="U78" s="360"/>
      <c r="V78" s="360"/>
      <c r="W78" s="360"/>
      <c r="X78" s="361"/>
    </row>
    <row r="79" spans="1:24" s="52" customFormat="1" ht="12.6" customHeight="1" x14ac:dyDescent="0.2">
      <c r="A79"/>
      <c r="B79" s="208"/>
      <c r="C79" s="1718" t="s">
        <v>722</v>
      </c>
      <c r="D79" s="857">
        <v>0</v>
      </c>
      <c r="E79" s="858"/>
      <c r="F79" s="857">
        <f>D79+D79*M79</f>
        <v>0</v>
      </c>
      <c r="G79" s="858"/>
      <c r="H79" s="857">
        <f>F79+F79*N79</f>
        <v>0</v>
      </c>
      <c r="I79" s="858"/>
      <c r="J79" s="857">
        <f>H79+H79*O79</f>
        <v>0</v>
      </c>
      <c r="K79" s="858"/>
      <c r="L79" s="55"/>
      <c r="M79" s="315">
        <v>0.03</v>
      </c>
      <c r="N79" s="315">
        <f t="shared" si="6"/>
        <v>0.03</v>
      </c>
      <c r="O79" s="315">
        <f t="shared" si="6"/>
        <v>0.03</v>
      </c>
      <c r="P79" s="256"/>
      <c r="Q79" s="256"/>
      <c r="R79" s="256"/>
      <c r="S79" s="256"/>
      <c r="T79" s="256"/>
      <c r="U79" s="360"/>
      <c r="V79" s="360"/>
      <c r="W79" s="360"/>
      <c r="X79" s="361"/>
    </row>
    <row r="80" spans="1:24" s="52" customFormat="1" ht="12.6" customHeight="1" x14ac:dyDescent="0.2">
      <c r="A80"/>
      <c r="B80" s="208"/>
      <c r="C80" s="1718" t="s">
        <v>723</v>
      </c>
      <c r="D80" s="857">
        <v>0</v>
      </c>
      <c r="E80" s="858"/>
      <c r="F80" s="857">
        <f>D80+D80*M80</f>
        <v>0</v>
      </c>
      <c r="G80" s="858"/>
      <c r="H80" s="857">
        <f>F80+F80*N80</f>
        <v>0</v>
      </c>
      <c r="I80" s="858"/>
      <c r="J80" s="857">
        <f>H80+H80*O80</f>
        <v>0</v>
      </c>
      <c r="K80" s="858"/>
      <c r="L80" s="55"/>
      <c r="M80" s="315">
        <v>0.03</v>
      </c>
      <c r="N80" s="315">
        <f t="shared" si="6"/>
        <v>0.03</v>
      </c>
      <c r="O80" s="315">
        <f t="shared" si="6"/>
        <v>0.03</v>
      </c>
      <c r="P80" s="256"/>
      <c r="Q80" s="256"/>
      <c r="R80" s="256"/>
      <c r="S80" s="256"/>
      <c r="T80" s="256"/>
      <c r="U80" s="360"/>
      <c r="V80" s="360"/>
      <c r="W80" s="360"/>
      <c r="X80" s="361"/>
    </row>
    <row r="81" spans="1:24" s="52" customFormat="1" ht="12.6" customHeight="1" thickBot="1" x14ac:dyDescent="0.25">
      <c r="A81"/>
      <c r="B81" s="208"/>
      <c r="C81" s="1720" t="s">
        <v>724</v>
      </c>
      <c r="D81" s="857">
        <v>0</v>
      </c>
      <c r="E81" s="892"/>
      <c r="F81" s="857">
        <f>D81+D81*M81</f>
        <v>0</v>
      </c>
      <c r="G81" s="892"/>
      <c r="H81" s="857">
        <f>F81+F81*N81</f>
        <v>0</v>
      </c>
      <c r="I81" s="892"/>
      <c r="J81" s="857">
        <f>H81+H81*O81</f>
        <v>0</v>
      </c>
      <c r="K81" s="892"/>
      <c r="L81" s="55"/>
      <c r="M81" s="315">
        <v>0.03</v>
      </c>
      <c r="N81" s="315">
        <f t="shared" si="6"/>
        <v>0.03</v>
      </c>
      <c r="O81" s="315">
        <f t="shared" si="6"/>
        <v>0.03</v>
      </c>
      <c r="P81" s="256"/>
      <c r="Q81" s="256"/>
      <c r="R81" s="256"/>
      <c r="S81" s="256"/>
      <c r="T81" s="256"/>
      <c r="U81" s="360"/>
      <c r="V81" s="360"/>
      <c r="W81" s="360"/>
      <c r="X81" s="361"/>
    </row>
    <row r="82" spans="1:24" s="4" customFormat="1" ht="12.75" customHeight="1" x14ac:dyDescent="0.2">
      <c r="A82"/>
      <c r="B82" s="207"/>
      <c r="C82" s="214" t="s">
        <v>777</v>
      </c>
      <c r="D82" s="1652">
        <f>SUM(D83:D85)</f>
        <v>0</v>
      </c>
      <c r="E82" s="889">
        <f>IF(D$45=0,0,100*D82/D$45)</f>
        <v>0</v>
      </c>
      <c r="F82" s="888">
        <f>SUM(F83:F85)</f>
        <v>0</v>
      </c>
      <c r="G82" s="889">
        <f>IF(F$45=0,0,100*F82/F$45)</f>
        <v>0</v>
      </c>
      <c r="H82" s="888">
        <f>SUM(H83:H85)</f>
        <v>0</v>
      </c>
      <c r="I82" s="889">
        <f>IF(H$45=0,0,100*H82/H$45)</f>
        <v>0</v>
      </c>
      <c r="J82" s="899">
        <f>SUM(J83:J85)</f>
        <v>0</v>
      </c>
      <c r="K82" s="889">
        <f>IF(J$45=0,0,100*J82/J$45)</f>
        <v>0</v>
      </c>
      <c r="L82" s="32"/>
      <c r="M82" s="179"/>
      <c r="P82" s="256"/>
      <c r="Q82" s="256"/>
      <c r="R82" s="256"/>
      <c r="S82" s="256"/>
      <c r="T82" s="256"/>
      <c r="U82" s="360"/>
      <c r="V82" s="360"/>
      <c r="W82" s="360"/>
      <c r="X82" s="361"/>
    </row>
    <row r="83" spans="1:24" s="52" customFormat="1" ht="12.6" customHeight="1" x14ac:dyDescent="0.2">
      <c r="A83"/>
      <c r="B83" s="208"/>
      <c r="C83" s="1718" t="s">
        <v>725</v>
      </c>
      <c r="D83" s="857">
        <v>0</v>
      </c>
      <c r="E83" s="858"/>
      <c r="F83" s="857">
        <f>D83+D83*M83</f>
        <v>0</v>
      </c>
      <c r="G83" s="858"/>
      <c r="H83" s="857">
        <f>F83+F83*N83</f>
        <v>0</v>
      </c>
      <c r="I83" s="858"/>
      <c r="J83" s="857">
        <f>H83+H83*O83</f>
        <v>0</v>
      </c>
      <c r="K83" s="858"/>
      <c r="L83" s="55"/>
      <c r="M83" s="315">
        <v>0.03</v>
      </c>
      <c r="N83" s="315">
        <f t="shared" ref="N83:O85" si="7">M83</f>
        <v>0.03</v>
      </c>
      <c r="O83" s="315">
        <f t="shared" si="7"/>
        <v>0.03</v>
      </c>
      <c r="P83" s="256"/>
      <c r="Q83" s="256">
        <v>0</v>
      </c>
      <c r="R83" s="256"/>
      <c r="S83" s="256"/>
      <c r="T83" s="256"/>
      <c r="U83" s="360"/>
      <c r="V83" s="360"/>
      <c r="W83" s="360"/>
      <c r="X83" s="361"/>
    </row>
    <row r="84" spans="1:24" s="52" customFormat="1" ht="12.6" customHeight="1" x14ac:dyDescent="0.2">
      <c r="A84"/>
      <c r="B84" s="208"/>
      <c r="C84" s="1718" t="s">
        <v>729</v>
      </c>
      <c r="D84" s="857">
        <v>0</v>
      </c>
      <c r="E84" s="858"/>
      <c r="F84" s="857">
        <f>D84+D84*M84</f>
        <v>0</v>
      </c>
      <c r="G84" s="858"/>
      <c r="H84" s="857">
        <f>F84+F84*N84</f>
        <v>0</v>
      </c>
      <c r="I84" s="858"/>
      <c r="J84" s="857">
        <f>H84+H84*O84</f>
        <v>0</v>
      </c>
      <c r="K84" s="858"/>
      <c r="L84" s="55"/>
      <c r="M84" s="315">
        <v>0.03</v>
      </c>
      <c r="N84" s="315">
        <f t="shared" si="7"/>
        <v>0.03</v>
      </c>
      <c r="O84" s="315">
        <f t="shared" si="7"/>
        <v>0.03</v>
      </c>
      <c r="P84" s="256"/>
      <c r="Q84" s="256"/>
      <c r="R84" s="256"/>
      <c r="S84" s="256"/>
      <c r="T84" s="256"/>
      <c r="U84" s="360"/>
      <c r="V84" s="360"/>
      <c r="W84" s="360"/>
      <c r="X84" s="361"/>
    </row>
    <row r="85" spans="1:24" s="52" customFormat="1" ht="12.6" customHeight="1" thickBot="1" x14ac:dyDescent="0.25">
      <c r="A85"/>
      <c r="B85" s="208"/>
      <c r="C85" s="1720" t="s">
        <v>730</v>
      </c>
      <c r="D85" s="857">
        <v>0</v>
      </c>
      <c r="E85" s="892"/>
      <c r="F85" s="857">
        <f>D85+D85*M85</f>
        <v>0</v>
      </c>
      <c r="G85" s="892"/>
      <c r="H85" s="857">
        <f>F85+F85*N85</f>
        <v>0</v>
      </c>
      <c r="I85" s="892"/>
      <c r="J85" s="857">
        <f>H85+H85*O85</f>
        <v>0</v>
      </c>
      <c r="K85" s="892"/>
      <c r="L85" s="55"/>
      <c r="M85" s="315">
        <v>0.03</v>
      </c>
      <c r="N85" s="315">
        <f t="shared" si="7"/>
        <v>0.03</v>
      </c>
      <c r="O85" s="315">
        <f t="shared" si="7"/>
        <v>0.03</v>
      </c>
      <c r="P85" s="256"/>
      <c r="Q85" s="256"/>
      <c r="R85" s="256"/>
      <c r="S85" s="256"/>
      <c r="T85" s="256"/>
      <c r="U85" s="360"/>
      <c r="V85" s="360"/>
      <c r="W85" s="360"/>
      <c r="X85" s="361"/>
    </row>
    <row r="86" spans="1:24" s="4" customFormat="1" ht="12.75" customHeight="1" x14ac:dyDescent="0.2">
      <c r="A86"/>
      <c r="B86" s="207"/>
      <c r="C86" s="212" t="s">
        <v>776</v>
      </c>
      <c r="D86" s="888">
        <f>SUM(D87:D89)</f>
        <v>0</v>
      </c>
      <c r="E86" s="889">
        <f>IF(D$45=0,0,100*D86/D$45)</f>
        <v>0</v>
      </c>
      <c r="F86" s="888">
        <f>SUM(F87:F89)</f>
        <v>0</v>
      </c>
      <c r="G86" s="889">
        <f>IF(F$45=0,0,100*F86/F$45)</f>
        <v>0</v>
      </c>
      <c r="H86" s="888">
        <f>SUM(H87:H89)</f>
        <v>0</v>
      </c>
      <c r="I86" s="889">
        <f>IF(H$45=0,0,100*H86/H$45)</f>
        <v>0</v>
      </c>
      <c r="J86" s="888">
        <f>SUM(J87:J89)</f>
        <v>0</v>
      </c>
      <c r="K86" s="889">
        <f>IF(J$45=0,0,100*J86/J$45)</f>
        <v>0</v>
      </c>
      <c r="L86" s="32"/>
      <c r="M86" s="179"/>
      <c r="P86" s="256"/>
      <c r="Q86" s="256"/>
      <c r="R86" s="256"/>
      <c r="S86" s="256"/>
      <c r="T86" s="256"/>
      <c r="U86" s="360"/>
      <c r="V86" s="360"/>
      <c r="W86" s="360"/>
      <c r="X86" s="361"/>
    </row>
    <row r="87" spans="1:24" s="52" customFormat="1" ht="12.6" customHeight="1" x14ac:dyDescent="0.2">
      <c r="A87"/>
      <c r="B87" s="208"/>
      <c r="C87" s="1718" t="s">
        <v>731</v>
      </c>
      <c r="D87" s="857">
        <v>0</v>
      </c>
      <c r="E87" s="858"/>
      <c r="F87" s="857">
        <f>D87+D87*M87</f>
        <v>0</v>
      </c>
      <c r="G87" s="858"/>
      <c r="H87" s="857">
        <f>F87+F87*N87</f>
        <v>0</v>
      </c>
      <c r="I87" s="858"/>
      <c r="J87" s="857">
        <f>H87+H87*O87</f>
        <v>0</v>
      </c>
      <c r="K87" s="858"/>
      <c r="L87" s="55"/>
      <c r="M87" s="315">
        <v>0.03</v>
      </c>
      <c r="N87" s="315">
        <f t="shared" ref="N87:O89" si="8">M87</f>
        <v>0.03</v>
      </c>
      <c r="O87" s="315">
        <f t="shared" si="8"/>
        <v>0.03</v>
      </c>
      <c r="P87" s="256"/>
      <c r="Q87" s="256"/>
      <c r="R87" s="256"/>
      <c r="S87" s="256"/>
      <c r="T87" s="256"/>
      <c r="U87" s="360"/>
      <c r="V87" s="360"/>
      <c r="W87" s="360"/>
      <c r="X87" s="361"/>
    </row>
    <row r="88" spans="1:24" s="52" customFormat="1" ht="12.6" customHeight="1" x14ac:dyDescent="0.2">
      <c r="A88"/>
      <c r="B88" s="208"/>
      <c r="C88" s="1718" t="s">
        <v>733</v>
      </c>
      <c r="D88" s="857">
        <v>0</v>
      </c>
      <c r="E88" s="858"/>
      <c r="F88" s="857">
        <f>D88+D88*M88</f>
        <v>0</v>
      </c>
      <c r="G88" s="858"/>
      <c r="H88" s="857">
        <f>F88+F88*N88</f>
        <v>0</v>
      </c>
      <c r="I88" s="858"/>
      <c r="J88" s="857">
        <f>H88+H88*O88</f>
        <v>0</v>
      </c>
      <c r="K88" s="858"/>
      <c r="L88" s="55"/>
      <c r="M88" s="315">
        <v>0.03</v>
      </c>
      <c r="N88" s="315">
        <f t="shared" si="8"/>
        <v>0.03</v>
      </c>
      <c r="O88" s="315">
        <f t="shared" si="8"/>
        <v>0.03</v>
      </c>
      <c r="P88" s="256"/>
      <c r="Q88" s="256"/>
      <c r="R88" s="256"/>
      <c r="S88" s="256"/>
      <c r="T88" s="256"/>
      <c r="U88" s="360"/>
      <c r="V88" s="360"/>
      <c r="W88" s="360"/>
      <c r="X88" s="361"/>
    </row>
    <row r="89" spans="1:24" s="52" customFormat="1" ht="12.6" customHeight="1" thickBot="1" x14ac:dyDescent="0.25">
      <c r="A89"/>
      <c r="B89" s="208"/>
      <c r="C89" s="1720" t="s">
        <v>732</v>
      </c>
      <c r="D89" s="898">
        <v>0</v>
      </c>
      <c r="E89" s="892"/>
      <c r="F89" s="857">
        <f>D89+D89*M89</f>
        <v>0</v>
      </c>
      <c r="G89" s="892"/>
      <c r="H89" s="857">
        <f>F89+F89*N89</f>
        <v>0</v>
      </c>
      <c r="I89" s="892"/>
      <c r="J89" s="857">
        <f>H89+H89*O89</f>
        <v>0</v>
      </c>
      <c r="K89" s="892"/>
      <c r="L89" s="55"/>
      <c r="M89" s="315">
        <v>0.03</v>
      </c>
      <c r="N89" s="315">
        <f t="shared" si="8"/>
        <v>0.03</v>
      </c>
      <c r="O89" s="315">
        <f t="shared" si="8"/>
        <v>0.03</v>
      </c>
      <c r="P89" s="256"/>
      <c r="Q89" s="256"/>
      <c r="R89" s="256"/>
      <c r="S89" s="256"/>
      <c r="T89" s="256"/>
      <c r="U89" s="360"/>
      <c r="V89" s="360"/>
      <c r="W89" s="360"/>
      <c r="X89" s="361"/>
    </row>
    <row r="90" spans="1:24" s="4" customFormat="1" ht="12.75" customHeight="1" x14ac:dyDescent="0.2">
      <c r="A90"/>
      <c r="B90" s="207"/>
      <c r="C90" s="214" t="s">
        <v>775</v>
      </c>
      <c r="D90" s="888">
        <f>SUM(D91:D92)</f>
        <v>0</v>
      </c>
      <c r="E90" s="889">
        <f>IF(D$45=0,0,100*D90/D$45)</f>
        <v>0</v>
      </c>
      <c r="F90" s="888">
        <f>SUM(F91:F92)</f>
        <v>0</v>
      </c>
      <c r="G90" s="889">
        <f>IF(F$45=0,0,100*F90/F$45)</f>
        <v>0</v>
      </c>
      <c r="H90" s="888">
        <f>SUM(H91:H92)</f>
        <v>0</v>
      </c>
      <c r="I90" s="889">
        <f>IF(H$45=0,0,100*H90/H$45)</f>
        <v>0</v>
      </c>
      <c r="J90" s="888">
        <f>SUM(J91:J92)</f>
        <v>0</v>
      </c>
      <c r="K90" s="889">
        <f>IF(J$45=0,0,100*J90/J$45)</f>
        <v>0</v>
      </c>
      <c r="L90" s="32"/>
      <c r="M90" s="179"/>
      <c r="P90" s="256"/>
      <c r="Q90" s="256"/>
      <c r="R90" s="256"/>
      <c r="S90" s="256"/>
      <c r="T90" s="256"/>
      <c r="U90" s="360"/>
      <c r="V90" s="360"/>
      <c r="W90" s="360"/>
      <c r="X90" s="361"/>
    </row>
    <row r="91" spans="1:24" s="52" customFormat="1" ht="12.6" customHeight="1" x14ac:dyDescent="0.2">
      <c r="A91"/>
      <c r="B91" s="208"/>
      <c r="C91" s="1718" t="s">
        <v>734</v>
      </c>
      <c r="D91" s="857">
        <v>0</v>
      </c>
      <c r="E91" s="858"/>
      <c r="F91" s="857">
        <f>D91+D91*M91</f>
        <v>0</v>
      </c>
      <c r="G91" s="858"/>
      <c r="H91" s="857">
        <f>F91+F91*N91</f>
        <v>0</v>
      </c>
      <c r="I91" s="858"/>
      <c r="J91" s="857">
        <f>H91+H91*O91</f>
        <v>0</v>
      </c>
      <c r="K91" s="858"/>
      <c r="L91" s="55"/>
      <c r="M91" s="315">
        <v>0.03</v>
      </c>
      <c r="N91" s="315">
        <f t="shared" ref="N91:O94" si="9">M91</f>
        <v>0.03</v>
      </c>
      <c r="O91" s="315">
        <f t="shared" si="9"/>
        <v>0.03</v>
      </c>
      <c r="P91" s="256" t="s">
        <v>0</v>
      </c>
      <c r="Q91" s="256"/>
      <c r="R91" s="256" t="s">
        <v>0</v>
      </c>
      <c r="S91" s="256" t="s">
        <v>0</v>
      </c>
      <c r="T91" s="256"/>
      <c r="U91" s="360"/>
      <c r="V91" s="360"/>
      <c r="W91" s="360"/>
      <c r="X91" s="361"/>
    </row>
    <row r="92" spans="1:24" s="52" customFormat="1" ht="12.6" customHeight="1" thickBot="1" x14ac:dyDescent="0.25">
      <c r="A92"/>
      <c r="B92" s="208"/>
      <c r="C92" s="1719" t="s">
        <v>735</v>
      </c>
      <c r="D92" s="891">
        <v>0</v>
      </c>
      <c r="E92" s="890"/>
      <c r="F92" s="857">
        <f>D92+D92*M92</f>
        <v>0</v>
      </c>
      <c r="G92" s="890"/>
      <c r="H92" s="891">
        <f>F92+F92*N92</f>
        <v>0</v>
      </c>
      <c r="I92" s="890"/>
      <c r="J92" s="891">
        <f>H92+H92*O92</f>
        <v>0</v>
      </c>
      <c r="K92" s="892"/>
      <c r="L92" s="55"/>
      <c r="M92" s="315">
        <v>0.03</v>
      </c>
      <c r="N92" s="315">
        <f t="shared" si="9"/>
        <v>0.03</v>
      </c>
      <c r="O92" s="315">
        <f t="shared" si="9"/>
        <v>0.03</v>
      </c>
      <c r="P92" s="256">
        <v>0</v>
      </c>
      <c r="Q92" s="256"/>
      <c r="R92" s="256"/>
      <c r="S92" s="256"/>
      <c r="T92" s="256"/>
      <c r="U92" s="360"/>
      <c r="V92" s="360"/>
      <c r="W92" s="360"/>
      <c r="X92" s="361"/>
    </row>
    <row r="93" spans="1:24" s="4" customFormat="1" ht="12.75" customHeight="1" thickBot="1" x14ac:dyDescent="0.25">
      <c r="A93"/>
      <c r="B93" s="207"/>
      <c r="C93" s="215" t="s">
        <v>774</v>
      </c>
      <c r="D93" s="900">
        <v>0</v>
      </c>
      <c r="E93" s="901">
        <f>IF(D$45=0,0,100*D93/D$45)</f>
        <v>0</v>
      </c>
      <c r="F93" s="902">
        <f>D93+D93*M93</f>
        <v>0</v>
      </c>
      <c r="G93" s="901">
        <f>IF(F$45=0,0,100*F93/F$45)</f>
        <v>0</v>
      </c>
      <c r="H93" s="902">
        <f>F93+F93*N93</f>
        <v>0</v>
      </c>
      <c r="I93" s="901">
        <f>IF(H$45=0,0,100*H93/H$45)</f>
        <v>0</v>
      </c>
      <c r="J93" s="900">
        <f>H93+H93*O93</f>
        <v>0</v>
      </c>
      <c r="K93" s="903">
        <f>IF(J$45=0,0,100*J93/J$45)</f>
        <v>0</v>
      </c>
      <c r="L93" s="32"/>
      <c r="M93" s="315">
        <v>0.03</v>
      </c>
      <c r="N93" s="315">
        <f t="shared" si="9"/>
        <v>0.03</v>
      </c>
      <c r="O93" s="315">
        <f t="shared" si="9"/>
        <v>0.03</v>
      </c>
      <c r="P93" s="256"/>
      <c r="Q93" s="256"/>
      <c r="R93" s="256"/>
      <c r="S93" s="256"/>
      <c r="T93" s="256"/>
      <c r="U93" s="360"/>
      <c r="V93" s="360"/>
      <c r="W93" s="360"/>
      <c r="X93" s="361"/>
    </row>
    <row r="94" spans="1:24" s="4" customFormat="1" ht="12.75" customHeight="1" thickBot="1" x14ac:dyDescent="0.25">
      <c r="A94"/>
      <c r="B94" s="207"/>
      <c r="C94" s="214" t="s">
        <v>773</v>
      </c>
      <c r="D94" s="900">
        <v>0</v>
      </c>
      <c r="E94" s="903">
        <f>IF(D$45=0,0,100*D94/D$45)</f>
        <v>0</v>
      </c>
      <c r="F94" s="900">
        <f>D94+D94*M94</f>
        <v>0</v>
      </c>
      <c r="G94" s="903">
        <f>IF(F$45=0,0,100*F94/F$45)</f>
        <v>0</v>
      </c>
      <c r="H94" s="900">
        <f>F94+F94*N94</f>
        <v>0</v>
      </c>
      <c r="I94" s="903">
        <f>IF(H$45=0,0,100*H94/H$45)</f>
        <v>0</v>
      </c>
      <c r="J94" s="900">
        <f>H94+H94*O94</f>
        <v>0</v>
      </c>
      <c r="K94" s="889">
        <f>IF(J$45=0,0,100*J94/J$45)</f>
        <v>0</v>
      </c>
      <c r="L94" s="32"/>
      <c r="M94" s="315">
        <v>0.03</v>
      </c>
      <c r="N94" s="315">
        <f t="shared" si="9"/>
        <v>0.03</v>
      </c>
      <c r="O94" s="315">
        <f t="shared" si="9"/>
        <v>0.03</v>
      </c>
      <c r="P94" s="256"/>
      <c r="Q94" s="256"/>
      <c r="R94" s="256"/>
      <c r="S94" s="256"/>
      <c r="T94" s="256"/>
      <c r="U94" s="360"/>
      <c r="V94" s="360"/>
      <c r="W94" s="360"/>
      <c r="X94" s="361"/>
    </row>
    <row r="95" spans="1:24" s="4" customFormat="1" ht="12.75" customHeight="1" x14ac:dyDescent="0.2">
      <c r="A95"/>
      <c r="B95" s="207"/>
      <c r="C95" s="212" t="s">
        <v>772</v>
      </c>
      <c r="D95" s="815">
        <f>SUM(D96:D100)</f>
        <v>0</v>
      </c>
      <c r="E95" s="904">
        <f>IF(D$45=0,0,100*D95/D$45)</f>
        <v>0</v>
      </c>
      <c r="F95" s="764">
        <f>SUM(F96:F100)</f>
        <v>0</v>
      </c>
      <c r="G95" s="904">
        <f>IF(F$45=0,0,100*F95/F$45)</f>
        <v>0</v>
      </c>
      <c r="H95" s="764">
        <f>SUM(H96:H100)</f>
        <v>0</v>
      </c>
      <c r="I95" s="904">
        <f>IF(H$45=0,0,100*H95/H$45)</f>
        <v>0</v>
      </c>
      <c r="J95" s="764">
        <f>SUM(J96:J100)</f>
        <v>0</v>
      </c>
      <c r="K95" s="889">
        <f>IF(J$45=0,0,100*J95/J$45)</f>
        <v>0</v>
      </c>
      <c r="L95" s="31"/>
      <c r="M95" s="179"/>
      <c r="P95" s="256"/>
      <c r="Q95" s="256"/>
      <c r="R95" s="256"/>
      <c r="S95" s="256"/>
      <c r="T95" s="256"/>
      <c r="U95" s="360"/>
      <c r="V95" s="360"/>
      <c r="W95" s="360"/>
      <c r="X95" s="361"/>
    </row>
    <row r="96" spans="1:24" s="52" customFormat="1" ht="12.6" customHeight="1" x14ac:dyDescent="0.2">
      <c r="A96"/>
      <c r="B96" s="208"/>
      <c r="C96" s="1718" t="s">
        <v>736</v>
      </c>
      <c r="D96" s="857">
        <v>0</v>
      </c>
      <c r="E96" s="905"/>
      <c r="F96" s="857">
        <f>D96+D96*M96</f>
        <v>0</v>
      </c>
      <c r="G96" s="858"/>
      <c r="H96" s="857">
        <f>F96+F96*N96</f>
        <v>0</v>
      </c>
      <c r="I96" s="858"/>
      <c r="J96" s="857">
        <f>H96+H96*O96</f>
        <v>0</v>
      </c>
      <c r="K96" s="858"/>
      <c r="L96" s="57"/>
      <c r="M96" s="315">
        <v>0.03</v>
      </c>
      <c r="N96" s="315">
        <f t="shared" ref="N96:O100" si="10">M96</f>
        <v>0.03</v>
      </c>
      <c r="O96" s="315">
        <f t="shared" si="10"/>
        <v>0.03</v>
      </c>
      <c r="P96" s="256"/>
      <c r="Q96" s="256"/>
      <c r="R96" s="256"/>
      <c r="S96" s="256"/>
      <c r="T96" s="256"/>
      <c r="U96" s="360"/>
      <c r="V96" s="360"/>
      <c r="W96" s="360"/>
      <c r="X96" s="361"/>
    </row>
    <row r="97" spans="1:24" s="52" customFormat="1" ht="12.6" customHeight="1" x14ac:dyDescent="0.2">
      <c r="A97" s="53"/>
      <c r="B97" s="208"/>
      <c r="C97" s="1718" t="s">
        <v>737</v>
      </c>
      <c r="D97" s="857">
        <v>0</v>
      </c>
      <c r="E97" s="905"/>
      <c r="F97" s="857">
        <f>D97+D97*M97</f>
        <v>0</v>
      </c>
      <c r="G97" s="858"/>
      <c r="H97" s="857">
        <f>F97+F97*N97</f>
        <v>0</v>
      </c>
      <c r="I97" s="858"/>
      <c r="J97" s="857">
        <f>H97+H97*O97</f>
        <v>0</v>
      </c>
      <c r="K97" s="858"/>
      <c r="L97" s="57"/>
      <c r="M97" s="315">
        <v>0.03</v>
      </c>
      <c r="N97" s="315">
        <f t="shared" si="10"/>
        <v>0.03</v>
      </c>
      <c r="O97" s="315">
        <f t="shared" si="10"/>
        <v>0.03</v>
      </c>
      <c r="P97" s="256"/>
      <c r="Q97" s="256"/>
      <c r="R97" s="256"/>
      <c r="S97" s="256"/>
      <c r="T97" s="256"/>
      <c r="U97" s="360"/>
      <c r="V97" s="360"/>
      <c r="W97" s="360"/>
      <c r="X97" s="361"/>
    </row>
    <row r="98" spans="1:24" s="52" customFormat="1" ht="12.6" customHeight="1" x14ac:dyDescent="0.2">
      <c r="A98"/>
      <c r="B98" s="208"/>
      <c r="C98" s="1718" t="s">
        <v>738</v>
      </c>
      <c r="D98" s="857">
        <v>0</v>
      </c>
      <c r="E98" s="905"/>
      <c r="F98" s="857">
        <f>D98+D98*M98</f>
        <v>0</v>
      </c>
      <c r="G98" s="858"/>
      <c r="H98" s="857">
        <f>F98+F98*N98</f>
        <v>0</v>
      </c>
      <c r="I98" s="858"/>
      <c r="J98" s="857">
        <f>H98+H98*O98</f>
        <v>0</v>
      </c>
      <c r="K98" s="858"/>
      <c r="L98" s="57"/>
      <c r="M98" s="315">
        <v>0.03</v>
      </c>
      <c r="N98" s="315">
        <f t="shared" si="10"/>
        <v>0.03</v>
      </c>
      <c r="O98" s="315">
        <f t="shared" si="10"/>
        <v>0.03</v>
      </c>
      <c r="P98" s="256" t="s">
        <v>0</v>
      </c>
      <c r="Q98" s="256"/>
      <c r="R98" s="256"/>
      <c r="S98" s="256"/>
      <c r="T98" s="256"/>
      <c r="U98" s="360"/>
      <c r="V98" s="360"/>
      <c r="W98" s="360"/>
      <c r="X98" s="361"/>
    </row>
    <row r="99" spans="1:24" s="52" customFormat="1" ht="12.6" customHeight="1" x14ac:dyDescent="0.2">
      <c r="A99"/>
      <c r="B99" s="208"/>
      <c r="C99" s="1718" t="s">
        <v>739</v>
      </c>
      <c r="D99" s="857">
        <v>0</v>
      </c>
      <c r="E99" s="905"/>
      <c r="F99" s="857">
        <f>D99+D99*M99</f>
        <v>0</v>
      </c>
      <c r="G99" s="858"/>
      <c r="H99" s="857">
        <f>F99+F99*N99</f>
        <v>0</v>
      </c>
      <c r="I99" s="858"/>
      <c r="J99" s="857">
        <f>H99+H99*O99</f>
        <v>0</v>
      </c>
      <c r="K99" s="858"/>
      <c r="L99" s="57"/>
      <c r="M99" s="315">
        <v>0.03</v>
      </c>
      <c r="N99" s="315">
        <f t="shared" si="10"/>
        <v>0.03</v>
      </c>
      <c r="O99" s="315">
        <f t="shared" si="10"/>
        <v>0.03</v>
      </c>
      <c r="P99" s="256"/>
      <c r="Q99" s="256"/>
      <c r="R99" s="256"/>
      <c r="S99" s="256"/>
      <c r="T99" s="256"/>
      <c r="U99" s="360"/>
      <c r="V99" s="360"/>
      <c r="W99" s="360"/>
      <c r="X99" s="361"/>
    </row>
    <row r="100" spans="1:24" s="52" customFormat="1" ht="12.6" customHeight="1" thickBot="1" x14ac:dyDescent="0.25">
      <c r="A100" s="53"/>
      <c r="B100" s="208"/>
      <c r="C100" s="1720" t="s">
        <v>740</v>
      </c>
      <c r="D100" s="857">
        <v>0</v>
      </c>
      <c r="E100" s="906"/>
      <c r="F100" s="857">
        <f>D100+D100*M100</f>
        <v>0</v>
      </c>
      <c r="G100" s="890"/>
      <c r="H100" s="891">
        <f>F100+F100*N100</f>
        <v>0</v>
      </c>
      <c r="I100" s="890"/>
      <c r="J100" s="891">
        <f>H100+H100*O100</f>
        <v>0</v>
      </c>
      <c r="K100" s="890"/>
      <c r="L100" s="57"/>
      <c r="M100" s="315">
        <v>0.03</v>
      </c>
      <c r="N100" s="315">
        <f t="shared" si="10"/>
        <v>0.03</v>
      </c>
      <c r="O100" s="315">
        <f t="shared" si="10"/>
        <v>0.03</v>
      </c>
      <c r="P100" s="256"/>
      <c r="Q100" s="256"/>
      <c r="R100" s="256"/>
      <c r="S100" s="256"/>
      <c r="T100" s="256"/>
      <c r="U100" s="360"/>
      <c r="V100" s="360"/>
      <c r="W100" s="360"/>
      <c r="X100" s="361"/>
    </row>
    <row r="101" spans="1:24" s="4" customFormat="1" ht="12.75" customHeight="1" x14ac:dyDescent="0.2">
      <c r="A101" s="53"/>
      <c r="B101" s="207"/>
      <c r="C101" s="214" t="s">
        <v>771</v>
      </c>
      <c r="D101" s="1652">
        <f>SUM(D102:D105)</f>
        <v>0</v>
      </c>
      <c r="E101" s="889">
        <f>IF(D$45=0,0,100*D101/D$45)</f>
        <v>0</v>
      </c>
      <c r="F101" s="888">
        <f>SUM(F102:F105)</f>
        <v>0</v>
      </c>
      <c r="G101" s="889">
        <f>IF(F$45=0,0,100*F101/F$45)</f>
        <v>0</v>
      </c>
      <c r="H101" s="888">
        <f>SUM(H102:H105)</f>
        <v>0</v>
      </c>
      <c r="I101" s="889">
        <f>IF(H$45=0,0,100*H101/H$45)</f>
        <v>0</v>
      </c>
      <c r="J101" s="888">
        <f>SUM(J102:J105)</f>
        <v>0</v>
      </c>
      <c r="K101" s="889">
        <f>IF(J$45=0,0,100*J101/J$45)</f>
        <v>0</v>
      </c>
      <c r="L101" s="32"/>
      <c r="M101" s="1310"/>
      <c r="P101" s="256"/>
      <c r="Q101" s="256"/>
      <c r="R101" s="256"/>
      <c r="S101" s="256"/>
      <c r="T101" s="256"/>
      <c r="U101" s="360"/>
      <c r="V101" s="360"/>
      <c r="W101" s="360"/>
      <c r="X101" s="361"/>
    </row>
    <row r="102" spans="1:24" s="52" customFormat="1" ht="12.6" customHeight="1" x14ac:dyDescent="0.2">
      <c r="A102"/>
      <c r="B102" s="208"/>
      <c r="C102" s="1718" t="s">
        <v>741</v>
      </c>
      <c r="D102" s="857">
        <v>0</v>
      </c>
      <c r="E102" s="858"/>
      <c r="F102" s="857">
        <f>D102+D102*M102</f>
        <v>0</v>
      </c>
      <c r="G102" s="858"/>
      <c r="H102" s="857">
        <f>F102+F102*N102</f>
        <v>0</v>
      </c>
      <c r="I102" s="858"/>
      <c r="J102" s="857">
        <f>H102+H102*O102</f>
        <v>0</v>
      </c>
      <c r="K102" s="858"/>
      <c r="L102" s="55"/>
      <c r="M102" s="315">
        <v>0.03</v>
      </c>
      <c r="N102" s="315">
        <f t="shared" ref="N102:O105" si="11">M102</f>
        <v>0.03</v>
      </c>
      <c r="O102" s="315">
        <f t="shared" si="11"/>
        <v>0.03</v>
      </c>
      <c r="P102" s="256"/>
      <c r="Q102" s="256"/>
      <c r="R102" s="256"/>
      <c r="S102" s="256"/>
      <c r="T102" s="256"/>
      <c r="U102" s="360"/>
      <c r="V102" s="360"/>
      <c r="W102" s="360"/>
      <c r="X102" s="361"/>
    </row>
    <row r="103" spans="1:24" s="52" customFormat="1" ht="12.6" customHeight="1" x14ac:dyDescent="0.2">
      <c r="A103" s="53"/>
      <c r="B103" s="208"/>
      <c r="C103" s="1718" t="s">
        <v>742</v>
      </c>
      <c r="D103" s="857">
        <v>0</v>
      </c>
      <c r="E103" s="858"/>
      <c r="F103" s="857">
        <f>D103+D103*M103</f>
        <v>0</v>
      </c>
      <c r="G103" s="858"/>
      <c r="H103" s="857">
        <f>F103+F103*N103</f>
        <v>0</v>
      </c>
      <c r="I103" s="858"/>
      <c r="J103" s="857">
        <f>H103+H103*O103</f>
        <v>0</v>
      </c>
      <c r="K103" s="858"/>
      <c r="L103" s="55"/>
      <c r="M103" s="315">
        <v>0.03</v>
      </c>
      <c r="N103" s="315">
        <f t="shared" si="11"/>
        <v>0.03</v>
      </c>
      <c r="O103" s="315">
        <f t="shared" si="11"/>
        <v>0.03</v>
      </c>
      <c r="P103" s="256"/>
      <c r="Q103" s="256"/>
      <c r="R103" s="256"/>
      <c r="S103" s="256"/>
      <c r="T103" s="256"/>
      <c r="U103" s="360"/>
      <c r="V103" s="360"/>
      <c r="W103" s="360"/>
      <c r="X103" s="361"/>
    </row>
    <row r="104" spans="1:24" s="52" customFormat="1" ht="12.6" customHeight="1" x14ac:dyDescent="0.2">
      <c r="A104"/>
      <c r="B104" s="208"/>
      <c r="C104" s="1718" t="s">
        <v>743</v>
      </c>
      <c r="D104" s="857">
        <v>0</v>
      </c>
      <c r="E104" s="858"/>
      <c r="F104" s="857">
        <f>D104+D104*M104</f>
        <v>0</v>
      </c>
      <c r="G104" s="858"/>
      <c r="H104" s="857">
        <f>F104+F104*N104</f>
        <v>0</v>
      </c>
      <c r="I104" s="858"/>
      <c r="J104" s="857">
        <f>H104+H104*O104</f>
        <v>0</v>
      </c>
      <c r="K104" s="858"/>
      <c r="L104" s="57"/>
      <c r="M104" s="315">
        <v>0.03</v>
      </c>
      <c r="N104" s="315">
        <f t="shared" si="11"/>
        <v>0.03</v>
      </c>
      <c r="O104" s="315">
        <f t="shared" si="11"/>
        <v>0.03</v>
      </c>
      <c r="P104" s="256"/>
      <c r="Q104" s="256"/>
      <c r="R104" s="256"/>
      <c r="S104" s="256"/>
      <c r="T104" s="256"/>
      <c r="U104" s="360"/>
      <c r="V104" s="360"/>
      <c r="W104" s="360"/>
      <c r="X104" s="361"/>
    </row>
    <row r="105" spans="1:24" s="52" customFormat="1" ht="12.6" customHeight="1" thickBot="1" x14ac:dyDescent="0.25">
      <c r="A105" s="53"/>
      <c r="B105" s="208"/>
      <c r="C105" s="1722" t="s">
        <v>744</v>
      </c>
      <c r="D105" s="857">
        <v>0</v>
      </c>
      <c r="E105" s="907"/>
      <c r="F105" s="857">
        <f>D105+D105*M105</f>
        <v>0</v>
      </c>
      <c r="G105" s="907"/>
      <c r="H105" s="857">
        <f>F105+F105*N105</f>
        <v>0</v>
      </c>
      <c r="I105" s="907"/>
      <c r="J105" s="857">
        <f>H105+H105*O105</f>
        <v>0</v>
      </c>
      <c r="K105" s="907"/>
      <c r="L105" s="57"/>
      <c r="M105" s="315">
        <v>0.03</v>
      </c>
      <c r="N105" s="315">
        <f t="shared" si="11"/>
        <v>0.03</v>
      </c>
      <c r="O105" s="315">
        <f t="shared" si="11"/>
        <v>0.03</v>
      </c>
      <c r="P105" s="256"/>
      <c r="Q105" s="256"/>
      <c r="R105" s="256"/>
      <c r="S105" s="256"/>
      <c r="T105" s="256"/>
      <c r="U105" s="360"/>
      <c r="V105" s="360"/>
      <c r="W105" s="360"/>
      <c r="X105" s="361"/>
    </row>
    <row r="106" spans="1:24" s="4" customFormat="1" ht="12.75" customHeight="1" x14ac:dyDescent="0.2">
      <c r="A106" s="2"/>
      <c r="B106" s="207"/>
      <c r="C106" s="212" t="s">
        <v>749</v>
      </c>
      <c r="D106" s="1652">
        <f>SUM(D107:D110)</f>
        <v>0</v>
      </c>
      <c r="E106" s="889">
        <f>IF(D$45=0,0,100*D106/D$45)</f>
        <v>0</v>
      </c>
      <c r="F106" s="888">
        <f>SUM(F107:F110)</f>
        <v>0</v>
      </c>
      <c r="G106" s="889">
        <f>IF(F$45=0,0,100*F106/F$45)</f>
        <v>0</v>
      </c>
      <c r="H106" s="888">
        <f>SUM(H107:H110)</f>
        <v>0</v>
      </c>
      <c r="I106" s="889">
        <f>IF(H$45=0,0,100*H106/H$45)</f>
        <v>0</v>
      </c>
      <c r="J106" s="888">
        <f>SUM(J107:J110)</f>
        <v>0</v>
      </c>
      <c r="K106" s="889">
        <f>IF(J$45=0,0,100*J106/J$45)</f>
        <v>0</v>
      </c>
      <c r="L106" s="31"/>
      <c r="M106" s="179"/>
      <c r="P106" s="256"/>
      <c r="Q106" s="256"/>
      <c r="R106" s="256"/>
      <c r="S106" s="256"/>
      <c r="T106" s="256"/>
      <c r="U106" s="360"/>
      <c r="V106" s="360"/>
      <c r="W106" s="360"/>
      <c r="X106" s="361"/>
    </row>
    <row r="107" spans="1:24" s="52" customFormat="1" ht="12.6" customHeight="1" x14ac:dyDescent="0.2">
      <c r="A107" s="53"/>
      <c r="B107" s="208"/>
      <c r="C107" s="1718" t="s">
        <v>745</v>
      </c>
      <c r="D107" s="857">
        <v>0</v>
      </c>
      <c r="E107" s="858"/>
      <c r="F107" s="857">
        <f>D107+D107*M107</f>
        <v>0</v>
      </c>
      <c r="G107" s="858"/>
      <c r="H107" s="857">
        <f>F107+F107*N107</f>
        <v>0</v>
      </c>
      <c r="I107" s="858"/>
      <c r="J107" s="857">
        <f>H107+H107*O107</f>
        <v>0</v>
      </c>
      <c r="K107" s="858"/>
      <c r="L107" s="57"/>
      <c r="M107" s="315">
        <v>0.03</v>
      </c>
      <c r="N107" s="315">
        <f t="shared" ref="N107:O110" si="12">M107</f>
        <v>0.03</v>
      </c>
      <c r="O107" s="315">
        <f t="shared" si="12"/>
        <v>0.03</v>
      </c>
      <c r="P107" s="256"/>
      <c r="Q107" s="256"/>
      <c r="R107" s="256"/>
      <c r="S107" s="256"/>
      <c r="T107" s="256"/>
      <c r="U107" s="360"/>
      <c r="V107" s="360"/>
      <c r="W107" s="360"/>
      <c r="X107" s="361"/>
    </row>
    <row r="108" spans="1:24" s="52" customFormat="1" ht="12.6" customHeight="1" x14ac:dyDescent="0.2">
      <c r="A108"/>
      <c r="B108" s="208"/>
      <c r="C108" s="1718" t="s">
        <v>746</v>
      </c>
      <c r="D108" s="857">
        <v>0</v>
      </c>
      <c r="E108" s="858"/>
      <c r="F108" s="857">
        <f>D108+D108*M108</f>
        <v>0</v>
      </c>
      <c r="G108" s="858"/>
      <c r="H108" s="857">
        <f>F108+F108*N108</f>
        <v>0</v>
      </c>
      <c r="I108" s="858"/>
      <c r="J108" s="857">
        <f>H108+H108*O108</f>
        <v>0</v>
      </c>
      <c r="K108" s="858"/>
      <c r="L108" s="57"/>
      <c r="M108" s="315">
        <v>0.03</v>
      </c>
      <c r="N108" s="315">
        <f t="shared" si="12"/>
        <v>0.03</v>
      </c>
      <c r="O108" s="315">
        <f t="shared" si="12"/>
        <v>0.03</v>
      </c>
      <c r="P108" s="256"/>
      <c r="Q108" s="256"/>
      <c r="R108" s="256"/>
      <c r="S108" s="256"/>
      <c r="T108" s="256"/>
      <c r="U108" s="360"/>
      <c r="V108" s="360"/>
      <c r="W108" s="360"/>
      <c r="X108" s="361"/>
    </row>
    <row r="109" spans="1:24" s="52" customFormat="1" ht="12.6" customHeight="1" x14ac:dyDescent="0.2">
      <c r="A109" s="53"/>
      <c r="B109" s="208"/>
      <c r="C109" s="1718" t="s">
        <v>747</v>
      </c>
      <c r="D109" s="857">
        <v>0</v>
      </c>
      <c r="E109" s="858"/>
      <c r="F109" s="857">
        <f>D109+D109*M109</f>
        <v>0</v>
      </c>
      <c r="G109" s="858"/>
      <c r="H109" s="857">
        <f>F109+F109*N109</f>
        <v>0</v>
      </c>
      <c r="I109" s="858"/>
      <c r="J109" s="857">
        <f>H109+H109*O109</f>
        <v>0</v>
      </c>
      <c r="K109" s="858"/>
      <c r="L109" s="57"/>
      <c r="M109" s="315">
        <v>0.03</v>
      </c>
      <c r="N109" s="315">
        <f t="shared" si="12"/>
        <v>0.03</v>
      </c>
      <c r="O109" s="315">
        <f t="shared" si="12"/>
        <v>0.03</v>
      </c>
      <c r="P109" s="256"/>
      <c r="Q109" s="256"/>
      <c r="R109" s="256"/>
      <c r="S109" s="256"/>
      <c r="T109" s="256"/>
      <c r="U109" s="360"/>
      <c r="V109" s="360"/>
      <c r="W109" s="360"/>
      <c r="X109" s="361"/>
    </row>
    <row r="110" spans="1:24" s="52" customFormat="1" ht="12.6" customHeight="1" thickBot="1" x14ac:dyDescent="0.25">
      <c r="A110"/>
      <c r="B110" s="208"/>
      <c r="C110" s="1719" t="s">
        <v>748</v>
      </c>
      <c r="D110" s="857">
        <v>0</v>
      </c>
      <c r="E110" s="890"/>
      <c r="F110" s="857">
        <f>D110+D110*M110</f>
        <v>0</v>
      </c>
      <c r="G110" s="890"/>
      <c r="H110" s="857">
        <f>F110+F110*N110</f>
        <v>0</v>
      </c>
      <c r="I110" s="890"/>
      <c r="J110" s="857">
        <f>H110+H110*O110</f>
        <v>0</v>
      </c>
      <c r="K110" s="890"/>
      <c r="L110" s="57"/>
      <c r="M110" s="315">
        <v>0.03</v>
      </c>
      <c r="N110" s="315">
        <f t="shared" si="12"/>
        <v>0.03</v>
      </c>
      <c r="O110" s="315">
        <f t="shared" si="12"/>
        <v>0.03</v>
      </c>
      <c r="P110" s="256"/>
      <c r="Q110" s="256"/>
      <c r="R110" s="256"/>
      <c r="S110" s="256"/>
      <c r="T110" s="256"/>
      <c r="U110" s="360"/>
      <c r="V110" s="360"/>
      <c r="W110" s="360"/>
      <c r="X110" s="361"/>
    </row>
    <row r="111" spans="1:24" s="4" customFormat="1" ht="12.75" customHeight="1" x14ac:dyDescent="0.2">
      <c r="A111" s="53"/>
      <c r="B111" s="207"/>
      <c r="C111" s="212" t="s">
        <v>770</v>
      </c>
      <c r="D111" s="888">
        <f>SUM(D112:D114)</f>
        <v>0</v>
      </c>
      <c r="E111" s="889">
        <f>IF(D$45=0,0,100*D111/D$45)</f>
        <v>0</v>
      </c>
      <c r="F111" s="888">
        <f>SUM(F112:F114)</f>
        <v>0</v>
      </c>
      <c r="G111" s="889">
        <f>IF(F$45=0,0,100*F111/F$45)</f>
        <v>0</v>
      </c>
      <c r="H111" s="888">
        <f>SUM(H112:H114)</f>
        <v>0</v>
      </c>
      <c r="I111" s="889">
        <f>IF(H$45=0,0,100*H111/H$45)</f>
        <v>0</v>
      </c>
      <c r="J111" s="888">
        <f>SUM(J112:J114)</f>
        <v>0</v>
      </c>
      <c r="K111" s="889">
        <f>IF(J$45=0,0,100*J111/J$45)</f>
        <v>0</v>
      </c>
      <c r="L111" s="31"/>
      <c r="M111" s="179"/>
      <c r="P111" s="256"/>
      <c r="Q111" s="256"/>
      <c r="R111" s="256"/>
      <c r="S111" s="256"/>
      <c r="T111" s="256"/>
      <c r="U111" s="360"/>
      <c r="V111" s="360"/>
      <c r="W111" s="360"/>
      <c r="X111" s="361"/>
    </row>
    <row r="112" spans="1:24" s="52" customFormat="1" ht="12.6" customHeight="1" x14ac:dyDescent="0.2">
      <c r="A112" s="2"/>
      <c r="B112" s="208"/>
      <c r="C112" s="1718" t="s">
        <v>750</v>
      </c>
      <c r="D112" s="857">
        <v>0</v>
      </c>
      <c r="E112" s="858"/>
      <c r="F112" s="857">
        <f>D112+D112*M112</f>
        <v>0</v>
      </c>
      <c r="G112" s="858"/>
      <c r="H112" s="857">
        <f>F112+F112*N112</f>
        <v>0</v>
      </c>
      <c r="I112" s="858"/>
      <c r="J112" s="857">
        <f>H112+H112*O112</f>
        <v>0</v>
      </c>
      <c r="K112" s="858"/>
      <c r="L112" s="57"/>
      <c r="M112" s="315">
        <v>0.03</v>
      </c>
      <c r="N112" s="315">
        <f t="shared" ref="N112:O114" si="13">M112</f>
        <v>0.03</v>
      </c>
      <c r="O112" s="315">
        <f t="shared" si="13"/>
        <v>0.03</v>
      </c>
      <c r="P112" s="256"/>
      <c r="Q112" s="256"/>
      <c r="R112" s="256"/>
      <c r="S112" s="256"/>
      <c r="T112" s="256"/>
      <c r="U112" s="360"/>
      <c r="V112" s="360"/>
      <c r="W112" s="360"/>
      <c r="X112" s="361"/>
    </row>
    <row r="113" spans="1:24" s="52" customFormat="1" ht="12.6" customHeight="1" x14ac:dyDescent="0.2">
      <c r="A113" s="2"/>
      <c r="B113" s="208"/>
      <c r="C113" s="1719" t="s">
        <v>751</v>
      </c>
      <c r="D113" s="857">
        <v>0</v>
      </c>
      <c r="E113" s="890"/>
      <c r="F113" s="857">
        <f>D113+D113*M113</f>
        <v>0</v>
      </c>
      <c r="G113" s="890"/>
      <c r="H113" s="857">
        <f>F113+F113*N113</f>
        <v>0</v>
      </c>
      <c r="I113" s="890"/>
      <c r="J113" s="857">
        <f>H113+H113*O113</f>
        <v>0</v>
      </c>
      <c r="K113" s="890"/>
      <c r="L113" s="57"/>
      <c r="M113" s="315">
        <v>0.03</v>
      </c>
      <c r="N113" s="315">
        <f t="shared" si="13"/>
        <v>0.03</v>
      </c>
      <c r="O113" s="315">
        <f t="shared" si="13"/>
        <v>0.03</v>
      </c>
      <c r="P113" s="256"/>
      <c r="Q113" s="256"/>
      <c r="R113" s="256"/>
      <c r="S113" s="256"/>
      <c r="T113" s="256"/>
      <c r="U113" s="360"/>
      <c r="V113" s="360"/>
      <c r="W113" s="360"/>
      <c r="X113" s="361"/>
    </row>
    <row r="114" spans="1:24" s="52" customFormat="1" ht="12.6" customHeight="1" thickBot="1" x14ac:dyDescent="0.25">
      <c r="A114" s="53"/>
      <c r="B114" s="208"/>
      <c r="C114" s="1720" t="s">
        <v>752</v>
      </c>
      <c r="D114" s="857">
        <v>0</v>
      </c>
      <c r="E114" s="892"/>
      <c r="F114" s="857">
        <f>D114+D114*M114</f>
        <v>0</v>
      </c>
      <c r="G114" s="892"/>
      <c r="H114" s="857">
        <f>F114+F114*N114</f>
        <v>0</v>
      </c>
      <c r="I114" s="892"/>
      <c r="J114" s="857">
        <f>H114+H114*O114</f>
        <v>0</v>
      </c>
      <c r="K114" s="892"/>
      <c r="L114" s="57"/>
      <c r="M114" s="315">
        <v>0.03</v>
      </c>
      <c r="N114" s="315">
        <f t="shared" si="13"/>
        <v>0.03</v>
      </c>
      <c r="O114" s="315">
        <f t="shared" si="13"/>
        <v>0.03</v>
      </c>
      <c r="P114" s="256"/>
      <c r="Q114" s="256"/>
      <c r="R114" s="256"/>
      <c r="S114" s="256"/>
      <c r="T114" s="256"/>
      <c r="U114" s="360"/>
      <c r="V114" s="360"/>
      <c r="W114" s="360"/>
      <c r="X114" s="361"/>
    </row>
    <row r="115" spans="1:24" s="4" customFormat="1" ht="12.75" customHeight="1" x14ac:dyDescent="0.2">
      <c r="A115"/>
      <c r="B115" s="207"/>
      <c r="C115" s="212" t="s">
        <v>769</v>
      </c>
      <c r="D115" s="888">
        <f>SUM(D116:D119)</f>
        <v>0</v>
      </c>
      <c r="E115" s="889">
        <f>IF(D$45=0,0,100*D115/D$45)</f>
        <v>0</v>
      </c>
      <c r="F115" s="888">
        <f>SUM(F116:F119)</f>
        <v>0</v>
      </c>
      <c r="G115" s="889">
        <f>IF(F$45=0,0,100*F115/F$45)</f>
        <v>0</v>
      </c>
      <c r="H115" s="888">
        <f>SUM(H116:H119)</f>
        <v>0</v>
      </c>
      <c r="I115" s="889">
        <f>IF(H$45=0,0,100*H115/H$45)</f>
        <v>0</v>
      </c>
      <c r="J115" s="888">
        <f>SUM(J116:J119)</f>
        <v>0</v>
      </c>
      <c r="K115" s="889">
        <f>IF(J$45=0,0,100*J115/J$45)</f>
        <v>0</v>
      </c>
      <c r="L115" s="31"/>
      <c r="M115" s="179"/>
      <c r="P115" s="256"/>
      <c r="Q115" s="256"/>
      <c r="R115" s="256"/>
      <c r="S115" s="256"/>
      <c r="T115" s="256"/>
      <c r="U115" s="360"/>
      <c r="V115" s="360"/>
      <c r="W115" s="360"/>
      <c r="X115" s="361"/>
    </row>
    <row r="116" spans="1:24" s="52" customFormat="1" ht="12.6" customHeight="1" x14ac:dyDescent="0.2">
      <c r="A116" s="53"/>
      <c r="B116" s="208"/>
      <c r="C116" s="1718" t="s">
        <v>753</v>
      </c>
      <c r="D116" s="857">
        <v>0</v>
      </c>
      <c r="E116" s="858"/>
      <c r="F116" s="857">
        <f>D116+D116*M116</f>
        <v>0</v>
      </c>
      <c r="G116" s="858"/>
      <c r="H116" s="857">
        <f>F116+F116*N116</f>
        <v>0</v>
      </c>
      <c r="I116" s="858"/>
      <c r="J116" s="857">
        <f>H116+H116*O116</f>
        <v>0</v>
      </c>
      <c r="K116" s="858"/>
      <c r="L116" s="55"/>
      <c r="M116" s="315">
        <v>0.03</v>
      </c>
      <c r="N116" s="315">
        <f t="shared" ref="N116:O119" si="14">M116</f>
        <v>0.03</v>
      </c>
      <c r="O116" s="315">
        <f t="shared" si="14"/>
        <v>0.03</v>
      </c>
      <c r="P116" s="256"/>
      <c r="Q116" s="256"/>
      <c r="R116" s="256"/>
      <c r="S116" s="256"/>
      <c r="T116" s="256"/>
      <c r="U116" s="360"/>
      <c r="V116" s="360"/>
      <c r="W116" s="360"/>
      <c r="X116" s="361"/>
    </row>
    <row r="117" spans="1:24" s="52" customFormat="1" ht="12.6" customHeight="1" x14ac:dyDescent="0.2">
      <c r="A117"/>
      <c r="B117" s="208"/>
      <c r="C117" s="1718" t="s">
        <v>754</v>
      </c>
      <c r="D117" s="857">
        <v>0</v>
      </c>
      <c r="E117" s="858"/>
      <c r="F117" s="857">
        <f>D117+D117*M117</f>
        <v>0</v>
      </c>
      <c r="G117" s="858"/>
      <c r="H117" s="857">
        <f>F117+F117*N117</f>
        <v>0</v>
      </c>
      <c r="I117" s="858"/>
      <c r="J117" s="857">
        <f>H117+H117*O117</f>
        <v>0</v>
      </c>
      <c r="K117" s="858"/>
      <c r="L117" s="55"/>
      <c r="M117" s="315">
        <v>0.03</v>
      </c>
      <c r="N117" s="315">
        <f t="shared" si="14"/>
        <v>0.03</v>
      </c>
      <c r="O117" s="315">
        <f t="shared" si="14"/>
        <v>0.03</v>
      </c>
      <c r="P117" s="256">
        <v>0</v>
      </c>
      <c r="Q117" s="256"/>
      <c r="R117" s="256"/>
      <c r="S117" s="256"/>
      <c r="T117" s="256"/>
      <c r="U117" s="360"/>
      <c r="V117" s="360"/>
      <c r="W117" s="360"/>
      <c r="X117" s="361"/>
    </row>
    <row r="118" spans="1:24" s="52" customFormat="1" ht="12.6" customHeight="1" x14ac:dyDescent="0.2">
      <c r="A118" s="53"/>
      <c r="B118" s="208"/>
      <c r="C118" s="1718" t="s">
        <v>755</v>
      </c>
      <c r="D118" s="857">
        <v>0</v>
      </c>
      <c r="E118" s="858"/>
      <c r="F118" s="857">
        <f>D118+D118*M118</f>
        <v>0</v>
      </c>
      <c r="G118" s="858"/>
      <c r="H118" s="857">
        <f>F118+F118*N118</f>
        <v>0</v>
      </c>
      <c r="I118" s="858"/>
      <c r="J118" s="857">
        <f>H118+H118*O118</f>
        <v>0</v>
      </c>
      <c r="K118" s="858"/>
      <c r="L118" s="57"/>
      <c r="M118" s="315">
        <v>0.03</v>
      </c>
      <c r="N118" s="315">
        <f t="shared" si="14"/>
        <v>0.03</v>
      </c>
      <c r="O118" s="315">
        <f t="shared" si="14"/>
        <v>0.03</v>
      </c>
      <c r="P118" s="256"/>
      <c r="Q118" s="256"/>
      <c r="R118" s="256"/>
      <c r="S118" s="256"/>
      <c r="T118" s="256"/>
      <c r="U118" s="360"/>
      <c r="V118" s="360"/>
      <c r="W118" s="360"/>
      <c r="X118" s="361"/>
    </row>
    <row r="119" spans="1:24" s="52" customFormat="1" ht="12.6" customHeight="1" thickBot="1" x14ac:dyDescent="0.25">
      <c r="A119" s="2"/>
      <c r="B119" s="208"/>
      <c r="C119" s="1720" t="s">
        <v>756</v>
      </c>
      <c r="D119" s="857">
        <v>0</v>
      </c>
      <c r="E119" s="890"/>
      <c r="F119" s="857">
        <f>D119+D119*M119</f>
        <v>0</v>
      </c>
      <c r="G119" s="890"/>
      <c r="H119" s="891">
        <f>F119+F119*N119</f>
        <v>0</v>
      </c>
      <c r="I119" s="890"/>
      <c r="J119" s="891">
        <f>H119+H119*O119</f>
        <v>0</v>
      </c>
      <c r="K119" s="890"/>
      <c r="L119" s="57"/>
      <c r="M119" s="315">
        <v>0.03</v>
      </c>
      <c r="N119" s="315">
        <f t="shared" si="14"/>
        <v>0.03</v>
      </c>
      <c r="O119" s="315">
        <f t="shared" si="14"/>
        <v>0.03</v>
      </c>
      <c r="P119" s="256"/>
      <c r="Q119" s="256"/>
      <c r="R119" s="256"/>
      <c r="S119" s="256"/>
      <c r="T119" s="256"/>
      <c r="U119" s="360"/>
      <c r="V119" s="360"/>
      <c r="W119" s="360"/>
      <c r="X119" s="361"/>
    </row>
    <row r="120" spans="1:24" s="4" customFormat="1" ht="12.75" customHeight="1" x14ac:dyDescent="0.2">
      <c r="A120" s="53"/>
      <c r="B120" s="207"/>
      <c r="C120" s="214" t="s">
        <v>768</v>
      </c>
      <c r="D120" s="888">
        <f>SUM(D121:D123)</f>
        <v>0</v>
      </c>
      <c r="E120" s="889">
        <f>IF(D$45=0,0,100*D120/D$45)</f>
        <v>0</v>
      </c>
      <c r="F120" s="888">
        <f>SUM(F121:F123)</f>
        <v>0</v>
      </c>
      <c r="G120" s="889">
        <f>IF(F$45=0,0,100*F120/F$45)</f>
        <v>0</v>
      </c>
      <c r="H120" s="888">
        <f>SUM(H121:H123)</f>
        <v>0</v>
      </c>
      <c r="I120" s="889">
        <f>IF(H$45=0,0,100*H120/H$45)</f>
        <v>0</v>
      </c>
      <c r="J120" s="888">
        <f>SUM(J121:J123)</f>
        <v>0</v>
      </c>
      <c r="K120" s="889">
        <f>IF(J$45=0,0,100*J120/J$45)</f>
        <v>0</v>
      </c>
      <c r="L120" s="31"/>
      <c r="M120" s="1304"/>
      <c r="N120" s="1302"/>
      <c r="O120" s="1302"/>
      <c r="P120" s="256"/>
      <c r="Q120" s="256"/>
      <c r="R120" s="256"/>
      <c r="S120" s="256"/>
      <c r="T120" s="256"/>
      <c r="U120" s="360"/>
      <c r="V120" s="360"/>
      <c r="W120" s="360"/>
      <c r="X120" s="361"/>
    </row>
    <row r="121" spans="1:24" s="52" customFormat="1" ht="12.6" customHeight="1" x14ac:dyDescent="0.2">
      <c r="A121"/>
      <c r="B121" s="208"/>
      <c r="C121" s="1718" t="s">
        <v>757</v>
      </c>
      <c r="D121" s="857">
        <v>0</v>
      </c>
      <c r="E121" s="858"/>
      <c r="F121" s="857">
        <f t="shared" ref="F121:F131" si="15">D121+D121*M121</f>
        <v>0</v>
      </c>
      <c r="G121" s="858"/>
      <c r="H121" s="857">
        <f t="shared" ref="H121:H127" si="16">F121+F121*N121</f>
        <v>0</v>
      </c>
      <c r="I121" s="858"/>
      <c r="J121" s="857">
        <f t="shared" ref="J121:J127" si="17">H121+H121*O121</f>
        <v>0</v>
      </c>
      <c r="K121" s="858"/>
      <c r="L121" s="55"/>
      <c r="M121" s="315">
        <v>0.03</v>
      </c>
      <c r="N121" s="315">
        <f t="shared" ref="N121:O131" si="18">M121</f>
        <v>0.03</v>
      </c>
      <c r="O121" s="315">
        <f t="shared" si="18"/>
        <v>0.03</v>
      </c>
      <c r="P121" s="256"/>
      <c r="Q121" s="256"/>
      <c r="R121" s="256"/>
      <c r="S121" s="256"/>
      <c r="T121" s="360"/>
      <c r="U121" s="360"/>
      <c r="V121" s="256"/>
      <c r="W121" s="256"/>
      <c r="X121" s="361"/>
    </row>
    <row r="122" spans="1:24" s="52" customFormat="1" ht="12.6" customHeight="1" x14ac:dyDescent="0.2">
      <c r="A122" s="53"/>
      <c r="B122" s="208"/>
      <c r="C122" s="1718" t="s">
        <v>758</v>
      </c>
      <c r="D122" s="857">
        <v>0</v>
      </c>
      <c r="E122" s="858"/>
      <c r="F122" s="857">
        <f t="shared" si="15"/>
        <v>0</v>
      </c>
      <c r="G122" s="858"/>
      <c r="H122" s="857">
        <f t="shared" si="16"/>
        <v>0</v>
      </c>
      <c r="I122" s="858"/>
      <c r="J122" s="857">
        <f t="shared" si="17"/>
        <v>0</v>
      </c>
      <c r="K122" s="858"/>
      <c r="L122" s="55"/>
      <c r="M122" s="315">
        <v>0.03</v>
      </c>
      <c r="N122" s="315">
        <f t="shared" si="18"/>
        <v>0.03</v>
      </c>
      <c r="O122" s="315">
        <f t="shared" si="18"/>
        <v>0.03</v>
      </c>
      <c r="P122" s="256"/>
      <c r="Q122" s="256"/>
      <c r="R122" s="256"/>
      <c r="S122" s="360"/>
      <c r="T122" s="360"/>
      <c r="U122" s="256"/>
      <c r="V122" s="256"/>
      <c r="W122" s="256"/>
      <c r="X122" s="361"/>
    </row>
    <row r="123" spans="1:24" s="52" customFormat="1" ht="12.6" customHeight="1" thickBot="1" x14ac:dyDescent="0.25">
      <c r="A123" s="2"/>
      <c r="B123" s="208"/>
      <c r="C123" s="1719" t="s">
        <v>759</v>
      </c>
      <c r="D123" s="891">
        <v>0</v>
      </c>
      <c r="E123" s="890"/>
      <c r="F123" s="891">
        <f t="shared" si="15"/>
        <v>0</v>
      </c>
      <c r="G123" s="890"/>
      <c r="H123" s="891">
        <f t="shared" si="16"/>
        <v>0</v>
      </c>
      <c r="I123" s="890"/>
      <c r="J123" s="891">
        <f t="shared" si="17"/>
        <v>0</v>
      </c>
      <c r="K123" s="890"/>
      <c r="L123" s="57"/>
      <c r="M123" s="315">
        <v>0.03</v>
      </c>
      <c r="N123" s="315">
        <f t="shared" si="18"/>
        <v>0.03</v>
      </c>
      <c r="O123" s="315">
        <f t="shared" si="18"/>
        <v>0.03</v>
      </c>
      <c r="P123" s="256">
        <v>0</v>
      </c>
      <c r="Q123" s="256"/>
      <c r="R123" s="256"/>
      <c r="S123" s="360"/>
      <c r="T123" s="360"/>
      <c r="U123" s="360"/>
      <c r="V123" s="360"/>
      <c r="W123" s="360"/>
      <c r="X123" s="362"/>
    </row>
    <row r="124" spans="1:24" s="4" customFormat="1" ht="14.1" customHeight="1" thickBot="1" x14ac:dyDescent="0.25">
      <c r="A124" s="53"/>
      <c r="B124" s="207"/>
      <c r="C124" s="215" t="s">
        <v>767</v>
      </c>
      <c r="D124" s="900">
        <v>0</v>
      </c>
      <c r="E124" s="903">
        <f>IF(D$45=0,0,100*D124/D$45)</f>
        <v>0</v>
      </c>
      <c r="F124" s="900">
        <f t="shared" si="15"/>
        <v>0</v>
      </c>
      <c r="G124" s="903">
        <f t="shared" ref="G124:G131" si="19">IF(F$45=0,0,100*F124/F$45)</f>
        <v>0</v>
      </c>
      <c r="H124" s="900">
        <f t="shared" si="16"/>
        <v>0</v>
      </c>
      <c r="I124" s="889">
        <f t="shared" ref="I124:I131" si="20">IF(H$45=0,0,100*H124/H$45)</f>
        <v>0</v>
      </c>
      <c r="J124" s="900">
        <f t="shared" si="17"/>
        <v>0</v>
      </c>
      <c r="K124" s="889">
        <f t="shared" ref="K124:K131" si="21">IF(J$45=0,0,100*J124/J$45)</f>
        <v>0</v>
      </c>
      <c r="L124" s="31"/>
      <c r="M124" s="315">
        <v>0.03</v>
      </c>
      <c r="N124" s="315">
        <f t="shared" si="18"/>
        <v>0.03</v>
      </c>
      <c r="O124" s="315">
        <f t="shared" si="18"/>
        <v>0.03</v>
      </c>
      <c r="P124" s="256"/>
      <c r="Q124" s="256"/>
      <c r="R124" s="256"/>
      <c r="S124" s="360"/>
      <c r="T124" s="360"/>
      <c r="U124" s="360"/>
      <c r="V124" s="360"/>
      <c r="W124" s="360"/>
      <c r="X124" s="362"/>
    </row>
    <row r="125" spans="1:24" s="4" customFormat="1" ht="14.1" customHeight="1" thickBot="1" x14ac:dyDescent="0.25">
      <c r="B125" s="207"/>
      <c r="C125" s="215" t="s">
        <v>766</v>
      </c>
      <c r="D125" s="900">
        <v>0</v>
      </c>
      <c r="E125" s="903">
        <f>IF(D$45=0,0,100*D125/D$45)</f>
        <v>0</v>
      </c>
      <c r="F125" s="900">
        <f t="shared" si="15"/>
        <v>0</v>
      </c>
      <c r="G125" s="903">
        <f t="shared" si="19"/>
        <v>0</v>
      </c>
      <c r="H125" s="900">
        <f t="shared" si="16"/>
        <v>0</v>
      </c>
      <c r="I125" s="889">
        <f t="shared" si="20"/>
        <v>0</v>
      </c>
      <c r="J125" s="900">
        <f t="shared" si="17"/>
        <v>0</v>
      </c>
      <c r="K125" s="889">
        <f t="shared" si="21"/>
        <v>0</v>
      </c>
      <c r="L125" s="31"/>
      <c r="M125" s="315">
        <v>0.03</v>
      </c>
      <c r="N125" s="315">
        <f t="shared" si="18"/>
        <v>0.03</v>
      </c>
      <c r="O125" s="315">
        <f t="shared" si="18"/>
        <v>0.03</v>
      </c>
      <c r="P125" s="256"/>
      <c r="Q125" s="256"/>
      <c r="R125" s="256"/>
      <c r="S125" s="360"/>
      <c r="T125" s="360"/>
      <c r="U125" s="360"/>
      <c r="V125" s="360"/>
      <c r="W125" s="360"/>
      <c r="X125" s="362"/>
    </row>
    <row r="126" spans="1:24" s="4" customFormat="1" ht="14.1" customHeight="1" thickBot="1" x14ac:dyDescent="0.25">
      <c r="B126" s="207" t="s">
        <v>0</v>
      </c>
      <c r="C126" s="216" t="s">
        <v>765</v>
      </c>
      <c r="D126" s="900">
        <v>0</v>
      </c>
      <c r="E126" s="903">
        <f t="shared" ref="E126:E131" si="22">IF(D$45=0,0,100*D126/D$45)</f>
        <v>0</v>
      </c>
      <c r="F126" s="900">
        <f t="shared" si="15"/>
        <v>0</v>
      </c>
      <c r="G126" s="903">
        <f t="shared" si="19"/>
        <v>0</v>
      </c>
      <c r="H126" s="900">
        <f t="shared" si="16"/>
        <v>0</v>
      </c>
      <c r="I126" s="903">
        <f t="shared" si="20"/>
        <v>0</v>
      </c>
      <c r="J126" s="900">
        <f t="shared" si="17"/>
        <v>0</v>
      </c>
      <c r="K126" s="903">
        <f t="shared" si="21"/>
        <v>0</v>
      </c>
      <c r="L126" s="58"/>
      <c r="M126" s="315">
        <v>0.03</v>
      </c>
      <c r="N126" s="315">
        <f t="shared" si="18"/>
        <v>0.03</v>
      </c>
      <c r="O126" s="315">
        <f t="shared" si="18"/>
        <v>0.03</v>
      </c>
      <c r="P126" s="256"/>
      <c r="Q126" s="256"/>
      <c r="R126" s="256"/>
      <c r="S126" s="360"/>
      <c r="T126" s="360"/>
      <c r="U126" s="360"/>
      <c r="V126" s="360"/>
      <c r="W126" s="360"/>
      <c r="X126" s="362"/>
    </row>
    <row r="127" spans="1:24" s="4" customFormat="1" ht="14.1" customHeight="1" thickBot="1" x14ac:dyDescent="0.25">
      <c r="B127" s="217"/>
      <c r="C127" s="1705" t="s">
        <v>764</v>
      </c>
      <c r="D127" s="900">
        <v>0</v>
      </c>
      <c r="E127" s="903">
        <f t="shared" si="22"/>
        <v>0</v>
      </c>
      <c r="F127" s="900">
        <f t="shared" si="15"/>
        <v>0</v>
      </c>
      <c r="G127" s="903">
        <f t="shared" si="19"/>
        <v>0</v>
      </c>
      <c r="H127" s="900">
        <f t="shared" si="16"/>
        <v>0</v>
      </c>
      <c r="I127" s="903">
        <f t="shared" si="20"/>
        <v>0</v>
      </c>
      <c r="J127" s="900">
        <f t="shared" si="17"/>
        <v>0</v>
      </c>
      <c r="K127" s="903">
        <f t="shared" si="21"/>
        <v>0</v>
      </c>
      <c r="L127" s="32"/>
      <c r="M127" s="315">
        <v>0.03</v>
      </c>
      <c r="N127" s="315">
        <f t="shared" si="18"/>
        <v>0.03</v>
      </c>
      <c r="O127" s="315">
        <f t="shared" si="18"/>
        <v>0.03</v>
      </c>
      <c r="P127" s="256"/>
      <c r="Q127" s="256"/>
      <c r="R127" s="256"/>
      <c r="S127" s="256"/>
      <c r="T127" s="360"/>
      <c r="U127" s="360"/>
      <c r="V127" s="360"/>
      <c r="W127" s="360"/>
      <c r="X127" s="362"/>
    </row>
    <row r="128" spans="1:24" s="4" customFormat="1" ht="14.1" customHeight="1" thickBot="1" x14ac:dyDescent="0.25">
      <c r="B128" s="217"/>
      <c r="C128" s="1705" t="s">
        <v>763</v>
      </c>
      <c r="D128" s="900">
        <v>0</v>
      </c>
      <c r="E128" s="903">
        <f t="shared" si="22"/>
        <v>0</v>
      </c>
      <c r="F128" s="900">
        <f t="shared" si="15"/>
        <v>0</v>
      </c>
      <c r="G128" s="903">
        <f t="shared" si="19"/>
        <v>0</v>
      </c>
      <c r="H128" s="900">
        <f>F128+F128*O128</f>
        <v>0</v>
      </c>
      <c r="I128" s="903">
        <f t="shared" si="20"/>
        <v>0</v>
      </c>
      <c r="J128" s="900">
        <f>H128+H128*Q128</f>
        <v>0</v>
      </c>
      <c r="K128" s="903">
        <f t="shared" si="21"/>
        <v>0</v>
      </c>
      <c r="L128" s="32"/>
      <c r="M128" s="955"/>
      <c r="N128" s="500"/>
      <c r="O128" s="500"/>
      <c r="P128" s="256"/>
      <c r="Q128" s="256"/>
      <c r="R128" s="256"/>
      <c r="S128" s="256"/>
      <c r="T128" s="360"/>
      <c r="U128" s="360"/>
      <c r="V128" s="360"/>
      <c r="W128" s="360"/>
      <c r="X128" s="362"/>
    </row>
    <row r="129" spans="2:24" s="4" customFormat="1" ht="14.1" customHeight="1" thickBot="1" x14ac:dyDescent="0.25">
      <c r="B129" s="217"/>
      <c r="C129" s="241" t="s">
        <v>762</v>
      </c>
      <c r="D129" s="900">
        <v>0</v>
      </c>
      <c r="E129" s="903">
        <f t="shared" si="22"/>
        <v>0</v>
      </c>
      <c r="F129" s="900">
        <f t="shared" si="15"/>
        <v>0</v>
      </c>
      <c r="G129" s="903">
        <f t="shared" si="19"/>
        <v>0</v>
      </c>
      <c r="H129" s="900">
        <f>F129+F129*N129</f>
        <v>0</v>
      </c>
      <c r="I129" s="903">
        <f t="shared" si="20"/>
        <v>0</v>
      </c>
      <c r="J129" s="900">
        <f>H129+H129*O129</f>
        <v>0</v>
      </c>
      <c r="K129" s="903">
        <f t="shared" si="21"/>
        <v>0</v>
      </c>
      <c r="L129" s="32"/>
      <c r="M129" s="315">
        <v>0.03</v>
      </c>
      <c r="N129" s="315">
        <f t="shared" si="18"/>
        <v>0.03</v>
      </c>
      <c r="O129" s="315">
        <f t="shared" si="18"/>
        <v>0.03</v>
      </c>
      <c r="P129" s="256"/>
      <c r="Q129" s="256"/>
      <c r="R129" s="256"/>
      <c r="S129" s="256"/>
      <c r="T129" s="256"/>
      <c r="U129" s="256"/>
      <c r="V129" s="256"/>
      <c r="W129" s="256"/>
      <c r="X129" s="361"/>
    </row>
    <row r="130" spans="2:24" s="4" customFormat="1" ht="14.1" customHeight="1" thickBot="1" x14ac:dyDescent="0.25">
      <c r="B130" s="217"/>
      <c r="C130" s="1706" t="s">
        <v>761</v>
      </c>
      <c r="D130" s="900">
        <v>0</v>
      </c>
      <c r="E130" s="903">
        <f t="shared" si="22"/>
        <v>0</v>
      </c>
      <c r="F130" s="900">
        <f t="shared" si="15"/>
        <v>0</v>
      </c>
      <c r="G130" s="903">
        <f t="shared" si="19"/>
        <v>0</v>
      </c>
      <c r="H130" s="900">
        <f>F130+F130*N130</f>
        <v>0</v>
      </c>
      <c r="I130" s="903">
        <f t="shared" si="20"/>
        <v>0</v>
      </c>
      <c r="J130" s="900">
        <f>H130+H130*O130</f>
        <v>0</v>
      </c>
      <c r="K130" s="903">
        <f t="shared" si="21"/>
        <v>0</v>
      </c>
      <c r="L130" s="32"/>
      <c r="M130" s="315">
        <v>0.03</v>
      </c>
      <c r="N130" s="315">
        <f>M130</f>
        <v>0.03</v>
      </c>
      <c r="O130" s="315">
        <f>N130</f>
        <v>0.03</v>
      </c>
      <c r="P130" s="256"/>
      <c r="Q130" s="256"/>
      <c r="R130" s="256"/>
      <c r="S130" s="256"/>
      <c r="T130" s="256"/>
      <c r="U130" s="256"/>
      <c r="V130" s="256"/>
      <c r="W130" s="256"/>
      <c r="X130" s="361"/>
    </row>
    <row r="131" spans="2:24" s="4" customFormat="1" ht="14.1" customHeight="1" thickBot="1" x14ac:dyDescent="0.25">
      <c r="B131" s="218"/>
      <c r="C131" s="1707" t="s">
        <v>760</v>
      </c>
      <c r="D131" s="781">
        <v>0</v>
      </c>
      <c r="E131" s="904">
        <f t="shared" si="22"/>
        <v>0</v>
      </c>
      <c r="F131" s="781">
        <f t="shared" si="15"/>
        <v>0</v>
      </c>
      <c r="G131" s="904">
        <f t="shared" si="19"/>
        <v>0</v>
      </c>
      <c r="H131" s="900">
        <f>F131+F131*N131</f>
        <v>0</v>
      </c>
      <c r="I131" s="904">
        <f t="shared" si="20"/>
        <v>0</v>
      </c>
      <c r="J131" s="900">
        <f>H131+H131*O131</f>
        <v>0</v>
      </c>
      <c r="K131" s="904">
        <f t="shared" si="21"/>
        <v>0</v>
      </c>
      <c r="L131" s="32"/>
      <c r="M131" s="315">
        <v>0.03</v>
      </c>
      <c r="N131" s="315">
        <f t="shared" si="18"/>
        <v>0.03</v>
      </c>
      <c r="O131" s="315">
        <f t="shared" si="18"/>
        <v>0.03</v>
      </c>
      <c r="P131" s="363"/>
      <c r="Q131" s="363"/>
      <c r="R131" s="363"/>
      <c r="S131" s="363"/>
      <c r="T131" s="363"/>
      <c r="U131" s="363"/>
      <c r="V131" s="363"/>
      <c r="W131" s="363"/>
      <c r="X131" s="364"/>
    </row>
    <row r="132" spans="2:24" ht="18" customHeight="1" thickBot="1" x14ac:dyDescent="0.25">
      <c r="B132" s="1288"/>
      <c r="C132" s="1723" t="s">
        <v>18</v>
      </c>
      <c r="D132" s="1289">
        <f>D45+D44</f>
        <v>0</v>
      </c>
      <c r="E132" s="1286">
        <v>0</v>
      </c>
      <c r="F132" s="1289">
        <f>F45+F44</f>
        <v>0</v>
      </c>
      <c r="G132" s="1287">
        <v>0</v>
      </c>
      <c r="H132" s="1289">
        <f>H45+H44</f>
        <v>0</v>
      </c>
      <c r="I132" s="1290"/>
      <c r="J132" s="1289">
        <f>J45+J44</f>
        <v>0</v>
      </c>
      <c r="K132" s="1290"/>
      <c r="L132" s="7"/>
      <c r="M132" s="43"/>
      <c r="N132" s="43"/>
      <c r="O132" s="43"/>
      <c r="P132" s="44"/>
      <c r="Q132" s="44"/>
      <c r="R132" s="44"/>
      <c r="S132" s="44"/>
      <c r="T132" s="44"/>
      <c r="U132" s="28"/>
      <c r="V132" s="28"/>
      <c r="W132" s="28"/>
    </row>
    <row r="133" spans="2:24" ht="6" customHeight="1" x14ac:dyDescent="0.2">
      <c r="B133" s="4"/>
      <c r="L133" s="3"/>
      <c r="M133" s="27"/>
      <c r="N133" s="1"/>
      <c r="O133" s="1"/>
      <c r="P133" s="1"/>
      <c r="Q133" s="1"/>
      <c r="R133" s="1"/>
      <c r="S133" s="1"/>
      <c r="T133" s="1"/>
      <c r="U133" s="28"/>
      <c r="V133" s="28"/>
      <c r="W133" s="28"/>
    </row>
    <row r="134" spans="2:24" s="2" customFormat="1" x14ac:dyDescent="0.2">
      <c r="B134" s="328"/>
      <c r="C134" s="329"/>
      <c r="D134" s="329"/>
      <c r="E134" s="329"/>
      <c r="F134" s="329"/>
      <c r="G134" s="329"/>
      <c r="H134" s="329"/>
      <c r="I134" s="329"/>
      <c r="J134" s="329"/>
      <c r="K134" s="231">
        <f>OHJE!F6</f>
        <v>0</v>
      </c>
      <c r="L134" s="3"/>
      <c r="M134" s="44"/>
      <c r="N134" s="44"/>
      <c r="O134" s="44"/>
      <c r="P134" s="44"/>
      <c r="Q134" s="44"/>
      <c r="R134" s="44"/>
      <c r="S134" s="44"/>
      <c r="T134" s="44"/>
      <c r="U134" s="28"/>
      <c r="V134" s="28"/>
      <c r="W134" s="28"/>
    </row>
    <row r="135" spans="2:24" s="2" customFormat="1" x14ac:dyDescent="0.2">
      <c r="B135" s="328" t="str">
        <f>'7. T2 TULOSSUUN.'!B35</f>
        <v>YT6 Aloittavan yrityksen tulossuunnitelma</v>
      </c>
      <c r="C135" s="329"/>
      <c r="D135" s="329"/>
      <c r="E135" s="329"/>
      <c r="F135" s="329"/>
      <c r="G135" s="329"/>
      <c r="H135" s="329"/>
      <c r="I135" s="329"/>
      <c r="J135" s="329"/>
      <c r="K135" s="383" t="str">
        <f>'7. T2 TULOSSUUN.'!G35</f>
        <v>Kehittämisyhtiö Witas Oy</v>
      </c>
      <c r="L135" s="3"/>
      <c r="M135" s="44"/>
      <c r="N135" s="44"/>
      <c r="O135" s="44"/>
      <c r="P135" s="44"/>
      <c r="Q135" s="44"/>
      <c r="R135" s="44"/>
      <c r="S135" s="44"/>
      <c r="T135" s="44"/>
      <c r="U135" s="28"/>
      <c r="V135" s="28"/>
      <c r="W135" s="28"/>
    </row>
    <row r="136" spans="2:24" s="2" customFormat="1" x14ac:dyDescent="0.2">
      <c r="B136" s="1978"/>
      <c r="C136" s="1978"/>
      <c r="L136" s="3"/>
      <c r="M136" s="44"/>
      <c r="N136" s="44"/>
      <c r="O136" s="44"/>
      <c r="P136" s="44"/>
      <c r="Q136" s="44"/>
      <c r="R136" s="44"/>
      <c r="S136" s="44"/>
      <c r="T136" s="44"/>
      <c r="U136" s="28"/>
      <c r="V136" s="28"/>
      <c r="W136" s="28"/>
    </row>
    <row r="137" spans="2:24" ht="6.75" customHeight="1" x14ac:dyDescent="0.2">
      <c r="B137" s="4"/>
      <c r="C137" s="4"/>
      <c r="D137" s="4"/>
      <c r="E137" s="4"/>
      <c r="F137" s="4"/>
      <c r="G137" s="4"/>
      <c r="H137" s="4"/>
      <c r="I137" s="4"/>
      <c r="J137" s="4"/>
      <c r="K137" s="4"/>
      <c r="M137" s="1"/>
      <c r="N137" s="1"/>
      <c r="O137" s="1"/>
      <c r="P137" s="1"/>
      <c r="Q137" s="1"/>
      <c r="R137" s="1"/>
      <c r="S137" s="1"/>
      <c r="T137" s="1"/>
      <c r="U137" s="28"/>
      <c r="V137" s="28"/>
      <c r="W137" s="28"/>
    </row>
    <row r="138" spans="2:24" x14ac:dyDescent="0.2">
      <c r="B138" s="33"/>
      <c r="C138" s="327" t="s">
        <v>234</v>
      </c>
      <c r="D138" s="9"/>
      <c r="E138" s="20"/>
      <c r="F138" s="9"/>
      <c r="G138" s="20"/>
      <c r="H138" s="9"/>
      <c r="I138" s="20"/>
      <c r="J138" s="9"/>
      <c r="K138" s="20"/>
      <c r="L138" s="9"/>
      <c r="M138" s="9"/>
      <c r="N138" s="8"/>
      <c r="O138" s="28"/>
      <c r="P138" s="28"/>
      <c r="Q138" s="28"/>
      <c r="R138" s="28"/>
      <c r="S138" s="28"/>
      <c r="T138" s="28"/>
      <c r="U138" s="28"/>
      <c r="V138" s="28"/>
      <c r="W138" s="28"/>
    </row>
    <row r="139" spans="2:24" s="2" customFormat="1" x14ac:dyDescent="0.2">
      <c r="B139" s="36"/>
      <c r="C139" s="52" t="s">
        <v>235</v>
      </c>
      <c r="D139" s="23"/>
      <c r="E139" s="35"/>
      <c r="F139" s="9"/>
      <c r="G139" s="35"/>
      <c r="H139" s="9"/>
      <c r="I139" s="35"/>
      <c r="J139" s="9"/>
      <c r="K139" s="35"/>
      <c r="L139" s="9"/>
      <c r="M139" s="9"/>
      <c r="N139" s="8"/>
      <c r="O139" s="28"/>
      <c r="P139" s="28"/>
      <c r="Q139" s="28"/>
      <c r="R139" s="28"/>
      <c r="S139" s="28"/>
      <c r="T139" s="28"/>
      <c r="U139" s="28"/>
      <c r="V139" s="28"/>
      <c r="W139" s="28"/>
    </row>
    <row r="140" spans="2:24" s="2" customFormat="1" ht="12.75" customHeight="1" x14ac:dyDescent="0.2">
      <c r="B140" s="36"/>
      <c r="C140" s="52" t="s">
        <v>236</v>
      </c>
      <c r="D140" s="9"/>
      <c r="E140" s="35"/>
      <c r="F140" s="9"/>
      <c r="G140" s="35"/>
      <c r="H140" s="9"/>
      <c r="I140" s="35"/>
      <c r="J140" s="9"/>
      <c r="K140" s="35"/>
      <c r="L140" s="9"/>
      <c r="M140" s="9"/>
      <c r="N140" s="8"/>
      <c r="O140" s="28"/>
      <c r="P140" s="28"/>
      <c r="Q140" s="28"/>
      <c r="R140" s="28"/>
      <c r="S140" s="28"/>
      <c r="T140" s="28"/>
      <c r="U140" s="28"/>
      <c r="V140" s="28"/>
      <c r="W140" s="28"/>
    </row>
    <row r="141" spans="2:24" x14ac:dyDescent="0.2">
      <c r="B141" s="33"/>
      <c r="L141" s="12"/>
      <c r="M141" s="12"/>
      <c r="N141" s="8"/>
      <c r="O141" s="13"/>
      <c r="P141" s="28"/>
      <c r="Q141" s="28"/>
      <c r="R141" s="28"/>
      <c r="S141" s="28"/>
      <c r="T141" s="28"/>
      <c r="U141" s="28"/>
      <c r="V141" s="28"/>
      <c r="W141" s="28"/>
    </row>
    <row r="142" spans="2:24" s="2" customFormat="1" x14ac:dyDescent="0.2">
      <c r="B142" s="33"/>
      <c r="L142" s="14"/>
      <c r="M142" s="14"/>
      <c r="N142" s="8"/>
      <c r="O142" s="13"/>
      <c r="P142" s="28"/>
      <c r="Q142" s="28"/>
      <c r="R142" s="28"/>
      <c r="S142" s="28"/>
      <c r="T142" s="28"/>
      <c r="U142" s="28"/>
      <c r="V142" s="28"/>
      <c r="W142" s="28"/>
    </row>
    <row r="143" spans="2:24" x14ac:dyDescent="0.2">
      <c r="B143" s="36"/>
      <c r="L143" s="9"/>
      <c r="M143" s="9"/>
      <c r="N143" s="8"/>
      <c r="O143" s="28"/>
      <c r="P143" s="28"/>
      <c r="Q143" s="28"/>
      <c r="R143" s="28"/>
      <c r="S143" s="28"/>
      <c r="T143" s="28"/>
      <c r="U143" s="28"/>
      <c r="V143" s="28"/>
      <c r="W143" s="28"/>
    </row>
    <row r="144" spans="2:24" x14ac:dyDescent="0.2">
      <c r="B144" s="33"/>
      <c r="L144" s="12"/>
      <c r="M144" s="12"/>
      <c r="N144" s="8"/>
      <c r="O144" s="28"/>
      <c r="P144" s="28"/>
      <c r="Q144" s="28"/>
      <c r="R144" s="28"/>
      <c r="S144" s="28"/>
      <c r="T144" s="28"/>
      <c r="U144" s="28"/>
      <c r="V144" s="28"/>
      <c r="W144" s="28"/>
    </row>
    <row r="145" spans="2:23" x14ac:dyDescent="0.2">
      <c r="B145" s="36"/>
      <c r="L145" s="9"/>
      <c r="M145" s="9"/>
      <c r="N145" s="8"/>
      <c r="O145" s="28"/>
      <c r="P145" s="28"/>
      <c r="Q145" s="28"/>
      <c r="R145" s="28"/>
      <c r="S145" s="28"/>
      <c r="T145" s="28"/>
      <c r="U145" s="28"/>
      <c r="V145" s="28"/>
      <c r="W145" s="28"/>
    </row>
    <row r="146" spans="2:23" ht="12.75" customHeight="1" x14ac:dyDescent="0.2">
      <c r="B146" s="20"/>
      <c r="L146" s="11"/>
      <c r="M146" s="11"/>
      <c r="N146" s="8"/>
      <c r="O146" s="28"/>
      <c r="P146" s="28"/>
      <c r="Q146" s="28"/>
      <c r="R146" s="28"/>
      <c r="S146" s="28"/>
      <c r="T146" s="28"/>
      <c r="U146" s="28"/>
      <c r="V146" s="28"/>
      <c r="W146" s="28"/>
    </row>
    <row r="147" spans="2:23" ht="12.75" customHeight="1" x14ac:dyDescent="0.2">
      <c r="B147" s="20"/>
      <c r="C147" s="34"/>
      <c r="D147" s="11"/>
      <c r="E147" s="10"/>
      <c r="F147" s="16"/>
      <c r="G147" s="10"/>
      <c r="H147" s="16"/>
      <c r="I147" s="10"/>
      <c r="J147" s="16"/>
      <c r="K147" s="10"/>
      <c r="L147" s="16"/>
      <c r="M147" s="16"/>
      <c r="N147" s="8"/>
      <c r="O147" s="8"/>
      <c r="P147" s="8"/>
      <c r="Q147" s="8"/>
      <c r="R147" s="8"/>
      <c r="S147" s="8"/>
      <c r="T147" s="8"/>
      <c r="U147" s="8"/>
      <c r="V147" s="8"/>
      <c r="W147" s="8"/>
    </row>
    <row r="148" spans="2:23" ht="12.75" customHeight="1" x14ac:dyDescent="0.2">
      <c r="B148" s="20"/>
      <c r="C148" s="34"/>
      <c r="D148" s="11"/>
      <c r="E148" s="20"/>
      <c r="F148" s="11"/>
      <c r="G148" s="20"/>
      <c r="H148" s="11"/>
      <c r="I148" s="20"/>
      <c r="J148" s="11"/>
      <c r="K148" s="20"/>
      <c r="L148" s="11"/>
      <c r="M148" s="11"/>
      <c r="N148" s="8"/>
      <c r="O148" s="8"/>
      <c r="P148" s="8"/>
      <c r="Q148" s="8"/>
      <c r="R148" s="8"/>
      <c r="S148" s="8"/>
      <c r="T148" s="8"/>
      <c r="U148" s="8"/>
      <c r="V148" s="8"/>
      <c r="W148" s="8"/>
    </row>
    <row r="149" spans="2:23" ht="12.75" customHeight="1" x14ac:dyDescent="0.2">
      <c r="B149" s="20"/>
      <c r="C149" s="34"/>
      <c r="D149" s="11"/>
      <c r="E149" s="35"/>
      <c r="F149" s="37"/>
      <c r="G149" s="35"/>
      <c r="H149" s="37"/>
      <c r="I149" s="35"/>
      <c r="J149" s="37"/>
      <c r="K149" s="35"/>
      <c r="L149" s="37"/>
      <c r="M149" s="37"/>
      <c r="N149" s="8"/>
      <c r="O149" s="8"/>
      <c r="P149" s="8"/>
      <c r="Q149" s="8"/>
      <c r="R149" s="8"/>
      <c r="S149" s="8"/>
      <c r="T149" s="8"/>
      <c r="U149" s="8"/>
      <c r="V149" s="8"/>
      <c r="W149" s="8"/>
    </row>
    <row r="150" spans="2:23" ht="12.75" customHeight="1" x14ac:dyDescent="0.2">
      <c r="B150" s="35"/>
      <c r="C150" s="34"/>
      <c r="D150" s="11"/>
      <c r="E150" s="35"/>
      <c r="F150" s="37"/>
      <c r="G150" s="35"/>
      <c r="H150" s="37"/>
      <c r="I150" s="35"/>
      <c r="J150" s="37"/>
      <c r="K150" s="35"/>
      <c r="L150" s="37"/>
      <c r="M150" s="37"/>
      <c r="N150" s="8"/>
      <c r="O150" s="8"/>
      <c r="P150" s="8"/>
      <c r="Q150" s="8"/>
      <c r="R150" s="8"/>
      <c r="S150" s="8"/>
      <c r="T150" s="8"/>
      <c r="U150" s="8"/>
      <c r="V150" s="8"/>
      <c r="W150" s="8"/>
    </row>
    <row r="151" spans="2:23" ht="12.75" customHeight="1" x14ac:dyDescent="0.2">
      <c r="B151" s="20"/>
      <c r="C151" s="34"/>
      <c r="D151" s="11"/>
      <c r="E151" s="38"/>
      <c r="F151" s="37"/>
      <c r="G151" s="38"/>
      <c r="H151" s="37"/>
      <c r="I151" s="38"/>
      <c r="J151" s="37"/>
      <c r="K151" s="38"/>
      <c r="L151" s="37"/>
      <c r="M151" s="37"/>
      <c r="N151" s="8"/>
      <c r="O151" s="8"/>
      <c r="P151" s="8"/>
      <c r="Q151" s="8"/>
      <c r="R151" s="8"/>
      <c r="S151" s="8"/>
      <c r="T151" s="8"/>
      <c r="U151" s="8"/>
      <c r="V151" s="8"/>
      <c r="W151" s="8"/>
    </row>
    <row r="152" spans="2:23" ht="12.75" customHeight="1" x14ac:dyDescent="0.2">
      <c r="B152" s="8"/>
      <c r="C152" s="8"/>
      <c r="D152" s="8"/>
      <c r="E152" s="35"/>
      <c r="F152" s="8"/>
      <c r="G152" s="35"/>
      <c r="H152" s="8"/>
      <c r="I152" s="35"/>
      <c r="J152" s="8"/>
      <c r="K152" s="35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</row>
    <row r="153" spans="2:23" ht="12.75" customHeight="1" x14ac:dyDescent="0.2">
      <c r="B153" s="8"/>
      <c r="C153" s="8"/>
      <c r="D153" s="36"/>
      <c r="E153" s="8"/>
      <c r="F153" s="15"/>
      <c r="G153" s="8"/>
      <c r="H153" s="15"/>
      <c r="I153" s="8"/>
      <c r="J153" s="15"/>
      <c r="K153" s="8"/>
      <c r="L153" s="15"/>
      <c r="M153" s="15"/>
      <c r="N153" s="8"/>
      <c r="O153" s="8"/>
      <c r="P153" s="8"/>
      <c r="Q153" s="8"/>
      <c r="R153" s="8"/>
      <c r="S153" s="8"/>
      <c r="T153" s="8"/>
      <c r="U153" s="8"/>
      <c r="V153" s="8"/>
      <c r="W153" s="8"/>
    </row>
    <row r="154" spans="2:23" ht="12.75" customHeight="1" x14ac:dyDescent="0.2">
      <c r="B154" s="8"/>
      <c r="C154" s="8"/>
      <c r="D154" s="36"/>
      <c r="E154" s="8"/>
      <c r="F154" s="9"/>
      <c r="G154" s="8"/>
      <c r="H154" s="9"/>
      <c r="I154" s="8"/>
      <c r="J154" s="9"/>
      <c r="K154" s="8"/>
      <c r="L154" s="9"/>
      <c r="M154" s="9"/>
      <c r="N154" s="8"/>
      <c r="O154" s="8"/>
      <c r="P154" s="8"/>
      <c r="Q154" s="8"/>
      <c r="R154" s="8"/>
      <c r="S154" s="8"/>
      <c r="T154" s="8"/>
      <c r="U154" s="8"/>
      <c r="V154" s="8"/>
      <c r="W154" s="8"/>
    </row>
    <row r="155" spans="2:23" ht="12.7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</row>
    <row r="156" spans="2:23" ht="12.75" customHeight="1" x14ac:dyDescent="0.2">
      <c r="B156" s="8"/>
      <c r="C156" s="8"/>
      <c r="D156" s="36"/>
      <c r="E156" s="35"/>
      <c r="F156" s="17"/>
      <c r="G156" s="35"/>
      <c r="H156" s="17"/>
      <c r="I156" s="35"/>
      <c r="J156" s="17"/>
      <c r="K156" s="35"/>
      <c r="L156" s="17"/>
      <c r="M156" s="17"/>
      <c r="N156" s="8"/>
      <c r="O156" s="8"/>
      <c r="P156" s="8"/>
      <c r="Q156" s="8"/>
      <c r="R156" s="8"/>
      <c r="S156" s="8"/>
      <c r="T156" s="8"/>
      <c r="U156" s="8"/>
      <c r="V156" s="8"/>
      <c r="W156" s="8"/>
    </row>
    <row r="157" spans="2:23" ht="12.75" customHeight="1" x14ac:dyDescent="0.2"/>
    <row r="158" spans="2:23" ht="12.75" customHeight="1" x14ac:dyDescent="0.2"/>
    <row r="159" spans="2:23" ht="12.75" customHeight="1" x14ac:dyDescent="0.2"/>
    <row r="160" spans="2:23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</sheetData>
  <sheetProtection algorithmName="SHA-512" hashValue="zpoqQY+MGrMYP848R45IbQGFwyLwxIWT6hqkgJe0jS4Qnx8mX02CTkoo6tlRmK5cbj92SjkeQHCMVJoJ3G7dmA==" saltValue="DfrEG3AM69PAf5wxqzD82w==" spinCount="100000" sheet="1" objects="1" scenarios="1"/>
  <mergeCells count="20">
    <mergeCell ref="M5:O5"/>
    <mergeCell ref="J10:K10"/>
    <mergeCell ref="H10:I10"/>
    <mergeCell ref="F10:G10"/>
    <mergeCell ref="D10:E10"/>
    <mergeCell ref="H8:I8"/>
    <mergeCell ref="H7:I7"/>
    <mergeCell ref="D5:E5"/>
    <mergeCell ref="M11:O11"/>
    <mergeCell ref="F7:G7"/>
    <mergeCell ref="D7:E7"/>
    <mergeCell ref="J7:K7"/>
    <mergeCell ref="J8:K8"/>
    <mergeCell ref="B136:C136"/>
    <mergeCell ref="D8:E8"/>
    <mergeCell ref="F8:G8"/>
    <mergeCell ref="B5:C5"/>
    <mergeCell ref="D4:E4"/>
    <mergeCell ref="B7:C7"/>
    <mergeCell ref="B8:C9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verticalDpi="4" r:id="rId1"/>
  <headerFooter alignWithMargins="0"/>
  <rowBreaks count="1" manualBreakCount="1">
    <brk id="70" min="1" max="25" man="1"/>
  </rowBreaks>
  <colBreaks count="1" manualBreakCount="1">
    <brk id="11" min="1" max="125" man="1"/>
  </colBreaks>
  <ignoredErrors>
    <ignoredError sqref="H13 J13 O13" unlocked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ul4">
    <tabColor rgb="FF0152A1"/>
  </sheetPr>
  <dimension ref="A2:Y84"/>
  <sheetViews>
    <sheetView showGridLines="0" showZeros="0" zoomScaleNormal="100" workbookViewId="0">
      <selection activeCell="B17" sqref="B17"/>
    </sheetView>
  </sheetViews>
  <sheetFormatPr defaultRowHeight="12.75" x14ac:dyDescent="0.2"/>
  <cols>
    <col min="1" max="1" width="9.140625" customWidth="1"/>
    <col min="2" max="2" width="31.5703125" customWidth="1"/>
    <col min="3" max="3" width="4.140625" style="40" customWidth="1"/>
    <col min="4" max="4" width="7" customWidth="1"/>
    <col min="5" max="8" width="13.28515625" customWidth="1"/>
    <col min="9" max="9" width="2.85546875" customWidth="1"/>
    <col min="10" max="10" width="1" customWidth="1"/>
    <col min="11" max="11" width="1.140625" customWidth="1"/>
    <col min="14" max="21" width="8.85546875" customWidth="1"/>
    <col min="22" max="22" width="10.7109375" customWidth="1"/>
  </cols>
  <sheetData>
    <row r="2" spans="1:25" ht="15.75" x14ac:dyDescent="0.25">
      <c r="B2" s="24" t="s">
        <v>50</v>
      </c>
      <c r="C2"/>
      <c r="D2" s="24"/>
      <c r="E2" s="59"/>
      <c r="F2" s="24"/>
      <c r="J2" s="2" t="str">
        <f>B2</f>
        <v>E2  LIIKEVAIHDON MUODOSTUMINEN</v>
      </c>
      <c r="N2" s="321"/>
    </row>
    <row r="3" spans="1:25" ht="13.5" customHeight="1" x14ac:dyDescent="0.2">
      <c r="A3" s="1381" t="s">
        <v>457</v>
      </c>
      <c r="B3" s="2"/>
      <c r="C3" s="6"/>
      <c r="D3" s="5"/>
      <c r="E3" s="522"/>
      <c r="F3" s="6"/>
      <c r="G3" s="6"/>
      <c r="H3" s="6"/>
      <c r="N3" s="322"/>
    </row>
    <row r="4" spans="1:25" ht="17.25" customHeight="1" x14ac:dyDescent="0.2">
      <c r="B4" s="45" t="s">
        <v>39</v>
      </c>
      <c r="C4" s="54"/>
      <c r="D4" s="19" t="s">
        <v>0</v>
      </c>
      <c r="E4" s="45"/>
      <c r="F4" s="45" t="s">
        <v>35</v>
      </c>
      <c r="G4" s="19" t="s">
        <v>0</v>
      </c>
      <c r="H4" s="19" t="s">
        <v>0</v>
      </c>
      <c r="I4" s="29" t="s">
        <v>0</v>
      </c>
      <c r="J4" s="29" t="s">
        <v>0</v>
      </c>
      <c r="K4" s="29" t="s">
        <v>0</v>
      </c>
      <c r="L4" s="19"/>
      <c r="N4" s="322"/>
    </row>
    <row r="5" spans="1:25" ht="14.25" customHeight="1" x14ac:dyDescent="0.25">
      <c r="B5" s="2060">
        <f>'7. T2 TULOSSUUN.'!B5:D5</f>
        <v>0</v>
      </c>
      <c r="C5" s="2060"/>
      <c r="D5" s="2060"/>
      <c r="E5" s="521"/>
      <c r="F5" s="1237">
        <f>'1. T1 INVESTOINTISUUN.'!F4</f>
        <v>0</v>
      </c>
      <c r="G5" s="111"/>
      <c r="H5" s="111"/>
      <c r="I5" s="22"/>
      <c r="J5" s="2001"/>
      <c r="K5" s="2001"/>
      <c r="L5" s="2001"/>
      <c r="M5" s="24"/>
      <c r="N5" s="323"/>
      <c r="X5" s="8"/>
      <c r="Y5" s="8"/>
    </row>
    <row r="6" spans="1:25" ht="6" customHeight="1" thickBot="1" x14ac:dyDescent="0.25">
      <c r="F6" s="18"/>
      <c r="G6" s="18"/>
      <c r="H6" s="1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8"/>
      <c r="Y6" s="8"/>
    </row>
    <row r="7" spans="1:25" x14ac:dyDescent="0.2">
      <c r="B7" s="2061"/>
      <c r="C7" s="2062"/>
      <c r="D7" s="1856"/>
      <c r="E7" s="1857" t="str">
        <f>'1. T1 INVESTOINTISUUN.'!E15</f>
        <v>Ennuste 1</v>
      </c>
      <c r="F7" s="1857" t="s">
        <v>43</v>
      </c>
      <c r="G7" s="1857" t="s">
        <v>44</v>
      </c>
      <c r="H7" s="1858" t="s">
        <v>188</v>
      </c>
    </row>
    <row r="8" spans="1:25" ht="12.75" customHeight="1" x14ac:dyDescent="0.2">
      <c r="B8" s="2063"/>
      <c r="C8" s="2064"/>
      <c r="D8" s="1080"/>
      <c r="E8" s="1081">
        <f>'3. E1 KUSTANNUKSET'!D$8</f>
        <v>2027</v>
      </c>
      <c r="F8" s="1081">
        <f>'3. E1 KUSTANNUKSET'!F$8</f>
        <v>2028</v>
      </c>
      <c r="G8" s="1081">
        <f>'3. E1 KUSTANNUKSET'!H$8</f>
        <v>2029</v>
      </c>
      <c r="H8" s="1082">
        <f>'1. T1 INVESTOINTISUUN.'!H16</f>
        <v>2030</v>
      </c>
      <c r="I8" s="41"/>
      <c r="J8" s="182"/>
      <c r="K8" s="182"/>
      <c r="L8" s="182"/>
      <c r="M8" s="182"/>
      <c r="N8" s="182"/>
      <c r="O8" s="164"/>
      <c r="P8" s="164"/>
      <c r="Q8" s="164"/>
      <c r="R8" s="164"/>
      <c r="S8" s="164"/>
      <c r="T8" s="164"/>
      <c r="U8" s="164"/>
      <c r="V8" s="164"/>
    </row>
    <row r="9" spans="1:25" ht="12.75" customHeight="1" thickBot="1" x14ac:dyDescent="0.25">
      <c r="B9" s="1842"/>
      <c r="C9" s="1843"/>
      <c r="D9" s="1844" t="s">
        <v>288</v>
      </c>
      <c r="E9" s="1083">
        <f>'7. T2 TULOSSUUN.'!G10</f>
        <v>12</v>
      </c>
      <c r="F9" s="1083" t="str">
        <f>'7. T2 TULOSSUUN.'!I10</f>
        <v>12</v>
      </c>
      <c r="G9" s="1083" t="str">
        <f>'7. T2 TULOSSUUN.'!K10</f>
        <v>12</v>
      </c>
      <c r="H9" s="1084" t="str">
        <f>'7. T2 TULOSSUUN.'!M10</f>
        <v>12</v>
      </c>
      <c r="I9" s="41"/>
      <c r="J9" s="182"/>
      <c r="K9" s="182"/>
      <c r="L9" s="182"/>
      <c r="M9" s="182"/>
      <c r="N9" s="182"/>
      <c r="O9" s="164"/>
      <c r="P9" s="164"/>
      <c r="Q9" s="164"/>
      <c r="R9" s="164"/>
      <c r="S9" s="164"/>
      <c r="T9" s="164"/>
      <c r="U9" s="164"/>
      <c r="V9" s="164"/>
    </row>
    <row r="10" spans="1:25" ht="13.15" customHeight="1" x14ac:dyDescent="0.2">
      <c r="B10" s="1845" t="s">
        <v>471</v>
      </c>
      <c r="C10" s="452"/>
      <c r="D10" s="454" t="s">
        <v>443</v>
      </c>
      <c r="E10" s="912">
        <f>E17+E24+E31+E38+E45+E52+E59+E66+E73</f>
        <v>0</v>
      </c>
      <c r="F10" s="912">
        <f>F17+F24+F31+F38+F45+F52+F59+F66+F73</f>
        <v>0</v>
      </c>
      <c r="G10" s="912">
        <f>G17+G24+G31+G38+G45+G52+G59+G66+G73</f>
        <v>0</v>
      </c>
      <c r="H10" s="1846">
        <f>H17+H24+H31+H38+H45+H52+H59+H66+H73</f>
        <v>0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</row>
    <row r="11" spans="1:25" ht="13.15" customHeight="1" x14ac:dyDescent="0.2">
      <c r="B11" s="1847" t="s">
        <v>472</v>
      </c>
      <c r="C11" s="451"/>
      <c r="D11" s="332" t="s">
        <v>443</v>
      </c>
      <c r="E11" s="913">
        <f>E21+E28+E35+E49+E56+E63+E70+E77+E42</f>
        <v>0</v>
      </c>
      <c r="F11" s="913">
        <f>F21+F28+F35+F49+F56+F63+F70+F77+F42</f>
        <v>0</v>
      </c>
      <c r="G11" s="913">
        <f>G21+G28+G35+G49+G56+G63+G70+G77+G42</f>
        <v>0</v>
      </c>
      <c r="H11" s="1848">
        <f>H21+H28+H35+H49+H56+H63+H70+H77+H42</f>
        <v>0</v>
      </c>
      <c r="J11" s="182"/>
      <c r="K11" s="182"/>
      <c r="L11" s="182"/>
      <c r="M11" s="182"/>
      <c r="N11" s="182"/>
      <c r="O11" s="164"/>
      <c r="P11" s="164"/>
      <c r="Q11" s="164"/>
      <c r="R11" s="164"/>
      <c r="S11" s="164"/>
      <c r="T11" s="164"/>
      <c r="U11" s="164"/>
      <c r="V11" s="164"/>
    </row>
    <row r="12" spans="1:25" ht="13.15" customHeight="1" x14ac:dyDescent="0.2">
      <c r="B12" s="1847" t="s">
        <v>475</v>
      </c>
      <c r="C12" s="451"/>
      <c r="D12" s="450"/>
      <c r="E12" s="914">
        <f>IF(E11=0,0,E11/E10)</f>
        <v>0</v>
      </c>
      <c r="F12" s="914">
        <f>IF(F11=0,0,F11/F10)</f>
        <v>0</v>
      </c>
      <c r="G12" s="914">
        <f>IF(G11=0,0,G11/G10)</f>
        <v>0</v>
      </c>
      <c r="H12" s="1849">
        <f>IF(H11=0,0,H11/H10)</f>
        <v>0</v>
      </c>
      <c r="J12" s="182"/>
      <c r="K12" s="182"/>
      <c r="L12" s="182"/>
      <c r="M12" s="182"/>
      <c r="N12" s="182"/>
      <c r="O12" s="164"/>
      <c r="P12" s="164"/>
      <c r="Q12" s="164"/>
      <c r="R12" s="164"/>
      <c r="S12" s="164"/>
      <c r="T12" s="164"/>
      <c r="U12" s="164"/>
      <c r="V12" s="164"/>
    </row>
    <row r="13" spans="1:25" ht="13.15" customHeight="1" thickBot="1" x14ac:dyDescent="0.25">
      <c r="B13" s="1850" t="s">
        <v>474</v>
      </c>
      <c r="C13" s="451"/>
      <c r="D13" s="332" t="s">
        <v>443</v>
      </c>
      <c r="E13" s="913">
        <f>E16*(E17)+E23*(E24)+E30*(E31)+E37*(E38)+E44*(E45)+E51*(E52)+E58*(E59)+E65*(E66)+E72*(E73)</f>
        <v>0</v>
      </c>
      <c r="F13" s="913">
        <f>F16*(F17)+F23*(F24)+F30*(F31)+F37*(F38)+F44*(F45)+F51*(F52)+F58*(F59)+F65*(F66)+F72*(F73)</f>
        <v>0</v>
      </c>
      <c r="G13" s="913">
        <f>G16*(G17)+G23*(G24)+G30*(G31)+G37*(G38)+G44*(G45)+G51*(G52)+G58*(G59)+G65*(G66)+G72*(G73)</f>
        <v>0</v>
      </c>
      <c r="H13" s="1848">
        <f>H16*(H17)+H23*(H24)+H30*(H31)+H37*(H38)+H44*(H45)+H51*(H52)+H58*(H59)+H65*(H66)+H72*(H73)</f>
        <v>0</v>
      </c>
      <c r="J13" s="182"/>
      <c r="K13" s="182"/>
      <c r="L13" s="182"/>
      <c r="M13" s="182"/>
      <c r="N13" s="182"/>
      <c r="O13" s="164"/>
      <c r="P13" s="164"/>
      <c r="Q13" s="164"/>
      <c r="R13" s="164"/>
      <c r="S13" s="164"/>
      <c r="T13" s="164"/>
      <c r="U13" s="164"/>
      <c r="V13" s="164"/>
    </row>
    <row r="14" spans="1:25" ht="13.15" customHeight="1" thickBot="1" x14ac:dyDescent="0.25">
      <c r="B14" s="1851" t="s">
        <v>473</v>
      </c>
      <c r="C14" s="1852"/>
      <c r="D14" s="1853" t="s">
        <v>443</v>
      </c>
      <c r="E14" s="1854">
        <f>E16*(E21)+E23*(E28)+E30*(E35)+E37*(E42)+E44*(E49)+E51*(E56)+E58*(E63)+E65*(E70)+E72*(E77)</f>
        <v>0</v>
      </c>
      <c r="F14" s="1854">
        <f>F16*(F21)+F23*(F28)+F30*(F35)+F37*(F42)+F44*(F49)+F51*(F56)+F58*(F63)+F65*(F70)+F72*(F77)</f>
        <v>0</v>
      </c>
      <c r="G14" s="1854">
        <f>G16*(G21)+G23*(G28)+G30*(G35)+G37*(G42)+G44*(G49)+G51*(G56)+G58*(G63)+G65*(G70)+G72*(G77)</f>
        <v>0</v>
      </c>
      <c r="H14" s="1855">
        <f>H16*(H21)+H23*(H28)+H30*(H35)+H37*(H42)+H44*(H49)+H51*(H56)+H58*(H63)+H65*(H70)+H72*(H77)</f>
        <v>0</v>
      </c>
      <c r="J14" s="1669" t="s">
        <v>452</v>
      </c>
      <c r="K14" s="1670"/>
      <c r="L14" s="1671"/>
      <c r="M14" s="1672"/>
      <c r="N14" s="1671"/>
      <c r="O14" s="1673"/>
      <c r="P14" s="1673"/>
      <c r="Q14" s="1673"/>
      <c r="R14" s="1673"/>
      <c r="S14" s="1673"/>
      <c r="T14" s="1673"/>
      <c r="U14" s="1673"/>
      <c r="V14" s="1674"/>
    </row>
    <row r="15" spans="1:25" ht="8.1" customHeight="1" x14ac:dyDescent="0.2">
      <c r="B15" s="1667"/>
      <c r="C15" s="72"/>
      <c r="D15" s="72"/>
      <c r="E15" s="1668"/>
      <c r="F15" s="1668"/>
      <c r="G15" s="1668"/>
      <c r="H15" s="1668"/>
      <c r="J15" s="1675"/>
      <c r="K15" s="179"/>
      <c r="L15" s="179"/>
      <c r="M15" s="179"/>
      <c r="N15" s="179"/>
      <c r="O15" s="256"/>
      <c r="P15" s="256"/>
      <c r="Q15" s="256"/>
      <c r="R15" s="256"/>
      <c r="S15" s="256"/>
      <c r="T15" s="256"/>
      <c r="U15" s="256"/>
      <c r="V15" s="1676"/>
    </row>
    <row r="16" spans="1:25" ht="12" customHeight="1" x14ac:dyDescent="0.2">
      <c r="A16" s="53"/>
      <c r="B16" s="1626"/>
      <c r="C16" s="1627"/>
      <c r="D16" s="1753" t="s">
        <v>106</v>
      </c>
      <c r="E16" s="1751">
        <v>0.255</v>
      </c>
      <c r="F16" s="1751">
        <f>E16</f>
        <v>0.255</v>
      </c>
      <c r="G16" s="1751">
        <f>F16</f>
        <v>0.255</v>
      </c>
      <c r="H16" s="1752">
        <f>G16</f>
        <v>0.255</v>
      </c>
      <c r="I16" s="41"/>
      <c r="J16" s="1675"/>
      <c r="K16" s="179"/>
      <c r="L16" s="2065" t="s">
        <v>351</v>
      </c>
      <c r="M16" s="2065"/>
      <c r="N16" s="2065"/>
      <c r="O16" s="256"/>
      <c r="P16" s="256"/>
      <c r="Q16" s="256"/>
      <c r="R16" s="256"/>
      <c r="S16" s="256"/>
      <c r="T16" s="256"/>
      <c r="U16" s="256"/>
      <c r="V16" s="1676"/>
    </row>
    <row r="17" spans="1:22" ht="12.75" customHeight="1" x14ac:dyDescent="0.2">
      <c r="B17" s="1614" t="s">
        <v>655</v>
      </c>
      <c r="C17" s="2058" t="s">
        <v>656</v>
      </c>
      <c r="D17" s="2059"/>
      <c r="E17" s="1638">
        <f>E18*E19</f>
        <v>0</v>
      </c>
      <c r="F17" s="1638">
        <f>F18*F19</f>
        <v>0</v>
      </c>
      <c r="G17" s="1638">
        <f>G18*G19</f>
        <v>0</v>
      </c>
      <c r="H17" s="1639">
        <f>H18*H19</f>
        <v>0</v>
      </c>
      <c r="J17" s="1677"/>
      <c r="L17" s="243">
        <f>F$8</f>
        <v>2028</v>
      </c>
      <c r="M17" s="243">
        <f>G$8</f>
        <v>2029</v>
      </c>
      <c r="N17" s="243">
        <f>H$8</f>
        <v>2030</v>
      </c>
      <c r="O17" s="256"/>
      <c r="P17" s="256"/>
      <c r="Q17" s="256"/>
      <c r="R17" s="256"/>
      <c r="S17" s="256"/>
      <c r="T17" s="256"/>
      <c r="U17" s="256"/>
      <c r="V17" s="1676"/>
    </row>
    <row r="18" spans="1:22" ht="12" customHeight="1" x14ac:dyDescent="0.2">
      <c r="A18" s="53"/>
      <c r="B18" s="1615" t="s">
        <v>814</v>
      </c>
      <c r="C18" s="451"/>
      <c r="D18" s="909" t="s">
        <v>657</v>
      </c>
      <c r="E18" s="908">
        <v>0</v>
      </c>
      <c r="F18" s="909">
        <f t="shared" ref="F18:H19" si="0">E18+E18*L18</f>
        <v>0</v>
      </c>
      <c r="G18" s="909">
        <f t="shared" si="0"/>
        <v>0</v>
      </c>
      <c r="H18" s="1616">
        <f t="shared" si="0"/>
        <v>0</v>
      </c>
      <c r="J18" s="2054"/>
      <c r="K18" s="2055"/>
      <c r="L18" s="315">
        <v>0</v>
      </c>
      <c r="M18" s="315">
        <f>L18</f>
        <v>0</v>
      </c>
      <c r="N18" s="315">
        <f>M18</f>
        <v>0</v>
      </c>
      <c r="O18" s="1678"/>
      <c r="P18" s="256"/>
      <c r="Q18" s="256"/>
      <c r="R18" s="256"/>
      <c r="S18" s="256"/>
      <c r="T18" s="256"/>
      <c r="U18" s="256"/>
      <c r="V18" s="1676"/>
    </row>
    <row r="19" spans="1:22" ht="12" customHeight="1" x14ac:dyDescent="0.2">
      <c r="B19" s="1615" t="s">
        <v>811</v>
      </c>
      <c r="C19" s="451"/>
      <c r="D19" s="332" t="s">
        <v>443</v>
      </c>
      <c r="E19" s="910">
        <v>0</v>
      </c>
      <c r="F19" s="910">
        <f t="shared" si="0"/>
        <v>0</v>
      </c>
      <c r="G19" s="910">
        <f t="shared" si="0"/>
        <v>0</v>
      </c>
      <c r="H19" s="1617">
        <f t="shared" si="0"/>
        <v>0</v>
      </c>
      <c r="J19" s="2054"/>
      <c r="K19" s="2055"/>
      <c r="L19" s="315">
        <v>0.03</v>
      </c>
      <c r="M19" s="315">
        <f>L19</f>
        <v>0.03</v>
      </c>
      <c r="N19" s="315">
        <f>M19</f>
        <v>0.03</v>
      </c>
      <c r="O19" s="256"/>
      <c r="P19" s="256"/>
      <c r="Q19" s="256"/>
      <c r="R19" s="256"/>
      <c r="S19" s="256"/>
      <c r="T19" s="256"/>
      <c r="U19" s="256"/>
      <c r="V19" s="1676"/>
    </row>
    <row r="20" spans="1:22" ht="12" customHeight="1" x14ac:dyDescent="0.2">
      <c r="A20" s="53"/>
      <c r="B20" s="1715" t="s">
        <v>812</v>
      </c>
      <c r="C20" s="1716"/>
      <c r="D20" s="1631" t="s">
        <v>13</v>
      </c>
      <c r="E20" s="911">
        <v>0</v>
      </c>
      <c r="F20" s="911">
        <f>E20</f>
        <v>0</v>
      </c>
      <c r="G20" s="911">
        <f>F20</f>
        <v>0</v>
      </c>
      <c r="H20" s="1618">
        <f>G20</f>
        <v>0</v>
      </c>
      <c r="J20" s="1675" t="s">
        <v>0</v>
      </c>
      <c r="K20" s="179"/>
      <c r="L20" s="179"/>
      <c r="M20" s="179"/>
      <c r="N20" s="179"/>
      <c r="O20" s="256"/>
      <c r="P20" s="256" t="s">
        <v>241</v>
      </c>
      <c r="Q20" s="256"/>
      <c r="R20" s="256"/>
      <c r="S20" s="256"/>
      <c r="T20" s="256"/>
      <c r="U20" s="256"/>
      <c r="V20" s="1676"/>
    </row>
    <row r="21" spans="1:22" ht="12" customHeight="1" x14ac:dyDescent="0.2">
      <c r="A21" s="2"/>
      <c r="B21" s="1619" t="s">
        <v>813</v>
      </c>
      <c r="C21" s="1620"/>
      <c r="D21" s="1621" t="s">
        <v>443</v>
      </c>
      <c r="E21" s="1622">
        <f>IF(E20=0,0,E17*E20)</f>
        <v>0</v>
      </c>
      <c r="F21" s="1622">
        <f>IF(F20=0,0,F17*F20)</f>
        <v>0</v>
      </c>
      <c r="G21" s="1622">
        <f>IF(G20=0,0,G17*G20)</f>
        <v>0</v>
      </c>
      <c r="H21" s="1623">
        <f>IF(H20=0,0,H17*H20)</f>
        <v>0</v>
      </c>
      <c r="J21" s="1675"/>
      <c r="K21" s="179"/>
      <c r="L21" s="179"/>
      <c r="M21" s="179"/>
      <c r="N21" s="179"/>
      <c r="O21" s="256"/>
      <c r="P21" s="256"/>
      <c r="Q21" s="256"/>
      <c r="R21" s="256">
        <v>0</v>
      </c>
      <c r="S21" s="256"/>
      <c r="T21" s="256"/>
      <c r="U21" s="256"/>
      <c r="V21" s="1676"/>
    </row>
    <row r="22" spans="1:22" ht="12" customHeight="1" x14ac:dyDescent="0.2">
      <c r="A22" s="2"/>
      <c r="B22" s="1628"/>
      <c r="C22" s="1629"/>
      <c r="D22" s="1624"/>
      <c r="E22" s="1625"/>
      <c r="F22" s="1625"/>
      <c r="G22" s="1625"/>
      <c r="H22" s="1625"/>
      <c r="J22" s="1675"/>
      <c r="K22" s="179"/>
      <c r="L22" s="179"/>
      <c r="M22" s="179"/>
      <c r="N22" s="179"/>
      <c r="O22" s="256"/>
      <c r="P22" s="256"/>
      <c r="Q22" s="256"/>
      <c r="R22" s="256"/>
      <c r="S22" s="256"/>
      <c r="T22" s="256"/>
      <c r="U22" s="256"/>
      <c r="V22" s="1676"/>
    </row>
    <row r="23" spans="1:22" ht="12" customHeight="1" x14ac:dyDescent="0.2">
      <c r="A23" s="53"/>
      <c r="B23" s="1626"/>
      <c r="C23" s="1630"/>
      <c r="D23" s="1753" t="s">
        <v>106</v>
      </c>
      <c r="E23" s="1751">
        <v>0.255</v>
      </c>
      <c r="F23" s="1751">
        <f>E23</f>
        <v>0.255</v>
      </c>
      <c r="G23" s="1751">
        <f>F23</f>
        <v>0.255</v>
      </c>
      <c r="H23" s="1752">
        <f>G23</f>
        <v>0.255</v>
      </c>
      <c r="I23" s="41"/>
      <c r="J23" s="1675"/>
      <c r="K23" s="179"/>
      <c r="L23" s="179"/>
      <c r="M23" s="179"/>
      <c r="N23" s="179"/>
      <c r="O23" s="256"/>
      <c r="P23" s="256"/>
      <c r="Q23" s="256"/>
      <c r="R23" s="256"/>
      <c r="S23" s="256"/>
      <c r="T23" s="256"/>
      <c r="U23" s="256"/>
      <c r="V23" s="1676"/>
    </row>
    <row r="24" spans="1:22" ht="12.75" customHeight="1" x14ac:dyDescent="0.2">
      <c r="B24" s="1614">
        <v>0</v>
      </c>
      <c r="C24" s="2058" t="s">
        <v>656</v>
      </c>
      <c r="D24" s="2059"/>
      <c r="E24" s="1638">
        <f>E25*E26</f>
        <v>0</v>
      </c>
      <c r="F24" s="1638">
        <f>F25*F26</f>
        <v>0</v>
      </c>
      <c r="G24" s="1638">
        <f>G25*G26</f>
        <v>0</v>
      </c>
      <c r="H24" s="1639">
        <f>H25*H26</f>
        <v>0</v>
      </c>
      <c r="J24" s="1677"/>
      <c r="L24" s="1302"/>
      <c r="M24" s="1302"/>
      <c r="N24" s="1302"/>
      <c r="O24" s="256"/>
      <c r="P24" s="256"/>
      <c r="Q24" s="256"/>
      <c r="R24" s="256"/>
      <c r="S24" s="256"/>
      <c r="T24" s="256"/>
      <c r="U24" s="256"/>
      <c r="V24" s="1676"/>
    </row>
    <row r="25" spans="1:22" ht="12" customHeight="1" x14ac:dyDescent="0.2">
      <c r="A25" s="53"/>
      <c r="B25" s="1615" t="s">
        <v>814</v>
      </c>
      <c r="C25" s="451"/>
      <c r="D25" s="909" t="s">
        <v>657</v>
      </c>
      <c r="E25" s="908">
        <v>0</v>
      </c>
      <c r="F25" s="909">
        <f t="shared" ref="F25:H26" si="1">E25+E25*L25</f>
        <v>0</v>
      </c>
      <c r="G25" s="909">
        <f t="shared" si="1"/>
        <v>0</v>
      </c>
      <c r="H25" s="1616">
        <f t="shared" si="1"/>
        <v>0</v>
      </c>
      <c r="J25" s="2054"/>
      <c r="K25" s="2055"/>
      <c r="L25" s="1301">
        <v>0</v>
      </c>
      <c r="M25" s="1301">
        <f>L25</f>
        <v>0</v>
      </c>
      <c r="N25" s="1301">
        <f>M25</f>
        <v>0</v>
      </c>
      <c r="O25" s="1678"/>
      <c r="P25" s="256"/>
      <c r="Q25" s="256"/>
      <c r="R25" s="256"/>
      <c r="S25" s="256"/>
      <c r="T25" s="256"/>
      <c r="U25" s="256"/>
      <c r="V25" s="1676"/>
    </row>
    <row r="26" spans="1:22" ht="12" customHeight="1" x14ac:dyDescent="0.2">
      <c r="B26" s="1615" t="s">
        <v>811</v>
      </c>
      <c r="C26" s="451"/>
      <c r="D26" s="1631" t="s">
        <v>443</v>
      </c>
      <c r="E26" s="910">
        <v>0</v>
      </c>
      <c r="F26" s="910">
        <f t="shared" si="1"/>
        <v>0</v>
      </c>
      <c r="G26" s="910">
        <f t="shared" si="1"/>
        <v>0</v>
      </c>
      <c r="H26" s="1617">
        <f t="shared" si="1"/>
        <v>0</v>
      </c>
      <c r="J26" s="2054"/>
      <c r="K26" s="2055"/>
      <c r="L26" s="315">
        <v>0.03</v>
      </c>
      <c r="M26" s="315">
        <f>L26</f>
        <v>0.03</v>
      </c>
      <c r="N26" s="315">
        <f>M26</f>
        <v>0.03</v>
      </c>
      <c r="O26" s="256"/>
      <c r="P26" s="256"/>
      <c r="Q26" s="256"/>
      <c r="R26" s="256"/>
      <c r="S26" s="256"/>
      <c r="T26" s="256"/>
      <c r="U26" s="256"/>
      <c r="V26" s="1676"/>
    </row>
    <row r="27" spans="1:22" ht="12" customHeight="1" x14ac:dyDescent="0.2">
      <c r="A27" s="53"/>
      <c r="B27" s="1715" t="s">
        <v>812</v>
      </c>
      <c r="C27" s="1716"/>
      <c r="D27" s="1631" t="s">
        <v>13</v>
      </c>
      <c r="E27" s="911">
        <v>0</v>
      </c>
      <c r="F27" s="911">
        <f>E27</f>
        <v>0</v>
      </c>
      <c r="G27" s="911">
        <f>F27</f>
        <v>0</v>
      </c>
      <c r="H27" s="1618">
        <f>G27</f>
        <v>0</v>
      </c>
      <c r="J27" s="1675" t="s">
        <v>0</v>
      </c>
      <c r="K27" s="179"/>
      <c r="L27" s="179"/>
      <c r="M27" s="179"/>
      <c r="N27" s="179"/>
      <c r="O27" s="256"/>
      <c r="P27" s="256" t="s">
        <v>241</v>
      </c>
      <c r="Q27" s="256"/>
      <c r="R27" s="256"/>
      <c r="S27" s="256"/>
      <c r="T27" s="256"/>
      <c r="U27" s="256"/>
      <c r="V27" s="1676"/>
    </row>
    <row r="28" spans="1:22" ht="12" customHeight="1" x14ac:dyDescent="0.2">
      <c r="A28" s="2"/>
      <c r="B28" s="1619" t="s">
        <v>813</v>
      </c>
      <c r="C28" s="1620"/>
      <c r="D28" s="1632" t="s">
        <v>443</v>
      </c>
      <c r="E28" s="1622">
        <f>IF(E27=0,0,E24*E27)</f>
        <v>0</v>
      </c>
      <c r="F28" s="1622">
        <f>IF(F27=0,0,F24*F27)</f>
        <v>0</v>
      </c>
      <c r="G28" s="1622">
        <f>IF(G27=0,0,G24*G27)</f>
        <v>0</v>
      </c>
      <c r="H28" s="1623">
        <f>IF(H27=0,0,H24*H27)</f>
        <v>0</v>
      </c>
      <c r="J28" s="1675"/>
      <c r="K28" s="179"/>
      <c r="L28" s="179"/>
      <c r="M28" s="179"/>
      <c r="N28" s="179"/>
      <c r="O28" s="256"/>
      <c r="P28" s="256"/>
      <c r="Q28" s="256"/>
      <c r="R28" s="256"/>
      <c r="S28" s="256"/>
      <c r="T28" s="256"/>
      <c r="U28" s="256"/>
      <c r="V28" s="1676"/>
    </row>
    <row r="29" spans="1:22" ht="12" customHeight="1" x14ac:dyDescent="0.2">
      <c r="A29" s="2"/>
      <c r="B29" s="50"/>
      <c r="C29" s="72"/>
      <c r="D29" s="72"/>
      <c r="E29" s="416"/>
      <c r="F29" s="416"/>
      <c r="G29" s="416"/>
      <c r="H29" s="416"/>
      <c r="J29" s="1675"/>
      <c r="K29" s="179"/>
      <c r="L29" s="179"/>
      <c r="M29" s="179"/>
      <c r="N29" s="179"/>
      <c r="O29" s="256"/>
      <c r="P29" s="256"/>
      <c r="Q29" s="256"/>
      <c r="R29" s="256"/>
      <c r="S29" s="256"/>
      <c r="T29" s="256"/>
      <c r="U29" s="256"/>
      <c r="V29" s="1676"/>
    </row>
    <row r="30" spans="1:22" ht="12" customHeight="1" x14ac:dyDescent="0.2">
      <c r="B30" s="1626"/>
      <c r="C30" s="1626"/>
      <c r="D30" s="1754" t="s">
        <v>106</v>
      </c>
      <c r="E30" s="1751">
        <v>0.255</v>
      </c>
      <c r="F30" s="1751">
        <f>E30</f>
        <v>0.255</v>
      </c>
      <c r="G30" s="1751">
        <f>F30</f>
        <v>0.255</v>
      </c>
      <c r="H30" s="1752">
        <f>G30</f>
        <v>0.255</v>
      </c>
      <c r="I30" s="41"/>
      <c r="J30" s="1675"/>
      <c r="K30" s="179"/>
      <c r="L30" s="179"/>
      <c r="M30" s="179"/>
      <c r="N30" s="179"/>
      <c r="O30" s="256"/>
      <c r="P30" s="256"/>
      <c r="Q30" s="256"/>
      <c r="R30" s="256"/>
      <c r="S30" s="256"/>
      <c r="T30" s="256"/>
      <c r="U30" s="256"/>
      <c r="V30" s="1676"/>
    </row>
    <row r="31" spans="1:22" ht="12.75" customHeight="1" x14ac:dyDescent="0.2">
      <c r="B31" s="1614">
        <v>0</v>
      </c>
      <c r="C31" s="2058" t="s">
        <v>656</v>
      </c>
      <c r="D31" s="2059"/>
      <c r="E31" s="1640">
        <f>E32*E33</f>
        <v>0</v>
      </c>
      <c r="F31" s="1640">
        <f>F32*F33</f>
        <v>0</v>
      </c>
      <c r="G31" s="1640">
        <f>G32*G33</f>
        <v>0</v>
      </c>
      <c r="H31" s="1641">
        <f>H32*H33</f>
        <v>0</v>
      </c>
      <c r="J31" s="1677"/>
      <c r="L31" s="1302"/>
      <c r="M31" s="1302"/>
      <c r="N31" s="1302"/>
      <c r="O31" s="256"/>
      <c r="P31" s="256"/>
      <c r="Q31" s="256"/>
      <c r="R31" s="256"/>
      <c r="S31" s="256"/>
      <c r="T31" s="256"/>
      <c r="U31" s="256"/>
      <c r="V31" s="1676"/>
    </row>
    <row r="32" spans="1:22" ht="12" customHeight="1" x14ac:dyDescent="0.2">
      <c r="B32" s="1615" t="s">
        <v>814</v>
      </c>
      <c r="C32" s="451"/>
      <c r="D32" s="909" t="s">
        <v>657</v>
      </c>
      <c r="E32" s="908">
        <v>0</v>
      </c>
      <c r="F32" s="909">
        <f t="shared" ref="F32:H33" si="2">E32+E32*L32</f>
        <v>0</v>
      </c>
      <c r="G32" s="909">
        <f t="shared" si="2"/>
        <v>0</v>
      </c>
      <c r="H32" s="1616">
        <f t="shared" si="2"/>
        <v>0</v>
      </c>
      <c r="J32" s="2054"/>
      <c r="K32" s="2055"/>
      <c r="L32" s="1301">
        <v>0</v>
      </c>
      <c r="M32" s="1301">
        <f>L32</f>
        <v>0</v>
      </c>
      <c r="N32" s="1301">
        <f>M32</f>
        <v>0</v>
      </c>
      <c r="O32" s="1678"/>
      <c r="P32" s="256"/>
      <c r="Q32" s="256"/>
      <c r="R32" s="256"/>
      <c r="S32" s="256"/>
      <c r="T32" s="256"/>
      <c r="U32" s="256"/>
      <c r="V32" s="1676"/>
    </row>
    <row r="33" spans="2:22" ht="12" customHeight="1" x14ac:dyDescent="0.2">
      <c r="B33" s="1615" t="s">
        <v>811</v>
      </c>
      <c r="C33" s="451"/>
      <c r="D33" s="1631" t="s">
        <v>443</v>
      </c>
      <c r="E33" s="910">
        <v>0</v>
      </c>
      <c r="F33" s="910">
        <f t="shared" si="2"/>
        <v>0</v>
      </c>
      <c r="G33" s="910">
        <f t="shared" si="2"/>
        <v>0</v>
      </c>
      <c r="H33" s="1617">
        <f t="shared" si="2"/>
        <v>0</v>
      </c>
      <c r="J33" s="2054"/>
      <c r="K33" s="2055"/>
      <c r="L33" s="315">
        <v>0.03</v>
      </c>
      <c r="M33" s="315">
        <f>L33</f>
        <v>0.03</v>
      </c>
      <c r="N33" s="315">
        <f>M33</f>
        <v>0.03</v>
      </c>
      <c r="O33" s="256"/>
      <c r="P33" s="256"/>
      <c r="Q33" s="256"/>
      <c r="R33" s="256"/>
      <c r="S33" s="256"/>
      <c r="T33" s="256"/>
      <c r="U33" s="256"/>
      <c r="V33" s="1676"/>
    </row>
    <row r="34" spans="2:22" ht="12" customHeight="1" x14ac:dyDescent="0.2">
      <c r="B34" s="1715" t="s">
        <v>812</v>
      </c>
      <c r="C34" s="1724"/>
      <c r="D34" s="1631" t="s">
        <v>13</v>
      </c>
      <c r="E34" s="911">
        <v>0</v>
      </c>
      <c r="F34" s="911">
        <f>E34</f>
        <v>0</v>
      </c>
      <c r="G34" s="911">
        <f>F34</f>
        <v>0</v>
      </c>
      <c r="H34" s="1618">
        <f>G34</f>
        <v>0</v>
      </c>
      <c r="J34" s="1675" t="s">
        <v>0</v>
      </c>
      <c r="L34" s="179"/>
      <c r="M34" s="179"/>
      <c r="N34" s="179"/>
      <c r="O34" s="256"/>
      <c r="P34" s="256"/>
      <c r="Q34" s="256"/>
      <c r="R34" s="256"/>
      <c r="S34" s="256"/>
      <c r="T34" s="256"/>
      <c r="U34" s="256"/>
      <c r="V34" s="1676"/>
    </row>
    <row r="35" spans="2:22" ht="12" customHeight="1" x14ac:dyDescent="0.2">
      <c r="B35" s="1619" t="s">
        <v>813</v>
      </c>
      <c r="C35" s="1620"/>
      <c r="D35" s="1632" t="s">
        <v>443</v>
      </c>
      <c r="E35" s="1622">
        <f>IF(E34=0,0,E31*E34)</f>
        <v>0</v>
      </c>
      <c r="F35" s="1622">
        <f>IF(F34=0,0,F31*F34)</f>
        <v>0</v>
      </c>
      <c r="G35" s="1622">
        <f>IF(G34=0,0,G31*G34)</f>
        <v>0</v>
      </c>
      <c r="H35" s="1623">
        <f>IF(H34=0,0,H31*H34)</f>
        <v>0</v>
      </c>
      <c r="J35" s="1675"/>
      <c r="L35" s="179"/>
      <c r="M35" s="179"/>
      <c r="N35" s="179"/>
      <c r="O35" s="256"/>
      <c r="P35" s="256"/>
      <c r="Q35" s="256"/>
      <c r="R35" s="256"/>
      <c r="S35" s="256"/>
      <c r="T35" s="256"/>
      <c r="U35" s="256"/>
      <c r="V35" s="1676"/>
    </row>
    <row r="36" spans="2:22" ht="12" customHeight="1" x14ac:dyDescent="0.2">
      <c r="B36" s="50"/>
      <c r="C36" s="72"/>
      <c r="D36" s="72"/>
      <c r="E36" s="416"/>
      <c r="F36" s="416"/>
      <c r="G36" s="416"/>
      <c r="H36" s="416"/>
      <c r="J36" s="1675"/>
      <c r="L36" s="179"/>
      <c r="M36" s="179"/>
      <c r="N36" s="179"/>
      <c r="O36" s="256"/>
      <c r="P36" s="256"/>
      <c r="Q36" s="256"/>
      <c r="R36" s="256"/>
      <c r="S36" s="256"/>
      <c r="T36" s="256"/>
      <c r="U36" s="256"/>
      <c r="V36" s="1676"/>
    </row>
    <row r="37" spans="2:22" ht="12" customHeight="1" x14ac:dyDescent="0.2">
      <c r="B37" s="1626"/>
      <c r="C37" s="1626"/>
      <c r="D37" s="1754" t="s">
        <v>106</v>
      </c>
      <c r="E37" s="1751">
        <v>0.255</v>
      </c>
      <c r="F37" s="1751">
        <f>E37</f>
        <v>0.255</v>
      </c>
      <c r="G37" s="1751">
        <f>F37</f>
        <v>0.255</v>
      </c>
      <c r="H37" s="1752">
        <f>G37</f>
        <v>0.255</v>
      </c>
      <c r="I37" s="41"/>
      <c r="J37" s="1675"/>
      <c r="K37" s="179"/>
      <c r="L37" s="179"/>
      <c r="M37" s="179"/>
      <c r="N37" s="179"/>
      <c r="O37" s="256"/>
      <c r="P37" s="256"/>
      <c r="Q37" s="256"/>
      <c r="R37" s="256"/>
      <c r="S37" s="256"/>
      <c r="T37" s="256"/>
      <c r="U37" s="256"/>
      <c r="V37" s="1676"/>
    </row>
    <row r="38" spans="2:22" ht="12.75" customHeight="1" x14ac:dyDescent="0.2">
      <c r="B38" s="1614">
        <v>0</v>
      </c>
      <c r="C38" s="2058" t="s">
        <v>656</v>
      </c>
      <c r="D38" s="2059"/>
      <c r="E38" s="1640">
        <f>E39*E40</f>
        <v>0</v>
      </c>
      <c r="F38" s="1640">
        <f>F39*F40</f>
        <v>0</v>
      </c>
      <c r="G38" s="1640">
        <f>G39*G40</f>
        <v>0</v>
      </c>
      <c r="H38" s="1641">
        <f>H39*H40</f>
        <v>0</v>
      </c>
      <c r="J38" s="1677"/>
      <c r="L38" s="1302"/>
      <c r="M38" s="1302"/>
      <c r="N38" s="1302"/>
      <c r="O38" s="256"/>
      <c r="P38" s="256"/>
      <c r="Q38" s="256"/>
      <c r="R38" s="256"/>
      <c r="S38" s="256"/>
      <c r="T38" s="256"/>
      <c r="U38" s="256"/>
      <c r="V38" s="1676"/>
    </row>
    <row r="39" spans="2:22" ht="12" customHeight="1" x14ac:dyDescent="0.2">
      <c r="B39" s="1615" t="s">
        <v>814</v>
      </c>
      <c r="C39" s="451"/>
      <c r="D39" s="909" t="s">
        <v>657</v>
      </c>
      <c r="E39" s="908">
        <v>0</v>
      </c>
      <c r="F39" s="909">
        <f t="shared" ref="F39:H40" si="3">E39+E39*L39</f>
        <v>0</v>
      </c>
      <c r="G39" s="909">
        <f t="shared" si="3"/>
        <v>0</v>
      </c>
      <c r="H39" s="1616">
        <f t="shared" si="3"/>
        <v>0</v>
      </c>
      <c r="J39" s="2054"/>
      <c r="K39" s="2055"/>
      <c r="L39" s="1301">
        <v>0</v>
      </c>
      <c r="M39" s="1301">
        <f>L39</f>
        <v>0</v>
      </c>
      <c r="N39" s="1301">
        <f>M39</f>
        <v>0</v>
      </c>
      <c r="O39" s="1678"/>
      <c r="P39" s="256"/>
      <c r="Q39" s="256"/>
      <c r="R39" s="256"/>
      <c r="S39" s="256"/>
      <c r="T39" s="256"/>
      <c r="U39" s="256"/>
      <c r="V39" s="1676"/>
    </row>
    <row r="40" spans="2:22" ht="12" customHeight="1" x14ac:dyDescent="0.2">
      <c r="B40" s="1615" t="s">
        <v>811</v>
      </c>
      <c r="C40" s="451"/>
      <c r="D40" s="332" t="s">
        <v>443</v>
      </c>
      <c r="E40" s="910">
        <v>0</v>
      </c>
      <c r="F40" s="910">
        <f t="shared" si="3"/>
        <v>0</v>
      </c>
      <c r="G40" s="910">
        <f t="shared" si="3"/>
        <v>0</v>
      </c>
      <c r="H40" s="1617">
        <f t="shared" si="3"/>
        <v>0</v>
      </c>
      <c r="J40" s="2054"/>
      <c r="K40" s="2055"/>
      <c r="L40" s="315">
        <v>0.03</v>
      </c>
      <c r="M40" s="315">
        <f>L40</f>
        <v>0.03</v>
      </c>
      <c r="N40" s="315">
        <f>M40</f>
        <v>0.03</v>
      </c>
      <c r="O40" s="256"/>
      <c r="P40" s="256"/>
      <c r="Q40" s="256"/>
      <c r="R40" s="256"/>
      <c r="S40" s="256"/>
      <c r="T40" s="256"/>
      <c r="U40" s="256"/>
      <c r="V40" s="1676"/>
    </row>
    <row r="41" spans="2:22" ht="12" customHeight="1" x14ac:dyDescent="0.2">
      <c r="B41" s="1715" t="s">
        <v>812</v>
      </c>
      <c r="C41" s="1716"/>
      <c r="D41" s="1631" t="s">
        <v>13</v>
      </c>
      <c r="E41" s="911">
        <v>0</v>
      </c>
      <c r="F41" s="911">
        <f>E41</f>
        <v>0</v>
      </c>
      <c r="G41" s="911">
        <f>F41</f>
        <v>0</v>
      </c>
      <c r="H41" s="1618">
        <f>G41</f>
        <v>0</v>
      </c>
      <c r="J41" s="1675" t="s">
        <v>0</v>
      </c>
      <c r="L41" s="179"/>
      <c r="M41" s="179"/>
      <c r="N41" s="179"/>
      <c r="O41" s="256"/>
      <c r="P41" s="256"/>
      <c r="Q41" s="256"/>
      <c r="R41" s="256"/>
      <c r="S41" s="256"/>
      <c r="T41" s="256"/>
      <c r="U41" s="256"/>
      <c r="V41" s="1676"/>
    </row>
    <row r="42" spans="2:22" ht="12" customHeight="1" x14ac:dyDescent="0.2">
      <c r="B42" s="1619" t="s">
        <v>813</v>
      </c>
      <c r="C42" s="1620"/>
      <c r="D42" s="1621" t="s">
        <v>443</v>
      </c>
      <c r="E42" s="1622">
        <f>IF(E41=0,0,E38*E41)</f>
        <v>0</v>
      </c>
      <c r="F42" s="1622">
        <f>IF(F41=0,0,F38*F41)</f>
        <v>0</v>
      </c>
      <c r="G42" s="1622">
        <f>IF(G41=0,0,G38*G41)</f>
        <v>0</v>
      </c>
      <c r="H42" s="1623">
        <f>IF(H41=0,0,H38*H41)</f>
        <v>0</v>
      </c>
      <c r="J42" s="1675"/>
      <c r="L42" s="179"/>
      <c r="M42" s="179"/>
      <c r="N42" s="179"/>
      <c r="O42" s="256"/>
      <c r="P42" s="256"/>
      <c r="Q42" s="256"/>
      <c r="R42" s="256"/>
      <c r="S42" s="256"/>
      <c r="T42" s="256"/>
      <c r="U42" s="256"/>
      <c r="V42" s="1676"/>
    </row>
    <row r="43" spans="2:22" ht="12" customHeight="1" x14ac:dyDescent="0.2">
      <c r="B43" s="50"/>
      <c r="C43" s="72"/>
      <c r="D43" s="72"/>
      <c r="E43" s="416"/>
      <c r="F43" s="416"/>
      <c r="G43" s="416"/>
      <c r="H43" s="416"/>
      <c r="J43" s="1675"/>
      <c r="L43" s="179"/>
      <c r="M43" s="179"/>
      <c r="N43" s="179"/>
      <c r="O43" s="256"/>
      <c r="P43" s="256"/>
      <c r="Q43" s="256"/>
      <c r="R43" s="256"/>
      <c r="S43" s="256"/>
      <c r="T43" s="256"/>
      <c r="U43" s="256"/>
      <c r="V43" s="1676"/>
    </row>
    <row r="44" spans="2:22" ht="12" customHeight="1" x14ac:dyDescent="0.2">
      <c r="B44" s="1626"/>
      <c r="C44" s="1626"/>
      <c r="D44" s="1754" t="s">
        <v>106</v>
      </c>
      <c r="E44" s="1751">
        <v>0.255</v>
      </c>
      <c r="F44" s="1751">
        <f>E44</f>
        <v>0.255</v>
      </c>
      <c r="G44" s="1751">
        <f>F44</f>
        <v>0.255</v>
      </c>
      <c r="H44" s="1752">
        <f>G44</f>
        <v>0.255</v>
      </c>
      <c r="I44" s="41"/>
      <c r="J44" s="1675"/>
      <c r="K44" s="179"/>
      <c r="L44" s="179"/>
      <c r="M44" s="179"/>
      <c r="N44" s="179"/>
      <c r="O44" s="256"/>
      <c r="P44" s="256"/>
      <c r="Q44" s="256"/>
      <c r="R44" s="256"/>
      <c r="S44" s="256"/>
      <c r="T44" s="256"/>
      <c r="U44" s="256"/>
      <c r="V44" s="1676"/>
    </row>
    <row r="45" spans="2:22" ht="12.75" customHeight="1" x14ac:dyDescent="0.2">
      <c r="B45" s="1614">
        <v>0</v>
      </c>
      <c r="C45" s="2058" t="s">
        <v>656</v>
      </c>
      <c r="D45" s="2059"/>
      <c r="E45" s="1640">
        <f>E46*E47</f>
        <v>0</v>
      </c>
      <c r="F45" s="1640">
        <f>F46*F47</f>
        <v>0</v>
      </c>
      <c r="G45" s="1640">
        <f>G46*G47</f>
        <v>0</v>
      </c>
      <c r="H45" s="1641">
        <f>H46*H47</f>
        <v>0</v>
      </c>
      <c r="J45" s="1677"/>
      <c r="L45" s="1302"/>
      <c r="M45" s="1302"/>
      <c r="N45" s="1302"/>
      <c r="O45" s="256"/>
      <c r="P45" s="256"/>
      <c r="Q45" s="256"/>
      <c r="R45" s="256"/>
      <c r="S45" s="256"/>
      <c r="T45" s="256"/>
      <c r="U45" s="256"/>
      <c r="V45" s="1676"/>
    </row>
    <row r="46" spans="2:22" ht="12" customHeight="1" x14ac:dyDescent="0.2">
      <c r="B46" s="1615" t="s">
        <v>814</v>
      </c>
      <c r="C46" s="451" t="s">
        <v>0</v>
      </c>
      <c r="D46" s="909" t="s">
        <v>657</v>
      </c>
      <c r="E46" s="908">
        <v>0</v>
      </c>
      <c r="F46" s="909">
        <f t="shared" ref="F46:H47" si="4">E46+E46*L46</f>
        <v>0</v>
      </c>
      <c r="G46" s="909">
        <f t="shared" si="4"/>
        <v>0</v>
      </c>
      <c r="H46" s="1616">
        <f t="shared" si="4"/>
        <v>0</v>
      </c>
      <c r="J46" s="2054"/>
      <c r="K46" s="2055"/>
      <c r="L46" s="1301">
        <v>0</v>
      </c>
      <c r="M46" s="1301">
        <f>L46</f>
        <v>0</v>
      </c>
      <c r="N46" s="1301">
        <f>M46</f>
        <v>0</v>
      </c>
      <c r="O46" s="1678"/>
      <c r="P46" s="256"/>
      <c r="Q46" s="256"/>
      <c r="R46" s="256"/>
      <c r="S46" s="256"/>
      <c r="T46" s="256"/>
      <c r="U46" s="256"/>
      <c r="V46" s="1676"/>
    </row>
    <row r="47" spans="2:22" ht="12" customHeight="1" x14ac:dyDescent="0.2">
      <c r="B47" s="1615" t="s">
        <v>811</v>
      </c>
      <c r="C47" s="451"/>
      <c r="D47" s="332" t="s">
        <v>443</v>
      </c>
      <c r="E47" s="910">
        <v>0</v>
      </c>
      <c r="F47" s="910">
        <f t="shared" si="4"/>
        <v>0</v>
      </c>
      <c r="G47" s="910">
        <f t="shared" si="4"/>
        <v>0</v>
      </c>
      <c r="H47" s="1617">
        <f t="shared" si="4"/>
        <v>0</v>
      </c>
      <c r="J47" s="2054"/>
      <c r="K47" s="2055"/>
      <c r="L47" s="315">
        <v>0.03</v>
      </c>
      <c r="M47" s="315">
        <f>L47</f>
        <v>0.03</v>
      </c>
      <c r="N47" s="315">
        <f>M47</f>
        <v>0.03</v>
      </c>
      <c r="O47" s="256"/>
      <c r="P47" s="256"/>
      <c r="Q47" s="256"/>
      <c r="R47" s="256"/>
      <c r="S47" s="256"/>
      <c r="T47" s="256"/>
      <c r="U47" s="256"/>
      <c r="V47" s="1676"/>
    </row>
    <row r="48" spans="2:22" ht="12" customHeight="1" x14ac:dyDescent="0.2">
      <c r="B48" s="1715" t="s">
        <v>812</v>
      </c>
      <c r="C48" s="1716"/>
      <c r="D48" s="1631" t="s">
        <v>13</v>
      </c>
      <c r="E48" s="911">
        <v>0</v>
      </c>
      <c r="F48" s="911">
        <f>E48</f>
        <v>0</v>
      </c>
      <c r="G48" s="911">
        <f>F48</f>
        <v>0</v>
      </c>
      <c r="H48" s="1618">
        <f>G48</f>
        <v>0</v>
      </c>
      <c r="J48" s="1675" t="s">
        <v>0</v>
      </c>
      <c r="L48" s="179"/>
      <c r="M48" s="179"/>
      <c r="N48" s="179"/>
      <c r="O48" s="256"/>
      <c r="P48" s="256" t="s">
        <v>241</v>
      </c>
      <c r="Q48" s="256"/>
      <c r="R48" s="256"/>
      <c r="S48" s="256"/>
      <c r="T48" s="256"/>
      <c r="U48" s="256"/>
      <c r="V48" s="1676"/>
    </row>
    <row r="49" spans="1:22" ht="12" customHeight="1" x14ac:dyDescent="0.2">
      <c r="B49" s="1619" t="s">
        <v>813</v>
      </c>
      <c r="C49" s="1620"/>
      <c r="D49" s="1621" t="s">
        <v>443</v>
      </c>
      <c r="E49" s="1622">
        <f>IF(E48=0,0,E45*E48)</f>
        <v>0</v>
      </c>
      <c r="F49" s="1622">
        <f>IF(F48=0,0,F45*F48)</f>
        <v>0</v>
      </c>
      <c r="G49" s="1622">
        <f>IF(G48=0,0,G45*G48)</f>
        <v>0</v>
      </c>
      <c r="H49" s="1623">
        <f>IF(H48=0,0,H45*H48)</f>
        <v>0</v>
      </c>
      <c r="J49" s="1675"/>
      <c r="L49" s="179"/>
      <c r="M49" s="179"/>
      <c r="N49" s="179"/>
      <c r="O49" s="256"/>
      <c r="P49" s="256"/>
      <c r="Q49" s="256"/>
      <c r="R49" s="256"/>
      <c r="S49" s="256"/>
      <c r="T49" s="256"/>
      <c r="U49" s="256"/>
      <c r="V49" s="1676"/>
    </row>
    <row r="50" spans="1:22" ht="12" customHeight="1" x14ac:dyDescent="0.2">
      <c r="B50" s="50"/>
      <c r="C50" s="72"/>
      <c r="D50" s="72"/>
      <c r="E50" s="416"/>
      <c r="F50" s="416"/>
      <c r="G50" s="416"/>
      <c r="H50" s="416"/>
      <c r="J50" s="1675"/>
      <c r="L50" s="179"/>
      <c r="M50" s="179"/>
      <c r="N50" s="179"/>
      <c r="O50" s="256"/>
      <c r="P50" s="256"/>
      <c r="Q50" s="256"/>
      <c r="R50" s="256"/>
      <c r="S50" s="256"/>
      <c r="T50" s="256"/>
      <c r="U50" s="256"/>
      <c r="V50" s="1676"/>
    </row>
    <row r="51" spans="1:22" ht="12" customHeight="1" x14ac:dyDescent="0.2">
      <c r="B51" s="1626"/>
      <c r="C51" s="1626"/>
      <c r="D51" s="1754" t="s">
        <v>106</v>
      </c>
      <c r="E51" s="1751">
        <v>0.255</v>
      </c>
      <c r="F51" s="1751">
        <f>E51</f>
        <v>0.255</v>
      </c>
      <c r="G51" s="1751">
        <f>F51</f>
        <v>0.255</v>
      </c>
      <c r="H51" s="1752">
        <f>G51</f>
        <v>0.255</v>
      </c>
      <c r="I51" s="41"/>
      <c r="J51" s="1675"/>
      <c r="K51" s="179"/>
      <c r="L51" s="179"/>
      <c r="M51" s="179"/>
      <c r="N51" s="179"/>
      <c r="O51" s="256"/>
      <c r="P51" s="256"/>
      <c r="Q51" s="256"/>
      <c r="R51" s="256"/>
      <c r="S51" s="256"/>
      <c r="T51" s="256"/>
      <c r="U51" s="256"/>
      <c r="V51" s="1676"/>
    </row>
    <row r="52" spans="1:22" ht="12.75" customHeight="1" x14ac:dyDescent="0.2">
      <c r="A52" s="53"/>
      <c r="B52" s="1614">
        <v>0</v>
      </c>
      <c r="C52" s="2058" t="s">
        <v>656</v>
      </c>
      <c r="D52" s="2059"/>
      <c r="E52" s="1640">
        <f>E53*E54</f>
        <v>0</v>
      </c>
      <c r="F52" s="1640">
        <f>F53*F54</f>
        <v>0</v>
      </c>
      <c r="G52" s="1640">
        <f>G53*G54</f>
        <v>0</v>
      </c>
      <c r="H52" s="1641">
        <f>H53*H54</f>
        <v>0</v>
      </c>
      <c r="J52" s="1677"/>
      <c r="L52" s="1302"/>
      <c r="M52" s="1302"/>
      <c r="N52" s="1302"/>
      <c r="O52" s="256"/>
      <c r="P52" s="256"/>
      <c r="Q52" s="256"/>
      <c r="R52" s="256"/>
      <c r="S52" s="256"/>
      <c r="T52" s="256"/>
      <c r="U52" s="256"/>
      <c r="V52" s="1676"/>
    </row>
    <row r="53" spans="1:22" ht="12" customHeight="1" x14ac:dyDescent="0.2">
      <c r="B53" s="1615" t="s">
        <v>814</v>
      </c>
      <c r="C53" s="451"/>
      <c r="D53" s="909" t="s">
        <v>657</v>
      </c>
      <c r="E53" s="908">
        <v>0</v>
      </c>
      <c r="F53" s="909">
        <f t="shared" ref="F53:H54" si="5">E53+E53*L53</f>
        <v>0</v>
      </c>
      <c r="G53" s="909">
        <f t="shared" si="5"/>
        <v>0</v>
      </c>
      <c r="H53" s="1616">
        <f t="shared" si="5"/>
        <v>0</v>
      </c>
      <c r="J53" s="2054"/>
      <c r="K53" s="2055"/>
      <c r="L53" s="1301">
        <v>0</v>
      </c>
      <c r="M53" s="1301">
        <f>L53</f>
        <v>0</v>
      </c>
      <c r="N53" s="1301">
        <f>M53</f>
        <v>0</v>
      </c>
      <c r="O53" s="1678"/>
      <c r="P53" s="256"/>
      <c r="Q53" s="256"/>
      <c r="R53" s="256"/>
      <c r="S53" s="256"/>
      <c r="T53" s="256"/>
      <c r="U53" s="256"/>
      <c r="V53" s="1676"/>
    </row>
    <row r="54" spans="1:22" ht="12" customHeight="1" x14ac:dyDescent="0.2">
      <c r="B54" s="1615" t="s">
        <v>811</v>
      </c>
      <c r="C54" s="451"/>
      <c r="D54" s="332" t="s">
        <v>443</v>
      </c>
      <c r="E54" s="910">
        <v>0</v>
      </c>
      <c r="F54" s="910">
        <f t="shared" si="5"/>
        <v>0</v>
      </c>
      <c r="G54" s="910">
        <f t="shared" si="5"/>
        <v>0</v>
      </c>
      <c r="H54" s="1617">
        <f t="shared" si="5"/>
        <v>0</v>
      </c>
      <c r="J54" s="2054"/>
      <c r="K54" s="2055"/>
      <c r="L54" s="315">
        <v>0.03</v>
      </c>
      <c r="M54" s="315">
        <f>L54</f>
        <v>0.03</v>
      </c>
      <c r="N54" s="315">
        <f>M54</f>
        <v>0.03</v>
      </c>
      <c r="O54" s="256"/>
      <c r="P54" s="256"/>
      <c r="Q54" s="256"/>
      <c r="R54" s="256"/>
      <c r="S54" s="256"/>
      <c r="T54" s="256"/>
      <c r="U54" s="256"/>
      <c r="V54" s="1676"/>
    </row>
    <row r="55" spans="1:22" ht="12" customHeight="1" x14ac:dyDescent="0.2">
      <c r="B55" s="1715" t="s">
        <v>812</v>
      </c>
      <c r="C55" s="1716"/>
      <c r="D55" s="1717"/>
      <c r="E55" s="911">
        <v>0</v>
      </c>
      <c r="F55" s="911">
        <f>E55</f>
        <v>0</v>
      </c>
      <c r="G55" s="911">
        <f>F55</f>
        <v>0</v>
      </c>
      <c r="H55" s="1618">
        <f>G55</f>
        <v>0</v>
      </c>
      <c r="J55" s="1675" t="s">
        <v>0</v>
      </c>
      <c r="L55" s="179"/>
      <c r="M55" s="179"/>
      <c r="N55" s="179"/>
      <c r="O55" s="256"/>
      <c r="P55" s="256" t="s">
        <v>241</v>
      </c>
      <c r="Q55" s="256"/>
      <c r="R55" s="256"/>
      <c r="S55" s="256"/>
      <c r="T55" s="256"/>
      <c r="U55" s="256"/>
      <c r="V55" s="1676"/>
    </row>
    <row r="56" spans="1:22" ht="12" customHeight="1" x14ac:dyDescent="0.2">
      <c r="B56" s="1619" t="s">
        <v>813</v>
      </c>
      <c r="C56" s="1620"/>
      <c r="D56" s="1621" t="s">
        <v>443</v>
      </c>
      <c r="E56" s="1622">
        <f>IF(E55=0,0,E52*E55)</f>
        <v>0</v>
      </c>
      <c r="F56" s="1622">
        <f>IF(F55=0,0,F52*F55)</f>
        <v>0</v>
      </c>
      <c r="G56" s="1622">
        <f>IF(G55=0,0,G52*G55)</f>
        <v>0</v>
      </c>
      <c r="H56" s="1623">
        <f>IF(H55=0,0,H52*H55)</f>
        <v>0</v>
      </c>
      <c r="J56" s="1675"/>
      <c r="L56" s="179"/>
      <c r="M56" s="179"/>
      <c r="N56" s="179"/>
      <c r="O56" s="256"/>
      <c r="P56" s="256"/>
      <c r="Q56" s="256"/>
      <c r="R56" s="256"/>
      <c r="S56" s="256"/>
      <c r="T56" s="256"/>
      <c r="U56" s="256"/>
      <c r="V56" s="1676"/>
    </row>
    <row r="57" spans="1:22" ht="12" customHeight="1" x14ac:dyDescent="0.2">
      <c r="B57" s="50"/>
      <c r="C57" s="72"/>
      <c r="D57" s="72"/>
      <c r="E57" s="416"/>
      <c r="F57" s="416"/>
      <c r="G57" s="416"/>
      <c r="H57" s="416"/>
      <c r="J57" s="1675"/>
      <c r="L57" s="179"/>
      <c r="M57" s="179"/>
      <c r="N57" s="179"/>
      <c r="O57" s="256"/>
      <c r="P57" s="256"/>
      <c r="Q57" s="256"/>
      <c r="R57" s="256"/>
      <c r="S57" s="256"/>
      <c r="T57" s="256"/>
      <c r="U57" s="256"/>
      <c r="V57" s="1676"/>
    </row>
    <row r="58" spans="1:22" ht="12" customHeight="1" x14ac:dyDescent="0.2">
      <c r="B58" s="1626"/>
      <c r="C58" s="1626"/>
      <c r="D58" s="1754" t="s">
        <v>106</v>
      </c>
      <c r="E58" s="1751">
        <v>0.255</v>
      </c>
      <c r="F58" s="1751">
        <f>E58</f>
        <v>0.255</v>
      </c>
      <c r="G58" s="1751">
        <f>F58</f>
        <v>0.255</v>
      </c>
      <c r="H58" s="1752">
        <f>G58</f>
        <v>0.255</v>
      </c>
      <c r="I58" s="41"/>
      <c r="J58" s="2056"/>
      <c r="K58" s="2057"/>
      <c r="L58" s="2057"/>
      <c r="M58" s="2057"/>
      <c r="N58" s="179"/>
      <c r="O58" s="256"/>
      <c r="P58" s="256"/>
      <c r="Q58" s="256"/>
      <c r="R58" s="256"/>
      <c r="S58" s="256"/>
      <c r="T58" s="256"/>
      <c r="U58" s="256"/>
      <c r="V58" s="1676"/>
    </row>
    <row r="59" spans="1:22" ht="12.75" customHeight="1" x14ac:dyDescent="0.2">
      <c r="A59" s="53"/>
      <c r="B59" s="1614">
        <v>0</v>
      </c>
      <c r="C59" s="2058" t="s">
        <v>656</v>
      </c>
      <c r="D59" s="2059"/>
      <c r="E59" s="1640">
        <f>E60*E61</f>
        <v>0</v>
      </c>
      <c r="F59" s="1640">
        <f>F60*F61</f>
        <v>0</v>
      </c>
      <c r="G59" s="1640">
        <f>G60*G61</f>
        <v>0</v>
      </c>
      <c r="H59" s="1641">
        <f>H60*H61</f>
        <v>0</v>
      </c>
      <c r="J59" s="1677"/>
      <c r="L59" s="1302"/>
      <c r="M59" s="1302"/>
      <c r="N59" s="1302"/>
      <c r="O59" s="256"/>
      <c r="P59" s="256"/>
      <c r="Q59" s="256"/>
      <c r="R59" s="256"/>
      <c r="S59" s="256"/>
      <c r="T59" s="256"/>
      <c r="U59" s="256"/>
      <c r="V59" s="1676"/>
    </row>
    <row r="60" spans="1:22" ht="12" customHeight="1" x14ac:dyDescent="0.2">
      <c r="B60" s="1615" t="s">
        <v>814</v>
      </c>
      <c r="C60" s="451"/>
      <c r="D60" s="909" t="s">
        <v>657</v>
      </c>
      <c r="E60" s="908">
        <v>0</v>
      </c>
      <c r="F60" s="909">
        <f t="shared" ref="F60:H61" si="6">E60+E60*L60</f>
        <v>0</v>
      </c>
      <c r="G60" s="909">
        <f t="shared" si="6"/>
        <v>0</v>
      </c>
      <c r="H60" s="1616">
        <f t="shared" si="6"/>
        <v>0</v>
      </c>
      <c r="J60" s="2054"/>
      <c r="K60" s="2055"/>
      <c r="L60" s="1301">
        <v>0</v>
      </c>
      <c r="M60" s="1301">
        <f>L60</f>
        <v>0</v>
      </c>
      <c r="N60" s="1301">
        <f>M60</f>
        <v>0</v>
      </c>
      <c r="O60" s="1678"/>
      <c r="P60" s="256"/>
      <c r="Q60" s="256"/>
      <c r="R60" s="256"/>
      <c r="S60" s="256"/>
      <c r="T60" s="256"/>
      <c r="U60" s="256"/>
      <c r="V60" s="1676"/>
    </row>
    <row r="61" spans="1:22" ht="12" customHeight="1" x14ac:dyDescent="0.2">
      <c r="B61" s="1615" t="s">
        <v>811</v>
      </c>
      <c r="C61" s="451"/>
      <c r="D61" s="332" t="s">
        <v>443</v>
      </c>
      <c r="E61" s="910">
        <v>0</v>
      </c>
      <c r="F61" s="910">
        <f t="shared" si="6"/>
        <v>0</v>
      </c>
      <c r="G61" s="910">
        <f t="shared" si="6"/>
        <v>0</v>
      </c>
      <c r="H61" s="1617">
        <f t="shared" si="6"/>
        <v>0</v>
      </c>
      <c r="J61" s="2054"/>
      <c r="K61" s="2055"/>
      <c r="L61" s="315">
        <v>0.03</v>
      </c>
      <c r="M61" s="315">
        <f>L61</f>
        <v>0.03</v>
      </c>
      <c r="N61" s="315">
        <f>M61</f>
        <v>0.03</v>
      </c>
      <c r="O61" s="256"/>
      <c r="P61" s="256"/>
      <c r="Q61" s="256"/>
      <c r="R61" s="256"/>
      <c r="S61" s="256"/>
      <c r="T61" s="256"/>
      <c r="U61" s="256"/>
      <c r="V61" s="1676"/>
    </row>
    <row r="62" spans="1:22" ht="12" customHeight="1" x14ac:dyDescent="0.2">
      <c r="B62" s="1715" t="s">
        <v>812</v>
      </c>
      <c r="C62" s="1716"/>
      <c r="D62" s="1631" t="s">
        <v>13</v>
      </c>
      <c r="E62" s="911">
        <v>0</v>
      </c>
      <c r="F62" s="911">
        <f>E62</f>
        <v>0</v>
      </c>
      <c r="G62" s="911">
        <f>F62</f>
        <v>0</v>
      </c>
      <c r="H62" s="1618">
        <f>G62</f>
        <v>0</v>
      </c>
      <c r="J62" s="1675"/>
      <c r="K62" s="1679"/>
      <c r="L62" s="179"/>
      <c r="M62" s="179"/>
      <c r="N62" s="179"/>
      <c r="O62" s="256"/>
      <c r="P62" s="256" t="s">
        <v>241</v>
      </c>
      <c r="Q62" s="256"/>
      <c r="R62" s="256"/>
      <c r="S62" s="256"/>
      <c r="T62" s="256"/>
      <c r="U62" s="256"/>
      <c r="V62" s="1676"/>
    </row>
    <row r="63" spans="1:22" ht="12" customHeight="1" x14ac:dyDescent="0.2">
      <c r="B63" s="1619" t="s">
        <v>813</v>
      </c>
      <c r="C63" s="1620"/>
      <c r="D63" s="1621" t="s">
        <v>443</v>
      </c>
      <c r="E63" s="1622">
        <f>IF(E62=0,0,E59*E62)</f>
        <v>0</v>
      </c>
      <c r="F63" s="1622">
        <f>IF(F62=0,0,F59*F62)</f>
        <v>0</v>
      </c>
      <c r="G63" s="1622">
        <f>IF(G62=0,0,G59*G62)</f>
        <v>0</v>
      </c>
      <c r="H63" s="1623">
        <f>IF(H62=0,0,H59*H62)</f>
        <v>0</v>
      </c>
      <c r="J63" s="1675"/>
      <c r="K63" s="1679"/>
      <c r="L63" s="179"/>
      <c r="M63" s="179"/>
      <c r="N63" s="179"/>
      <c r="O63" s="256"/>
      <c r="P63" s="256"/>
      <c r="Q63" s="256"/>
      <c r="R63" s="256"/>
      <c r="S63" s="256"/>
      <c r="T63" s="256"/>
      <c r="U63" s="256"/>
      <c r="V63" s="1676"/>
    </row>
    <row r="64" spans="1:22" ht="12" customHeight="1" x14ac:dyDescent="0.2">
      <c r="B64" s="50"/>
      <c r="C64" s="72"/>
      <c r="D64" s="72"/>
      <c r="E64" s="416"/>
      <c r="F64" s="416"/>
      <c r="G64" s="416"/>
      <c r="H64" s="416"/>
      <c r="J64" s="1675"/>
      <c r="K64" s="1679"/>
      <c r="L64" s="179"/>
      <c r="M64" s="179"/>
      <c r="N64" s="179"/>
      <c r="O64" s="256"/>
      <c r="P64" s="256"/>
      <c r="Q64" s="256"/>
      <c r="R64" s="256"/>
      <c r="S64" s="256"/>
      <c r="T64" s="256"/>
      <c r="U64" s="256"/>
      <c r="V64" s="1676"/>
    </row>
    <row r="65" spans="2:22" ht="12" customHeight="1" x14ac:dyDescent="0.2">
      <c r="B65" s="1633"/>
      <c r="C65" s="1633"/>
      <c r="D65" s="1755" t="s">
        <v>106</v>
      </c>
      <c r="E65" s="1756">
        <v>0.255</v>
      </c>
      <c r="F65" s="1756">
        <f>E65</f>
        <v>0.255</v>
      </c>
      <c r="G65" s="1756">
        <f>F65</f>
        <v>0.255</v>
      </c>
      <c r="H65" s="1757">
        <f>G65</f>
        <v>0.255</v>
      </c>
      <c r="I65" s="41"/>
      <c r="J65" s="2056"/>
      <c r="K65" s="2057"/>
      <c r="L65" s="2057"/>
      <c r="M65" s="2057"/>
      <c r="N65" s="179"/>
      <c r="O65" s="256"/>
      <c r="P65" s="256"/>
      <c r="Q65" s="256"/>
      <c r="R65" s="256"/>
      <c r="S65" s="256"/>
      <c r="T65" s="256"/>
      <c r="U65" s="256"/>
      <c r="V65" s="1676"/>
    </row>
    <row r="66" spans="2:22" ht="12.75" customHeight="1" x14ac:dyDescent="0.2">
      <c r="B66" s="1637">
        <v>0</v>
      </c>
      <c r="C66" s="2066" t="s">
        <v>656</v>
      </c>
      <c r="D66" s="2067"/>
      <c r="E66" s="1642">
        <f>E67*E68</f>
        <v>0</v>
      </c>
      <c r="F66" s="1642">
        <f>F67*F68</f>
        <v>0</v>
      </c>
      <c r="G66" s="1642">
        <f>G67*G68</f>
        <v>0</v>
      </c>
      <c r="H66" s="1643">
        <f>H67*H68</f>
        <v>0</v>
      </c>
      <c r="J66" s="1677"/>
      <c r="L66" s="1302"/>
      <c r="M66" s="1302"/>
      <c r="N66" s="1302"/>
      <c r="O66" s="256"/>
      <c r="P66" s="256"/>
      <c r="Q66" s="256"/>
      <c r="R66" s="256"/>
      <c r="S66" s="256"/>
      <c r="T66" s="256"/>
      <c r="U66" s="256"/>
      <c r="V66" s="1676"/>
    </row>
    <row r="67" spans="2:22" ht="12" customHeight="1" x14ac:dyDescent="0.2">
      <c r="B67" s="1615" t="s">
        <v>814</v>
      </c>
      <c r="C67" s="451"/>
      <c r="D67" s="909" t="s">
        <v>657</v>
      </c>
      <c r="E67" s="908">
        <v>0</v>
      </c>
      <c r="F67" s="909">
        <f t="shared" ref="F67:H68" si="7">E67+E67*L67</f>
        <v>0</v>
      </c>
      <c r="G67" s="909">
        <f t="shared" si="7"/>
        <v>0</v>
      </c>
      <c r="H67" s="1616">
        <f t="shared" si="7"/>
        <v>0</v>
      </c>
      <c r="J67" s="2054"/>
      <c r="K67" s="2055"/>
      <c r="L67" s="1301">
        <v>0</v>
      </c>
      <c r="M67" s="1301">
        <f>L67</f>
        <v>0</v>
      </c>
      <c r="N67" s="1301">
        <f>M67</f>
        <v>0</v>
      </c>
      <c r="O67" s="1678"/>
      <c r="P67" s="256"/>
      <c r="Q67" s="256"/>
      <c r="R67" s="256"/>
      <c r="S67" s="256"/>
      <c r="T67" s="256"/>
      <c r="U67" s="256"/>
      <c r="V67" s="1676"/>
    </row>
    <row r="68" spans="2:22" ht="12" customHeight="1" x14ac:dyDescent="0.2">
      <c r="B68" s="1615" t="s">
        <v>811</v>
      </c>
      <c r="C68" s="451"/>
      <c r="D68" s="332" t="s">
        <v>443</v>
      </c>
      <c r="E68" s="910">
        <v>0</v>
      </c>
      <c r="F68" s="910">
        <f t="shared" si="7"/>
        <v>0</v>
      </c>
      <c r="G68" s="910">
        <f t="shared" si="7"/>
        <v>0</v>
      </c>
      <c r="H68" s="1617">
        <f t="shared" si="7"/>
        <v>0</v>
      </c>
      <c r="J68" s="2054"/>
      <c r="K68" s="2055"/>
      <c r="L68" s="315">
        <v>0.03</v>
      </c>
      <c r="M68" s="315">
        <f>L68</f>
        <v>0.03</v>
      </c>
      <c r="N68" s="315">
        <f>M68</f>
        <v>0.03</v>
      </c>
      <c r="O68" s="256"/>
      <c r="P68" s="256"/>
      <c r="Q68" s="256"/>
      <c r="R68" s="256"/>
      <c r="S68" s="256"/>
      <c r="T68" s="256"/>
      <c r="U68" s="256"/>
      <c r="V68" s="1676"/>
    </row>
    <row r="69" spans="2:22" ht="12" customHeight="1" x14ac:dyDescent="0.2">
      <c r="B69" s="1715" t="s">
        <v>812</v>
      </c>
      <c r="C69" s="1716"/>
      <c r="D69" s="1631" t="s">
        <v>13</v>
      </c>
      <c r="E69" s="911">
        <v>0</v>
      </c>
      <c r="F69" s="911">
        <f>E69</f>
        <v>0</v>
      </c>
      <c r="G69" s="911">
        <f>F69</f>
        <v>0</v>
      </c>
      <c r="H69" s="1618">
        <f>G69</f>
        <v>0</v>
      </c>
      <c r="J69" s="1675"/>
      <c r="K69" s="1679"/>
      <c r="L69" s="179"/>
      <c r="M69" s="179"/>
      <c r="N69" s="179"/>
      <c r="O69" s="256"/>
      <c r="P69" s="256" t="s">
        <v>241</v>
      </c>
      <c r="Q69" s="256"/>
      <c r="R69" s="256"/>
      <c r="S69" s="256"/>
      <c r="T69" s="256"/>
      <c r="U69" s="256"/>
      <c r="V69" s="1676"/>
    </row>
    <row r="70" spans="2:22" ht="12" customHeight="1" x14ac:dyDescent="0.2">
      <c r="B70" s="1619" t="s">
        <v>813</v>
      </c>
      <c r="C70" s="1636"/>
      <c r="D70" s="1634" t="s">
        <v>443</v>
      </c>
      <c r="E70" s="1635">
        <f>IF(E69=0,0,E66*E69)</f>
        <v>0</v>
      </c>
      <c r="F70" s="1635">
        <f>IF(F69=0,0,F66*F69)</f>
        <v>0</v>
      </c>
      <c r="G70" s="1635">
        <f>IF(G69=0,0,G66*G69)</f>
        <v>0</v>
      </c>
      <c r="H70" s="1635">
        <f>IF(H69=0,0,H66*H69)</f>
        <v>0</v>
      </c>
      <c r="J70" s="1675"/>
      <c r="K70" s="1679"/>
      <c r="L70" s="179"/>
      <c r="M70" s="179"/>
      <c r="N70" s="179"/>
      <c r="O70" s="256"/>
      <c r="P70" s="256"/>
      <c r="Q70" s="256"/>
      <c r="R70" s="256"/>
      <c r="S70" s="256"/>
      <c r="T70" s="256"/>
      <c r="U70" s="256"/>
      <c r="V70" s="1676"/>
    </row>
    <row r="71" spans="2:22" ht="12" customHeight="1" x14ac:dyDescent="0.2">
      <c r="B71" s="50"/>
      <c r="C71" s="72"/>
      <c r="D71" s="72"/>
      <c r="E71" s="416"/>
      <c r="F71" s="416"/>
      <c r="G71" s="416"/>
      <c r="H71" s="416"/>
      <c r="J71" s="1675"/>
      <c r="K71" s="1679"/>
      <c r="L71" s="179"/>
      <c r="M71" s="179"/>
      <c r="N71" s="179"/>
      <c r="O71" s="256"/>
      <c r="P71" s="256"/>
      <c r="Q71" s="256"/>
      <c r="R71" s="256"/>
      <c r="S71" s="256"/>
      <c r="T71" s="256"/>
      <c r="U71" s="256"/>
      <c r="V71" s="1676"/>
    </row>
    <row r="72" spans="2:22" ht="12" customHeight="1" x14ac:dyDescent="0.2">
      <c r="B72" s="1626"/>
      <c r="C72" s="1626"/>
      <c r="D72" s="1754" t="s">
        <v>106</v>
      </c>
      <c r="E72" s="1751">
        <v>0.255</v>
      </c>
      <c r="F72" s="1751">
        <f>E72</f>
        <v>0.255</v>
      </c>
      <c r="G72" s="1751">
        <f>F72</f>
        <v>0.255</v>
      </c>
      <c r="H72" s="1752">
        <f>G72</f>
        <v>0.255</v>
      </c>
      <c r="I72" s="41"/>
      <c r="J72" s="2056"/>
      <c r="K72" s="2057"/>
      <c r="L72" s="2057"/>
      <c r="M72" s="2057"/>
      <c r="N72" s="179"/>
      <c r="O72" s="256"/>
      <c r="P72" s="256"/>
      <c r="Q72" s="256"/>
      <c r="R72" s="256"/>
      <c r="S72" s="256"/>
      <c r="T72" s="256"/>
      <c r="U72" s="256"/>
      <c r="V72" s="1676"/>
    </row>
    <row r="73" spans="2:22" ht="12.75" customHeight="1" x14ac:dyDescent="0.2">
      <c r="B73" s="1614">
        <v>0</v>
      </c>
      <c r="C73" s="2058" t="s">
        <v>656</v>
      </c>
      <c r="D73" s="2059"/>
      <c r="E73" s="1640">
        <f>E74*E75</f>
        <v>0</v>
      </c>
      <c r="F73" s="1640">
        <f>F74*F75</f>
        <v>0</v>
      </c>
      <c r="G73" s="1640">
        <f>G74*G75</f>
        <v>0</v>
      </c>
      <c r="H73" s="1641">
        <f>H74*H75</f>
        <v>0</v>
      </c>
      <c r="J73" s="1677"/>
      <c r="L73" s="1302"/>
      <c r="M73" s="1302"/>
      <c r="N73" s="1302"/>
      <c r="O73" s="256"/>
      <c r="P73" s="256"/>
      <c r="Q73" s="256"/>
      <c r="R73" s="256"/>
      <c r="S73" s="256"/>
      <c r="T73" s="256"/>
      <c r="U73" s="256"/>
      <c r="V73" s="1676"/>
    </row>
    <row r="74" spans="2:22" ht="12" customHeight="1" x14ac:dyDescent="0.2">
      <c r="B74" s="1615" t="s">
        <v>814</v>
      </c>
      <c r="C74" s="451"/>
      <c r="D74" s="909" t="s">
        <v>657</v>
      </c>
      <c r="E74" s="908">
        <v>0</v>
      </c>
      <c r="F74" s="909">
        <f t="shared" ref="F74:H75" si="8">E74+E74*L74</f>
        <v>0</v>
      </c>
      <c r="G74" s="909">
        <f t="shared" si="8"/>
        <v>0</v>
      </c>
      <c r="H74" s="1616">
        <f t="shared" si="8"/>
        <v>0</v>
      </c>
      <c r="J74" s="2054"/>
      <c r="K74" s="2055"/>
      <c r="L74" s="1301">
        <v>0</v>
      </c>
      <c r="M74" s="1301">
        <f>L74</f>
        <v>0</v>
      </c>
      <c r="N74" s="1301">
        <f>M74</f>
        <v>0</v>
      </c>
      <c r="O74" s="1678"/>
      <c r="P74" s="256"/>
      <c r="Q74" s="256"/>
      <c r="R74" s="256"/>
      <c r="S74" s="256"/>
      <c r="T74" s="256"/>
      <c r="U74" s="256"/>
      <c r="V74" s="1676"/>
    </row>
    <row r="75" spans="2:22" ht="12" customHeight="1" x14ac:dyDescent="0.2">
      <c r="B75" s="1615" t="s">
        <v>811</v>
      </c>
      <c r="C75" s="451"/>
      <c r="D75" s="332" t="s">
        <v>443</v>
      </c>
      <c r="E75" s="910">
        <v>0</v>
      </c>
      <c r="F75" s="910">
        <f t="shared" si="8"/>
        <v>0</v>
      </c>
      <c r="G75" s="910">
        <f t="shared" si="8"/>
        <v>0</v>
      </c>
      <c r="H75" s="1617">
        <f t="shared" si="8"/>
        <v>0</v>
      </c>
      <c r="J75" s="2054"/>
      <c r="K75" s="2055"/>
      <c r="L75" s="315">
        <v>0.03</v>
      </c>
      <c r="M75" s="315">
        <f>L75</f>
        <v>0.03</v>
      </c>
      <c r="N75" s="315">
        <f>M75</f>
        <v>0.03</v>
      </c>
      <c r="O75" s="256"/>
      <c r="P75" s="256"/>
      <c r="Q75" s="256"/>
      <c r="R75" s="256"/>
      <c r="S75" s="256"/>
      <c r="T75" s="256"/>
      <c r="U75" s="256"/>
      <c r="V75" s="1676"/>
    </row>
    <row r="76" spans="2:22" ht="12" customHeight="1" x14ac:dyDescent="0.2">
      <c r="B76" s="1715" t="s">
        <v>812</v>
      </c>
      <c r="C76" s="1716"/>
      <c r="D76" s="1631" t="s">
        <v>13</v>
      </c>
      <c r="E76" s="911">
        <v>0</v>
      </c>
      <c r="F76" s="911">
        <f>E76</f>
        <v>0</v>
      </c>
      <c r="G76" s="911">
        <f>F76</f>
        <v>0</v>
      </c>
      <c r="H76" s="1618">
        <f>G76</f>
        <v>0</v>
      </c>
      <c r="J76" s="1675" t="s">
        <v>0</v>
      </c>
      <c r="L76" s="179"/>
      <c r="M76" s="179"/>
      <c r="N76" s="179"/>
      <c r="O76" s="256"/>
      <c r="P76" s="256" t="s">
        <v>241</v>
      </c>
      <c r="Q76" s="256"/>
      <c r="R76" s="256"/>
      <c r="S76" s="256"/>
      <c r="T76" s="256"/>
      <c r="U76" s="256"/>
      <c r="V76" s="1676"/>
    </row>
    <row r="77" spans="2:22" ht="12" customHeight="1" thickBot="1" x14ac:dyDescent="0.25">
      <c r="B77" s="1619" t="s">
        <v>813</v>
      </c>
      <c r="C77" s="1620"/>
      <c r="D77" s="1632" t="s">
        <v>443</v>
      </c>
      <c r="E77" s="1622">
        <f>IF(E76=0,0,E73*E76)</f>
        <v>0</v>
      </c>
      <c r="F77" s="1622">
        <f>IF(F76=0,0,F73*F76)</f>
        <v>0</v>
      </c>
      <c r="G77" s="1622">
        <f>IF(G76=0,0,G73*G76)</f>
        <v>0</v>
      </c>
      <c r="H77" s="1623">
        <f>IF(H76=0,0,H73*H76)</f>
        <v>0</v>
      </c>
      <c r="J77" s="1680"/>
      <c r="K77" s="1681"/>
      <c r="L77" s="1681"/>
      <c r="M77" s="1681"/>
      <c r="N77" s="1681"/>
      <c r="O77" s="1681"/>
      <c r="P77" s="1681"/>
      <c r="Q77" s="1681"/>
      <c r="R77" s="1681"/>
      <c r="S77" s="1681"/>
      <c r="T77" s="1681"/>
      <c r="U77" s="1681"/>
      <c r="V77" s="1682"/>
    </row>
    <row r="78" spans="2:22" ht="6.75" customHeight="1" x14ac:dyDescent="0.2"/>
    <row r="79" spans="2:22" x14ac:dyDescent="0.2">
      <c r="B79" s="328"/>
      <c r="C79" s="329"/>
      <c r="D79" s="129"/>
      <c r="E79" s="129"/>
      <c r="F79" s="129"/>
      <c r="G79" s="129"/>
      <c r="H79" s="333">
        <f>OHJE!F6</f>
        <v>0</v>
      </c>
    </row>
    <row r="80" spans="2:22" x14ac:dyDescent="0.2">
      <c r="B80" s="328" t="str">
        <f>'3. E1 KUSTANNUKSET'!B135</f>
        <v>YT6 Aloittavan yrityksen tulossuunnitelma</v>
      </c>
      <c r="C80" s="329"/>
      <c r="D80" s="129"/>
      <c r="E80" s="129"/>
      <c r="F80" s="129"/>
      <c r="G80" s="129"/>
      <c r="H80" s="385" t="str">
        <f>'3. E1 KUSTANNUKSET'!K135</f>
        <v>Kehittämisyhtiö Witas Oy</v>
      </c>
    </row>
    <row r="81" spans="2:3" x14ac:dyDescent="0.2">
      <c r="B81" s="1978"/>
      <c r="C81" s="1978"/>
    </row>
    <row r="82" spans="2:3" x14ac:dyDescent="0.2">
      <c r="B82" s="327" t="s">
        <v>234</v>
      </c>
    </row>
    <row r="83" spans="2:3" x14ac:dyDescent="0.2">
      <c r="B83" s="52" t="s">
        <v>235</v>
      </c>
    </row>
    <row r="84" spans="2:3" x14ac:dyDescent="0.2">
      <c r="B84" s="52" t="s">
        <v>236</v>
      </c>
    </row>
  </sheetData>
  <sheetProtection algorithmName="SHA-512" hashValue="AysIhEsWQuFrOCx4i3B8Gdonza+aCpMahbjr7c8DtHmg1ZStpXcMtEgflewUWiPugIbUnIBo/spepDlXTsNiew==" saltValue="udLOGN2BC9flPpCg4KlwYw==" spinCount="100000" sheet="1" objects="1" scenarios="1"/>
  <mergeCells count="35">
    <mergeCell ref="C38:D38"/>
    <mergeCell ref="C45:D45"/>
    <mergeCell ref="C52:D52"/>
    <mergeCell ref="C59:D59"/>
    <mergeCell ref="C66:D66"/>
    <mergeCell ref="J33:K33"/>
    <mergeCell ref="B5:D5"/>
    <mergeCell ref="B7:C8"/>
    <mergeCell ref="J18:K18"/>
    <mergeCell ref="J19:K19"/>
    <mergeCell ref="J5:L5"/>
    <mergeCell ref="J25:K25"/>
    <mergeCell ref="J26:K26"/>
    <mergeCell ref="J32:K32"/>
    <mergeCell ref="L16:N16"/>
    <mergeCell ref="C17:D17"/>
    <mergeCell ref="C24:D24"/>
    <mergeCell ref="C31:D31"/>
    <mergeCell ref="J60:K60"/>
    <mergeCell ref="J39:K39"/>
    <mergeCell ref="J40:K40"/>
    <mergeCell ref="J46:K46"/>
    <mergeCell ref="J47:K47"/>
    <mergeCell ref="J53:K53"/>
    <mergeCell ref="J54:K54"/>
    <mergeCell ref="J58:M58"/>
    <mergeCell ref="B81:C81"/>
    <mergeCell ref="J61:K61"/>
    <mergeCell ref="J65:M65"/>
    <mergeCell ref="J67:K67"/>
    <mergeCell ref="J68:K68"/>
    <mergeCell ref="J72:M72"/>
    <mergeCell ref="J74:K74"/>
    <mergeCell ref="J75:K75"/>
    <mergeCell ref="C73:D73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fitToWidth="0" orientation="portrait" verticalDpi="4" r:id="rId1"/>
  <headerFooter alignWithMargins="0"/>
  <rowBreaks count="1" manualBreakCount="1">
    <brk id="71" min="1" max="21" man="1"/>
  </rowBreaks>
  <colBreaks count="1" manualBreakCount="1">
    <brk id="8" min="1" max="74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C7F5-6276-4CF6-8D5A-4B3B0EF8F8B3}">
  <sheetPr>
    <tabColor rgb="FF0152A1"/>
  </sheetPr>
  <dimension ref="A1:Y122"/>
  <sheetViews>
    <sheetView showGridLines="0" showZeros="0" zoomScale="110" zoomScaleNormal="110" workbookViewId="0">
      <selection activeCell="X40" sqref="X40"/>
    </sheetView>
  </sheetViews>
  <sheetFormatPr defaultRowHeight="12.75" x14ac:dyDescent="0.2"/>
  <cols>
    <col min="1" max="1" width="8.28515625" customWidth="1"/>
    <col min="2" max="2" width="3.28515625" style="40" customWidth="1"/>
    <col min="3" max="3" width="28.140625" customWidth="1"/>
    <col min="4" max="4" width="10.85546875" customWidth="1"/>
    <col min="5" max="5" width="3.85546875" customWidth="1"/>
    <col min="6" max="10" width="10.28515625" customWidth="1"/>
    <col min="11" max="11" width="3.140625" customWidth="1"/>
    <col min="12" max="13" width="10.7109375" customWidth="1"/>
    <col min="14" max="14" width="10.28515625" customWidth="1"/>
    <col min="15" max="15" width="5.28515625" customWidth="1"/>
    <col min="16" max="20" width="10.7109375" customWidth="1"/>
  </cols>
  <sheetData>
    <row r="1" spans="1:20" x14ac:dyDescent="0.2">
      <c r="O1" s="324"/>
    </row>
    <row r="2" spans="1:20" ht="13.15" customHeight="1" x14ac:dyDescent="0.25">
      <c r="B2" s="1998" t="s">
        <v>54</v>
      </c>
      <c r="C2" s="1998"/>
      <c r="D2" s="1998"/>
      <c r="F2" s="49"/>
      <c r="I2" s="61"/>
      <c r="J2" s="61"/>
      <c r="L2" s="1998" t="s">
        <v>54</v>
      </c>
      <c r="M2" s="1998"/>
      <c r="N2" s="1998"/>
      <c r="O2" s="1998"/>
    </row>
    <row r="3" spans="1:20" ht="6.75" customHeight="1" x14ac:dyDescent="0.2">
      <c r="B3" s="1998"/>
      <c r="C3" s="1998"/>
      <c r="D3" s="1998"/>
      <c r="F3" s="988"/>
      <c r="L3" s="1998"/>
      <c r="M3" s="1998"/>
      <c r="N3" s="1998"/>
      <c r="O3" s="1998"/>
    </row>
    <row r="4" spans="1:20" ht="3.75" customHeight="1" x14ac:dyDescent="0.2">
      <c r="G4" s="82">
        <v>0</v>
      </c>
      <c r="O4" s="326"/>
    </row>
    <row r="5" spans="1:20" s="45" customFormat="1" ht="10.5" x14ac:dyDescent="0.15">
      <c r="B5" s="49" t="s">
        <v>39</v>
      </c>
      <c r="C5" s="160"/>
      <c r="D5" s="160"/>
      <c r="E5" s="160"/>
      <c r="F5" s="160"/>
      <c r="G5" s="2119" t="s">
        <v>35</v>
      </c>
      <c r="H5" s="2119"/>
      <c r="I5" s="2119"/>
      <c r="J5" s="2119"/>
      <c r="L5" s="49" t="s">
        <v>39</v>
      </c>
      <c r="M5" s="160"/>
      <c r="N5" s="160"/>
      <c r="O5" s="160"/>
      <c r="P5" s="160"/>
      <c r="Q5" s="2119" t="s">
        <v>35</v>
      </c>
      <c r="R5" s="2119"/>
      <c r="S5" s="2119"/>
      <c r="T5" s="2119"/>
    </row>
    <row r="6" spans="1:20" ht="15" customHeight="1" x14ac:dyDescent="0.2">
      <c r="B6" s="2120">
        <f>'7. T2 TULOSSUUN.'!B5</f>
        <v>0</v>
      </c>
      <c r="C6" s="2120"/>
      <c r="D6" s="2120"/>
      <c r="E6" s="69"/>
      <c r="F6" s="69"/>
      <c r="G6" s="530">
        <f>'1. T1 INVESTOINTISUUN.'!F4</f>
        <v>0</v>
      </c>
      <c r="H6" s="986"/>
      <c r="I6" s="986"/>
      <c r="J6" s="986"/>
      <c r="L6" s="2117">
        <f>B6</f>
        <v>0</v>
      </c>
      <c r="M6" s="2117"/>
      <c r="N6" s="2117"/>
      <c r="O6" s="2117"/>
      <c r="P6" s="989"/>
      <c r="Q6" s="529">
        <f>'1. T1 INVESTOINTISUUN.'!F4</f>
        <v>0</v>
      </c>
      <c r="R6" s="572"/>
      <c r="S6" s="572"/>
      <c r="T6" s="572"/>
    </row>
    <row r="7" spans="1:20" s="45" customFormat="1" ht="10.5" x14ac:dyDescent="0.15">
      <c r="B7" s="2041" t="s">
        <v>15</v>
      </c>
      <c r="C7" s="2041"/>
      <c r="D7" s="2041"/>
      <c r="E7" s="160"/>
      <c r="F7" s="160"/>
      <c r="G7" s="160"/>
      <c r="H7" s="160"/>
      <c r="I7" s="160"/>
      <c r="J7" s="160"/>
      <c r="L7" s="990" t="s">
        <v>15</v>
      </c>
      <c r="M7" s="991"/>
      <c r="N7" s="991"/>
      <c r="O7" s="991"/>
      <c r="P7" s="991"/>
      <c r="Q7" s="2114"/>
      <c r="R7" s="2114"/>
      <c r="S7" s="2114"/>
      <c r="T7" s="2114"/>
    </row>
    <row r="8" spans="1:20" ht="15" customHeight="1" x14ac:dyDescent="0.2">
      <c r="A8" s="53"/>
      <c r="B8" s="2115">
        <f>'1. T1 INVESTOINTISUUN.'!B9</f>
        <v>0</v>
      </c>
      <c r="C8" s="2115"/>
      <c r="D8" s="2115"/>
      <c r="E8" s="69"/>
      <c r="F8" s="69"/>
      <c r="G8" s="2116"/>
      <c r="H8" s="2116"/>
      <c r="I8" s="2116"/>
      <c r="J8" s="2116"/>
      <c r="L8" s="2117">
        <f>B8</f>
        <v>0</v>
      </c>
      <c r="M8" s="2117"/>
      <c r="N8" s="2117"/>
      <c r="O8" s="2117"/>
      <c r="P8" s="989"/>
      <c r="Q8" s="2118"/>
      <c r="R8" s="2118"/>
      <c r="S8" s="2118"/>
      <c r="T8" s="2118"/>
    </row>
    <row r="9" spans="1:20" ht="3.75" customHeight="1" x14ac:dyDescent="0.2">
      <c r="L9" s="1666"/>
      <c r="M9" s="1666"/>
      <c r="N9" s="1666"/>
      <c r="O9" s="1666"/>
      <c r="P9" s="1666"/>
      <c r="Q9" s="1666"/>
      <c r="R9" s="1666"/>
      <c r="S9" s="1666"/>
      <c r="T9" s="1666"/>
    </row>
    <row r="10" spans="1:20" ht="12.75" customHeight="1" x14ac:dyDescent="0.2">
      <c r="A10" s="53"/>
      <c r="B10" s="1862"/>
      <c r="C10" s="1863"/>
      <c r="D10" s="1863"/>
      <c r="E10" s="1864"/>
      <c r="F10" s="1865"/>
      <c r="G10" s="1865" t="str">
        <f>'1. T1 INVESTOINTISUUN.'!E15</f>
        <v>Ennuste 1</v>
      </c>
      <c r="H10" s="1865" t="str">
        <f>'1. T1 INVESTOINTISUUN.'!F15</f>
        <v>Ennuste 2</v>
      </c>
      <c r="I10" s="1865" t="str">
        <f>'1. T1 INVESTOINTISUUN.'!G15</f>
        <v>Ennuste 3</v>
      </c>
      <c r="J10" s="1865" t="s">
        <v>188</v>
      </c>
      <c r="L10" s="2097" t="s">
        <v>203</v>
      </c>
      <c r="M10" s="2098"/>
      <c r="N10" s="2098"/>
      <c r="O10" s="2098"/>
      <c r="P10" s="1885"/>
      <c r="Q10" s="1886" t="str">
        <f t="shared" ref="Q10:S11" si="0">G10</f>
        <v>Ennuste 1</v>
      </c>
      <c r="R10" s="1886" t="str">
        <f t="shared" si="0"/>
        <v>Ennuste 2</v>
      </c>
      <c r="S10" s="1886" t="str">
        <f t="shared" si="0"/>
        <v>Ennuste 3</v>
      </c>
      <c r="T10" s="1886" t="s">
        <v>188</v>
      </c>
    </row>
    <row r="11" spans="1:20" ht="15.75" customHeight="1" x14ac:dyDescent="0.2">
      <c r="A11" s="2"/>
      <c r="B11" s="1866" t="s">
        <v>380</v>
      </c>
      <c r="C11" s="1088"/>
      <c r="D11" s="1088"/>
      <c r="E11" s="1089"/>
      <c r="F11" s="1090"/>
      <c r="G11" s="1091">
        <f>'4. E2 LIIKEVAIHTO'!E8</f>
        <v>2027</v>
      </c>
      <c r="H11" s="1091">
        <f>'4. E2 LIIKEVAIHTO'!F8</f>
        <v>2028</v>
      </c>
      <c r="I11" s="1091">
        <f>'4. E2 LIIKEVAIHTO'!G8</f>
        <v>2029</v>
      </c>
      <c r="J11" s="1091">
        <f>'4. E2 LIIKEVAIHTO'!H8</f>
        <v>2030</v>
      </c>
      <c r="L11" s="2099"/>
      <c r="M11" s="2100"/>
      <c r="N11" s="2100"/>
      <c r="O11" s="2100"/>
      <c r="P11" s="1080"/>
      <c r="Q11" s="1081">
        <f t="shared" si="0"/>
        <v>2027</v>
      </c>
      <c r="R11" s="1081">
        <f t="shared" si="0"/>
        <v>2028</v>
      </c>
      <c r="S11" s="1081">
        <f t="shared" si="0"/>
        <v>2029</v>
      </c>
      <c r="T11" s="1081">
        <f>J11</f>
        <v>2030</v>
      </c>
    </row>
    <row r="12" spans="1:20" ht="13.5" customHeight="1" x14ac:dyDescent="0.2">
      <c r="A12" s="53"/>
      <c r="B12" s="1867"/>
      <c r="C12" s="1092"/>
      <c r="D12" s="1092"/>
      <c r="E12" s="1093"/>
      <c r="F12" s="1094"/>
      <c r="G12" s="1095" t="s">
        <v>17</v>
      </c>
      <c r="H12" s="1095" t="s">
        <v>17</v>
      </c>
      <c r="I12" s="1095" t="s">
        <v>17</v>
      </c>
      <c r="J12" s="1095" t="s">
        <v>17</v>
      </c>
      <c r="L12" s="1887" t="s">
        <v>382</v>
      </c>
      <c r="M12" s="1888"/>
      <c r="N12" s="1888"/>
      <c r="O12" s="1888"/>
      <c r="P12" s="1889"/>
      <c r="Q12" s="1889"/>
      <c r="R12" s="1889"/>
      <c r="S12" s="1889"/>
      <c r="T12" s="1915"/>
    </row>
    <row r="13" spans="1:20" ht="13.5" customHeight="1" x14ac:dyDescent="0.2">
      <c r="B13" s="2101" t="s">
        <v>299</v>
      </c>
      <c r="C13" s="2036"/>
      <c r="D13" s="1859"/>
      <c r="E13" s="941"/>
      <c r="F13" s="1860"/>
      <c r="G13" s="942" t="s">
        <v>53</v>
      </c>
      <c r="H13" s="943"/>
      <c r="I13" s="942"/>
      <c r="J13" s="942"/>
      <c r="L13" s="1890" t="s">
        <v>204</v>
      </c>
      <c r="M13" s="982"/>
      <c r="N13" s="982"/>
      <c r="O13" s="983"/>
      <c r="P13" s="551"/>
      <c r="Q13" s="541">
        <f>'7. T2 TULOSSUUN.'!G11</f>
        <v>0</v>
      </c>
      <c r="R13" s="541">
        <f>'7. T2 TULOSSUUN.'!I11</f>
        <v>0</v>
      </c>
      <c r="S13" s="642">
        <f>'7. T2 TULOSSUUN.'!K11</f>
        <v>0</v>
      </c>
      <c r="T13" s="541">
        <f>'7. T2 TULOSSUUN.'!M11</f>
        <v>0</v>
      </c>
    </row>
    <row r="14" spans="1:20" ht="13.5" customHeight="1" x14ac:dyDescent="0.2">
      <c r="A14" s="53"/>
      <c r="B14" s="2101"/>
      <c r="C14" s="2036"/>
      <c r="F14" s="431"/>
      <c r="G14" s="915"/>
      <c r="H14" s="915"/>
      <c r="I14" s="915"/>
      <c r="J14" s="915"/>
      <c r="L14" s="1891" t="s">
        <v>205</v>
      </c>
      <c r="M14" s="984"/>
      <c r="N14" s="984"/>
      <c r="O14" s="985"/>
      <c r="P14" s="551"/>
      <c r="Q14" s="541">
        <f>IF('7. T2 TULOSSUUN.'!G33=0,0,Q13/'7. T2 TULOSSUUN.'!G33)</f>
        <v>0</v>
      </c>
      <c r="R14" s="541">
        <f>IF('7. T2 TULOSSUUN.'!I33=0,0,R13/'7. T2 TULOSSUUN.'!I33)</f>
        <v>0</v>
      </c>
      <c r="S14" s="642">
        <f>IF('7. T2 TULOSSUUN.'!K33=0,0,S13/'7. T2 TULOSSUUN.'!K33)</f>
        <v>0</v>
      </c>
      <c r="T14" s="541">
        <f>IF('7. T2 TULOSSUUN.'!M33=0,0,T13/'7. T2 TULOSSUUN.'!M33)</f>
        <v>0</v>
      </c>
    </row>
    <row r="15" spans="1:20" ht="13.5" customHeight="1" x14ac:dyDescent="0.2">
      <c r="B15" s="959" t="s">
        <v>2</v>
      </c>
      <c r="C15" s="295" t="s">
        <v>55</v>
      </c>
      <c r="D15" s="295"/>
      <c r="E15" s="296" t="s">
        <v>30</v>
      </c>
      <c r="F15" s="280"/>
      <c r="G15" s="538">
        <f>'7. T2 TULOSSUUN.'!G26+'7. T2 TULOSSUUN.'!G27-'7. T2 TULOSSUUN.'!G21</f>
        <v>0</v>
      </c>
      <c r="H15" s="538">
        <f>'7. T2 TULOSSUUN.'!I26+'7. T2 TULOSSUUN.'!I27-'7. T2 TULOSSUUN.'!I21</f>
        <v>0</v>
      </c>
      <c r="I15" s="538">
        <f>'7. T2 TULOSSUUN.'!K26+'7. T2 TULOSSUUN.'!K27-'7. T2 TULOSSUUN.'!K21</f>
        <v>0</v>
      </c>
      <c r="J15" s="538">
        <f>'7. T2 TULOSSUUN.'!M26+'7. T2 TULOSSUUN.'!M27-'7. T2 TULOSSUUN.'!M21</f>
        <v>0</v>
      </c>
      <c r="L15" s="1891" t="s">
        <v>206</v>
      </c>
      <c r="M15" s="984"/>
      <c r="N15" s="984"/>
      <c r="O15" s="985"/>
      <c r="P15" s="558"/>
      <c r="Q15" s="299">
        <f>'7. T2 TULOSSUUN.'!G33</f>
        <v>1</v>
      </c>
      <c r="R15" s="299">
        <f>'7. T2 TULOSSUUN.'!I33</f>
        <v>1</v>
      </c>
      <c r="S15" s="992">
        <f>'7. T2 TULOSSUUN.'!K33</f>
        <v>1</v>
      </c>
      <c r="T15" s="299">
        <f>'7. T2 TULOSSUUN.'!M33</f>
        <v>1</v>
      </c>
    </row>
    <row r="16" spans="1:20" ht="13.5" customHeight="1" x14ac:dyDescent="0.2">
      <c r="A16" s="53"/>
      <c r="B16" s="959" t="s">
        <v>3</v>
      </c>
      <c r="C16" s="297" t="s">
        <v>391</v>
      </c>
      <c r="D16" s="297"/>
      <c r="E16" s="298" t="s">
        <v>30</v>
      </c>
      <c r="F16" s="546">
        <v>0</v>
      </c>
      <c r="G16" s="541">
        <f>'1. T1 INVESTOINTISUUN.'!E48+'1. T1 INVESTOINTISUUN.'!E49+'1. T1 INVESTOINTISUUN.'!E52</f>
        <v>0</v>
      </c>
      <c r="H16" s="541">
        <f>'1. T1 INVESTOINTISUUN.'!F48+'1. T1 INVESTOINTISUUN.'!F49+'1. T1 INVESTOINTISUUN.'!F52</f>
        <v>0</v>
      </c>
      <c r="I16" s="541">
        <f>'1. T1 INVESTOINTISUUN.'!G48+'1. T1 INVESTOINTISUUN.'!G49+'1. T1 INVESTOINTISUUN.'!G52</f>
        <v>0</v>
      </c>
      <c r="J16" s="541">
        <f>'1. T1 INVESTOINTISUUN.'!H48+'1. T1 INVESTOINTISUUN.'!H49+'1. T1 INVESTOINTISUUN.'!H52</f>
        <v>0</v>
      </c>
      <c r="L16" s="2102" t="s">
        <v>209</v>
      </c>
      <c r="M16" s="2103"/>
      <c r="N16" s="2103"/>
      <c r="O16" s="2104"/>
      <c r="P16" s="551"/>
      <c r="Q16" s="541">
        <f>Q110</f>
        <v>0</v>
      </c>
      <c r="R16" s="541">
        <f>R110</f>
        <v>0</v>
      </c>
      <c r="S16" s="541">
        <f>S110</f>
        <v>0</v>
      </c>
      <c r="T16" s="541">
        <f>T110</f>
        <v>0</v>
      </c>
    </row>
    <row r="17" spans="1:24" ht="13.5" customHeight="1" x14ac:dyDescent="0.2">
      <c r="A17" s="2"/>
      <c r="B17" s="959" t="s">
        <v>4</v>
      </c>
      <c r="C17" s="2105" t="s">
        <v>393</v>
      </c>
      <c r="D17" s="2105"/>
      <c r="E17" s="298" t="s">
        <v>30</v>
      </c>
      <c r="F17" s="546"/>
      <c r="G17" s="541">
        <f>'2. T7 LAINAT'!F32+'6. T3 TASE'!G73</f>
        <v>0</v>
      </c>
      <c r="H17" s="541">
        <f>'2. T7 LAINAT'!I32+IF('6. T3 TASE'!H73-'6. T3 TASE'!G73&gt;0,'6. T3 TASE'!H73-'6. T3 TASE'!G73,0)+IF('6. T3 TASE'!H71-'6. T3 TASE'!G71&gt;0,'6. T3 TASE'!H71-'6. T3 TASE'!G71,0)</f>
        <v>0</v>
      </c>
      <c r="I17" s="541">
        <f>'2. T7 LAINAT'!L32+IF('6. T3 TASE'!I73-'6. T3 TASE'!H73&gt;0,'6. T3 TASE'!I73-'6. T3 TASE'!H73,0)+IF('6. T3 TASE'!I71-'6. T3 TASE'!H71&gt;0,'6. T3 TASE'!I71-'6. T3 TASE'!H71,0)</f>
        <v>0</v>
      </c>
      <c r="J17" s="541">
        <f>'2. T7 LAINAT'!O32+IF('6. T3 TASE'!J73-'6. T3 TASE'!I73&gt;0,'6. T3 TASE'!J73-'6. T3 TASE'!I73,0)+IF('6. T3 TASE'!J71-'6. T3 TASE'!I71&gt;0,'6. T3 TASE'!J71-'6. T3 TASE'!I71,0)</f>
        <v>0</v>
      </c>
      <c r="L17" s="1892" t="s">
        <v>383</v>
      </c>
      <c r="M17" s="1666"/>
      <c r="N17" s="1666"/>
      <c r="O17" s="2106"/>
      <c r="P17" s="2106"/>
      <c r="Q17" s="2106"/>
      <c r="R17" s="2106"/>
      <c r="S17" s="1666"/>
      <c r="T17" s="1893"/>
    </row>
    <row r="18" spans="1:24" ht="13.5" customHeight="1" x14ac:dyDescent="0.2">
      <c r="B18" s="959" t="s">
        <v>5</v>
      </c>
      <c r="C18" s="297" t="s">
        <v>167</v>
      </c>
      <c r="D18" s="297"/>
      <c r="E18" s="298" t="s">
        <v>30</v>
      </c>
      <c r="F18" s="546">
        <v>0</v>
      </c>
      <c r="G18" s="541">
        <f>'2. T7 LAINAT'!F34</f>
        <v>0</v>
      </c>
      <c r="H18" s="541">
        <f>'2. T7 LAINAT'!I35</f>
        <v>0</v>
      </c>
      <c r="I18" s="541">
        <f>'2. T7 LAINAT'!L36</f>
        <v>0</v>
      </c>
      <c r="J18" s="541">
        <f>'2. T7 LAINAT'!O38</f>
        <v>0</v>
      </c>
      <c r="L18" s="2084" t="s">
        <v>211</v>
      </c>
      <c r="M18" s="2085"/>
      <c r="N18" s="2085"/>
      <c r="O18" s="2086"/>
      <c r="P18" s="551"/>
      <c r="Q18" s="541">
        <f>'7. T2 TULOSSUUN.'!G20</f>
        <v>0</v>
      </c>
      <c r="R18" s="541">
        <f>'7. T2 TULOSSUUN.'!I20</f>
        <v>0</v>
      </c>
      <c r="S18" s="642">
        <f>'7. T2 TULOSSUUN.'!K20</f>
        <v>0</v>
      </c>
      <c r="T18" s="541">
        <f>'7. T2 TULOSSUUN.'!M20</f>
        <v>0</v>
      </c>
      <c r="X18">
        <v>0</v>
      </c>
    </row>
    <row r="19" spans="1:24" ht="13.5" customHeight="1" x14ac:dyDescent="0.2">
      <c r="B19" s="959" t="s">
        <v>6</v>
      </c>
      <c r="C19" s="409" t="s">
        <v>74</v>
      </c>
      <c r="D19" s="409"/>
      <c r="E19" s="298" t="s">
        <v>30</v>
      </c>
      <c r="F19" s="546">
        <v>0</v>
      </c>
      <c r="G19" s="541">
        <f>'6. T3 TASE'!G77+'6. T3 TASE'!G78</f>
        <v>0</v>
      </c>
      <c r="H19" s="541">
        <f>IF('6. T3 TASE'!H77-'6. T3 TASE'!G77&gt;0,'6. T3 TASE'!H77-'6. T3 TASE'!G77,0)+IF('6. T3 TASE'!H78-'6. T3 TASE'!G78&gt;0,'6. T3 TASE'!H78-'6. T3 TASE'!G78,0)</f>
        <v>0</v>
      </c>
      <c r="I19" s="541">
        <f>IF('6. T3 TASE'!I77-'6. T3 TASE'!H77&gt;0,'6. T3 TASE'!I77-'6. T3 TASE'!H77,0)+IF('6. T3 TASE'!I78-'6. T3 TASE'!H78&gt;0,'6. T3 TASE'!I78-'6. T3 TASE'!H78,0)</f>
        <v>0</v>
      </c>
      <c r="J19" s="541">
        <f>IF('6. T3 TASE'!J77-'6. T3 TASE'!I77&gt;0,'6. T3 TASE'!J77-'6. T3 TASE'!I77,0)+IF('6. T3 TASE'!J78-'6. T3 TASE'!I78&gt;0,'6. T3 TASE'!J78-'6. T3 TASE'!I78,0)</f>
        <v>0</v>
      </c>
      <c r="L19" s="2087" t="s">
        <v>210</v>
      </c>
      <c r="M19" s="2088"/>
      <c r="N19" s="2088"/>
      <c r="O19" s="2089"/>
      <c r="P19" s="557"/>
      <c r="Q19" s="776">
        <f>'7. T2 TULOSSUUN.'!H20/100</f>
        <v>0</v>
      </c>
      <c r="R19" s="776">
        <f>'7. T2 TULOSSUUN.'!J20/100</f>
        <v>0</v>
      </c>
      <c r="S19" s="993">
        <f>'7. T2 TULOSSUUN.'!L20/100</f>
        <v>0</v>
      </c>
      <c r="T19" s="776">
        <f>'7. T2 TULOSSUUN.'!N20/100</f>
        <v>0</v>
      </c>
    </row>
    <row r="20" spans="1:24" ht="24" customHeight="1" x14ac:dyDescent="0.2">
      <c r="B20" s="959" t="s">
        <v>7</v>
      </c>
      <c r="C20" s="2107" t="s">
        <v>793</v>
      </c>
      <c r="D20" s="2107"/>
      <c r="E20" s="298" t="s">
        <v>30</v>
      </c>
      <c r="F20" s="547"/>
      <c r="G20" s="541">
        <f>'AT1 Avustus, alv'!E50+'1. T1 INVESTOINTISUUN.'!E51+'6. T3 TASE'!G36+'6. T3 TASE'!G16+'6. T3 TASE'!G21+'6. T3 TASE'!G24+'6. T3 TASE'!G28+'6. T3 TASE'!G32</f>
        <v>0</v>
      </c>
      <c r="H20" s="541">
        <f>'AT1 Avustus, alv'!F50+'1. T1 INVESTOINTISUUN.'!F51+'6. T3 TASE'!H36+'6. T3 TASE'!H16+'6. T3 TASE'!H21+'6. T3 TASE'!H24+'6. T3 TASE'!H28+'6. T3 TASE'!H32</f>
        <v>0</v>
      </c>
      <c r="I20" s="541">
        <f>'AT1 Avustus, alv'!G50+'1. T1 INVESTOINTISUUN.'!G51+'6. T3 TASE'!I36+'6. T3 TASE'!I16+'6. T3 TASE'!I21+'6. T3 TASE'!I24+'6. T3 TASE'!I28+'6. T3 TASE'!I32</f>
        <v>0</v>
      </c>
      <c r="J20" s="541">
        <f>'AT1 Avustus, alv'!H50+'1. T1 INVESTOINTISUUN.'!H51+'6. T3 TASE'!J36+'6. T3 TASE'!J16+'6. T3 TASE'!J21+'6. T3 TASE'!J24+'6. T3 TASE'!J28+'6. T3 TASE'!J32</f>
        <v>0</v>
      </c>
      <c r="L20" s="1894" t="s">
        <v>369</v>
      </c>
      <c r="P20" s="557"/>
      <c r="Q20" s="541">
        <f>'7. T2 TULOSSUUN.'!G22</f>
        <v>0</v>
      </c>
      <c r="R20" s="541">
        <f>'7. T2 TULOSSUUN.'!I22</f>
        <v>0</v>
      </c>
      <c r="S20" s="642">
        <f>'7. T2 TULOSSUUN.'!K22</f>
        <v>0</v>
      </c>
      <c r="T20" s="541">
        <f>'7. T2 TULOSSUUN.'!M22</f>
        <v>0</v>
      </c>
      <c r="X20">
        <v>0</v>
      </c>
    </row>
    <row r="21" spans="1:24" ht="13.5" customHeight="1" x14ac:dyDescent="0.2">
      <c r="B21" s="1868" t="s">
        <v>8</v>
      </c>
      <c r="C21" s="1812" t="s">
        <v>18</v>
      </c>
      <c r="D21" s="1812"/>
      <c r="E21" s="1869"/>
      <c r="F21" s="561"/>
      <c r="G21" s="749">
        <f>SUM(G15:G20)</f>
        <v>0</v>
      </c>
      <c r="H21" s="749">
        <f>SUM(H15:H20)</f>
        <v>0</v>
      </c>
      <c r="I21" s="749">
        <f>SUM(I15:I20)</f>
        <v>0</v>
      </c>
      <c r="J21" s="921">
        <f>SUM(J15:J20)</f>
        <v>0</v>
      </c>
      <c r="L21" s="2087" t="s">
        <v>370</v>
      </c>
      <c r="M21" s="2088"/>
      <c r="N21" s="2088"/>
      <c r="O21" s="2089"/>
      <c r="P21" s="557"/>
      <c r="Q21" s="776">
        <f>'7. T2 TULOSSUUN.'!H22/100</f>
        <v>0</v>
      </c>
      <c r="R21" s="776">
        <f>'7. T2 TULOSSUUN.'!J22/100</f>
        <v>0</v>
      </c>
      <c r="S21" s="993">
        <f>'7. T2 TULOSSUUN.'!L22/100</f>
        <v>0</v>
      </c>
      <c r="T21" s="776">
        <f>'7. T2 TULOSSUUN.'!N22/100</f>
        <v>0</v>
      </c>
    </row>
    <row r="22" spans="1:24" ht="13.5" customHeight="1" x14ac:dyDescent="0.2">
      <c r="B22" s="219"/>
      <c r="C22" s="69"/>
      <c r="D22" s="69"/>
      <c r="E22" s="448"/>
      <c r="F22" s="449"/>
      <c r="G22" s="916"/>
      <c r="H22" s="916"/>
      <c r="I22" s="916"/>
      <c r="J22" s="916"/>
      <c r="L22" s="1895"/>
      <c r="M22" s="1732" t="s">
        <v>794</v>
      </c>
      <c r="N22" s="775"/>
      <c r="P22" s="557"/>
      <c r="Q22" s="940">
        <f>IF(Q21=0,0,IF(Q21&gt;10%,"Hyvä",IF(Q21&lt;5%,"Heikko","Tyydyttävä")))</f>
        <v>0</v>
      </c>
      <c r="R22" s="940">
        <f>IF(R21=0,0,IF(R21&gt;10%,"Hyvä",IF(R21&lt;5%,"Heikko","Tyydyttävä")))</f>
        <v>0</v>
      </c>
      <c r="S22" s="994">
        <f>IF(S21=0,0,IF(S21&gt;10%,"Hyvä",IF(S21&lt;5%,"Heikko","Tyydyttävä")))</f>
        <v>0</v>
      </c>
      <c r="T22" s="940">
        <f>IF(T21=0,0,IF(T21&gt;10%,"Hyvä",IF(T21&lt;5%,"Heikko","Tyydyttävä")))</f>
        <v>0</v>
      </c>
    </row>
    <row r="23" spans="1:24" ht="13.5" customHeight="1" x14ac:dyDescent="0.2">
      <c r="B23" s="1870" t="s">
        <v>300</v>
      </c>
      <c r="C23" s="1871"/>
      <c r="D23" s="1871"/>
      <c r="E23" s="1872"/>
      <c r="F23" s="567"/>
      <c r="G23" s="928"/>
      <c r="H23" s="928"/>
      <c r="I23" s="928"/>
      <c r="J23" s="928"/>
      <c r="L23" s="1891" t="s">
        <v>212</v>
      </c>
      <c r="M23" s="984"/>
      <c r="N23" s="984"/>
      <c r="O23" s="985"/>
      <c r="P23" s="551"/>
      <c r="Q23" s="541">
        <f>'7. T2 TULOSSUUN.'!G31</f>
        <v>0</v>
      </c>
      <c r="R23" s="541">
        <f>'7. T2 TULOSSUUN.'!I31</f>
        <v>0</v>
      </c>
      <c r="S23" s="642">
        <f>'7. T2 TULOSSUUN.'!K31</f>
        <v>0</v>
      </c>
      <c r="T23" s="541">
        <f>'7. T2 TULOSSUUN.'!M31</f>
        <v>0</v>
      </c>
    </row>
    <row r="24" spans="1:24" ht="13.5" customHeight="1" x14ac:dyDescent="0.2">
      <c r="B24" s="959" t="s">
        <v>9</v>
      </c>
      <c r="C24" s="164" t="s">
        <v>79</v>
      </c>
      <c r="D24" s="164"/>
      <c r="E24" s="301" t="s">
        <v>30</v>
      </c>
      <c r="F24" s="547"/>
      <c r="G24" s="541">
        <f>'AT1 Avustus, alv'!E4</f>
        <v>0</v>
      </c>
      <c r="H24" s="541">
        <f>'AT1 Avustus, alv'!F4</f>
        <v>0</v>
      </c>
      <c r="I24" s="541">
        <f>'AT1 Avustus, alv'!G4</f>
        <v>0</v>
      </c>
      <c r="J24" s="541">
        <f>'AT1 Avustus, alv'!H4</f>
        <v>0</v>
      </c>
      <c r="L24" s="1891" t="s">
        <v>213</v>
      </c>
      <c r="M24" s="984"/>
      <c r="N24" s="984"/>
      <c r="O24" s="985"/>
      <c r="P24" s="553"/>
      <c r="Q24" s="776">
        <f>'7. T2 TULOSSUUN.'!H31/100</f>
        <v>0</v>
      </c>
      <c r="R24" s="776">
        <f>'7. T2 TULOSSUUN.'!J31/100</f>
        <v>0</v>
      </c>
      <c r="S24" s="993">
        <f>'7. T2 TULOSSUUN.'!L31/100</f>
        <v>0</v>
      </c>
      <c r="T24" s="776">
        <f>'7. T2 TULOSSUUN.'!N31/100</f>
        <v>0</v>
      </c>
    </row>
    <row r="25" spans="1:24" ht="13.5" customHeight="1" x14ac:dyDescent="0.2">
      <c r="B25" s="959" t="s">
        <v>10</v>
      </c>
      <c r="C25" s="428" t="s">
        <v>80</v>
      </c>
      <c r="D25" s="428"/>
      <c r="E25" s="433" t="s">
        <v>30</v>
      </c>
      <c r="F25" s="547"/>
      <c r="G25" s="541">
        <f>'AT1 Avustus, alv'!E10+'AT1 Avustus, alv'!E15</f>
        <v>0</v>
      </c>
      <c r="H25" s="541">
        <f>'AT1 Avustus, alv'!F10+'AT1 Avustus, alv'!F15</f>
        <v>0</v>
      </c>
      <c r="I25" s="541">
        <f>'AT1 Avustus, alv'!G10+'AT1 Avustus, alv'!G15</f>
        <v>0</v>
      </c>
      <c r="J25" s="541">
        <f>'AT1 Avustus, alv'!H10+'AT1 Avustus, alv'!H15</f>
        <v>0</v>
      </c>
      <c r="L25" s="2087" t="s">
        <v>410</v>
      </c>
      <c r="M25" s="2088"/>
      <c r="N25" s="2088"/>
      <c r="O25" s="2089"/>
      <c r="P25" s="553"/>
      <c r="Q25" s="776">
        <f>IF(Q16=0,0,(Q102-'7. T2 TULOSSUUN.'!G25-'7. T2 TULOSSUUN.'!G27)/'5. T4 RAHOITUSSUUN.'!Q110)</f>
        <v>0</v>
      </c>
      <c r="R25" s="776">
        <f>IF(R16=0,0,(R102-'7. T2 TULOSSUUN.'!I25-'7. T2 TULOSSUUN.'!I27)/'5. T4 RAHOITUSSUUN.'!R110)</f>
        <v>0</v>
      </c>
      <c r="S25" s="993">
        <f>IF(S16=0,0,(S102-'7. T2 TULOSSUUN.'!K25-'7. T2 TULOSSUUN.'!K27)/'5. T4 RAHOITUSSUUN.'!S110)</f>
        <v>0</v>
      </c>
      <c r="T25" s="776">
        <f>IF(T16=0,0,(T102-'7. T2 TULOSSUUN.'!M25-'7. T2 TULOSSUUN.'!M27)/'5. T4 RAHOITUSSUUN.'!T110)</f>
        <v>0</v>
      </c>
    </row>
    <row r="26" spans="1:24" ht="13.5" customHeight="1" x14ac:dyDescent="0.2">
      <c r="B26" s="959" t="s">
        <v>11</v>
      </c>
      <c r="C26" s="428" t="s">
        <v>57</v>
      </c>
      <c r="D26" s="428"/>
      <c r="E26" s="433" t="s">
        <v>30</v>
      </c>
      <c r="F26" s="547"/>
      <c r="G26" s="541">
        <f>'AT1 Avustus, alv'!E23+'AT1 Avustus, alv'!E30</f>
        <v>0</v>
      </c>
      <c r="H26" s="541">
        <f>'AT1 Avustus, alv'!F23+'AT1 Avustus, alv'!F30</f>
        <v>0</v>
      </c>
      <c r="I26" s="541">
        <f>'AT1 Avustus, alv'!G23+'AT1 Avustus, alv'!G30</f>
        <v>0</v>
      </c>
      <c r="J26" s="541">
        <f>'AT1 Avustus, alv'!H23+'AT1 Avustus, alv'!H30</f>
        <v>0</v>
      </c>
      <c r="L26" s="1892" t="s">
        <v>384</v>
      </c>
      <c r="M26" s="1666"/>
      <c r="N26" s="1896"/>
      <c r="O26" s="1896"/>
      <c r="P26" s="1896"/>
      <c r="Q26" s="1897"/>
      <c r="R26" s="1897"/>
      <c r="S26" s="1897"/>
      <c r="T26" s="1898"/>
    </row>
    <row r="27" spans="1:24" ht="13.5" customHeight="1" x14ac:dyDescent="0.2">
      <c r="B27" s="959" t="s">
        <v>109</v>
      </c>
      <c r="C27" s="428" t="s">
        <v>61</v>
      </c>
      <c r="D27" s="428"/>
      <c r="E27" s="433" t="s">
        <v>30</v>
      </c>
      <c r="F27" s="547"/>
      <c r="G27" s="541">
        <f>'AT1 Avustus, alv'!E36+'AT1 Avustus, alv'!E43</f>
        <v>0</v>
      </c>
      <c r="H27" s="541">
        <f>'AT1 Avustus, alv'!F36+'AT1 Avustus, alv'!F43</f>
        <v>0</v>
      </c>
      <c r="I27" s="541">
        <f>'AT1 Avustus, alv'!G36+'AT1 Avustus, alv'!G43</f>
        <v>0</v>
      </c>
      <c r="J27" s="541">
        <f>'AT1 Avustus, alv'!H36+'AT1 Avustus, alv'!H43</f>
        <v>0</v>
      </c>
      <c r="L27" s="2084" t="s">
        <v>215</v>
      </c>
      <c r="M27" s="2085"/>
      <c r="N27" s="2085"/>
      <c r="O27" s="2086"/>
      <c r="P27" s="555"/>
      <c r="Q27" s="917">
        <f>IF('6. T3 TASE'!G74=0,0,('6. T3 TASE'!G48+'6. T3 TASE'!G49)/'6. T3 TASE'!G74)</f>
        <v>0</v>
      </c>
      <c r="R27" s="917">
        <f>IF('6. T3 TASE'!H74=0,0,('6. T3 TASE'!H48+'6. T3 TASE'!H49)/'6. T3 TASE'!H74)</f>
        <v>0</v>
      </c>
      <c r="S27" s="917">
        <f>IF('6. T3 TASE'!I74=0,0,('6. T3 TASE'!I48+'6. T3 TASE'!I49)/'6. T3 TASE'!I74)</f>
        <v>0</v>
      </c>
      <c r="T27" s="917">
        <f>IF('6. T3 TASE'!J74=0,0,('6. T3 TASE'!J48+'6. T3 TASE'!J49)/'6. T3 TASE'!J74)</f>
        <v>0</v>
      </c>
    </row>
    <row r="28" spans="1:24" ht="13.5" customHeight="1" x14ac:dyDescent="0.2">
      <c r="B28" s="959" t="s">
        <v>110</v>
      </c>
      <c r="C28" s="428" t="s">
        <v>374</v>
      </c>
      <c r="D28" s="428"/>
      <c r="E28" s="434" t="s">
        <v>41</v>
      </c>
      <c r="F28" s="547"/>
      <c r="G28" s="541">
        <f>G59</f>
        <v>0</v>
      </c>
      <c r="H28" s="541">
        <f>H60</f>
        <v>0</v>
      </c>
      <c r="I28" s="541">
        <f>I60</f>
        <v>0</v>
      </c>
      <c r="J28" s="541">
        <f>J60</f>
        <v>0</v>
      </c>
      <c r="L28" s="1899"/>
      <c r="M28" s="1733" t="s">
        <v>794</v>
      </c>
      <c r="N28" s="717"/>
      <c r="O28" s="718"/>
      <c r="P28" s="554"/>
      <c r="Q28" s="940">
        <f>IF('6. T3 TASE'!G74=0,0,IF(Q27&gt;1,"Hyvä",IF(Q27&lt;0.5,"Heikko","Tyydyttävä")))</f>
        <v>0</v>
      </c>
      <c r="R28" s="940">
        <f>IF('6. T3 TASE'!H74=0,0,IF(R27&gt;1,"Hyvä",IF(R27&lt;0.5,"Heikko","Tyydyttävä")))</f>
        <v>0</v>
      </c>
      <c r="S28" s="994">
        <f>IF('6. T3 TASE'!I74=0,0,IF(S27&gt;1,"Hyvä",IF(S27&lt;0.5,"Heikko","Tyydyttävä")))</f>
        <v>0</v>
      </c>
      <c r="T28" s="940">
        <f>IF('6. T3 TASE'!J74=0,0,IF(T27&gt;1,"Hyvä",IF(T27&lt;0.5,"Heikko","Tyydyttävä")))</f>
        <v>0</v>
      </c>
      <c r="V28" s="947"/>
    </row>
    <row r="29" spans="1:24" ht="13.5" customHeight="1" x14ac:dyDescent="0.2">
      <c r="B29" s="959" t="s">
        <v>293</v>
      </c>
      <c r="C29" s="428" t="s">
        <v>63</v>
      </c>
      <c r="D29" s="428"/>
      <c r="E29" s="433" t="s">
        <v>30</v>
      </c>
      <c r="F29" s="546"/>
      <c r="G29" s="541">
        <f>'6. T3 TASE'!G48</f>
        <v>0</v>
      </c>
      <c r="H29" s="541">
        <f>'6. T3 TASE'!H48-'6. T3 TASE'!G48</f>
        <v>0</v>
      </c>
      <c r="I29" s="541">
        <f>'6. T3 TASE'!I48-'6. T3 TASE'!H48</f>
        <v>0</v>
      </c>
      <c r="J29" s="541">
        <f>'6. T3 TASE'!J48-'6. T3 TASE'!I48</f>
        <v>0</v>
      </c>
      <c r="L29" s="2087" t="s">
        <v>216</v>
      </c>
      <c r="M29" s="2088"/>
      <c r="N29" s="2088"/>
      <c r="O29" s="2089"/>
      <c r="P29" s="556"/>
      <c r="Q29" s="917">
        <f>IF('6. T3 TASE'!G74=0,0,('6. T3 TASE'!G39+'6. T3 TASE'!G49+'6. T3 TASE'!G48)/'6. T3 TASE'!G74)</f>
        <v>0</v>
      </c>
      <c r="R29" s="917">
        <f>IF('6. T3 TASE'!H74=0,0,('6. T3 TASE'!H39+'6. T3 TASE'!H49+'6. T3 TASE'!H48)/'6. T3 TASE'!H74)</f>
        <v>0</v>
      </c>
      <c r="S29" s="917">
        <f>IF('6. T3 TASE'!I74=0,0,('6. T3 TASE'!I39+'6. T3 TASE'!I49+'6. T3 TASE'!I48)/'6. T3 TASE'!I74)</f>
        <v>0</v>
      </c>
      <c r="T29" s="917">
        <f>IF('6. T3 TASE'!J74=0,0,('6. T3 TASE'!J39+'6. T3 TASE'!J49+'6. T3 TASE'!J48)/'6. T3 TASE'!J74)</f>
        <v>0</v>
      </c>
    </row>
    <row r="30" spans="1:24" ht="13.5" customHeight="1" x14ac:dyDescent="0.2">
      <c r="B30" s="959" t="s">
        <v>111</v>
      </c>
      <c r="C30" s="428" t="s">
        <v>325</v>
      </c>
      <c r="D30" s="428"/>
      <c r="E30" s="433" t="s">
        <v>30</v>
      </c>
      <c r="F30" s="546"/>
      <c r="G30" s="541">
        <f>'2. T7 LAINAT'!G32</f>
        <v>0</v>
      </c>
      <c r="H30" s="541">
        <f>'2. T7 LAINAT'!J32</f>
        <v>0</v>
      </c>
      <c r="I30" s="541">
        <f>'2. T7 LAINAT'!M32</f>
        <v>0</v>
      </c>
      <c r="J30" s="541">
        <f>'2. T7 LAINAT'!P32</f>
        <v>0</v>
      </c>
      <c r="L30" s="1900"/>
      <c r="M30" s="1733" t="s">
        <v>794</v>
      </c>
      <c r="N30" s="717"/>
      <c r="O30" s="718"/>
      <c r="P30" s="554"/>
      <c r="Q30" s="940">
        <f>IF('6. T3 TASE'!G74=0,0,IF(Q29&gt;2,"Hyvä",IF(Q29&lt;1,"Heikko","Tyydyttävä")))</f>
        <v>0</v>
      </c>
      <c r="R30" s="940">
        <f>IF('6. T3 TASE'!H74=0,0,IF(R29&gt;2,"Hyvä",IF(R29&lt;1,"Heikko","Tyydyttävä")))</f>
        <v>0</v>
      </c>
      <c r="S30" s="994">
        <f>IF('6. T3 TASE'!I74=0,0,IF(S29&gt;2,"Hyvä",IF(S29&lt;1,"Heikko","Tyydyttävä")))</f>
        <v>0</v>
      </c>
      <c r="T30" s="940">
        <f>IF('6. T3 TASE'!J74=0,0,IF(T29&gt;2,"Hyvä",IF(T29&lt;1,"Heikko","Tyydyttävä")))</f>
        <v>0</v>
      </c>
    </row>
    <row r="31" spans="1:24" ht="13.5" customHeight="1" x14ac:dyDescent="0.2">
      <c r="B31" s="959" t="s">
        <v>112</v>
      </c>
      <c r="C31" s="428" t="s">
        <v>319</v>
      </c>
      <c r="D31" s="428"/>
      <c r="E31" s="433" t="s">
        <v>30</v>
      </c>
      <c r="F31" s="546"/>
      <c r="G31" s="1259">
        <v>0</v>
      </c>
      <c r="H31" s="541">
        <f>-IF('6. T3 TASE'!H61-'6. T3 TASE'!G61&lt;0,'6. T3 TASE'!H61-'6. T3 TASE'!G61,0)</f>
        <v>0</v>
      </c>
      <c r="I31" s="541">
        <f>-IF('6. T3 TASE'!I61-'6. T3 TASE'!H61&lt;0,'6. T3 TASE'!I61-'6. T3 TASE'!H61,0)</f>
        <v>0</v>
      </c>
      <c r="J31" s="541">
        <f>-IF('6. T3 TASE'!J61-'6. T3 TASE'!I61&lt;0,'6. T3 TASE'!J61-'6. T3 TASE'!I61,0)</f>
        <v>0</v>
      </c>
      <c r="L31" s="2087" t="s">
        <v>491</v>
      </c>
      <c r="M31" s="2088"/>
      <c r="N31" s="2088"/>
      <c r="O31" s="2089"/>
      <c r="P31" s="555"/>
      <c r="Q31" s="917">
        <f>IF(G15=0,0,('AT2 Lainat, alv'!O24)/'5. T4 RAHOITUSSUUN.'!G15)</f>
        <v>0</v>
      </c>
      <c r="R31" s="917">
        <f>IF(H15=0,0,('AT2 Lainat, alv'!U24)/'5. T4 RAHOITUSSUUN.'!H15)</f>
        <v>0</v>
      </c>
      <c r="S31" s="995">
        <f>IF(I15=0,0,('AT2 Lainat, alv'!AA24)/'5. T4 RAHOITUSSUUN.'!I15)</f>
        <v>0</v>
      </c>
      <c r="T31" s="917">
        <f>IF(J15=0,0,('AT2 Lainat, alv'!AG24)/'5. T4 RAHOITUSSUUN.'!J15)</f>
        <v>0</v>
      </c>
    </row>
    <row r="32" spans="1:24" ht="13.5" customHeight="1" x14ac:dyDescent="0.2">
      <c r="B32" s="959" t="s">
        <v>113</v>
      </c>
      <c r="C32" s="428" t="s">
        <v>320</v>
      </c>
      <c r="D32" s="428"/>
      <c r="E32" s="433" t="s">
        <v>30</v>
      </c>
      <c r="F32" s="546"/>
      <c r="G32" s="1259"/>
      <c r="H32" s="541">
        <f>-IF('6. T3 TASE'!H69-'6. T3 TASE'!G69&lt;0,'6. T3 TASE'!H69-'6. T3 TASE'!G69,0)</f>
        <v>0</v>
      </c>
      <c r="I32" s="541">
        <f>-IF('6. T3 TASE'!I69-'6. T3 TASE'!H69&lt;0,'6. T3 TASE'!I69-'6. T3 TASE'!H69,0)</f>
        <v>0</v>
      </c>
      <c r="J32" s="541">
        <f>-IF('6. T3 TASE'!J69-'6. T3 TASE'!I69&lt;0,'6. T3 TASE'!J69-'6. T3 TASE'!I69,0)</f>
        <v>0</v>
      </c>
      <c r="L32" s="2087" t="s">
        <v>222</v>
      </c>
      <c r="M32" s="2088"/>
      <c r="N32" s="2088"/>
      <c r="O32" s="2089"/>
      <c r="P32" s="556"/>
      <c r="Q32" s="917">
        <f>IF(-'7. T2 TULOSSUUN.'!G25+'2. T7 LAINAT'!G48=0,0,(G15-'7. T2 TULOSSUUN.'!G25)/(-'7. T2 TULOSSUUN.'!G25+'2. T7 LAINAT'!G32))</f>
        <v>0</v>
      </c>
      <c r="R32" s="917">
        <f>IF(-'7. T2 TULOSSUUN.'!I25+'2. T7 LAINAT'!J32=0,0,(H15-'7. T2 TULOSSUUN.'!I25)/(-'7. T2 TULOSSUUN.'!I25+'2. T7 LAINAT'!J32))</f>
        <v>0</v>
      </c>
      <c r="S32" s="995">
        <f>IF(-'7. T2 TULOSSUUN.'!K25+'2. T7 LAINAT'!M32=0,0,(I15-'7. T2 TULOSSUUN.'!K25)/(-'7. T2 TULOSSUUN.'!K25+'2. T7 LAINAT'!M32))</f>
        <v>0</v>
      </c>
      <c r="T32" s="917">
        <f>IF(-'7. T2 TULOSSUUN.'!M25+'2. T7 LAINAT'!P32=0,0,(J15-'7. T2 TULOSSUUN.'!M25)/(-'7. T2 TULOSSUUN.'!M25+'2. T7 LAINAT'!P32))</f>
        <v>0</v>
      </c>
    </row>
    <row r="33" spans="2:25" ht="13.5" customHeight="1" x14ac:dyDescent="0.2">
      <c r="B33" s="959" t="s">
        <v>114</v>
      </c>
      <c r="C33" s="428" t="s">
        <v>342</v>
      </c>
      <c r="D33" s="428"/>
      <c r="E33" s="433" t="s">
        <v>30</v>
      </c>
      <c r="F33" s="546"/>
      <c r="G33" s="1259"/>
      <c r="H33" s="541">
        <f>-IF('6. T3 TASE'!H71-'6. T3 TASE'!G71&lt;0,'6. T3 TASE'!H71-'6. T3 TASE'!G71,0)</f>
        <v>0</v>
      </c>
      <c r="I33" s="541">
        <f>-IF('6. T3 TASE'!I71-'6. T3 TASE'!H71&lt;0,'6. T3 TASE'!I71-'6. T3 TASE'!H71,0)</f>
        <v>0</v>
      </c>
      <c r="J33" s="541">
        <f>-IF('6. T3 TASE'!J71-'6. T3 TASE'!I71&lt;0,'6. T3 TASE'!J71-'6. T3 TASE'!I71,0)</f>
        <v>0</v>
      </c>
      <c r="L33" s="1900"/>
      <c r="M33" s="1733" t="s">
        <v>794</v>
      </c>
      <c r="N33" s="717"/>
      <c r="O33" s="718"/>
      <c r="P33" s="554"/>
      <c r="Q33" s="940">
        <f>IF('7. T2 TULOSSUUN.'!G25+'2. T7 LAINAT'!G32=0,0,IF(Q32&gt;2,"Hyvä",IF(Q32&lt;1,"Heikko","Tyydyttävä")))</f>
        <v>0</v>
      </c>
      <c r="R33" s="940">
        <f>IF('7. T2 TULOSSUUN.'!I25+'2. T7 LAINAT'!J32=0,0,IF(R32&gt;2,"Hyvä",IF(R32&lt;1,"Heikko","Tyydyttävä")))</f>
        <v>0</v>
      </c>
      <c r="S33" s="994">
        <f>IF('7. T2 TULOSSUUN.'!K25+'2. T7 LAINAT'!M32=0,0,IF(S32&gt;2,"Hyvä",IF(S32&lt;1,"Heikko","Tyydyttävä")))</f>
        <v>0</v>
      </c>
      <c r="T33" s="940">
        <f>IF('7. T2 TULOSSUUN.'!M25+'2. T7 LAINAT'!P32=0,0,IF(T32&gt;2,"Hyvä",IF(T32&lt;1,"Heikko","Tyydyttävä")))</f>
        <v>0</v>
      </c>
    </row>
    <row r="34" spans="2:25" ht="12.75" customHeight="1" x14ac:dyDescent="0.2">
      <c r="B34" s="959" t="s">
        <v>115</v>
      </c>
      <c r="C34" s="2108" t="s">
        <v>321</v>
      </c>
      <c r="D34" s="2108"/>
      <c r="E34" s="203" t="s">
        <v>30</v>
      </c>
      <c r="F34" s="547"/>
      <c r="G34" s="1259">
        <v>0</v>
      </c>
      <c r="H34" s="541">
        <f>-IF('6. T3 TASE'!H73-'6. T3 TASE'!G73&lt;0,'6. T3 TASE'!H73-'6. T3 TASE'!G73,0)</f>
        <v>0</v>
      </c>
      <c r="I34" s="541">
        <f>-IF('6. T3 TASE'!I73-'6. T3 TASE'!H73&lt;0,'6. T3 TASE'!I73-'6. T3 TASE'!H73,0)</f>
        <v>0</v>
      </c>
      <c r="J34" s="541">
        <f>-IF('6. T3 TASE'!J73-'6. T3 TASE'!I73&lt;0,'6. T3 TASE'!J73-'6. T3 TASE'!I73,0)</f>
        <v>0</v>
      </c>
      <c r="L34" s="1892" t="s">
        <v>385</v>
      </c>
      <c r="M34" s="1666"/>
      <c r="N34" s="1666"/>
      <c r="O34" s="1666"/>
      <c r="P34" s="1666"/>
      <c r="Q34" s="1897"/>
      <c r="R34" s="1897"/>
      <c r="S34" s="1897"/>
      <c r="T34" s="1901"/>
    </row>
    <row r="35" spans="2:25" ht="13.5" customHeight="1" x14ac:dyDescent="0.2">
      <c r="B35" s="959" t="s">
        <v>116</v>
      </c>
      <c r="C35" s="428" t="s">
        <v>348</v>
      </c>
      <c r="D35" s="428"/>
      <c r="E35" s="434" t="s">
        <v>41</v>
      </c>
      <c r="F35" s="547"/>
      <c r="G35" s="330">
        <v>0</v>
      </c>
      <c r="H35" s="330">
        <v>0</v>
      </c>
      <c r="I35" s="330">
        <v>0</v>
      </c>
      <c r="J35" s="330">
        <v>0</v>
      </c>
      <c r="L35" s="2084" t="s">
        <v>217</v>
      </c>
      <c r="M35" s="2085"/>
      <c r="N35" s="2085"/>
      <c r="O35" s="2086"/>
      <c r="P35" s="553"/>
      <c r="Q35" s="776">
        <f>IF('6. T3 TASE'!G98=0,0,IF('6. T3 TASE'!G98&lt;0,0,'6. T3 TASE'!G56/('6. T3 TASE'!G98-'6. T3 TASE'!G94)))</f>
        <v>0</v>
      </c>
      <c r="R35" s="776">
        <f>IF('6. T3 TASE'!H98=0,0,IF('6. T3 TASE'!H98&lt;0,0,'6. T3 TASE'!H56/('6. T3 TASE'!H98-'6. T3 TASE'!H94)))</f>
        <v>0</v>
      </c>
      <c r="S35" s="993">
        <f>IF('6. T3 TASE'!I98=0,0,IF('6. T3 TASE'!I98&lt;0,0,'6. T3 TASE'!I56/('6. T3 TASE'!I98-'6. T3 TASE'!I94)))</f>
        <v>0</v>
      </c>
      <c r="T35" s="776">
        <f>IF('6. T3 TASE'!J98=0,0,IF('6. T3 TASE'!J98&lt;0,0,'6. T3 TASE'!J56/('6. T3 TASE'!J98-'6. T3 TASE'!J94)))</f>
        <v>0</v>
      </c>
    </row>
    <row r="36" spans="2:25" ht="13.5" customHeight="1" x14ac:dyDescent="0.2">
      <c r="B36" s="959" t="s">
        <v>33</v>
      </c>
      <c r="C36" s="428" t="s">
        <v>166</v>
      </c>
      <c r="D36" s="428"/>
      <c r="E36" s="433" t="s">
        <v>30</v>
      </c>
      <c r="F36" s="547"/>
      <c r="G36" s="541">
        <f>'2. T7 LAINAT'!G38</f>
        <v>0</v>
      </c>
      <c r="H36" s="541">
        <f>'2. T7 LAINAT'!J38</f>
        <v>0</v>
      </c>
      <c r="I36" s="541">
        <f>'2. T7 LAINAT'!M38</f>
        <v>0</v>
      </c>
      <c r="J36" s="541">
        <f>'2. T7 LAINAT'!P38</f>
        <v>0</v>
      </c>
      <c r="L36" s="1900"/>
      <c r="M36" s="1733" t="s">
        <v>794</v>
      </c>
      <c r="N36" s="717"/>
      <c r="O36" s="718"/>
      <c r="P36" s="554"/>
      <c r="Q36" s="940">
        <f>IF(Q35=0,0,IF(Q35&gt;40%,"Hyvä",IF(Q35&lt;20%,"Heikko","Tyydyttävä")))</f>
        <v>0</v>
      </c>
      <c r="R36" s="940">
        <f>IF(R35=0,0,IF(R35&gt;40%,"Hyvä",IF(R35&lt;20%,"Heikko","Tyydyttävä")))</f>
        <v>0</v>
      </c>
      <c r="S36" s="994">
        <f>IF(S35=0,0,IF(S35&gt;40%,"Hyvä",IF(S35&lt;20%,"Heikko","Tyydyttävä")))</f>
        <v>0</v>
      </c>
      <c r="T36" s="940">
        <f>IF(T35=0,0,IF(T35&gt;40%,"Hyvä",IF(T35&lt;20%,"Heikko","Tyydyttävä")))</f>
        <v>0</v>
      </c>
    </row>
    <row r="37" spans="2:25" ht="13.5" customHeight="1" x14ac:dyDescent="0.2">
      <c r="B37" s="959" t="s">
        <v>311</v>
      </c>
      <c r="C37" s="428" t="s">
        <v>240</v>
      </c>
      <c r="D37" s="428"/>
      <c r="E37" s="434" t="s">
        <v>41</v>
      </c>
      <c r="F37" s="547"/>
      <c r="G37" s="541">
        <f>'6. T3 TASE'!G83+'6. T3 TASE'!G89</f>
        <v>0</v>
      </c>
      <c r="H37" s="541">
        <f>'6. T3 TASE'!H83+'6. T3 TASE'!H89-'6. T3 TASE'!G83-'6. T3 TASE'!G89</f>
        <v>0</v>
      </c>
      <c r="I37" s="541">
        <f>'6. T3 TASE'!I83+'6. T3 TASE'!I89-'6. T3 TASE'!H83-'6. T3 TASE'!H89</f>
        <v>0</v>
      </c>
      <c r="J37" s="541">
        <f>'6. T3 TASE'!J83+'6. T3 TASE'!J89-'6. T3 TASE'!I83-'6. T3 TASE'!I89</f>
        <v>0</v>
      </c>
      <c r="L37" s="2069" t="s">
        <v>368</v>
      </c>
      <c r="M37" s="2070"/>
      <c r="N37" s="2070"/>
      <c r="O37" s="2071"/>
      <c r="P37" s="550"/>
      <c r="Q37" s="920">
        <f>IF(Q104=0,0,(Q114-Q115)/Q104)</f>
        <v>0</v>
      </c>
      <c r="R37" s="920">
        <f>IF(R104=0,0,(R114-R115)/R104)</f>
        <v>0</v>
      </c>
      <c r="S37" s="920">
        <f>IF(S104=0,0,(S114-S115)/S104)</f>
        <v>0</v>
      </c>
      <c r="T37" s="920">
        <f>IF(T104=0,0,(T114-T115)/T104)</f>
        <v>0</v>
      </c>
    </row>
    <row r="38" spans="2:25" ht="13.5" customHeight="1" x14ac:dyDescent="0.2">
      <c r="B38" s="959" t="s">
        <v>312</v>
      </c>
      <c r="C38" s="428" t="s">
        <v>64</v>
      </c>
      <c r="D38" s="428"/>
      <c r="E38" s="433" t="s">
        <v>30</v>
      </c>
      <c r="F38" s="546"/>
      <c r="G38" s="1259">
        <v>0</v>
      </c>
      <c r="H38" s="541">
        <f>-IF('6. T3 TASE'!H77-'6. T3 TASE'!G77&lt;0,'6. T3 TASE'!H77-'6. T3 TASE'!G77,0)-IF('6. T3 TASE'!H78-'6. T3 TASE'!G78&lt;0,'6. T3 TASE'!H78-'6. T3 TASE'!G78,0)</f>
        <v>0</v>
      </c>
      <c r="I38" s="541">
        <f>-IF('6. T3 TASE'!I77-'6. T3 TASE'!H77&lt;0,'6. T3 TASE'!I77-'6. T3 TASE'!H77,0)-IF('6. T3 TASE'!I78-'6. T3 TASE'!H78&lt;0,'6. T3 TASE'!I78-'6. T3 TASE'!H78,0)</f>
        <v>0</v>
      </c>
      <c r="J38" s="541">
        <f>-IF('6. T3 TASE'!J77-'6. T3 TASE'!I77&lt;0,'6. T3 TASE'!J77-'6. T3 TASE'!I77,0)-IF('6. T3 TASE'!J78-'6. T3 TASE'!I78&lt;0,'6. T3 TASE'!J78-'6. T3 TASE'!I78,0)</f>
        <v>0</v>
      </c>
      <c r="L38" s="1903"/>
      <c r="M38" s="1733" t="s">
        <v>794</v>
      </c>
      <c r="N38" s="719"/>
      <c r="O38" s="1702"/>
      <c r="P38" s="720"/>
      <c r="Q38" s="940" t="str">
        <f>IF(Q37=0,"",IF('6. T3 TASE'!G56&lt;0,"Heikko",IF(Q37&lt;0,"Nettovelaton",IF(Q37&gt;1,"","Hyvä"))))</f>
        <v/>
      </c>
      <c r="R38" s="940" t="str">
        <f>IF(R37=0,"",IF('6. T3 TASE'!H56&lt;0,"Heikko",IF(R37&lt;0,"Nettovelaton",IF(R37&gt;1,"","Hyvä"))))</f>
        <v/>
      </c>
      <c r="S38" s="994" t="str">
        <f>IF(S37=0,"",IF('6. T3 TASE'!I56&lt;0,"Heikko",IF(S37&lt;0,"Nettovelaton",IF(S37&gt;1,"","Hyvä"))))</f>
        <v/>
      </c>
      <c r="T38" s="940" t="str">
        <f>IF(T37=0,"",IF('6. T3 TASE'!J56&lt;0,"Heikko",IF(T37&lt;0,"Nettovelaton",IF(T37&gt;1,"","Hyvä"))))</f>
        <v/>
      </c>
    </row>
    <row r="39" spans="2:25" ht="13.5" customHeight="1" x14ac:dyDescent="0.2">
      <c r="B39" s="959" t="s">
        <v>316</v>
      </c>
      <c r="C39" s="428" t="s">
        <v>58</v>
      </c>
      <c r="D39" s="428"/>
      <c r="E39" s="433" t="s">
        <v>30</v>
      </c>
      <c r="F39" s="547"/>
      <c r="G39" s="532">
        <v>0</v>
      </c>
      <c r="H39" s="532">
        <f>R48</f>
        <v>0</v>
      </c>
      <c r="I39" s="532">
        <f>S48</f>
        <v>0</v>
      </c>
      <c r="J39" s="532">
        <f>T48</f>
        <v>0</v>
      </c>
      <c r="L39" s="1904" t="s">
        <v>386</v>
      </c>
      <c r="M39" s="129"/>
      <c r="N39" s="129"/>
      <c r="O39" s="129"/>
      <c r="P39" s="129"/>
      <c r="Q39" s="225"/>
      <c r="R39" s="225"/>
      <c r="S39" s="225"/>
      <c r="T39" s="942"/>
    </row>
    <row r="40" spans="2:25" ht="13.5" customHeight="1" x14ac:dyDescent="0.2">
      <c r="B40" s="959" t="s">
        <v>323</v>
      </c>
      <c r="C40" s="2109" t="s">
        <v>140</v>
      </c>
      <c r="D40" s="2109"/>
      <c r="E40" s="434" t="s">
        <v>30</v>
      </c>
      <c r="F40" s="546"/>
      <c r="G40" s="541">
        <f>'1. T1 INVESTOINTISUUN.'!E38</f>
        <v>0</v>
      </c>
      <c r="H40" s="541">
        <f>'1. T1 INVESTOINTISUUN.'!F38</f>
        <v>0</v>
      </c>
      <c r="I40" s="541">
        <f>'1. T1 INVESTOINTISUUN.'!G38</f>
        <v>0</v>
      </c>
      <c r="J40" s="541">
        <f>'1. T1 INVESTOINTISUUN.'!H38</f>
        <v>0</v>
      </c>
      <c r="L40" s="2072" t="s">
        <v>223</v>
      </c>
      <c r="M40" s="2073"/>
      <c r="N40" s="2073"/>
      <c r="O40" s="2074"/>
      <c r="P40" s="550"/>
      <c r="Q40" s="541">
        <f>('3. E1 KUSTANNUKSET'!D11+'3. E1 KUSTANNUKSET'!D32+'3. E1 KUSTANNUKSET'!D39+'3. E1 KUSTANNUKSET'!D41)/'7. T2 TULOSSUUN.'!G33</f>
        <v>0</v>
      </c>
      <c r="R40" s="541">
        <f>('3. E1 KUSTANNUKSET'!F11+'3. E1 KUSTANNUKSET'!F32+'3. E1 KUSTANNUKSET'!F39+'3. E1 KUSTANNUKSET'!F41)/'7. T2 TULOSSUUN.'!I33</f>
        <v>0</v>
      </c>
      <c r="S40" s="541">
        <f>('3. E1 KUSTANNUKSET'!J11+'3. E1 KUSTANNUKSET'!J32+'3. E1 KUSTANNUKSET'!J39+'3. E1 KUSTANNUKSET'!J41)/'7. T2 TULOSSUUN.'!M33</f>
        <v>0</v>
      </c>
      <c r="T40" s="541">
        <f>('3. E1 KUSTANNUKSET'!J11+'3. E1 KUSTANNUKSET'!J32+'3. E1 KUSTANNUKSET'!J39+'3. E1 KUSTANNUKSET'!J41)/'7. T2 TULOSSUUN.'!M33</f>
        <v>0</v>
      </c>
    </row>
    <row r="41" spans="2:25" ht="13.5" customHeight="1" x14ac:dyDescent="0.2">
      <c r="B41" s="959" t="s">
        <v>326</v>
      </c>
      <c r="C41" s="435" t="s">
        <v>18</v>
      </c>
      <c r="D41" s="435"/>
      <c r="E41" s="436"/>
      <c r="F41" s="547"/>
      <c r="G41" s="541">
        <f>G24+G25+G26+G27+G28+G29+G34+G36-G37+G38+G39+G40+G35+G30+G31+G32+G33</f>
        <v>0</v>
      </c>
      <c r="H41" s="541">
        <f>H24+H25+H26+H27+H28+H29+H34+H36-H37+H38+H39+H40+H35+H30+H31+H32+H33</f>
        <v>0</v>
      </c>
      <c r="I41" s="541">
        <f>I24+I25+I26+I27+I28+I29+I34+I36-I37+I38+I39+I40+I35+I30+I31+I32+I33</f>
        <v>0</v>
      </c>
      <c r="J41" s="541">
        <f>J24+J25+J26+J27+J28+J29+J34+J36-J37+J38+J39+J40+J35+J30+J31+J32+J33</f>
        <v>0</v>
      </c>
      <c r="L41" s="2075" t="s">
        <v>224</v>
      </c>
      <c r="M41" s="2076"/>
      <c r="N41" s="2076"/>
      <c r="O41" s="2077"/>
      <c r="P41" s="551"/>
      <c r="Q41" s="541">
        <f>'3. E1 KUSTANNUKSET'!D44/'7. T2 TULOSSUUN.'!G33</f>
        <v>0</v>
      </c>
      <c r="R41" s="541">
        <f>'3. E1 KUSTANNUKSET'!F44/'7. T2 TULOSSUUN.'!I33</f>
        <v>0</v>
      </c>
      <c r="S41" s="642">
        <f>'3. E1 KUSTANNUKSET'!H44/'7. T2 TULOSSUUN.'!K33</f>
        <v>0</v>
      </c>
      <c r="T41" s="541">
        <f>'3. E1 KUSTANNUKSET'!J44/'7. T2 TULOSSUUN.'!M33</f>
        <v>0</v>
      </c>
      <c r="Y41">
        <v>0</v>
      </c>
    </row>
    <row r="42" spans="2:25" ht="13.5" customHeight="1" thickBot="1" x14ac:dyDescent="0.25">
      <c r="B42" s="959" t="s">
        <v>327</v>
      </c>
      <c r="C42" s="425" t="s">
        <v>322</v>
      </c>
      <c r="D42" s="425"/>
      <c r="E42" s="436"/>
      <c r="F42" s="548"/>
      <c r="G42" s="747">
        <f>G21-G41</f>
        <v>0</v>
      </c>
      <c r="H42" s="747">
        <f>H21-H41</f>
        <v>0</v>
      </c>
      <c r="I42" s="747">
        <f>I21-I41</f>
        <v>0</v>
      </c>
      <c r="J42" s="747">
        <f>J21-J41</f>
        <v>0</v>
      </c>
      <c r="L42" s="1905" t="s">
        <v>387</v>
      </c>
      <c r="M42" s="131"/>
      <c r="N42" s="131"/>
      <c r="O42" s="432"/>
      <c r="P42" s="1100"/>
      <c r="Q42" s="1100">
        <f>'5. T4 RAHOITUSSUUN.'!G11</f>
        <v>2027</v>
      </c>
      <c r="R42" s="1100">
        <f>'5. T4 RAHOITUSSUUN.'!H11</f>
        <v>2028</v>
      </c>
      <c r="S42" s="1101">
        <f>'5. T4 RAHOITUSSUUN.'!I11</f>
        <v>2029</v>
      </c>
      <c r="T42" s="1906">
        <f>'5. T4 RAHOITUSSUUN.'!J11</f>
        <v>2030</v>
      </c>
    </row>
    <row r="43" spans="2:25" ht="16.5" customHeight="1" x14ac:dyDescent="0.2">
      <c r="B43" s="1819" t="s">
        <v>328</v>
      </c>
      <c r="C43" s="1876" t="s">
        <v>59</v>
      </c>
      <c r="D43" s="1873"/>
      <c r="E43" s="1874">
        <v>0</v>
      </c>
      <c r="F43" s="1875"/>
      <c r="G43" s="921">
        <f>G42+F43</f>
        <v>0</v>
      </c>
      <c r="H43" s="921">
        <f>H42+G43</f>
        <v>0</v>
      </c>
      <c r="I43" s="921">
        <f>I42+H43</f>
        <v>0</v>
      </c>
      <c r="J43" s="921">
        <f>J42+I43</f>
        <v>0</v>
      </c>
      <c r="L43" s="1890" t="s">
        <v>201</v>
      </c>
      <c r="M43" s="254"/>
      <c r="N43" s="254"/>
      <c r="O43" s="303"/>
      <c r="P43" s="551"/>
      <c r="Q43" s="541">
        <f>'6. T3 TASE'!G98</f>
        <v>0</v>
      </c>
      <c r="R43" s="541">
        <f>'6. T3 TASE'!H98</f>
        <v>0</v>
      </c>
      <c r="S43" s="642">
        <f>'6. T3 TASE'!I98</f>
        <v>0</v>
      </c>
      <c r="T43" s="541">
        <f>'6. T3 TASE'!J98</f>
        <v>0</v>
      </c>
    </row>
    <row r="44" spans="2:25" ht="13.5" customHeight="1" x14ac:dyDescent="0.2">
      <c r="B44" s="219"/>
      <c r="C44" s="53"/>
      <c r="D44" s="53"/>
      <c r="E44" s="53"/>
      <c r="F44" s="240"/>
      <c r="G44" s="643"/>
      <c r="H44" s="643"/>
      <c r="I44" s="643"/>
      <c r="J44" s="643"/>
      <c r="K44" s="2"/>
      <c r="L44" s="1891" t="s">
        <v>307</v>
      </c>
      <c r="M44" s="255"/>
      <c r="N44" s="255"/>
      <c r="O44" s="302"/>
      <c r="P44" s="551"/>
      <c r="Q44" s="541">
        <f>-('6. T3 TASE'!G67+'6. T3 TASE'!G74)</f>
        <v>0</v>
      </c>
      <c r="R44" s="541">
        <f>-('6. T3 TASE'!H67+'6. T3 TASE'!H74)</f>
        <v>0</v>
      </c>
      <c r="S44" s="642">
        <f>-('6. T3 TASE'!I67+'6. T3 TASE'!I74)</f>
        <v>0</v>
      </c>
      <c r="T44" s="541">
        <f>-('6. T3 TASE'!J67+'6. T3 TASE'!J74)</f>
        <v>0</v>
      </c>
    </row>
    <row r="45" spans="2:25" ht="13.5" customHeight="1" x14ac:dyDescent="0.2">
      <c r="B45" s="2110" t="s">
        <v>381</v>
      </c>
      <c r="C45" s="2111"/>
      <c r="D45" s="2111"/>
      <c r="E45" s="1877"/>
      <c r="F45" s="1878"/>
      <c r="G45" s="1879" t="str">
        <f t="shared" ref="G45:J46" si="1">G10</f>
        <v>Ennuste 1</v>
      </c>
      <c r="H45" s="1879" t="str">
        <f t="shared" si="1"/>
        <v>Ennuste 2</v>
      </c>
      <c r="I45" s="1879" t="str">
        <f t="shared" si="1"/>
        <v>Ennuste 3</v>
      </c>
      <c r="J45" s="1879" t="str">
        <f t="shared" si="1"/>
        <v>Ennuste 4</v>
      </c>
      <c r="L45" s="2087" t="s">
        <v>490</v>
      </c>
      <c r="M45" s="2088"/>
      <c r="N45" s="2088"/>
      <c r="O45" s="2089"/>
      <c r="P45" s="1459"/>
      <c r="Q45" s="532">
        <v>0</v>
      </c>
      <c r="R45" s="532">
        <v>0</v>
      </c>
      <c r="S45" s="923">
        <v>0</v>
      </c>
      <c r="T45" s="532">
        <v>0</v>
      </c>
    </row>
    <row r="46" spans="2:25" ht="13.5" customHeight="1" x14ac:dyDescent="0.2">
      <c r="B46" s="2112"/>
      <c r="C46" s="2113"/>
      <c r="D46" s="2113"/>
      <c r="E46" s="1099"/>
      <c r="F46" s="1091"/>
      <c r="G46" s="1098">
        <f t="shared" si="1"/>
        <v>2027</v>
      </c>
      <c r="H46" s="1098">
        <f t="shared" si="1"/>
        <v>2028</v>
      </c>
      <c r="I46" s="1098">
        <f t="shared" si="1"/>
        <v>2029</v>
      </c>
      <c r="J46" s="1081">
        <f t="shared" si="1"/>
        <v>2030</v>
      </c>
      <c r="L46" s="2087" t="s">
        <v>489</v>
      </c>
      <c r="M46" s="2088"/>
      <c r="N46" s="2088"/>
      <c r="O46" s="2089"/>
      <c r="P46" s="1459"/>
      <c r="Q46" s="532">
        <v>0</v>
      </c>
      <c r="R46" s="532">
        <v>0</v>
      </c>
      <c r="S46" s="923">
        <v>0</v>
      </c>
      <c r="T46" s="532">
        <v>0</v>
      </c>
    </row>
    <row r="47" spans="2:25" ht="13.5" customHeight="1" x14ac:dyDescent="0.2">
      <c r="B47" s="959" t="s">
        <v>329</v>
      </c>
      <c r="C47" s="164" t="s">
        <v>60</v>
      </c>
      <c r="D47" s="1880"/>
      <c r="E47" s="423" t="s">
        <v>30</v>
      </c>
      <c r="F47" s="549"/>
      <c r="G47" s="743">
        <f>IF('7. T2 TULOSSUUN.'!H14=0,0,G48*'7. T2 TULOSSUUN.'!G11)</f>
        <v>0</v>
      </c>
      <c r="H47" s="743">
        <f>IF('7. T2 TULOSSUUN.'!I14=0,0,H48*'7. T2 TULOSSUUN.'!I11)</f>
        <v>0</v>
      </c>
      <c r="I47" s="743">
        <f>IF('7. T2 TULOSSUUN.'!J14=0,0,I48*'7. T2 TULOSSUUN.'!K11)</f>
        <v>0</v>
      </c>
      <c r="J47" s="1881">
        <f>IF('7. T2 TULOSSUUN.'!K14=0,0,J48*'7. T2 TULOSSUUN.'!M11)</f>
        <v>0</v>
      </c>
      <c r="L47" s="1902" t="s">
        <v>200</v>
      </c>
      <c r="M47" s="304"/>
      <c r="N47" s="304"/>
      <c r="O47" s="305"/>
      <c r="P47" s="552"/>
      <c r="Q47" s="743">
        <f>Q43+Q44-Q45-Q46</f>
        <v>0</v>
      </c>
      <c r="R47" s="743">
        <f>R43+R44-R45-R46</f>
        <v>0</v>
      </c>
      <c r="S47" s="996">
        <f>S43+S44-S45-S46</f>
        <v>0</v>
      </c>
      <c r="T47" s="541">
        <f>T43+T44-T45-T46</f>
        <v>0</v>
      </c>
    </row>
    <row r="48" spans="2:25" ht="13.5" customHeight="1" x14ac:dyDescent="0.2">
      <c r="B48" s="959"/>
      <c r="C48" s="2096" t="s">
        <v>366</v>
      </c>
      <c r="D48" s="2096"/>
      <c r="E48" s="721"/>
      <c r="F48" s="722"/>
      <c r="G48" s="1710">
        <f>IF(Q13=0,0,('1. T1 INVESTOINTISUUN.'!E40-'1. T1 INVESTOINTISUUN.'!E40*'1. T1 INVESTOINTISUUN.'!E41)/Q13)</f>
        <v>0</v>
      </c>
      <c r="H48" s="1291">
        <f>G48</f>
        <v>0</v>
      </c>
      <c r="I48" s="1291">
        <f>H48</f>
        <v>0</v>
      </c>
      <c r="J48" s="1291">
        <f>I48</f>
        <v>0</v>
      </c>
      <c r="L48" s="2081" t="s">
        <v>854</v>
      </c>
      <c r="M48" s="2082"/>
      <c r="N48" s="2082"/>
      <c r="O48" s="2083"/>
      <c r="P48" s="777"/>
      <c r="Q48" s="532">
        <v>0</v>
      </c>
      <c r="R48" s="532">
        <f>IF(Q47&lt;0,0,8%*Q47)</f>
        <v>0</v>
      </c>
      <c r="S48" s="532">
        <f>IF(R47&lt;0,0,8%*R47)</f>
        <v>0</v>
      </c>
      <c r="T48" s="536">
        <f>IF(S47&lt;0,0,8%*S47)</f>
        <v>0</v>
      </c>
    </row>
    <row r="49" spans="2:24" ht="13.5" customHeight="1" x14ac:dyDescent="0.2">
      <c r="B49" s="959" t="s">
        <v>330</v>
      </c>
      <c r="C49" s="426" t="s">
        <v>81</v>
      </c>
      <c r="D49" s="427"/>
      <c r="E49" s="424" t="s">
        <v>30</v>
      </c>
      <c r="F49" s="546"/>
      <c r="G49" s="541">
        <f>G50*('4. E2 LIIKEVAIHTO'!E10+'4. E2 LIIKEVAIHTO'!E13)/365</f>
        <v>0</v>
      </c>
      <c r="H49" s="541">
        <f>H50*('4. E2 LIIKEVAIHTO'!F10+'4. E2 LIIKEVAIHTO'!F13)/365</f>
        <v>0</v>
      </c>
      <c r="I49" s="541">
        <f>I50*('4. E2 LIIKEVAIHTO'!G10+'4. E2 LIIKEVAIHTO'!G13)/365</f>
        <v>0</v>
      </c>
      <c r="J49" s="541">
        <f>J50*('4. E2 LIIKEVAIHTO'!H10+'4. E2 LIIKEVAIHTO'!H13)/365</f>
        <v>0</v>
      </c>
      <c r="L49" s="2092" t="s">
        <v>280</v>
      </c>
      <c r="M49" s="2093"/>
      <c r="N49" s="2093"/>
      <c r="O49" s="2093"/>
      <c r="P49" s="2094"/>
      <c r="Q49" s="919">
        <f>IF(P47=0,0,Q48/P47)</f>
        <v>0</v>
      </c>
      <c r="R49" s="752">
        <f>IF(R48=0,0,R48/Q47)</f>
        <v>0</v>
      </c>
      <c r="S49" s="752">
        <f>IF(S48=0,0,S48/R47)</f>
        <v>0</v>
      </c>
      <c r="T49" s="752">
        <f>IF(T48=0,0,T48/S47)</f>
        <v>0</v>
      </c>
    </row>
    <row r="50" spans="2:24" ht="13.5" customHeight="1" x14ac:dyDescent="0.2">
      <c r="B50" s="959"/>
      <c r="C50" s="2091" t="s">
        <v>197</v>
      </c>
      <c r="D50" s="2091"/>
      <c r="E50" s="723"/>
      <c r="F50" s="724"/>
      <c r="G50" s="1292">
        <v>14</v>
      </c>
      <c r="H50" s="1292">
        <f>G50</f>
        <v>14</v>
      </c>
      <c r="I50" s="1292">
        <f>H50</f>
        <v>14</v>
      </c>
      <c r="J50" s="1292">
        <f>I50</f>
        <v>14</v>
      </c>
      <c r="L50" s="1907"/>
      <c r="M50" s="164"/>
      <c r="N50" s="164"/>
      <c r="O50" s="164"/>
      <c r="P50" s="164"/>
      <c r="Q50" s="164"/>
      <c r="R50" s="164"/>
      <c r="S50" s="164"/>
      <c r="T50" s="397"/>
    </row>
    <row r="51" spans="2:24" ht="13.5" customHeight="1" x14ac:dyDescent="0.2">
      <c r="B51" s="959" t="s">
        <v>331</v>
      </c>
      <c r="C51" s="426" t="s">
        <v>195</v>
      </c>
      <c r="D51" s="427"/>
      <c r="E51" s="424" t="s">
        <v>30</v>
      </c>
      <c r="F51" s="546"/>
      <c r="G51" s="1293">
        <v>0</v>
      </c>
      <c r="H51" s="1293">
        <v>0</v>
      </c>
      <c r="I51" s="1293">
        <v>0</v>
      </c>
      <c r="J51" s="1293">
        <v>0</v>
      </c>
      <c r="L51" s="1908" t="s">
        <v>488</v>
      </c>
      <c r="M51" s="164"/>
      <c r="N51" s="164"/>
      <c r="O51" s="164"/>
      <c r="P51" s="164"/>
      <c r="Q51" s="164"/>
      <c r="R51" s="164"/>
      <c r="S51" s="164"/>
      <c r="T51" s="397"/>
    </row>
    <row r="52" spans="2:24" ht="13.5" customHeight="1" x14ac:dyDescent="0.2">
      <c r="B52" s="959" t="s">
        <v>332</v>
      </c>
      <c r="C52" s="2095" t="s">
        <v>372</v>
      </c>
      <c r="D52" s="2095"/>
      <c r="E52" s="424" t="s">
        <v>30</v>
      </c>
      <c r="F52" s="546"/>
      <c r="G52" s="1293">
        <f>30%*('3. E1 KUSTANNUKSET'!D73+'3. E1 KUSTANNUKSET'!D80+'3. E1 KUSTANNUKSET'!D112+'3. E1 KUSTANNUKSET'!D114+'3. E1 KUSTANNUKSET'!D120)</f>
        <v>0</v>
      </c>
      <c r="H52" s="1293">
        <f>30%*('3. E1 KUSTANNUKSET'!F73+'3. E1 KUSTANNUKSET'!F80+'3. E1 KUSTANNUKSET'!F112+'3. E1 KUSTANNUKSET'!F114+'3. E1 KUSTANNUKSET'!F120)</f>
        <v>0</v>
      </c>
      <c r="I52" s="1293">
        <f>30%*('3. E1 KUSTANNUKSET'!H73+'3. E1 KUSTANNUKSET'!H80+'3. E1 KUSTANNUKSET'!H112+'3. E1 KUSTANNUKSET'!H114+'3. E1 KUSTANNUKSET'!H120)</f>
        <v>0</v>
      </c>
      <c r="J52" s="1293">
        <f>30%*('3. E1 KUSTANNUKSET'!J73+'3. E1 KUSTANNUKSET'!J80+'3. E1 KUSTANNUKSET'!J112+'3. E1 KUSTANNUKSET'!J114+'3. E1 KUSTANNUKSET'!J120)</f>
        <v>0</v>
      </c>
      <c r="L52" s="2078"/>
      <c r="M52" s="2079"/>
      <c r="N52" s="2079"/>
      <c r="O52" s="2079"/>
      <c r="P52" s="2079"/>
      <c r="Q52" s="2079"/>
      <c r="R52" s="2079"/>
      <c r="S52" s="2079"/>
      <c r="T52" s="2080"/>
    </row>
    <row r="53" spans="2:24" ht="13.5" customHeight="1" x14ac:dyDescent="0.2">
      <c r="B53" s="959" t="s">
        <v>333</v>
      </c>
      <c r="C53" s="2095" t="s">
        <v>82</v>
      </c>
      <c r="D53" s="2095"/>
      <c r="E53" s="424" t="s">
        <v>30</v>
      </c>
      <c r="F53" s="546"/>
      <c r="G53" s="541">
        <f>G54*'7. T2 TULOSSUUN.'!G11</f>
        <v>0</v>
      </c>
      <c r="H53" s="541">
        <f>H54*'7. T2 TULOSSUUN.'!I11</f>
        <v>0</v>
      </c>
      <c r="I53" s="541">
        <f>I54*'7. T2 TULOSSUUN.'!K11</f>
        <v>0</v>
      </c>
      <c r="J53" s="541">
        <f>J54*'7. T2 TULOSSUUN.'!M11</f>
        <v>0</v>
      </c>
      <c r="L53" s="1909"/>
      <c r="M53" s="1910"/>
      <c r="N53" s="1910"/>
      <c r="O53" s="1910"/>
      <c r="P53" s="1910"/>
      <c r="Q53" s="1910"/>
      <c r="R53" s="1910"/>
      <c r="S53" s="1910"/>
      <c r="T53" s="1911"/>
    </row>
    <row r="54" spans="2:24" ht="13.5" customHeight="1" x14ac:dyDescent="0.2">
      <c r="B54" s="959"/>
      <c r="C54" s="2091" t="s">
        <v>341</v>
      </c>
      <c r="D54" s="2091"/>
      <c r="E54" s="723"/>
      <c r="F54" s="725"/>
      <c r="G54" s="744">
        <v>0</v>
      </c>
      <c r="H54" s="745">
        <v>0</v>
      </c>
      <c r="I54" s="745">
        <v>0</v>
      </c>
      <c r="J54" s="745">
        <v>0</v>
      </c>
      <c r="L54" s="1909"/>
      <c r="M54" s="1910"/>
      <c r="N54" s="1910"/>
      <c r="O54" s="1910"/>
      <c r="P54" s="1910"/>
      <c r="Q54" s="1910"/>
      <c r="R54" s="1910"/>
      <c r="S54" s="1910"/>
      <c r="T54" s="1911"/>
    </row>
    <row r="55" spans="2:24" ht="13.5" customHeight="1" x14ac:dyDescent="0.2">
      <c r="B55" s="959" t="s">
        <v>334</v>
      </c>
      <c r="C55" s="428" t="s">
        <v>83</v>
      </c>
      <c r="D55" s="429"/>
      <c r="E55" s="424" t="s">
        <v>31</v>
      </c>
      <c r="F55" s="546"/>
      <c r="G55" s="541">
        <f>IF('7. T2 TULOSSUUN.'!G11=0,0,G56*('4. E2 LIIKEVAIHTO'!E11+'AT2 Lainat, alv'!E55+'AT2 Lainat, alv'!E66)/365)</f>
        <v>0</v>
      </c>
      <c r="H55" s="541">
        <f>IF('7. T2 TULOSSUUN.'!I11=0,0,H56*('4. E2 LIIKEVAIHTO'!F11+'AT2 Lainat, alv'!G55+'AT2 Lainat, alv'!G66)/365)</f>
        <v>0</v>
      </c>
      <c r="I55" s="541">
        <f>IF('7. T2 TULOSSUUN.'!K11=0,0,I56*('4. E2 LIIKEVAIHTO'!G11+'AT2 Lainat, alv'!I55+'AT2 Lainat, alv'!I66)/365)</f>
        <v>0</v>
      </c>
      <c r="J55" s="541">
        <f>IF('7. T2 TULOSSUUN.'!M11=0,0,J56*('4. E2 LIIKEVAIHTO'!H11+'AT2 Lainat, alv'!K55+'AT2 Lainat, alv'!K66)/365)</f>
        <v>0</v>
      </c>
      <c r="L55" s="1909"/>
      <c r="M55" s="1910"/>
      <c r="N55" s="1910"/>
      <c r="O55" s="1910"/>
      <c r="P55" s="1910"/>
      <c r="Q55" s="1910"/>
      <c r="R55" s="1910"/>
      <c r="S55" s="1910"/>
      <c r="T55" s="1911"/>
    </row>
    <row r="56" spans="2:24" ht="13.5" customHeight="1" x14ac:dyDescent="0.2">
      <c r="B56" s="959"/>
      <c r="C56" s="2091" t="s">
        <v>244</v>
      </c>
      <c r="D56" s="2091"/>
      <c r="E56" s="723"/>
      <c r="F56" s="724"/>
      <c r="G56" s="1292">
        <v>14</v>
      </c>
      <c r="H56" s="1292">
        <f>G56</f>
        <v>14</v>
      </c>
      <c r="I56" s="1292">
        <f>H56</f>
        <v>14</v>
      </c>
      <c r="J56" s="1292">
        <f>I56</f>
        <v>14</v>
      </c>
      <c r="L56" s="1909"/>
      <c r="M56" s="1910"/>
      <c r="N56" s="1910"/>
      <c r="O56" s="1910"/>
      <c r="P56" s="1910"/>
      <c r="Q56" s="1910"/>
      <c r="R56" s="1910"/>
      <c r="S56" s="1910"/>
      <c r="T56" s="1911"/>
    </row>
    <row r="57" spans="2:24" ht="13.5" customHeight="1" x14ac:dyDescent="0.2">
      <c r="B57" s="959" t="s">
        <v>335</v>
      </c>
      <c r="C57" s="428" t="s">
        <v>84</v>
      </c>
      <c r="D57" s="429"/>
      <c r="E57" s="424" t="s">
        <v>31</v>
      </c>
      <c r="F57" s="546"/>
      <c r="G57" s="541">
        <f>G58*'4. E2 LIIKEVAIHTO'!E10</f>
        <v>0</v>
      </c>
      <c r="H57" s="541">
        <f>'4. E2 LIIKEVAIHTO'!F10*H58</f>
        <v>0</v>
      </c>
      <c r="I57" s="541">
        <f>'4. E2 LIIKEVAIHTO'!G10*I58</f>
        <v>0</v>
      </c>
      <c r="J57" s="541">
        <f>'4. E2 LIIKEVAIHTO'!H10*J58</f>
        <v>0</v>
      </c>
      <c r="L57" s="1909"/>
      <c r="M57" s="1910"/>
      <c r="N57" s="1910"/>
      <c r="O57" s="1910"/>
      <c r="P57" s="1910"/>
      <c r="Q57" s="1910"/>
      <c r="R57" s="1910"/>
      <c r="S57" s="1910"/>
      <c r="T57" s="1911"/>
    </row>
    <row r="58" spans="2:24" ht="13.5" customHeight="1" x14ac:dyDescent="0.2">
      <c r="B58" s="959"/>
      <c r="C58" s="2091" t="s">
        <v>340</v>
      </c>
      <c r="D58" s="2091"/>
      <c r="E58" s="723"/>
      <c r="F58" s="726"/>
      <c r="G58" s="746">
        <v>0</v>
      </c>
      <c r="H58" s="746">
        <v>0</v>
      </c>
      <c r="I58" s="746">
        <v>0</v>
      </c>
      <c r="J58" s="745">
        <v>0</v>
      </c>
      <c r="L58" s="1909"/>
      <c r="M58" s="1910"/>
      <c r="N58" s="1910"/>
      <c r="O58" s="1910"/>
      <c r="P58" s="1910"/>
      <c r="Q58" s="1910"/>
      <c r="R58" s="1910"/>
      <c r="S58" s="1910"/>
      <c r="T58" s="1911"/>
    </row>
    <row r="59" spans="2:24" ht="13.5" customHeight="1" x14ac:dyDescent="0.2">
      <c r="B59" s="959" t="s">
        <v>336</v>
      </c>
      <c r="C59" s="428" t="s">
        <v>85</v>
      </c>
      <c r="D59" s="430"/>
      <c r="E59" s="424" t="s">
        <v>86</v>
      </c>
      <c r="F59" s="546"/>
      <c r="G59" s="541">
        <f>G47+G49+G53-G55-G57+G51+G52</f>
        <v>0</v>
      </c>
      <c r="H59" s="541">
        <f>H47+H49+H53-H55-H57+H51+H52</f>
        <v>0</v>
      </c>
      <c r="I59" s="541">
        <f>I47+I49+I53-I55-I57+I51+I52</f>
        <v>0</v>
      </c>
      <c r="J59" s="541">
        <f>J47+J49+J53-J55-J57+J51+J52</f>
        <v>0</v>
      </c>
      <c r="L59" s="1909"/>
      <c r="M59" s="1910"/>
      <c r="N59" s="1910"/>
      <c r="O59" s="1910"/>
      <c r="P59" s="1910"/>
      <c r="Q59" s="1910"/>
      <c r="R59" s="1910"/>
      <c r="S59" s="1910"/>
      <c r="T59" s="1911"/>
    </row>
    <row r="60" spans="2:24" ht="13.5" customHeight="1" x14ac:dyDescent="0.2">
      <c r="B60" s="1819" t="s">
        <v>373</v>
      </c>
      <c r="C60" s="177" t="s">
        <v>62</v>
      </c>
      <c r="D60" s="1882"/>
      <c r="E60" s="1883" t="s">
        <v>41</v>
      </c>
      <c r="F60" s="546"/>
      <c r="G60" s="1884"/>
      <c r="H60" s="541">
        <f>H59-G59</f>
        <v>0</v>
      </c>
      <c r="I60" s="541">
        <f>I59-H59</f>
        <v>0</v>
      </c>
      <c r="J60" s="541">
        <f>J59-I59</f>
        <v>0</v>
      </c>
      <c r="L60" s="1912"/>
      <c r="M60" s="1913"/>
      <c r="N60" s="1913"/>
      <c r="O60" s="1913"/>
      <c r="P60" s="1913"/>
      <c r="Q60" s="1913"/>
      <c r="R60" s="1913"/>
      <c r="S60" s="1913"/>
      <c r="T60" s="1914"/>
    </row>
    <row r="61" spans="2:24" ht="3" customHeight="1" x14ac:dyDescent="0.2">
      <c r="J61" s="129"/>
    </row>
    <row r="62" spans="2:24" ht="10.15" customHeight="1" x14ac:dyDescent="0.2">
      <c r="B62" s="230">
        <f>'1. T1 INVESTOINTISUUN.'!B66</f>
        <v>0</v>
      </c>
      <c r="J62" s="231">
        <f>OHJE!F6</f>
        <v>0</v>
      </c>
      <c r="T62" s="153">
        <f>OHJE!F6</f>
        <v>0</v>
      </c>
      <c r="X62" s="231">
        <f>OHJE!T6</f>
        <v>0</v>
      </c>
    </row>
    <row r="63" spans="2:24" ht="13.35" customHeight="1" x14ac:dyDescent="0.2">
      <c r="B63" s="230" t="str">
        <f>'1. T1 INVESTOINTISUUN.'!B67</f>
        <v>yritysTULKKI YT6 Aloittavan yrityksen tulossuunnitelma</v>
      </c>
      <c r="E63" s="981"/>
      <c r="F63" s="2068" t="str">
        <f>'1. T1 INVESTOINTISUUN.'!I67</f>
        <v>Kehittämisyhtiö Witas Oy</v>
      </c>
      <c r="G63" s="2068"/>
      <c r="H63" s="2068"/>
      <c r="I63" s="2068"/>
      <c r="J63" s="2068"/>
      <c r="L63" s="4"/>
      <c r="M63" s="4"/>
      <c r="N63" s="4"/>
      <c r="O63" s="4"/>
      <c r="P63" s="4"/>
      <c r="Q63" s="998"/>
      <c r="R63" s="2068" t="str">
        <f>'1. T1 INVESTOINTISUUN.'!I67</f>
        <v>Kehittämisyhtiö Witas Oy</v>
      </c>
      <c r="S63" s="2068"/>
      <c r="T63" s="2068"/>
      <c r="U63" s="1613"/>
      <c r="V63" s="1613"/>
      <c r="W63" s="1613"/>
      <c r="X63" s="1613"/>
    </row>
    <row r="64" spans="2:24" x14ac:dyDescent="0.2">
      <c r="B64" s="1978"/>
      <c r="C64" s="1978"/>
      <c r="G64" s="981"/>
      <c r="H64" s="981"/>
      <c r="I64" s="981"/>
      <c r="J64" s="981"/>
      <c r="L64" s="999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2:23" x14ac:dyDescent="0.2">
      <c r="B65" s="327" t="s">
        <v>234</v>
      </c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2:23" x14ac:dyDescent="0.2">
      <c r="B66" s="52" t="s">
        <v>235</v>
      </c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2:23" x14ac:dyDescent="0.2">
      <c r="B67" s="52" t="s">
        <v>236</v>
      </c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2:23" x14ac:dyDescent="0.2">
      <c r="C68" s="483" t="s">
        <v>0</v>
      </c>
      <c r="D68" s="483"/>
      <c r="V68" s="4"/>
      <c r="W68" s="4"/>
    </row>
    <row r="69" spans="2:23" x14ac:dyDescent="0.2">
      <c r="V69" s="4"/>
      <c r="W69" s="4"/>
    </row>
    <row r="70" spans="2:23" x14ac:dyDescent="0.2">
      <c r="V70" s="4"/>
      <c r="W70" s="4"/>
    </row>
    <row r="71" spans="2:23" x14ac:dyDescent="0.2">
      <c r="V71" s="4"/>
      <c r="W71" s="4"/>
    </row>
    <row r="72" spans="2:23" x14ac:dyDescent="0.2">
      <c r="V72" s="4"/>
      <c r="W72" s="4"/>
    </row>
    <row r="73" spans="2:23" x14ac:dyDescent="0.2">
      <c r="V73" s="4"/>
      <c r="W73" s="4"/>
    </row>
    <row r="74" spans="2:23" x14ac:dyDescent="0.2">
      <c r="V74" s="4"/>
      <c r="W74" s="4"/>
    </row>
    <row r="75" spans="2:23" x14ac:dyDescent="0.2">
      <c r="V75" s="4"/>
      <c r="W75" s="4"/>
    </row>
    <row r="76" spans="2:23" x14ac:dyDescent="0.2">
      <c r="V76" s="4"/>
      <c r="W76" s="4"/>
    </row>
    <row r="77" spans="2:23" x14ac:dyDescent="0.2">
      <c r="V77" s="4"/>
      <c r="W77" s="4"/>
    </row>
    <row r="78" spans="2:23" x14ac:dyDescent="0.2">
      <c r="V78" s="4"/>
      <c r="W78" s="4"/>
    </row>
    <row r="79" spans="2:23" x14ac:dyDescent="0.2">
      <c r="V79" s="4"/>
      <c r="W79" s="4"/>
    </row>
    <row r="80" spans="2:23" x14ac:dyDescent="0.2">
      <c r="V80" s="4"/>
      <c r="W80" s="4"/>
    </row>
    <row r="81" spans="12:23" x14ac:dyDescent="0.2">
      <c r="V81" s="4"/>
      <c r="W81" s="4"/>
    </row>
    <row r="82" spans="12:23" x14ac:dyDescent="0.2">
      <c r="V82" s="4"/>
      <c r="W82" s="4"/>
    </row>
    <row r="83" spans="12:23" x14ac:dyDescent="0.2">
      <c r="V83" s="4"/>
      <c r="W83" s="4"/>
    </row>
    <row r="84" spans="12:23" x14ac:dyDescent="0.2"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2:23" x14ac:dyDescent="0.2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2:23" x14ac:dyDescent="0.2"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2:23" x14ac:dyDescent="0.2"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2:23" x14ac:dyDescent="0.2"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2:23" x14ac:dyDescent="0.2"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8" spans="12:21" ht="16.899999999999999" customHeight="1" x14ac:dyDescent="0.2"/>
    <row r="99" spans="12:21" ht="12.6" customHeight="1" x14ac:dyDescent="0.2"/>
    <row r="100" spans="12:21" hidden="1" x14ac:dyDescent="0.2">
      <c r="L100" s="439" t="s">
        <v>417</v>
      </c>
      <c r="M100" s="131"/>
      <c r="N100" s="131"/>
      <c r="O100" s="131"/>
      <c r="P100" s="131"/>
      <c r="Q100" s="131" t="s">
        <v>52</v>
      </c>
      <c r="R100" s="131" t="s">
        <v>43</v>
      </c>
      <c r="S100" s="131" t="s">
        <v>44</v>
      </c>
      <c r="T100" s="131" t="s">
        <v>188</v>
      </c>
      <c r="U100" s="4"/>
    </row>
    <row r="101" spans="12:21" hidden="1" x14ac:dyDescent="0.2">
      <c r="L101" s="1004" t="s">
        <v>404</v>
      </c>
      <c r="M101" s="1004"/>
      <c r="N101" s="1004"/>
      <c r="O101" s="1004"/>
      <c r="P101" s="1004"/>
      <c r="Q101" s="1004"/>
      <c r="R101" s="1004"/>
      <c r="S101" s="1004"/>
      <c r="T101" s="1004"/>
      <c r="U101" s="4"/>
    </row>
    <row r="102" spans="12:21" hidden="1" x14ac:dyDescent="0.2">
      <c r="L102" s="1004" t="s">
        <v>405</v>
      </c>
      <c r="M102" s="1004"/>
      <c r="N102" s="1004"/>
      <c r="O102" s="1004"/>
      <c r="P102" s="1004"/>
      <c r="Q102" s="1005">
        <f>Q20+'7. T2 TULOSSUUN.'!G24-'7. T2 TULOSSUUN.'!G25+'7. T2 TULOSSUUN.'!G27</f>
        <v>0</v>
      </c>
      <c r="R102" s="1005">
        <f>R20+'7. T2 TULOSSUUN.'!I24-'7. T2 TULOSSUUN.'!I25+'7. T2 TULOSSUUN.'!I27</f>
        <v>0</v>
      </c>
      <c r="S102" s="1005">
        <f>S20+'7. T2 TULOSSUUN.'!K24-'7. T2 TULOSSUUN.'!K25+'7. T2 TULOSSUUN.'!K27</f>
        <v>0</v>
      </c>
      <c r="T102" s="1005">
        <f>T20+'7. T2 TULOSSUUN.'!M24-'7. T2 TULOSSUUN.'!M25+'7. T2 TULOSSUUN.'!M27</f>
        <v>0</v>
      </c>
      <c r="U102" s="4"/>
    </row>
    <row r="103" spans="12:21" hidden="1" x14ac:dyDescent="0.2">
      <c r="L103" s="1004" t="s">
        <v>406</v>
      </c>
      <c r="M103" s="1004"/>
      <c r="N103" s="1004"/>
      <c r="O103" s="1004"/>
      <c r="P103" s="1004"/>
      <c r="Q103" s="1004"/>
      <c r="R103" s="1005">
        <f>Q104</f>
        <v>0</v>
      </c>
      <c r="S103" s="1005">
        <f>R104</f>
        <v>0</v>
      </c>
      <c r="T103" s="1005">
        <f>S104</f>
        <v>0</v>
      </c>
      <c r="U103" s="4"/>
    </row>
    <row r="104" spans="12:21" hidden="1" x14ac:dyDescent="0.2">
      <c r="L104" s="1004" t="s">
        <v>407</v>
      </c>
      <c r="M104" s="1004"/>
      <c r="N104" s="1004"/>
      <c r="O104" s="1004"/>
      <c r="P104" s="1004"/>
      <c r="Q104" s="1005">
        <f>'6. T3 TASE'!G56</f>
        <v>0</v>
      </c>
      <c r="R104" s="1005">
        <f>'6. T3 TASE'!H56</f>
        <v>0</v>
      </c>
      <c r="S104" s="1005">
        <f>'6. T3 TASE'!I56</f>
        <v>0</v>
      </c>
      <c r="T104" s="1005">
        <f>'6. T3 TASE'!J56</f>
        <v>0</v>
      </c>
      <c r="U104" s="4"/>
    </row>
    <row r="105" spans="12:21" hidden="1" x14ac:dyDescent="0.2">
      <c r="L105" s="1004" t="s">
        <v>413</v>
      </c>
      <c r="M105" s="1004"/>
      <c r="N105" s="1004"/>
      <c r="O105" s="1004"/>
      <c r="P105" s="1004"/>
      <c r="Q105" s="1004">
        <f>(Q103+Q104)/2</f>
        <v>0</v>
      </c>
      <c r="R105" s="1004">
        <f>(R103+R104)/2</f>
        <v>0</v>
      </c>
      <c r="S105" s="1004">
        <f>(S103+S104)/2</f>
        <v>0</v>
      </c>
      <c r="T105" s="1004">
        <f>(T103+T104)/2</f>
        <v>0</v>
      </c>
      <c r="U105" s="4"/>
    </row>
    <row r="106" spans="12:21" hidden="1" x14ac:dyDescent="0.2">
      <c r="L106" s="131"/>
      <c r="M106" s="131"/>
      <c r="N106" s="131"/>
      <c r="O106" s="131"/>
      <c r="P106" s="131"/>
      <c r="Q106" s="131"/>
      <c r="R106" s="131"/>
      <c r="S106" s="131"/>
      <c r="T106" s="131"/>
      <c r="U106" s="4"/>
    </row>
    <row r="107" spans="12:21" hidden="1" x14ac:dyDescent="0.2">
      <c r="L107" s="1004" t="s">
        <v>408</v>
      </c>
      <c r="M107" s="1004"/>
      <c r="N107" s="1004"/>
      <c r="O107" s="1004"/>
      <c r="P107" s="1004"/>
      <c r="Q107" s="1004"/>
      <c r="R107" s="1005">
        <f>Q108</f>
        <v>0</v>
      </c>
      <c r="S107" s="1005">
        <f>R108</f>
        <v>0</v>
      </c>
      <c r="T107" s="1005">
        <f>S108</f>
        <v>0</v>
      </c>
      <c r="U107" s="4"/>
    </row>
    <row r="108" spans="12:21" hidden="1" x14ac:dyDescent="0.2">
      <c r="L108" s="1004" t="s">
        <v>409</v>
      </c>
      <c r="M108" s="1004"/>
      <c r="N108" s="1004"/>
      <c r="O108" s="1004"/>
      <c r="P108" s="1004"/>
      <c r="Q108" s="1005">
        <f>'6. T3 TASE'!G67+'6. T3 TASE'!G75+'6. T3 TASE'!G78+'6. T3 TASE'!G82</f>
        <v>0</v>
      </c>
      <c r="R108" s="1005">
        <f>'6. T3 TASE'!H67+'6. T3 TASE'!H75+'6. T3 TASE'!H78+'6. T3 TASE'!H82</f>
        <v>0</v>
      </c>
      <c r="S108" s="1005">
        <f>'6. T3 TASE'!I67+'6. T3 TASE'!I75+'6. T3 TASE'!I78+'6. T3 TASE'!I82</f>
        <v>0</v>
      </c>
      <c r="T108" s="1005">
        <f>'6. T3 TASE'!J67+'6. T3 TASE'!J75+'6. T3 TASE'!J78+'6. T3 TASE'!J82</f>
        <v>0</v>
      </c>
      <c r="U108" s="4"/>
    </row>
    <row r="109" spans="12:21" hidden="1" x14ac:dyDescent="0.2">
      <c r="L109" s="1004" t="s">
        <v>414</v>
      </c>
      <c r="M109" s="1004"/>
      <c r="N109" s="1004"/>
      <c r="O109" s="1004"/>
      <c r="P109" s="1004"/>
      <c r="Q109" s="1004">
        <f>(Q107+Q108)/2</f>
        <v>0</v>
      </c>
      <c r="R109" s="1004">
        <f>(R107+R108)/2</f>
        <v>0</v>
      </c>
      <c r="S109" s="1004">
        <f>(S107+S108)/2</f>
        <v>0</v>
      </c>
      <c r="T109" s="1004">
        <f>(T107+T108)/2</f>
        <v>0</v>
      </c>
      <c r="U109" s="4"/>
    </row>
    <row r="110" spans="12:21" hidden="1" x14ac:dyDescent="0.2">
      <c r="L110" s="1003" t="s">
        <v>415</v>
      </c>
      <c r="M110" s="1003"/>
      <c r="N110" s="1003"/>
      <c r="O110" s="1003"/>
      <c r="P110" s="1003"/>
      <c r="Q110" s="1006">
        <f>IF(Q105&lt;0,Q109,Q105+Q109)</f>
        <v>0</v>
      </c>
      <c r="R110" s="1006">
        <f>IF(R105&lt;0,R109,R105+R109)</f>
        <v>0</v>
      </c>
      <c r="S110" s="1006">
        <f>IF(S105&lt;0,S109,S105+S109)</f>
        <v>0</v>
      </c>
      <c r="T110" s="1006">
        <f>IF(T105&lt;0,T109,T105+T109)</f>
        <v>0</v>
      </c>
      <c r="U110" s="4"/>
    </row>
    <row r="111" spans="12:21" hidden="1" x14ac:dyDescent="0.2">
      <c r="U111" s="4"/>
    </row>
    <row r="112" spans="12:21" hidden="1" x14ac:dyDescent="0.2">
      <c r="L112" s="1003" t="s">
        <v>416</v>
      </c>
      <c r="M112" s="1001"/>
      <c r="N112" s="1001"/>
      <c r="O112" s="1001"/>
      <c r="P112" s="1001"/>
      <c r="Q112" s="1001"/>
      <c r="R112" s="1001"/>
      <c r="S112" s="1001"/>
      <c r="T112" s="1001"/>
      <c r="U112" s="4"/>
    </row>
    <row r="113" spans="12:21" hidden="1" x14ac:dyDescent="0.2">
      <c r="L113" s="1000" t="s">
        <v>421</v>
      </c>
      <c r="M113" s="1001"/>
      <c r="N113" s="1001"/>
      <c r="O113" s="1001"/>
      <c r="P113" s="1001"/>
      <c r="Q113" s="1001"/>
      <c r="R113" s="1001"/>
      <c r="S113" s="1001"/>
      <c r="T113" s="1001"/>
      <c r="U113" s="4"/>
    </row>
    <row r="114" spans="12:21" hidden="1" x14ac:dyDescent="0.2">
      <c r="L114" s="2090" t="s">
        <v>412</v>
      </c>
      <c r="M114" s="2090"/>
      <c r="N114" s="2090"/>
      <c r="O114" s="2090"/>
      <c r="P114" s="2090"/>
      <c r="Q114" s="1002">
        <f>'6. T3 TASE'!G67-'6. T3 TASE'!G94+'6. T3 TASE'!G75+'6. T3 TASE'!G78+'6. T3 TASE'!G82</f>
        <v>0</v>
      </c>
      <c r="R114" s="1002">
        <f>'6. T3 TASE'!H67-'6. T3 TASE'!H94+'6. T3 TASE'!H75+'6. T3 TASE'!H78+'6. T3 TASE'!H82</f>
        <v>0</v>
      </c>
      <c r="S114" s="1002">
        <f>'6. T3 TASE'!I67-'6. T3 TASE'!I94+'6. T3 TASE'!I75+'6. T3 TASE'!I78+'6. T3 TASE'!I82</f>
        <v>0</v>
      </c>
      <c r="T114" s="1002">
        <f>'6. T3 TASE'!J67-'6. T3 TASE'!J94+'6. T3 TASE'!J75+'6. T3 TASE'!J78+'6. T3 TASE'!J82</f>
        <v>0</v>
      </c>
      <c r="U114" s="4"/>
    </row>
    <row r="115" spans="12:21" hidden="1" x14ac:dyDescent="0.2">
      <c r="L115" s="131" t="s">
        <v>411</v>
      </c>
      <c r="M115" s="4"/>
      <c r="N115" s="4"/>
      <c r="O115" s="4"/>
      <c r="P115" s="4"/>
      <c r="Q115" s="32">
        <f>'6. T3 TASE'!G48+'6. T3 TASE'!G49</f>
        <v>0</v>
      </c>
      <c r="R115" s="32">
        <f>'6. T3 TASE'!H48+'6. T3 TASE'!H49</f>
        <v>0</v>
      </c>
      <c r="S115" s="32">
        <f>'6. T3 TASE'!I48+'6. T3 TASE'!I49</f>
        <v>0</v>
      </c>
      <c r="T115" s="32">
        <f>'6. T3 TASE'!J48+'6. T3 TASE'!J49</f>
        <v>0</v>
      </c>
      <c r="U115" s="4"/>
    </row>
    <row r="116" spans="12:21" x14ac:dyDescent="0.2">
      <c r="L116" s="483"/>
      <c r="M116" s="483"/>
      <c r="N116" s="483"/>
      <c r="O116" s="483"/>
      <c r="P116" s="483"/>
      <c r="Q116" s="483"/>
      <c r="R116" s="483"/>
      <c r="S116" s="483"/>
      <c r="T116" s="483"/>
    </row>
    <row r="117" spans="12:21" x14ac:dyDescent="0.2">
      <c r="L117" s="483"/>
      <c r="M117" s="483"/>
      <c r="N117" s="483"/>
      <c r="O117" s="483"/>
      <c r="P117" s="483"/>
      <c r="Q117" s="483"/>
      <c r="R117" s="483"/>
      <c r="S117" s="483"/>
      <c r="T117" s="483"/>
    </row>
    <row r="118" spans="12:21" x14ac:dyDescent="0.2">
      <c r="L118" s="483"/>
      <c r="M118" s="483"/>
      <c r="N118" s="483"/>
      <c r="O118" s="483"/>
      <c r="P118" s="483"/>
      <c r="Q118" s="483"/>
      <c r="R118" s="483"/>
      <c r="S118" s="483"/>
      <c r="T118" s="483"/>
    </row>
    <row r="119" spans="12:21" x14ac:dyDescent="0.2">
      <c r="L119" s="483"/>
      <c r="M119" s="483"/>
      <c r="N119" s="483"/>
      <c r="O119" s="483"/>
      <c r="P119" s="483"/>
      <c r="Q119" s="483"/>
      <c r="R119" s="483"/>
      <c r="S119" s="483"/>
      <c r="T119" s="483"/>
    </row>
    <row r="120" spans="12:21" x14ac:dyDescent="0.2">
      <c r="L120" s="483"/>
      <c r="M120" s="483"/>
      <c r="N120" s="483"/>
      <c r="O120" s="483"/>
      <c r="P120" s="483"/>
      <c r="Q120" s="483"/>
      <c r="R120" s="483"/>
      <c r="S120" s="483"/>
      <c r="T120" s="483"/>
    </row>
    <row r="121" spans="12:21" x14ac:dyDescent="0.2">
      <c r="L121" s="483"/>
      <c r="M121" s="483"/>
      <c r="N121" s="483"/>
      <c r="O121" s="483"/>
      <c r="P121" s="483"/>
      <c r="Q121" s="483"/>
      <c r="R121" s="483"/>
      <c r="S121" s="483"/>
      <c r="T121" s="483"/>
    </row>
    <row r="122" spans="12:21" x14ac:dyDescent="0.2">
      <c r="L122" s="483"/>
      <c r="M122" s="483"/>
      <c r="N122" s="483"/>
      <c r="O122" s="483"/>
      <c r="P122" s="483"/>
      <c r="Q122" s="483"/>
      <c r="R122" s="483"/>
      <c r="S122" s="483"/>
      <c r="T122" s="483"/>
    </row>
  </sheetData>
  <sheetProtection algorithmName="SHA-512" hashValue="oFU9/BWtidZPSRg0oDgWcOWPZd+qApQrCtkBW6feXk87nlBaIPq9JLw7RO3MTX2KNHj4XTXi3aAgl1VpQIEVng==" saltValue="2Pzt3l1B3JkR3YIjRk2pPA==" spinCount="100000" sheet="1" objects="1" scenarios="1"/>
  <mergeCells count="49">
    <mergeCell ref="B2:D3"/>
    <mergeCell ref="L2:O3"/>
    <mergeCell ref="G5:J5"/>
    <mergeCell ref="Q5:T5"/>
    <mergeCell ref="B6:D6"/>
    <mergeCell ref="L6:O6"/>
    <mergeCell ref="B7:D7"/>
    <mergeCell ref="Q7:T7"/>
    <mergeCell ref="B8:D8"/>
    <mergeCell ref="G8:J8"/>
    <mergeCell ref="L8:O8"/>
    <mergeCell ref="Q8:T8"/>
    <mergeCell ref="C48:D48"/>
    <mergeCell ref="L10:O11"/>
    <mergeCell ref="B13:C14"/>
    <mergeCell ref="L16:O16"/>
    <mergeCell ref="C17:D17"/>
    <mergeCell ref="O17:R17"/>
    <mergeCell ref="L18:O18"/>
    <mergeCell ref="L19:O19"/>
    <mergeCell ref="C20:D20"/>
    <mergeCell ref="C34:D34"/>
    <mergeCell ref="C40:D40"/>
    <mergeCell ref="B45:D46"/>
    <mergeCell ref="L45:O45"/>
    <mergeCell ref="L46:O46"/>
    <mergeCell ref="L21:O21"/>
    <mergeCell ref="L25:O25"/>
    <mergeCell ref="L114:P114"/>
    <mergeCell ref="C58:D58"/>
    <mergeCell ref="F63:J63"/>
    <mergeCell ref="B64:C64"/>
    <mergeCell ref="L49:P49"/>
    <mergeCell ref="C50:D50"/>
    <mergeCell ref="C52:D52"/>
    <mergeCell ref="C53:D53"/>
    <mergeCell ref="C54:D54"/>
    <mergeCell ref="C56:D56"/>
    <mergeCell ref="L27:O27"/>
    <mergeCell ref="L29:O29"/>
    <mergeCell ref="L31:O31"/>
    <mergeCell ref="L32:O32"/>
    <mergeCell ref="L35:O35"/>
    <mergeCell ref="R63:T63"/>
    <mergeCell ref="L37:O37"/>
    <mergeCell ref="L40:O40"/>
    <mergeCell ref="L41:O41"/>
    <mergeCell ref="L52:T52"/>
    <mergeCell ref="L48:O48"/>
  </mergeCells>
  <conditionalFormatting sqref="Q22">
    <cfRule type="containsText" dxfId="77" priority="4" operator="containsText" text="Tyydyttävä">
      <formula>NOT(ISERROR(SEARCH("Tyydyttävä",Q22)))</formula>
    </cfRule>
    <cfRule type="containsText" dxfId="76" priority="5" operator="containsText" text="Hyvä">
      <formula>NOT(ISERROR(SEARCH("Hyvä",Q22)))</formula>
    </cfRule>
    <cfRule type="containsText" dxfId="75" priority="6" operator="containsText" text="Heikko">
      <formula>NOT(ISERROR(SEARCH("Heikko",Q22)))</formula>
    </cfRule>
    <cfRule type="containsText" dxfId="74" priority="7" operator="containsText" text="Tyydyttävä">
      <formula>NOT(ISERROR(SEARCH("Tyydyttävä",Q22)))</formula>
    </cfRule>
    <cfRule type="containsText" dxfId="73" priority="8" operator="containsText" text="Hyvä">
      <formula>NOT(ISERROR(SEARCH("Hyvä",Q22)))</formula>
    </cfRule>
    <cfRule type="containsText" dxfId="72" priority="9" operator="containsText" text="Heikko">
      <formula>NOT(ISERROR(SEARCH("Heikko",Q22)))</formula>
    </cfRule>
    <cfRule type="containsText" dxfId="71" priority="49" operator="containsText" text="Hyvä">
      <formula>NOT(ISERROR(SEARCH("Hyvä",Q22)))</formula>
    </cfRule>
  </conditionalFormatting>
  <conditionalFormatting sqref="Q22:R22">
    <cfRule type="containsText" dxfId="70" priority="46" operator="containsText" text="Heikko">
      <formula>NOT(ISERROR(SEARCH("Heikko",Q22)))</formula>
    </cfRule>
  </conditionalFormatting>
  <conditionalFormatting sqref="Q22:S22">
    <cfRule type="containsText" dxfId="69" priority="42" operator="containsText" text="Tyydyttävä">
      <formula>NOT(ISERROR(SEARCH("Tyydyttävä",Q22)))</formula>
    </cfRule>
  </conditionalFormatting>
  <conditionalFormatting sqref="Q22:T22">
    <cfRule type="containsText" dxfId="68" priority="52" operator="containsText" text="Heikko">
      <formula>NOT(ISERROR(SEARCH("Heikko",Q22)))</formula>
    </cfRule>
    <cfRule type="containsText" dxfId="67" priority="51" operator="containsText" text="Hyvä">
      <formula>NOT(ISERROR(SEARCH("Hyvä",Q22)))</formula>
    </cfRule>
    <cfRule type="containsText" dxfId="66" priority="50" operator="containsText" text="Tyydyttävä">
      <formula>NOT(ISERROR(SEARCH("Tyydyttävä",Q22)))</formula>
    </cfRule>
  </conditionalFormatting>
  <conditionalFormatting sqref="Q28:T28">
    <cfRule type="containsText" dxfId="65" priority="2" operator="containsText" text="Tyydyttävä">
      <formula>NOT(ISERROR(SEARCH("Tyydyttävä",Q28)))</formula>
    </cfRule>
    <cfRule type="containsText" dxfId="64" priority="3" operator="containsText" text="Heikko">
      <formula>NOT(ISERROR(SEARCH("Heikko",Q28)))</formula>
    </cfRule>
    <cfRule type="containsText" dxfId="63" priority="1" operator="containsText" text="Hyvä">
      <formula>NOT(ISERROR(SEARCH("Hyvä",Q28)))</formula>
    </cfRule>
  </conditionalFormatting>
  <conditionalFormatting sqref="Q30:T30">
    <cfRule type="containsText" dxfId="62" priority="23" operator="containsText" text="Hyvä">
      <formula>NOT(ISERROR(SEARCH("Hyvä",Q30)))</formula>
    </cfRule>
    <cfRule type="containsText" dxfId="61" priority="24" operator="containsText" text="Tyydyttävä">
      <formula>NOT(ISERROR(SEARCH("Tyydyttävä",Q30)))</formula>
    </cfRule>
    <cfRule type="containsText" dxfId="60" priority="25" operator="containsText" text="Heikko">
      <formula>NOT(ISERROR(SEARCH("Heikko",Q30)))</formula>
    </cfRule>
    <cfRule type="containsText" dxfId="59" priority="35" operator="containsText" text="Hyvä">
      <formula>NOT(ISERROR(SEARCH("Hyvä",Q30)))</formula>
    </cfRule>
    <cfRule type="containsText" dxfId="58" priority="36" operator="containsText" text="Tyydyttävä">
      <formula>NOT(ISERROR(SEARCH("Tyydyttävä",Q30)))</formula>
    </cfRule>
    <cfRule type="containsText" dxfId="57" priority="37" operator="containsText" text="Heikko">
      <formula>NOT(ISERROR(SEARCH("Heikko",Q30)))</formula>
    </cfRule>
  </conditionalFormatting>
  <conditionalFormatting sqref="Q33:T33">
    <cfRule type="containsText" dxfId="56" priority="21" operator="containsText" text="Tyydyttävä">
      <formula>NOT(ISERROR(SEARCH("Tyydyttävä",Q33)))</formula>
    </cfRule>
    <cfRule type="containsText" dxfId="55" priority="22" operator="containsText" text="Heikko">
      <formula>NOT(ISERROR(SEARCH("Heikko",Q33)))</formula>
    </cfRule>
    <cfRule type="containsText" dxfId="54" priority="20" operator="containsText" text="Hyvä">
      <formula>NOT(ISERROR(SEARCH("Hyvä",Q33)))</formula>
    </cfRule>
  </conditionalFormatting>
  <conditionalFormatting sqref="Q36:T36">
    <cfRule type="containsText" dxfId="53" priority="19" operator="containsText" text="Heikko">
      <formula>NOT(ISERROR(SEARCH("Heikko",Q36)))</formula>
    </cfRule>
    <cfRule type="containsText" dxfId="52" priority="18" operator="containsText" text="Tyydyttävä">
      <formula>NOT(ISERROR(SEARCH("Tyydyttävä",Q36)))</formula>
    </cfRule>
    <cfRule type="containsText" dxfId="51" priority="17" operator="containsText" text="Hyvä">
      <formula>NOT(ISERROR(SEARCH("Hyvä",Q36)))</formula>
    </cfRule>
  </conditionalFormatting>
  <conditionalFormatting sqref="Q38:T38">
    <cfRule type="containsText" dxfId="50" priority="10" operator="containsText" text="Nettovelaton">
      <formula>NOT(ISERROR(SEARCH("Nettovelaton",Q38)))</formula>
    </cfRule>
    <cfRule type="containsText" dxfId="49" priority="11" operator="containsText" text="Nettovelaton">
      <formula>NOT(ISERROR(SEARCH("Nettovelaton",Q38)))</formula>
    </cfRule>
    <cfRule type="containsText" dxfId="48" priority="12" operator="containsText" text="Hyvä">
      <formula>NOT(ISERROR(SEARCH("Hyvä",Q38)))</formula>
    </cfRule>
    <cfRule type="containsText" dxfId="47" priority="13" operator="containsText" text="Heikko">
      <formula>NOT(ISERROR(SEARCH("Heikko",Q38)))</formula>
    </cfRule>
    <cfRule type="containsText" dxfId="46" priority="14" operator="containsText" text="Hyvä">
      <formula>NOT(ISERROR(SEARCH("Hyvä",Q38)))</formula>
    </cfRule>
    <cfRule type="containsText" dxfId="45" priority="16" operator="containsText" text="Heikko">
      <formula>NOT(ISERROR(SEARCH("Heikko",Q38)))</formula>
    </cfRule>
    <cfRule type="containsText" dxfId="44" priority="15" operator="containsText" text="Tyydyttävä">
      <formula>NOT(ISERROR(SEARCH("Tyydyttävä",Q38)))</formula>
    </cfRule>
  </conditionalFormatting>
  <conditionalFormatting sqref="R22:S22">
    <cfRule type="containsText" dxfId="43" priority="43" operator="containsText" text="Hyvä">
      <formula>NOT(ISERROR(SEARCH("Hyvä",R22)))</formula>
    </cfRule>
  </conditionalFormatting>
  <conditionalFormatting sqref="S22:T22">
    <cfRule type="containsText" dxfId="42" priority="40" operator="containsText" text="Heikko">
      <formula>NOT(ISERROR(SEARCH("Heikko",S22)))</formula>
    </cfRule>
  </conditionalFormatting>
  <conditionalFormatting sqref="T22">
    <cfRule type="containsText" dxfId="41" priority="38" operator="containsText" text="Hyvä">
      <formula>NOT(ISERROR(SEARCH("Hyvä",T22)))</formula>
    </cfRule>
    <cfRule type="containsText" dxfId="40" priority="39" operator="containsText" text="Tyydyttävä">
      <formula>NOT(ISERROR(SEARCH("Tyydyttävä",T22)))</formula>
    </cfRule>
  </conditionalFormatting>
  <printOptions horizontalCentered="1"/>
  <pageMargins left="0.25" right="0.25" top="0.75" bottom="0.75" header="0.3" footer="0.3"/>
  <pageSetup paperSize="9" scale="94" orientation="portrait" verticalDpi="4" r:id="rId1"/>
  <colBreaks count="1" manualBreakCount="1">
    <brk id="10" min="1" max="57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152A1"/>
  </sheetPr>
  <dimension ref="A1:S106"/>
  <sheetViews>
    <sheetView showGridLines="0" showZeros="0" topLeftCell="A43" zoomScale="120" zoomScaleNormal="120" workbookViewId="0">
      <selection activeCell="Q18" sqref="Q18"/>
    </sheetView>
  </sheetViews>
  <sheetFormatPr defaultRowHeight="12.75" x14ac:dyDescent="0.2"/>
  <cols>
    <col min="1" max="1" width="8.5703125" style="40" customWidth="1"/>
    <col min="2" max="2" width="3.28515625" customWidth="1"/>
    <col min="3" max="3" width="21.140625" customWidth="1"/>
    <col min="4" max="4" width="10" customWidth="1"/>
    <col min="5" max="5" width="5.140625" customWidth="1"/>
    <col min="6" max="10" width="10.7109375" customWidth="1"/>
    <col min="11" max="11" width="2.7109375" customWidth="1"/>
    <col min="12" max="15" width="9.7109375" customWidth="1"/>
    <col min="16" max="19" width="11.7109375" customWidth="1"/>
  </cols>
  <sheetData>
    <row r="1" spans="1:19" x14ac:dyDescent="0.2">
      <c r="A1" s="516" t="s">
        <v>0</v>
      </c>
    </row>
    <row r="2" spans="1:19" ht="15.75" x14ac:dyDescent="0.25">
      <c r="B2" s="1998" t="s">
        <v>339</v>
      </c>
      <c r="C2" s="1998"/>
      <c r="D2" s="24"/>
      <c r="F2" s="49"/>
      <c r="J2" s="61"/>
      <c r="L2" s="88" t="s">
        <v>179</v>
      </c>
      <c r="M2" s="24"/>
    </row>
    <row r="3" spans="1:19" x14ac:dyDescent="0.2">
      <c r="B3" s="1998"/>
      <c r="C3" s="1998"/>
      <c r="F3" s="523"/>
      <c r="L3" s="2001"/>
      <c r="M3" s="2001"/>
    </row>
    <row r="4" spans="1:19" x14ac:dyDescent="0.2">
      <c r="A4" s="1379" t="s">
        <v>457</v>
      </c>
      <c r="B4" s="40"/>
      <c r="G4" s="82"/>
    </row>
    <row r="5" spans="1:19" x14ac:dyDescent="0.2">
      <c r="B5" s="160" t="s">
        <v>39</v>
      </c>
      <c r="C5" s="524"/>
      <c r="D5" s="524"/>
      <c r="E5" s="524"/>
      <c r="F5" s="524" t="s">
        <v>35</v>
      </c>
      <c r="G5" s="524"/>
      <c r="H5" s="53"/>
      <c r="I5" s="524"/>
      <c r="J5" s="524"/>
      <c r="K5" s="45"/>
      <c r="L5" s="391"/>
      <c r="M5" s="392"/>
      <c r="N5" s="393"/>
      <c r="O5" s="392"/>
      <c r="P5" s="392"/>
      <c r="Q5" s="392"/>
      <c r="R5" s="392"/>
      <c r="S5" s="394"/>
    </row>
    <row r="6" spans="1:19" x14ac:dyDescent="0.2">
      <c r="B6" s="161">
        <f>'7. T2 TULOSSUUN.'!B5</f>
        <v>0</v>
      </c>
      <c r="C6" s="220"/>
      <c r="D6" s="220"/>
      <c r="E6" s="53"/>
      <c r="F6" s="530">
        <f>'1. T1 INVESTOINTISUUN.'!F4</f>
        <v>0</v>
      </c>
      <c r="G6" s="2138"/>
      <c r="H6" s="2138"/>
      <c r="I6" s="2138"/>
      <c r="J6" s="2138"/>
      <c r="L6" s="1552" t="s">
        <v>453</v>
      </c>
      <c r="M6" s="141"/>
      <c r="N6" s="322"/>
      <c r="O6" s="141"/>
      <c r="P6" s="141"/>
      <c r="Q6" s="141"/>
      <c r="R6" s="141"/>
      <c r="S6" s="395"/>
    </row>
    <row r="7" spans="1:19" x14ac:dyDescent="0.2">
      <c r="B7" s="160"/>
      <c r="C7" s="524"/>
      <c r="D7" s="524"/>
      <c r="E7" s="524"/>
      <c r="F7" s="524"/>
      <c r="G7" s="524"/>
      <c r="H7" s="53"/>
      <c r="I7" s="524"/>
      <c r="J7" s="524"/>
      <c r="K7" s="45"/>
      <c r="L7" s="396"/>
      <c r="M7" s="141"/>
      <c r="N7" s="322"/>
      <c r="O7" s="141"/>
      <c r="P7" s="141"/>
      <c r="Q7" s="141"/>
      <c r="R7" s="141"/>
      <c r="S7" s="395"/>
    </row>
    <row r="8" spans="1:19" x14ac:dyDescent="0.2">
      <c r="B8" s="2141"/>
      <c r="C8" s="2141"/>
      <c r="D8" s="525"/>
      <c r="E8" s="525"/>
      <c r="F8" s="525"/>
      <c r="G8" s="526"/>
      <c r="H8" s="53"/>
      <c r="I8" s="53"/>
      <c r="J8" s="53"/>
      <c r="L8" s="396"/>
      <c r="M8" s="141"/>
      <c r="N8" s="323"/>
      <c r="O8" s="141"/>
      <c r="P8" s="141"/>
      <c r="Q8" s="141"/>
      <c r="R8" s="141"/>
      <c r="S8" s="395"/>
    </row>
    <row r="9" spans="1:19" ht="13.5" thickBot="1" x14ac:dyDescent="0.25">
      <c r="B9" s="40"/>
      <c r="L9" s="396"/>
      <c r="M9" s="141"/>
      <c r="N9" s="141"/>
      <c r="O9" s="141"/>
      <c r="P9" s="141"/>
      <c r="Q9" s="141"/>
      <c r="R9" s="141"/>
      <c r="S9" s="395"/>
    </row>
    <row r="10" spans="1:19" ht="12.75" customHeight="1" x14ac:dyDescent="0.2">
      <c r="B10" s="1085"/>
      <c r="C10" s="1086"/>
      <c r="D10" s="1086"/>
      <c r="E10" s="1087"/>
      <c r="F10" s="1096"/>
      <c r="G10" s="1096" t="str">
        <f>'1. T1 INVESTOINTISUUN.'!E15</f>
        <v>Ennuste 1</v>
      </c>
      <c r="H10" s="1096" t="str">
        <f>'4. E2 LIIKEVAIHTO'!F7</f>
        <v>Ennuste 2</v>
      </c>
      <c r="I10" s="1102" t="str">
        <f>'4. E2 LIIKEVAIHTO'!G7</f>
        <v>Ennuste 3</v>
      </c>
      <c r="J10" s="1097" t="s">
        <v>188</v>
      </c>
      <c r="L10" s="2132" t="s">
        <v>147</v>
      </c>
      <c r="M10" s="2133"/>
      <c r="N10" s="2133"/>
      <c r="O10" s="2133"/>
      <c r="P10" s="2133"/>
      <c r="Q10" s="2133"/>
      <c r="R10" s="2133"/>
      <c r="S10" s="2134"/>
    </row>
    <row r="11" spans="1:19" ht="12.75" customHeight="1" x14ac:dyDescent="0.2">
      <c r="A11" s="53"/>
      <c r="B11" s="2146" t="s">
        <v>147</v>
      </c>
      <c r="C11" s="2147"/>
      <c r="D11" s="2147"/>
      <c r="E11" s="2148"/>
      <c r="F11" s="1098"/>
      <c r="G11" s="1081">
        <f>'4. E2 LIIKEVAIHTO'!E8</f>
        <v>2027</v>
      </c>
      <c r="H11" s="1081">
        <f>'4. E2 LIIKEVAIHTO'!F8</f>
        <v>2028</v>
      </c>
      <c r="I11" s="1103">
        <f>'4. E2 LIIKEVAIHTO'!G8</f>
        <v>2029</v>
      </c>
      <c r="J11" s="1084">
        <f>'1. T1 INVESTOINTISUUN.'!H16</f>
        <v>2030</v>
      </c>
      <c r="L11" s="312"/>
      <c r="M11" s="256"/>
      <c r="N11" s="256"/>
      <c r="O11" s="256"/>
      <c r="P11" s="256"/>
      <c r="Q11" s="256"/>
      <c r="R11" s="256"/>
      <c r="S11" s="361"/>
    </row>
    <row r="12" spans="1:19" ht="12.75" customHeight="1" thickBot="1" x14ac:dyDescent="0.25">
      <c r="A12"/>
      <c r="B12" s="1104"/>
      <c r="C12" s="1105"/>
      <c r="D12" s="1105"/>
      <c r="E12" s="1106"/>
      <c r="F12" s="1107"/>
      <c r="G12" s="1108" t="s">
        <v>17</v>
      </c>
      <c r="H12" s="1108" t="s">
        <v>17</v>
      </c>
      <c r="I12" s="1109" t="s">
        <v>17</v>
      </c>
      <c r="J12" s="1110" t="s">
        <v>17</v>
      </c>
      <c r="L12" s="312"/>
      <c r="M12" s="256" t="s">
        <v>0</v>
      </c>
      <c r="N12" s="256"/>
      <c r="O12" s="256"/>
      <c r="P12" s="256"/>
      <c r="Q12" s="256"/>
      <c r="R12" s="256"/>
      <c r="S12" s="361"/>
    </row>
    <row r="13" spans="1:19" x14ac:dyDescent="0.2">
      <c r="A13" s="6"/>
      <c r="B13" s="1916" t="s">
        <v>152</v>
      </c>
      <c r="C13" s="1917" t="s">
        <v>153</v>
      </c>
      <c r="D13" s="1917"/>
      <c r="E13" s="1918"/>
      <c r="F13" s="1919"/>
      <c r="G13" s="1920">
        <f>G14+G18+G34</f>
        <v>0</v>
      </c>
      <c r="H13" s="1920">
        <f>H14+H18+H34</f>
        <v>0</v>
      </c>
      <c r="I13" s="1920">
        <f>I14+I18+I34</f>
        <v>0</v>
      </c>
      <c r="J13" s="1921">
        <f>J14+J18+J34</f>
        <v>0</v>
      </c>
      <c r="L13" s="312"/>
      <c r="M13" s="256"/>
      <c r="N13" s="256"/>
      <c r="O13" s="256"/>
      <c r="P13" s="256"/>
      <c r="Q13" s="256"/>
      <c r="R13" s="256"/>
      <c r="S13" s="361"/>
    </row>
    <row r="14" spans="1:19" x14ac:dyDescent="0.2">
      <c r="A14" s="219"/>
      <c r="B14" s="1922" t="s">
        <v>137</v>
      </c>
      <c r="C14" s="189" t="s">
        <v>182</v>
      </c>
      <c r="D14" s="189"/>
      <c r="E14" s="190"/>
      <c r="F14" s="559"/>
      <c r="G14" s="921">
        <f>G15-G16-G17</f>
        <v>0</v>
      </c>
      <c r="H14" s="921">
        <f>G14+H15-H16-H17</f>
        <v>0</v>
      </c>
      <c r="I14" s="922">
        <f>H14+I15-I16-I17</f>
        <v>0</v>
      </c>
      <c r="J14" s="1923">
        <f>I14+J15-J16-J17</f>
        <v>0</v>
      </c>
      <c r="L14" s="312"/>
      <c r="M14" s="256"/>
      <c r="N14" s="256"/>
      <c r="O14" s="256"/>
      <c r="P14" s="256"/>
      <c r="Q14" s="256"/>
      <c r="R14" s="256"/>
      <c r="S14" s="361"/>
    </row>
    <row r="15" spans="1:19" x14ac:dyDescent="0.2">
      <c r="B15" s="1826" t="s">
        <v>0</v>
      </c>
      <c r="C15" s="1725" t="s">
        <v>795</v>
      </c>
      <c r="D15" s="200"/>
      <c r="E15" s="201" t="s">
        <v>30</v>
      </c>
      <c r="F15" s="547"/>
      <c r="G15" s="918">
        <f>'AT1 Avustus, alv'!E47</f>
        <v>0</v>
      </c>
      <c r="H15" s="541">
        <f>'AT1 Avustus, alv'!F47</f>
        <v>0</v>
      </c>
      <c r="I15" s="642">
        <f>'AT1 Avustus, alv'!G47</f>
        <v>0</v>
      </c>
      <c r="J15" s="534">
        <f>'AT1 Avustus, alv'!H47</f>
        <v>0</v>
      </c>
      <c r="L15" s="2128" t="s">
        <v>661</v>
      </c>
      <c r="M15" s="2129"/>
      <c r="N15" s="2129"/>
      <c r="O15" s="2129"/>
      <c r="P15" s="256"/>
      <c r="Q15" s="256"/>
      <c r="R15" s="256"/>
      <c r="S15" s="361"/>
    </row>
    <row r="16" spans="1:19" x14ac:dyDescent="0.2">
      <c r="A16" s="219"/>
      <c r="B16" s="1826" t="s">
        <v>0</v>
      </c>
      <c r="C16" s="1725" t="s">
        <v>796</v>
      </c>
      <c r="D16" s="200"/>
      <c r="E16" s="202" t="s">
        <v>31</v>
      </c>
      <c r="F16" s="547"/>
      <c r="G16" s="762">
        <v>0</v>
      </c>
      <c r="H16" s="532"/>
      <c r="I16" s="923"/>
      <c r="J16" s="1924"/>
      <c r="L16" s="335">
        <f>G$11</f>
        <v>2027</v>
      </c>
      <c r="M16" s="335">
        <f>H$11</f>
        <v>2028</v>
      </c>
      <c r="N16" s="335">
        <f>I$11</f>
        <v>2029</v>
      </c>
      <c r="O16" s="335">
        <f>J$11</f>
        <v>2030</v>
      </c>
      <c r="P16" s="256"/>
      <c r="Q16" s="256"/>
      <c r="R16" s="256"/>
      <c r="S16" s="361"/>
    </row>
    <row r="17" spans="1:19" x14ac:dyDescent="0.2">
      <c r="A17" s="219"/>
      <c r="B17" s="1826"/>
      <c r="C17" s="1730" t="s">
        <v>797</v>
      </c>
      <c r="D17" s="188" t="s">
        <v>156</v>
      </c>
      <c r="E17" s="1370">
        <v>0.2</v>
      </c>
      <c r="F17" s="547"/>
      <c r="G17" s="330">
        <f>(F14+G15*L17/12-G16)*$E17</f>
        <v>0</v>
      </c>
      <c r="H17" s="330">
        <f>(G14+H15*M17/12-H16)*$E$17</f>
        <v>0</v>
      </c>
      <c r="I17" s="330">
        <f>(H14+I15*N17/12-I16)*$E$17</f>
        <v>0</v>
      </c>
      <c r="J17" s="1925">
        <f>(I14+J15*O17/12-J16)*$E$17</f>
        <v>0</v>
      </c>
      <c r="L17" s="336">
        <v>12</v>
      </c>
      <c r="M17" s="336">
        <v>12</v>
      </c>
      <c r="N17" s="336">
        <v>12</v>
      </c>
      <c r="O17" s="336">
        <v>12</v>
      </c>
      <c r="P17" s="256"/>
      <c r="Q17" s="256"/>
      <c r="R17" s="256"/>
      <c r="S17" s="361"/>
    </row>
    <row r="18" spans="1:19" x14ac:dyDescent="0.2">
      <c r="A18" s="219"/>
      <c r="B18" s="1922" t="s">
        <v>138</v>
      </c>
      <c r="C18" s="386" t="s">
        <v>183</v>
      </c>
      <c r="D18" s="386"/>
      <c r="E18" s="467"/>
      <c r="F18" s="560"/>
      <c r="G18" s="846">
        <f>G19+G22+G26+G30</f>
        <v>0</v>
      </c>
      <c r="H18" s="846">
        <f>H19+H22+H26+H30</f>
        <v>0</v>
      </c>
      <c r="I18" s="924">
        <f>I19+I22+I26+I30</f>
        <v>0</v>
      </c>
      <c r="J18" s="1926">
        <f>J19+J22+J26+J30</f>
        <v>0</v>
      </c>
      <c r="L18" s="312"/>
      <c r="M18" s="256"/>
      <c r="N18" s="256"/>
      <c r="O18" s="256"/>
      <c r="P18" s="256"/>
      <c r="Q18" s="256"/>
      <c r="R18" s="256"/>
      <c r="S18" s="361"/>
    </row>
    <row r="19" spans="1:19" x14ac:dyDescent="0.2">
      <c r="B19" s="1826" t="s">
        <v>0</v>
      </c>
      <c r="C19" s="465" t="s">
        <v>450</v>
      </c>
      <c r="D19" s="465"/>
      <c r="E19" s="466"/>
      <c r="F19" s="561"/>
      <c r="G19" s="749">
        <f>G20-G21</f>
        <v>0</v>
      </c>
      <c r="H19" s="749">
        <f>G19+H20-H21</f>
        <v>0</v>
      </c>
      <c r="I19" s="750">
        <f>H19+I20-I21</f>
        <v>0</v>
      </c>
      <c r="J19" s="262">
        <f>I19+J20-J21</f>
        <v>0</v>
      </c>
      <c r="L19" s="312"/>
      <c r="M19" s="256"/>
      <c r="N19" s="256"/>
      <c r="O19" s="256"/>
      <c r="P19" s="256"/>
      <c r="Q19" s="256"/>
      <c r="R19" s="256"/>
      <c r="S19" s="361"/>
    </row>
    <row r="20" spans="1:19" x14ac:dyDescent="0.2">
      <c r="A20" s="219"/>
      <c r="B20" s="1826" t="s">
        <v>0</v>
      </c>
      <c r="C20" s="1725" t="s">
        <v>795</v>
      </c>
      <c r="D20" s="200"/>
      <c r="E20" s="203" t="s">
        <v>30</v>
      </c>
      <c r="F20" s="547"/>
      <c r="G20" s="541">
        <f>'AT1 Avustus, alv'!E7</f>
        <v>0</v>
      </c>
      <c r="H20" s="541">
        <f>'AT1 Avustus, alv'!F7</f>
        <v>0</v>
      </c>
      <c r="I20" s="642">
        <f>'AT1 Avustus, alv'!G7</f>
        <v>0</v>
      </c>
      <c r="J20" s="534">
        <f>'AT1 Avustus, alv'!H7</f>
        <v>0</v>
      </c>
      <c r="L20" s="1295"/>
      <c r="M20" s="256"/>
      <c r="N20" s="256"/>
      <c r="O20" s="256"/>
      <c r="P20" s="256"/>
      <c r="Q20" s="256"/>
      <c r="R20" s="256"/>
      <c r="S20" s="361"/>
    </row>
    <row r="21" spans="1:19" x14ac:dyDescent="0.2">
      <c r="A21" s="6"/>
      <c r="B21" s="1826" t="s">
        <v>0</v>
      </c>
      <c r="C21" s="1731" t="s">
        <v>796</v>
      </c>
      <c r="D21" s="470"/>
      <c r="E21" s="471" t="s">
        <v>31</v>
      </c>
      <c r="F21" s="547"/>
      <c r="G21" s="762">
        <v>0</v>
      </c>
      <c r="H21" s="532">
        <v>0</v>
      </c>
      <c r="I21" s="923"/>
      <c r="J21" s="1924"/>
      <c r="L21" s="312"/>
      <c r="M21" s="256"/>
      <c r="N21" s="256"/>
      <c r="O21" s="256"/>
      <c r="P21" s="256"/>
      <c r="Q21" s="256"/>
      <c r="R21" s="256"/>
      <c r="S21" s="361"/>
    </row>
    <row r="22" spans="1:19" x14ac:dyDescent="0.2">
      <c r="A22" s="6"/>
      <c r="B22" s="1826"/>
      <c r="C22" s="468" t="s">
        <v>184</v>
      </c>
      <c r="D22" s="468"/>
      <c r="E22" s="469"/>
      <c r="F22" s="561"/>
      <c r="G22" s="749">
        <f>G23-G24-G25</f>
        <v>0</v>
      </c>
      <c r="H22" s="749">
        <f>G22+H23-H24-H25</f>
        <v>0</v>
      </c>
      <c r="I22" s="750">
        <f>H22+I23-I24-I25</f>
        <v>0</v>
      </c>
      <c r="J22" s="262">
        <f>I22+J23-J24-J25</f>
        <v>0</v>
      </c>
      <c r="L22" s="312"/>
      <c r="M22" s="256"/>
      <c r="N22" s="256"/>
      <c r="O22" s="256"/>
      <c r="P22" s="256"/>
      <c r="Q22" s="256"/>
      <c r="R22" s="256"/>
      <c r="S22" s="361"/>
    </row>
    <row r="23" spans="1:19" x14ac:dyDescent="0.2">
      <c r="A23" s="219"/>
      <c r="B23" s="1826" t="s">
        <v>0</v>
      </c>
      <c r="C23" s="1725" t="s">
        <v>795</v>
      </c>
      <c r="D23" s="200"/>
      <c r="E23" s="203" t="s">
        <v>30</v>
      </c>
      <c r="F23" s="547"/>
      <c r="G23" s="541">
        <f>'AT1 Avustus, alv'!E14+'AT1 Avustus, alv'!E18</f>
        <v>0</v>
      </c>
      <c r="H23" s="541">
        <f>'AT1 Avustus, alv'!F14+'AT1 Avustus, alv'!F18</f>
        <v>0</v>
      </c>
      <c r="I23" s="642">
        <f>'AT1 Avustus, alv'!G14+'AT1 Avustus, alv'!G18</f>
        <v>0</v>
      </c>
      <c r="J23" s="534">
        <f>'AT1 Avustus, alv'!H14+'AT1 Avustus, alv'!H18</f>
        <v>0</v>
      </c>
      <c r="L23" s="2128" t="s">
        <v>661</v>
      </c>
      <c r="M23" s="2129"/>
      <c r="N23" s="2129"/>
      <c r="O23" s="2129"/>
      <c r="P23" s="256"/>
      <c r="Q23" s="256"/>
      <c r="R23" s="256"/>
      <c r="S23" s="361"/>
    </row>
    <row r="24" spans="1:19" x14ac:dyDescent="0.2">
      <c r="B24" s="1826" t="s">
        <v>0</v>
      </c>
      <c r="C24" s="1725" t="s">
        <v>796</v>
      </c>
      <c r="D24" s="200"/>
      <c r="E24" s="202" t="s">
        <v>31</v>
      </c>
      <c r="F24" s="547"/>
      <c r="G24" s="762">
        <v>0</v>
      </c>
      <c r="H24" s="532">
        <v>0</v>
      </c>
      <c r="I24" s="923">
        <v>0</v>
      </c>
      <c r="J24" s="1924">
        <v>0</v>
      </c>
      <c r="L24" s="335">
        <f>G$11</f>
        <v>2027</v>
      </c>
      <c r="M24" s="335">
        <f>H$11</f>
        <v>2028</v>
      </c>
      <c r="N24" s="335">
        <f>I$11</f>
        <v>2029</v>
      </c>
      <c r="O24" s="335">
        <f>J$11</f>
        <v>2030</v>
      </c>
      <c r="P24" s="256"/>
      <c r="Q24" s="256"/>
      <c r="R24" s="256"/>
      <c r="S24" s="361"/>
    </row>
    <row r="25" spans="1:19" x14ac:dyDescent="0.2">
      <c r="A25" s="219"/>
      <c r="B25" s="1826"/>
      <c r="C25" s="1731" t="s">
        <v>797</v>
      </c>
      <c r="D25" s="472" t="s">
        <v>156</v>
      </c>
      <c r="E25" s="473">
        <v>7.0000000000000007E-2</v>
      </c>
      <c r="F25" s="547"/>
      <c r="G25" s="330">
        <f>(F22+G23*L25/12-G24)*$E25</f>
        <v>0</v>
      </c>
      <c r="H25" s="330">
        <f>(G22+H23*M25/12-H24)*$E$25</f>
        <v>0</v>
      </c>
      <c r="I25" s="330">
        <f>(H22+I23*N25/12-I24)*$E$25</f>
        <v>0</v>
      </c>
      <c r="J25" s="1925">
        <f>(I22+J23*O25/12-J24)*$E$25</f>
        <v>0</v>
      </c>
      <c r="L25" s="336">
        <v>12</v>
      </c>
      <c r="M25" s="336">
        <v>12</v>
      </c>
      <c r="N25" s="336">
        <v>12</v>
      </c>
      <c r="O25" s="336">
        <v>12</v>
      </c>
      <c r="P25" s="256"/>
      <c r="Q25" s="256"/>
      <c r="R25" s="256"/>
      <c r="S25" s="361"/>
    </row>
    <row r="26" spans="1:19" x14ac:dyDescent="0.2">
      <c r="B26" s="1826"/>
      <c r="C26" s="468" t="s">
        <v>185</v>
      </c>
      <c r="D26" s="468"/>
      <c r="E26" s="469"/>
      <c r="F26" s="559"/>
      <c r="G26" s="749">
        <f>G27-G28-G29</f>
        <v>0</v>
      </c>
      <c r="H26" s="749">
        <f>G26+H27-H28-H29</f>
        <v>0</v>
      </c>
      <c r="I26" s="750">
        <f>H26+I27-I28-I29</f>
        <v>0</v>
      </c>
      <c r="J26" s="262">
        <f>I26+J27-J28-J29</f>
        <v>0</v>
      </c>
      <c r="L26" s="284"/>
      <c r="M26" s="179"/>
      <c r="N26" s="179"/>
      <c r="O26" s="179"/>
      <c r="P26" s="256"/>
      <c r="Q26" s="256"/>
      <c r="R26" s="256"/>
      <c r="S26" s="361"/>
    </row>
    <row r="27" spans="1:19" x14ac:dyDescent="0.2">
      <c r="A27" s="219"/>
      <c r="B27" s="1826" t="s">
        <v>0</v>
      </c>
      <c r="C27" s="1725" t="s">
        <v>795</v>
      </c>
      <c r="D27" s="200"/>
      <c r="E27" s="203" t="s">
        <v>30</v>
      </c>
      <c r="F27" s="547"/>
      <c r="G27" s="541">
        <f>'AT1 Avustus, alv'!E27+'AT1 Avustus, alv'!E33</f>
        <v>0</v>
      </c>
      <c r="H27" s="541">
        <f>'AT1 Avustus, alv'!F27+'AT1 Avustus, alv'!F33</f>
        <v>0</v>
      </c>
      <c r="I27" s="642">
        <f>'AT1 Avustus, alv'!G27+'AT1 Avustus, alv'!G33</f>
        <v>0</v>
      </c>
      <c r="J27" s="534">
        <f>'AT1 Avustus, alv'!H27+'AT1 Avustus, alv'!H33</f>
        <v>0</v>
      </c>
      <c r="L27" s="2128" t="s">
        <v>661</v>
      </c>
      <c r="M27" s="2129"/>
      <c r="N27" s="2129"/>
      <c r="O27" s="2129"/>
      <c r="P27" s="256"/>
      <c r="Q27" s="256"/>
      <c r="R27" s="256"/>
      <c r="S27" s="361"/>
    </row>
    <row r="28" spans="1:19" x14ac:dyDescent="0.2">
      <c r="A28" s="6"/>
      <c r="B28" s="1826" t="s">
        <v>0</v>
      </c>
      <c r="C28" s="1725" t="s">
        <v>796</v>
      </c>
      <c r="D28" s="200"/>
      <c r="E28" s="202" t="s">
        <v>31</v>
      </c>
      <c r="F28" s="547"/>
      <c r="G28" s="762">
        <v>0</v>
      </c>
      <c r="H28" s="532">
        <v>0</v>
      </c>
      <c r="I28" s="923"/>
      <c r="J28" s="1924"/>
      <c r="L28" s="335">
        <f>G$11</f>
        <v>2027</v>
      </c>
      <c r="M28" s="335">
        <f>H$11</f>
        <v>2028</v>
      </c>
      <c r="N28" s="335">
        <f>I$11</f>
        <v>2029</v>
      </c>
      <c r="O28" s="335">
        <f>J$11</f>
        <v>2030</v>
      </c>
      <c r="P28" s="256"/>
      <c r="Q28" s="256"/>
      <c r="R28" s="256"/>
      <c r="S28" s="361"/>
    </row>
    <row r="29" spans="1:19" x14ac:dyDescent="0.2">
      <c r="A29" s="219"/>
      <c r="B29" s="1826"/>
      <c r="C29" s="1731" t="s">
        <v>797</v>
      </c>
      <c r="D29" s="472" t="s">
        <v>156</v>
      </c>
      <c r="E29" s="473">
        <v>0.2</v>
      </c>
      <c r="F29" s="562"/>
      <c r="G29" s="330">
        <f>(F26+G27*L29/12-G28)*$E29</f>
        <v>0</v>
      </c>
      <c r="H29" s="330">
        <f>(G26+H27*M29/12-H28)*$E$29</f>
        <v>0</v>
      </c>
      <c r="I29" s="330">
        <f>(H26+I27*N29/12-I28)*$E$29</f>
        <v>0</v>
      </c>
      <c r="J29" s="1925">
        <f>(I26+J27*O29/12-J28)*$E$29</f>
        <v>0</v>
      </c>
      <c r="L29" s="336">
        <v>12</v>
      </c>
      <c r="M29" s="336">
        <v>12</v>
      </c>
      <c r="N29" s="336">
        <v>12</v>
      </c>
      <c r="O29" s="336">
        <v>12</v>
      </c>
      <c r="P29" s="256"/>
      <c r="Q29" s="256"/>
      <c r="R29" s="256"/>
      <c r="S29" s="361"/>
    </row>
    <row r="30" spans="1:19" x14ac:dyDescent="0.2">
      <c r="B30" s="1826"/>
      <c r="C30" s="2139" t="s">
        <v>186</v>
      </c>
      <c r="D30" s="2139"/>
      <c r="E30" s="2140"/>
      <c r="F30" s="561"/>
      <c r="G30" s="749">
        <f>G31-G32-G33</f>
        <v>0</v>
      </c>
      <c r="H30" s="749">
        <f>G30+H31-H32-H33</f>
        <v>0</v>
      </c>
      <c r="I30" s="750">
        <f>H30+I31-I32-I33</f>
        <v>0</v>
      </c>
      <c r="J30" s="262">
        <f>I30+J31-J32-J33</f>
        <v>0</v>
      </c>
      <c r="L30" s="284"/>
      <c r="M30" s="179"/>
      <c r="N30" s="179"/>
      <c r="O30" s="179"/>
      <c r="P30" s="256"/>
      <c r="Q30" s="256"/>
      <c r="R30" s="256"/>
      <c r="S30" s="361"/>
    </row>
    <row r="31" spans="1:19" x14ac:dyDescent="0.2">
      <c r="A31" s="219"/>
      <c r="B31" s="1826" t="s">
        <v>0</v>
      </c>
      <c r="C31" s="1725" t="s">
        <v>795</v>
      </c>
      <c r="D31" s="200"/>
      <c r="E31" s="203" t="s">
        <v>30</v>
      </c>
      <c r="F31" s="547"/>
      <c r="G31" s="541">
        <f>'AT1 Avustus, alv'!E40</f>
        <v>0</v>
      </c>
      <c r="H31" s="541">
        <f>'AT1 Avustus, alv'!F40</f>
        <v>0</v>
      </c>
      <c r="I31" s="642">
        <f>'AT1 Avustus, alv'!G40</f>
        <v>0</v>
      </c>
      <c r="J31" s="534">
        <f>'AT1 Avustus, alv'!H40</f>
        <v>0</v>
      </c>
      <c r="L31" s="2128" t="s">
        <v>662</v>
      </c>
      <c r="M31" s="2129"/>
      <c r="N31" s="2129"/>
      <c r="O31" s="2129"/>
      <c r="P31" s="256"/>
      <c r="Q31" s="256"/>
      <c r="R31" s="256"/>
      <c r="S31" s="361"/>
    </row>
    <row r="32" spans="1:19" x14ac:dyDescent="0.2">
      <c r="A32" s="6"/>
      <c r="B32" s="1826" t="s">
        <v>0</v>
      </c>
      <c r="C32" s="1725" t="s">
        <v>796</v>
      </c>
      <c r="D32" s="200"/>
      <c r="E32" s="202" t="s">
        <v>31</v>
      </c>
      <c r="F32" s="547"/>
      <c r="G32" s="762">
        <v>0</v>
      </c>
      <c r="H32" s="532"/>
      <c r="I32" s="923"/>
      <c r="J32" s="1924">
        <v>0</v>
      </c>
      <c r="L32" s="335">
        <f>G$11</f>
        <v>2027</v>
      </c>
      <c r="M32" s="335">
        <f>H$11</f>
        <v>2028</v>
      </c>
      <c r="N32" s="335">
        <f>I$11</f>
        <v>2029</v>
      </c>
      <c r="O32" s="335">
        <f>J$11</f>
        <v>2030</v>
      </c>
      <c r="P32" s="256"/>
      <c r="Q32" s="256"/>
      <c r="R32" s="256"/>
      <c r="S32" s="361"/>
    </row>
    <row r="33" spans="1:19" x14ac:dyDescent="0.2">
      <c r="B33" s="1826"/>
      <c r="C33" s="1730" t="s">
        <v>797</v>
      </c>
      <c r="D33" s="188" t="s">
        <v>156</v>
      </c>
      <c r="E33" s="473">
        <v>0.2</v>
      </c>
      <c r="F33" s="547"/>
      <c r="G33" s="330">
        <f>(F30+G31*L33/12-G32)*$E33</f>
        <v>0</v>
      </c>
      <c r="H33" s="330">
        <f>(G30+H31*M33/12-H32)*$E$33</f>
        <v>0</v>
      </c>
      <c r="I33" s="330">
        <f>(H30+I31*N33/12-I32)*$E$33</f>
        <v>0</v>
      </c>
      <c r="J33" s="1925">
        <f>(I30+J31*O33/12-J32)*$E$33</f>
        <v>0</v>
      </c>
      <c r="L33" s="336">
        <v>12</v>
      </c>
      <c r="M33" s="336">
        <v>12</v>
      </c>
      <c r="N33" s="336">
        <v>12</v>
      </c>
      <c r="O33" s="336">
        <v>12</v>
      </c>
      <c r="P33" s="256"/>
      <c r="Q33" s="256"/>
      <c r="R33" s="256"/>
      <c r="S33" s="361"/>
    </row>
    <row r="34" spans="1:19" x14ac:dyDescent="0.2">
      <c r="A34" s="219"/>
      <c r="B34" s="1922" t="s">
        <v>139</v>
      </c>
      <c r="C34" s="386" t="s">
        <v>140</v>
      </c>
      <c r="D34" s="387"/>
      <c r="E34" s="1460"/>
      <c r="F34" s="546"/>
      <c r="G34" s="846">
        <f>F34+G35-G36</f>
        <v>0</v>
      </c>
      <c r="H34" s="846">
        <f>G34+H35-H36</f>
        <v>0</v>
      </c>
      <c r="I34" s="846">
        <f>H34+I35-I36</f>
        <v>0</v>
      </c>
      <c r="J34" s="1927">
        <f>I34+J35-J36</f>
        <v>0</v>
      </c>
      <c r="L34" s="1296"/>
      <c r="M34" s="390"/>
      <c r="N34" s="390"/>
      <c r="O34" s="390"/>
      <c r="P34" s="256"/>
      <c r="Q34" s="256"/>
      <c r="R34" s="256"/>
      <c r="S34" s="361"/>
    </row>
    <row r="35" spans="1:19" x14ac:dyDescent="0.2">
      <c r="A35" s="219"/>
      <c r="B35" s="1922"/>
      <c r="C35" s="1726" t="s">
        <v>795</v>
      </c>
      <c r="D35" s="388"/>
      <c r="E35" s="389" t="s">
        <v>30</v>
      </c>
      <c r="F35" s="546"/>
      <c r="G35" s="541">
        <f>'1. T1 INVESTOINTISUUN.'!E38</f>
        <v>0</v>
      </c>
      <c r="H35" s="330">
        <f>'1. T1 INVESTOINTISUUN.'!F38</f>
        <v>0</v>
      </c>
      <c r="I35" s="330">
        <f>'1. T1 INVESTOINTISUUN.'!G38</f>
        <v>0</v>
      </c>
      <c r="J35" s="1925">
        <f>'1. T1 INVESTOINTISUUN.'!H38</f>
        <v>0</v>
      </c>
      <c r="L35" s="1296"/>
      <c r="M35" s="390"/>
      <c r="N35" s="390"/>
      <c r="O35" s="390"/>
      <c r="P35" s="256"/>
      <c r="Q35" s="256"/>
      <c r="R35" s="256"/>
      <c r="S35" s="361"/>
    </row>
    <row r="36" spans="1:19" ht="13.5" thickBot="1" x14ac:dyDescent="0.25">
      <c r="A36"/>
      <c r="B36" s="1928"/>
      <c r="C36" s="1929" t="s">
        <v>796</v>
      </c>
      <c r="D36" s="1930"/>
      <c r="E36" s="1931" t="s">
        <v>31</v>
      </c>
      <c r="F36" s="1932"/>
      <c r="G36" s="1933">
        <v>0</v>
      </c>
      <c r="H36" s="1934">
        <v>0</v>
      </c>
      <c r="I36" s="1934">
        <v>0</v>
      </c>
      <c r="J36" s="1935">
        <v>0</v>
      </c>
      <c r="L36" s="312"/>
      <c r="M36" s="256"/>
      <c r="N36" s="256"/>
      <c r="O36" s="256"/>
      <c r="P36" s="256"/>
      <c r="Q36" s="256"/>
      <c r="R36" s="256"/>
      <c r="S36" s="361"/>
    </row>
    <row r="37" spans="1:19" ht="6" customHeight="1" thickBot="1" x14ac:dyDescent="0.25">
      <c r="A37"/>
      <c r="B37" s="461"/>
      <c r="C37" s="455"/>
      <c r="D37" s="462"/>
      <c r="E37" s="463"/>
      <c r="F37" s="464"/>
      <c r="G37" s="925"/>
      <c r="H37" s="925"/>
      <c r="I37" s="925"/>
      <c r="J37" s="925"/>
      <c r="K37" s="129"/>
      <c r="L37" s="349"/>
      <c r="M37" s="164"/>
      <c r="N37" s="164"/>
      <c r="O37" s="164"/>
      <c r="P37" s="164"/>
      <c r="Q37" s="164"/>
      <c r="R37" s="164"/>
      <c r="S37" s="397"/>
    </row>
    <row r="38" spans="1:19" x14ac:dyDescent="0.2">
      <c r="A38"/>
      <c r="B38" s="1916" t="s">
        <v>150</v>
      </c>
      <c r="C38" s="1936" t="s">
        <v>151</v>
      </c>
      <c r="D38" s="1936"/>
      <c r="E38" s="1937"/>
      <c r="F38" s="1938"/>
      <c r="G38" s="1939">
        <f>G39+G41+G48+G49</f>
        <v>0</v>
      </c>
      <c r="H38" s="1939">
        <f>H39+H41+H48+H49</f>
        <v>0</v>
      </c>
      <c r="I38" s="1939">
        <f>I39+I41+I48+I49</f>
        <v>0</v>
      </c>
      <c r="J38" s="1940">
        <f>J39+J41+J48+J49</f>
        <v>0</v>
      </c>
      <c r="L38" s="312"/>
      <c r="M38" s="256"/>
      <c r="N38" s="256"/>
      <c r="O38" s="256"/>
      <c r="P38" s="256"/>
      <c r="Q38" s="256"/>
      <c r="R38" s="256"/>
      <c r="S38" s="361"/>
    </row>
    <row r="39" spans="1:19" x14ac:dyDescent="0.2">
      <c r="A39"/>
      <c r="B39" s="1922" t="s">
        <v>141</v>
      </c>
      <c r="C39" s="205" t="s">
        <v>60</v>
      </c>
      <c r="D39" s="205"/>
      <c r="E39" s="201" t="s">
        <v>30</v>
      </c>
      <c r="F39" s="1463"/>
      <c r="G39" s="749">
        <f>'5. T4 RAHOITUSSUUN.'!G47</f>
        <v>0</v>
      </c>
      <c r="H39" s="749">
        <f>'5. T4 RAHOITUSSUUN.'!H47</f>
        <v>0</v>
      </c>
      <c r="I39" s="749">
        <f>'5. T4 RAHOITUSSUUN.'!I47</f>
        <v>0</v>
      </c>
      <c r="J39" s="262">
        <f>'5. T4 RAHOITUSSUUN.'!J47</f>
        <v>0</v>
      </c>
      <c r="L39" s="312"/>
      <c r="M39" s="256"/>
      <c r="N39" s="256"/>
      <c r="O39" s="256"/>
      <c r="P39" s="256"/>
      <c r="Q39" s="256"/>
      <c r="R39" s="256"/>
      <c r="S39" s="361"/>
    </row>
    <row r="40" spans="1:19" x14ac:dyDescent="0.2">
      <c r="A40" s="6"/>
      <c r="B40" s="1922"/>
      <c r="C40" s="2152" t="s">
        <v>366</v>
      </c>
      <c r="D40" s="2152"/>
      <c r="E40" s="2153"/>
      <c r="F40" s="1463"/>
      <c r="G40" s="1060">
        <f>'5. T4 RAHOITUSSUUN.'!G48</f>
        <v>0</v>
      </c>
      <c r="H40" s="1060">
        <f>'5. T4 RAHOITUSSUUN.'!H48</f>
        <v>0</v>
      </c>
      <c r="I40" s="1060">
        <f>'5. T4 RAHOITUSSUUN.'!I48</f>
        <v>0</v>
      </c>
      <c r="J40" s="1941">
        <f>'5. T4 RAHOITUSSUUN.'!J48</f>
        <v>0</v>
      </c>
      <c r="L40" s="312"/>
      <c r="M40" s="256"/>
      <c r="N40" s="256"/>
      <c r="O40" s="256"/>
      <c r="P40" s="256"/>
      <c r="Q40" s="256"/>
      <c r="R40" s="256"/>
      <c r="S40" s="361"/>
    </row>
    <row r="41" spans="1:19" x14ac:dyDescent="0.2">
      <c r="A41" s="219"/>
      <c r="B41" s="1922" t="s">
        <v>138</v>
      </c>
      <c r="C41" s="205" t="s">
        <v>142</v>
      </c>
      <c r="D41" s="205"/>
      <c r="E41" s="201" t="s">
        <v>30</v>
      </c>
      <c r="F41" s="561"/>
      <c r="G41" s="749">
        <f>G42+G46+G47+G44</f>
        <v>0</v>
      </c>
      <c r="H41" s="749">
        <f>H42+H46+H47+H44</f>
        <v>0</v>
      </c>
      <c r="I41" s="749">
        <f>I42+I46+I47+I44</f>
        <v>0</v>
      </c>
      <c r="J41" s="262">
        <f>J42+J46+J47+J44</f>
        <v>0</v>
      </c>
      <c r="L41" s="312"/>
      <c r="M41" s="256"/>
      <c r="N41" s="256"/>
      <c r="O41" s="256"/>
      <c r="P41" s="256"/>
      <c r="Q41" s="256"/>
      <c r="R41" s="256"/>
      <c r="S41" s="361"/>
    </row>
    <row r="42" spans="1:19" x14ac:dyDescent="0.2">
      <c r="B42" s="1826" t="s">
        <v>0</v>
      </c>
      <c r="C42" s="200" t="s">
        <v>143</v>
      </c>
      <c r="D42" s="200"/>
      <c r="E42" s="203" t="s">
        <v>30</v>
      </c>
      <c r="F42" s="546"/>
      <c r="G42" s="541">
        <f>'5. T4 RAHOITUSSUUN.'!G49</f>
        <v>0</v>
      </c>
      <c r="H42" s="541">
        <f>'5. T4 RAHOITUSSUUN.'!H49</f>
        <v>0</v>
      </c>
      <c r="I42" s="541">
        <f>'5. T4 RAHOITUSSUUN.'!I49</f>
        <v>0</v>
      </c>
      <c r="J42" s="534">
        <f>'5. T4 RAHOITUSSUUN.'!J49</f>
        <v>0</v>
      </c>
      <c r="L42" s="312"/>
      <c r="M42" s="256"/>
      <c r="N42" s="256"/>
      <c r="O42" s="256"/>
      <c r="P42" s="256"/>
      <c r="Q42" s="256"/>
      <c r="R42" s="256"/>
      <c r="S42" s="361"/>
    </row>
    <row r="43" spans="1:19" x14ac:dyDescent="0.2">
      <c r="A43"/>
      <c r="B43" s="1826"/>
      <c r="C43" s="2150" t="s">
        <v>197</v>
      </c>
      <c r="D43" s="2150"/>
      <c r="E43" s="2151"/>
      <c r="F43" s="546"/>
      <c r="G43" s="751">
        <f>'5. T4 RAHOITUSSUUN.'!G50</f>
        <v>14</v>
      </c>
      <c r="H43" s="751">
        <f>'5. T4 RAHOITUSSUUN.'!H50</f>
        <v>14</v>
      </c>
      <c r="I43" s="751">
        <f>'5. T4 RAHOITUSSUUN.'!I50</f>
        <v>14</v>
      </c>
      <c r="J43" s="1942">
        <f>'5. T4 RAHOITUSSUUN.'!J50</f>
        <v>14</v>
      </c>
      <c r="L43" s="312"/>
      <c r="M43" s="256"/>
      <c r="N43" s="256"/>
      <c r="O43" s="256"/>
      <c r="P43" s="256"/>
      <c r="Q43" s="256"/>
      <c r="R43" s="256"/>
      <c r="S43" s="361"/>
    </row>
    <row r="44" spans="1:19" x14ac:dyDescent="0.2">
      <c r="A44"/>
      <c r="B44" s="1826"/>
      <c r="C44" s="2105" t="s">
        <v>180</v>
      </c>
      <c r="D44" s="2105"/>
      <c r="E44" s="203" t="s">
        <v>30</v>
      </c>
      <c r="F44" s="546"/>
      <c r="G44" s="541">
        <f>'5. T4 RAHOITUSSUUN.'!G53</f>
        <v>0</v>
      </c>
      <c r="H44" s="541">
        <f>'5. T4 RAHOITUSSUUN.'!H53</f>
        <v>0</v>
      </c>
      <c r="I44" s="541">
        <f>'5. T4 RAHOITUSSUUN.'!I53</f>
        <v>0</v>
      </c>
      <c r="J44" s="534">
        <f>'5. T4 RAHOITUSSUUN.'!J53</f>
        <v>0</v>
      </c>
      <c r="L44" s="312"/>
      <c r="M44" s="256"/>
      <c r="N44" s="256"/>
      <c r="O44" s="256"/>
      <c r="P44" s="256"/>
      <c r="Q44" s="256"/>
      <c r="R44" s="256"/>
      <c r="S44" s="361"/>
    </row>
    <row r="45" spans="1:19" x14ac:dyDescent="0.2">
      <c r="A45"/>
      <c r="B45" s="1826"/>
      <c r="C45" s="2152" t="s">
        <v>341</v>
      </c>
      <c r="D45" s="2152"/>
      <c r="E45" s="2153"/>
      <c r="F45" s="546"/>
      <c r="G45" s="752">
        <f>'5. T4 RAHOITUSSUUN.'!G54</f>
        <v>0</v>
      </c>
      <c r="H45" s="752">
        <f>'5. T4 RAHOITUSSUUN.'!H54</f>
        <v>0</v>
      </c>
      <c r="I45" s="752">
        <f>'5. T4 RAHOITUSSUUN.'!I54</f>
        <v>0</v>
      </c>
      <c r="J45" s="1943">
        <f>'5. T4 RAHOITUSSUUN.'!J54</f>
        <v>0</v>
      </c>
      <c r="L45" s="312"/>
      <c r="M45" s="256"/>
      <c r="N45" s="256"/>
      <c r="O45" s="256"/>
      <c r="P45" s="256"/>
      <c r="Q45" s="256"/>
      <c r="R45" s="256"/>
      <c r="S45" s="361"/>
    </row>
    <row r="46" spans="1:19" x14ac:dyDescent="0.2">
      <c r="B46" s="1826"/>
      <c r="C46" s="2105" t="s">
        <v>219</v>
      </c>
      <c r="D46" s="2105"/>
      <c r="E46" s="203" t="s">
        <v>30</v>
      </c>
      <c r="F46" s="546"/>
      <c r="G46" s="541">
        <f>'5. T4 RAHOITUSSUUN.'!G51</f>
        <v>0</v>
      </c>
      <c r="H46" s="541">
        <f>'5. T4 RAHOITUSSUUN.'!H51</f>
        <v>0</v>
      </c>
      <c r="I46" s="541">
        <f>'5. T4 RAHOITUSSUUN.'!I51</f>
        <v>0</v>
      </c>
      <c r="J46" s="534">
        <f>'5. T4 RAHOITUSSUUN.'!J51</f>
        <v>0</v>
      </c>
      <c r="L46" s="312"/>
      <c r="M46" s="256"/>
      <c r="N46" s="256"/>
      <c r="O46" s="256"/>
      <c r="P46" s="256"/>
      <c r="Q46" s="256"/>
      <c r="R46" s="256"/>
      <c r="S46" s="361"/>
    </row>
    <row r="47" spans="1:19" x14ac:dyDescent="0.2">
      <c r="A47"/>
      <c r="B47" s="1826"/>
      <c r="C47" s="2105" t="s">
        <v>220</v>
      </c>
      <c r="D47" s="2105"/>
      <c r="E47" s="203" t="s">
        <v>30</v>
      </c>
      <c r="F47" s="546"/>
      <c r="G47" s="541">
        <f>'5. T4 RAHOITUSSUUN.'!G52</f>
        <v>0</v>
      </c>
      <c r="H47" s="541">
        <f>'5. T4 RAHOITUSSUUN.'!H52</f>
        <v>0</v>
      </c>
      <c r="I47" s="541">
        <f>'5. T4 RAHOITUSSUUN.'!I52</f>
        <v>0</v>
      </c>
      <c r="J47" s="534">
        <f>'5. T4 RAHOITUSSUUN.'!J52</f>
        <v>0</v>
      </c>
      <c r="L47" s="312"/>
      <c r="M47" s="256"/>
      <c r="N47" s="256"/>
      <c r="O47" s="256"/>
      <c r="P47" s="256"/>
      <c r="Q47" s="366"/>
      <c r="R47" s="256"/>
      <c r="S47" s="398"/>
    </row>
    <row r="48" spans="1:19" x14ac:dyDescent="0.2">
      <c r="B48" s="1922" t="s">
        <v>139</v>
      </c>
      <c r="C48" s="2126" t="s">
        <v>144</v>
      </c>
      <c r="D48" s="2126"/>
      <c r="E48" s="201" t="s">
        <v>30</v>
      </c>
      <c r="F48" s="1463"/>
      <c r="G48" s="753">
        <v>0</v>
      </c>
      <c r="H48" s="753">
        <f>G48</f>
        <v>0</v>
      </c>
      <c r="I48" s="753">
        <f>H48</f>
        <v>0</v>
      </c>
      <c r="J48" s="1944">
        <f>I48</f>
        <v>0</v>
      </c>
      <c r="L48" s="312"/>
      <c r="M48" s="256"/>
      <c r="N48" s="256"/>
      <c r="O48" s="256"/>
      <c r="P48" s="256"/>
      <c r="Q48" s="256"/>
      <c r="R48" s="256"/>
      <c r="S48" s="361"/>
    </row>
    <row r="49" spans="1:19" ht="13.5" thickBot="1" x14ac:dyDescent="0.25">
      <c r="B49" s="1928" t="s">
        <v>145</v>
      </c>
      <c r="C49" s="445" t="s">
        <v>146</v>
      </c>
      <c r="D49" s="445"/>
      <c r="E49" s="1945" t="s">
        <v>30</v>
      </c>
      <c r="F49" s="1946"/>
      <c r="G49" s="1861">
        <f>G98-G13-G39-G41-G48</f>
        <v>0</v>
      </c>
      <c r="H49" s="1861">
        <f>H98-H13-H39-H41-H48</f>
        <v>0</v>
      </c>
      <c r="I49" s="1861">
        <f>I98-I13-I39-I41-I48</f>
        <v>0</v>
      </c>
      <c r="J49" s="1947">
        <f>J98-J13-J39-J41-J48</f>
        <v>0</v>
      </c>
      <c r="L49" s="1295"/>
      <c r="M49" s="256"/>
      <c r="N49" s="256"/>
      <c r="O49" s="256"/>
      <c r="P49" s="256"/>
      <c r="Q49" s="256"/>
      <c r="R49" s="256"/>
      <c r="S49" s="361"/>
    </row>
    <row r="50" spans="1:19" ht="6" customHeight="1" thickBot="1" x14ac:dyDescent="0.25">
      <c r="B50" s="444"/>
      <c r="C50" s="445"/>
      <c r="D50" s="445"/>
      <c r="E50" s="446"/>
      <c r="F50" s="447"/>
      <c r="G50" s="754"/>
      <c r="H50" s="754"/>
      <c r="I50" s="754"/>
      <c r="J50" s="754"/>
      <c r="L50" s="399"/>
      <c r="M50" s="164"/>
      <c r="N50" s="164"/>
      <c r="O50" s="164"/>
      <c r="P50" s="164"/>
      <c r="Q50" s="164"/>
      <c r="R50" s="164"/>
      <c r="S50" s="397"/>
    </row>
    <row r="51" spans="1:19" ht="13.5" thickBot="1" x14ac:dyDescent="0.25">
      <c r="B51" s="2143" t="s">
        <v>176</v>
      </c>
      <c r="C51" s="2144"/>
      <c r="D51" s="2144"/>
      <c r="E51" s="2145"/>
      <c r="F51" s="233" t="s">
        <v>0</v>
      </c>
      <c r="G51" s="755">
        <f>G38+G13</f>
        <v>0</v>
      </c>
      <c r="H51" s="755">
        <f>H38+H13</f>
        <v>0</v>
      </c>
      <c r="I51" s="756">
        <f>I38+I13</f>
        <v>0</v>
      </c>
      <c r="J51" s="757">
        <f>J38+J13</f>
        <v>0</v>
      </c>
      <c r="L51" s="312"/>
      <c r="M51" s="256"/>
      <c r="N51" s="256"/>
      <c r="O51" s="256"/>
      <c r="P51" s="256"/>
      <c r="Q51" s="256"/>
      <c r="R51" s="256"/>
      <c r="S51" s="361"/>
    </row>
    <row r="52" spans="1:19" ht="12.75" customHeight="1" thickBot="1" x14ac:dyDescent="0.25">
      <c r="B52" s="40"/>
      <c r="C52" s="1" t="s">
        <v>0</v>
      </c>
      <c r="D52" s="1"/>
      <c r="G52" s="40"/>
      <c r="H52" s="40"/>
      <c r="I52" s="40"/>
      <c r="J52" s="40"/>
      <c r="L52" s="400"/>
      <c r="M52" s="293"/>
      <c r="N52" s="293"/>
      <c r="O52" s="293"/>
      <c r="P52" s="293"/>
      <c r="Q52" s="293"/>
      <c r="R52" s="293"/>
      <c r="S52" s="401"/>
    </row>
    <row r="53" spans="1:19" ht="12.75" customHeight="1" thickBot="1" x14ac:dyDescent="0.25">
      <c r="B53" s="1085"/>
      <c r="C53" s="1086"/>
      <c r="D53" s="1086"/>
      <c r="E53" s="1087"/>
      <c r="F53" s="1096"/>
      <c r="G53" s="1096" t="str">
        <f t="shared" ref="G53:J54" si="0">G10</f>
        <v>Ennuste 1</v>
      </c>
      <c r="H53" s="1096" t="str">
        <f t="shared" si="0"/>
        <v>Ennuste 2</v>
      </c>
      <c r="I53" s="1102" t="str">
        <f t="shared" si="0"/>
        <v>Ennuste 3</v>
      </c>
      <c r="J53" s="1097" t="str">
        <f t="shared" si="0"/>
        <v>Ennuste 4</v>
      </c>
      <c r="L53" s="2135" t="str">
        <f>B54</f>
        <v>VASTATTAVAA</v>
      </c>
      <c r="M53" s="2136"/>
      <c r="N53" s="2136"/>
      <c r="O53" s="2136"/>
      <c r="P53" s="2136"/>
      <c r="Q53" s="2136"/>
      <c r="R53" s="2136"/>
      <c r="S53" s="2137"/>
    </row>
    <row r="54" spans="1:19" ht="12.75" customHeight="1" x14ac:dyDescent="0.2">
      <c r="B54" s="2146" t="s">
        <v>148</v>
      </c>
      <c r="C54" s="2147"/>
      <c r="D54" s="2147"/>
      <c r="E54" s="2148"/>
      <c r="F54" s="1098"/>
      <c r="G54" s="1081">
        <f t="shared" si="0"/>
        <v>2027</v>
      </c>
      <c r="H54" s="1081">
        <f t="shared" si="0"/>
        <v>2028</v>
      </c>
      <c r="I54" s="1103">
        <f t="shared" si="0"/>
        <v>2029</v>
      </c>
      <c r="J54" s="1082">
        <f t="shared" si="0"/>
        <v>2030</v>
      </c>
      <c r="L54" s="402"/>
      <c r="M54" s="359"/>
      <c r="N54" s="359"/>
      <c r="O54" s="359"/>
      <c r="P54" s="359"/>
      <c r="Q54" s="359"/>
      <c r="R54" s="359"/>
      <c r="S54" s="403"/>
    </row>
    <row r="55" spans="1:19" ht="12.75" customHeight="1" thickBot="1" x14ac:dyDescent="0.25">
      <c r="B55" s="1111"/>
      <c r="C55" s="1088"/>
      <c r="D55" s="1088"/>
      <c r="E55" s="1089"/>
      <c r="F55" s="1112"/>
      <c r="G55" s="1113" t="s">
        <v>17</v>
      </c>
      <c r="H55" s="1113" t="s">
        <v>17</v>
      </c>
      <c r="I55" s="1114" t="s">
        <v>17</v>
      </c>
      <c r="J55" s="1115" t="s">
        <v>17</v>
      </c>
      <c r="L55" s="312"/>
      <c r="M55" s="256"/>
      <c r="N55" s="256"/>
      <c r="O55" s="256"/>
      <c r="P55" s="256"/>
      <c r="Q55" s="256"/>
      <c r="R55" s="256"/>
      <c r="S55" s="361"/>
    </row>
    <row r="56" spans="1:19" x14ac:dyDescent="0.2">
      <c r="A56"/>
      <c r="B56" s="1916" t="s">
        <v>157</v>
      </c>
      <c r="C56" s="1936" t="s">
        <v>149</v>
      </c>
      <c r="D56" s="1936"/>
      <c r="E56" s="1948"/>
      <c r="F56" s="1938"/>
      <c r="G56" s="1939">
        <f>G57+G58-G59+G60+G61</f>
        <v>0</v>
      </c>
      <c r="H56" s="1939">
        <f>H57+H58-H59+H60+H61</f>
        <v>0</v>
      </c>
      <c r="I56" s="1939">
        <f>I57+I58-I59+I60+I61</f>
        <v>0</v>
      </c>
      <c r="J56" s="1940">
        <f>J57+J58-J59+J60+J61</f>
        <v>0</v>
      </c>
      <c r="L56" s="312"/>
      <c r="M56" s="256"/>
      <c r="N56" s="256"/>
      <c r="O56" s="256"/>
      <c r="P56" s="256"/>
      <c r="Q56" s="256"/>
      <c r="R56" s="256"/>
      <c r="S56" s="361"/>
    </row>
    <row r="57" spans="1:19" s="1" customFormat="1" x14ac:dyDescent="0.2">
      <c r="A57" s="40"/>
      <c r="B57" s="1949"/>
      <c r="C57" s="388" t="s">
        <v>192</v>
      </c>
      <c r="D57" s="388"/>
      <c r="E57" s="281"/>
      <c r="F57" s="563"/>
      <c r="G57" s="541">
        <f>'1. T1 INVESTOINTISUUN.'!E48</f>
        <v>0</v>
      </c>
      <c r="H57" s="541">
        <f>G57+'1. T1 INVESTOINTISUUN.'!F48</f>
        <v>0</v>
      </c>
      <c r="I57" s="541">
        <f>H57+'1. T1 INVESTOINTISUUN.'!G48</f>
        <v>0</v>
      </c>
      <c r="J57" s="534">
        <f>I57+'1. T1 INVESTOINTISUUN.'!H48</f>
        <v>0</v>
      </c>
      <c r="K57" s="4"/>
      <c r="L57" s="1294" t="s">
        <v>0</v>
      </c>
      <c r="M57" s="152"/>
      <c r="N57" s="152"/>
      <c r="O57" s="152"/>
      <c r="P57" s="152"/>
      <c r="Q57" s="152"/>
      <c r="R57" s="152"/>
      <c r="S57" s="398"/>
    </row>
    <row r="58" spans="1:19" s="1" customFormat="1" x14ac:dyDescent="0.2">
      <c r="A58" s="40"/>
      <c r="B58" s="1949"/>
      <c r="C58" s="200" t="s">
        <v>193</v>
      </c>
      <c r="D58" s="200"/>
      <c r="E58" s="457"/>
      <c r="F58" s="563"/>
      <c r="G58" s="538">
        <f>F58-F59+F60</f>
        <v>0</v>
      </c>
      <c r="H58" s="538">
        <f>G58-G59+G60</f>
        <v>0</v>
      </c>
      <c r="I58" s="759">
        <f>H58-H59+H60</f>
        <v>0</v>
      </c>
      <c r="J58" s="534">
        <f>I58-I59+I60</f>
        <v>0</v>
      </c>
      <c r="K58" s="4"/>
      <c r="L58" s="312"/>
      <c r="M58" s="256"/>
      <c r="N58" s="256"/>
      <c r="O58" s="256"/>
      <c r="P58" s="256"/>
      <c r="Q58" s="256"/>
      <c r="R58" s="256"/>
      <c r="S58" s="361"/>
    </row>
    <row r="59" spans="1:19" s="1" customFormat="1" x14ac:dyDescent="0.2">
      <c r="A59" s="40"/>
      <c r="B59" s="1949"/>
      <c r="C59" s="2105" t="s">
        <v>218</v>
      </c>
      <c r="D59" s="2105"/>
      <c r="E59" s="2131"/>
      <c r="F59" s="547"/>
      <c r="G59" s="926">
        <f>'5. T4 RAHOITUSSUUN.'!G39</f>
        <v>0</v>
      </c>
      <c r="H59" s="926">
        <f>'5. T4 RAHOITUSSUUN.'!H39</f>
        <v>0</v>
      </c>
      <c r="I59" s="926">
        <f>'5. T4 RAHOITUSSUUN.'!I39</f>
        <v>0</v>
      </c>
      <c r="J59" s="1950">
        <f>'5. T4 RAHOITUSSUUN.'!J39</f>
        <v>0</v>
      </c>
      <c r="K59" s="4"/>
      <c r="L59" s="312"/>
      <c r="M59" s="256"/>
      <c r="N59" s="256"/>
      <c r="O59" s="256"/>
      <c r="P59" s="256"/>
      <c r="Q59" s="256"/>
      <c r="R59" s="256"/>
      <c r="S59" s="361"/>
    </row>
    <row r="60" spans="1:19" s="1" customFormat="1" x14ac:dyDescent="0.2">
      <c r="A60" s="40"/>
      <c r="B60" s="1949"/>
      <c r="C60" s="200" t="s">
        <v>239</v>
      </c>
      <c r="D60" s="200"/>
      <c r="E60" s="457"/>
      <c r="F60" s="563"/>
      <c r="G60" s="538">
        <f>'7. T2 TULOSSUUN.'!G31</f>
        <v>0</v>
      </c>
      <c r="H60" s="538">
        <f>'7. T2 TULOSSUUN.'!I31</f>
        <v>0</v>
      </c>
      <c r="I60" s="759">
        <f>'7. T2 TULOSSUUN.'!K31</f>
        <v>0</v>
      </c>
      <c r="J60" s="537">
        <f>'7. T2 TULOSSUUN.'!M31</f>
        <v>0</v>
      </c>
      <c r="K60" s="4"/>
      <c r="L60" s="312"/>
      <c r="M60" s="256"/>
      <c r="N60" s="256"/>
      <c r="O60" s="256"/>
      <c r="P60" s="256"/>
      <c r="Q60" s="256"/>
      <c r="R60" s="256"/>
      <c r="S60" s="361"/>
    </row>
    <row r="61" spans="1:19" s="1" customFormat="1" x14ac:dyDescent="0.2">
      <c r="A61" s="40"/>
      <c r="B61" s="1949"/>
      <c r="C61" s="200" t="s">
        <v>254</v>
      </c>
      <c r="D61" s="200"/>
      <c r="E61" s="457"/>
      <c r="F61" s="563"/>
      <c r="G61" s="927">
        <f>'1. T1 INVESTOINTISUUN.'!E49</f>
        <v>0</v>
      </c>
      <c r="H61" s="536">
        <f>G61+'1. T1 INVESTOINTISUUN.'!F49</f>
        <v>0</v>
      </c>
      <c r="I61" s="536">
        <f>H61+'1. T1 INVESTOINTISUUN.'!G49</f>
        <v>0</v>
      </c>
      <c r="J61" s="1924">
        <f>I61+'1. T1 INVESTOINTISUUN.'!H49</f>
        <v>0</v>
      </c>
      <c r="K61" s="4"/>
      <c r="L61" s="312"/>
      <c r="M61" s="256"/>
      <c r="N61" s="256"/>
      <c r="O61" s="256"/>
      <c r="P61" s="256"/>
      <c r="Q61" s="256"/>
      <c r="R61" s="256"/>
      <c r="S61" s="361"/>
    </row>
    <row r="62" spans="1:19" x14ac:dyDescent="0.2">
      <c r="A62" s="219"/>
      <c r="B62" s="1951" t="s">
        <v>159</v>
      </c>
      <c r="C62" s="184" t="s">
        <v>154</v>
      </c>
      <c r="D62" s="184"/>
      <c r="E62" s="186"/>
      <c r="F62" s="564"/>
      <c r="G62" s="928">
        <f>G63+G64</f>
        <v>0</v>
      </c>
      <c r="H62" s="928">
        <f>H63+H64</f>
        <v>0</v>
      </c>
      <c r="I62" s="929">
        <f>I63+I64</f>
        <v>0</v>
      </c>
      <c r="J62" s="1952">
        <f>J63+J64</f>
        <v>0</v>
      </c>
      <c r="L62" s="312"/>
      <c r="M62" s="256"/>
      <c r="N62" s="256"/>
      <c r="O62" s="256"/>
      <c r="P62" s="256"/>
      <c r="Q62" s="256"/>
      <c r="R62" s="256"/>
      <c r="S62" s="361"/>
    </row>
    <row r="63" spans="1:19" x14ac:dyDescent="0.2">
      <c r="B63" s="1953" t="s">
        <v>0</v>
      </c>
      <c r="C63" s="485" t="s">
        <v>367</v>
      </c>
      <c r="D63" s="485"/>
      <c r="E63" s="946" t="s">
        <v>196</v>
      </c>
      <c r="F63" s="944"/>
      <c r="G63" s="762"/>
      <c r="H63" s="762"/>
      <c r="I63" s="954"/>
      <c r="J63" s="1954"/>
      <c r="L63" s="312"/>
      <c r="M63" s="256"/>
      <c r="N63" s="256"/>
      <c r="O63" s="256"/>
      <c r="P63" s="256"/>
      <c r="Q63" s="256"/>
      <c r="R63" s="256"/>
      <c r="S63" s="361"/>
    </row>
    <row r="64" spans="1:19" x14ac:dyDescent="0.2">
      <c r="A64" s="219"/>
      <c r="B64" s="1953" t="s">
        <v>0</v>
      </c>
      <c r="C64" s="200" t="s">
        <v>155</v>
      </c>
      <c r="D64" s="200"/>
      <c r="E64" s="282"/>
      <c r="F64" s="547"/>
      <c r="G64" s="541">
        <f>G65*('3. E1 KUSTANNUKSET'!D13*'3. E1 KUSTANNUKSET'!D15+'3. E1 KUSTANNUKSET'!D17+'3. E1 KUSTANNUKSET'!D24)</f>
        <v>0</v>
      </c>
      <c r="H64" s="541">
        <f>H65*('3. E1 KUSTANNUKSET'!F13*'3. E1 KUSTANNUKSET'!F15+'3. E1 KUSTANNUKSET'!F17+'3. E1 KUSTANNUKSET'!F24)</f>
        <v>0</v>
      </c>
      <c r="I64" s="541">
        <f>I65*('3. E1 KUSTANNUKSET'!H13*'3. E1 KUSTANNUKSET'!H15+'3. E1 KUSTANNUKSET'!H17+'3. E1 KUSTANNUKSET'!H24)</f>
        <v>0</v>
      </c>
      <c r="J64" s="534">
        <f>J65*('3. E1 KUSTANNUKSET'!J13*'3. E1 KUSTANNUKSET'!J15+'3. E1 KUSTANNUKSET'!J17+'3. E1 KUSTANNUKSET'!J24)</f>
        <v>0</v>
      </c>
      <c r="L64" s="312"/>
      <c r="M64" s="256"/>
      <c r="N64" s="256"/>
      <c r="O64" s="256"/>
      <c r="P64" s="256"/>
      <c r="Q64" s="256"/>
      <c r="R64" s="256"/>
      <c r="S64" s="361"/>
    </row>
    <row r="65" spans="1:19" x14ac:dyDescent="0.2">
      <c r="A65" s="6"/>
      <c r="B65" s="1953"/>
      <c r="C65" s="2124" t="s">
        <v>808</v>
      </c>
      <c r="D65" s="2124"/>
      <c r="E65" s="2125"/>
      <c r="F65" s="565"/>
      <c r="G65" s="930">
        <v>0</v>
      </c>
      <c r="H65" s="930">
        <f>G65</f>
        <v>0</v>
      </c>
      <c r="I65" s="931">
        <f>H65</f>
        <v>0</v>
      </c>
      <c r="J65" s="1955">
        <f>I65</f>
        <v>0</v>
      </c>
      <c r="L65" s="312"/>
      <c r="M65" s="256"/>
      <c r="N65" s="256"/>
      <c r="O65" s="256"/>
      <c r="P65" s="256"/>
      <c r="Q65" s="256"/>
      <c r="R65" s="256"/>
      <c r="S65" s="361"/>
    </row>
    <row r="66" spans="1:19" x14ac:dyDescent="0.2">
      <c r="A66" s="219"/>
      <c r="B66" s="1951" t="s">
        <v>169</v>
      </c>
      <c r="C66" s="2036" t="s">
        <v>158</v>
      </c>
      <c r="D66" s="2036"/>
      <c r="E66" s="2130"/>
      <c r="F66" s="566"/>
      <c r="G66" s="932">
        <v>0</v>
      </c>
      <c r="H66" s="932"/>
      <c r="I66" s="933"/>
      <c r="J66" s="1956"/>
      <c r="L66" s="312"/>
      <c r="M66" s="256"/>
      <c r="N66" s="256"/>
      <c r="O66" s="256"/>
      <c r="P66" s="256"/>
      <c r="Q66" s="256"/>
      <c r="R66" s="256"/>
      <c r="S66" s="361"/>
    </row>
    <row r="67" spans="1:19" x14ac:dyDescent="0.2">
      <c r="B67" s="1951" t="s">
        <v>237</v>
      </c>
      <c r="C67" s="2036" t="s">
        <v>168</v>
      </c>
      <c r="D67" s="2036"/>
      <c r="E67" s="2130"/>
      <c r="F67" s="567"/>
      <c r="G67" s="928">
        <f>G68+G69+G70+G73</f>
        <v>0</v>
      </c>
      <c r="H67" s="928">
        <f>H68+H69+H70+H73</f>
        <v>0</v>
      </c>
      <c r="I67" s="929">
        <f>I68+I69+I70+I73</f>
        <v>0</v>
      </c>
      <c r="J67" s="1952">
        <f>J68+J69+J70+J73</f>
        <v>0</v>
      </c>
      <c r="L67" s="312"/>
      <c r="M67" s="256"/>
      <c r="N67" s="256"/>
      <c r="O67" s="256"/>
      <c r="P67" s="256"/>
      <c r="Q67" s="256"/>
      <c r="R67" s="256"/>
      <c r="S67" s="361"/>
    </row>
    <row r="68" spans="1:19" x14ac:dyDescent="0.2">
      <c r="A68" s="219"/>
      <c r="B68" s="1826" t="s">
        <v>0</v>
      </c>
      <c r="C68" s="2139" t="s">
        <v>160</v>
      </c>
      <c r="D68" s="2139"/>
      <c r="E68" s="2140"/>
      <c r="F68" s="546"/>
      <c r="G68" s="541">
        <f>'AT2 Lainat, alv'!U8+'AT2 Lainat, alv'!U9+'AT2 Lainat, alv'!U10+'AT2 Lainat, alv'!U11-'5. T4 RAHOITUSSUUN.'!G35</f>
        <v>0</v>
      </c>
      <c r="H68" s="541">
        <f>'AT2 Lainat, alv'!AA8+'AT2 Lainat, alv'!AA9+'AT2 Lainat, alv'!AA10+'AT2 Lainat, alv'!AA11+'AT2 Lainat, alv'!AA12+'AT2 Lainat, alv'!AA13+'AT2 Lainat, alv'!AA14+'AT2 Lainat, alv'!AA15-'5. T4 RAHOITUSSUUN.'!G35-'5. T4 RAHOITUSSUUN.'!H35</f>
        <v>0</v>
      </c>
      <c r="I68" s="541">
        <f>'AT2 Lainat, alv'!AG8+'AT2 Lainat, alv'!AG9+'AT2 Lainat, alv'!AG10+'AT2 Lainat, alv'!AG11+'AT2 Lainat, alv'!AG12+'AT2 Lainat, alv'!AG13+'AT2 Lainat, alv'!AG14+'AT2 Lainat, alv'!AG15+'AT2 Lainat, alv'!AG16+'AT2 Lainat, alv'!AG17+'AT2 Lainat, alv'!AG18+'AT2 Lainat, alv'!AG19-'5. T4 RAHOITUSSUUN.'!G35-'5. T4 RAHOITUSSUUN.'!H35-'5. T4 RAHOITUSSUUN.'!I35</f>
        <v>0</v>
      </c>
      <c r="J68" s="534">
        <f>'AT2 Lainat, alv'!AM24-'5. T4 RAHOITUSSUUN.'!G35-'5. T4 RAHOITUSSUUN.'!H35-'5. T4 RAHOITUSSUUN.'!I35-'5. T4 RAHOITUSSUUN.'!J35</f>
        <v>0</v>
      </c>
      <c r="L68" s="312"/>
      <c r="M68" s="256"/>
      <c r="N68" s="256"/>
      <c r="O68" s="256" t="s">
        <v>0</v>
      </c>
      <c r="P68" s="256"/>
      <c r="Q68" s="256"/>
      <c r="R68" s="256"/>
      <c r="S68" s="361"/>
    </row>
    <row r="69" spans="1:19" x14ac:dyDescent="0.2">
      <c r="B69" s="1826" t="s">
        <v>0</v>
      </c>
      <c r="C69" s="2126" t="s">
        <v>173</v>
      </c>
      <c r="D69" s="2126"/>
      <c r="E69" s="2127"/>
      <c r="F69" s="547"/>
      <c r="G69" s="532">
        <f>'1. T1 INVESTOINTISUUN.'!E51</f>
        <v>0</v>
      </c>
      <c r="H69" s="532">
        <f>G69+'1. T1 INVESTOINTISUUN.'!F51</f>
        <v>0</v>
      </c>
      <c r="I69" s="532">
        <f>H69+'1. T1 INVESTOINTISUUN.'!G51</f>
        <v>0</v>
      </c>
      <c r="J69" s="1924">
        <f>I69+'1. T1 INVESTOINTISUUN.'!H51</f>
        <v>0</v>
      </c>
      <c r="L69" s="312"/>
      <c r="M69" s="256" t="s">
        <v>0</v>
      </c>
      <c r="N69" s="256"/>
      <c r="O69" s="256"/>
      <c r="P69" s="256"/>
      <c r="Q69" s="256"/>
      <c r="R69" s="256"/>
      <c r="S69" s="361"/>
    </row>
    <row r="70" spans="1:19" x14ac:dyDescent="0.2">
      <c r="A70" s="219"/>
      <c r="B70" s="1826" t="s">
        <v>0</v>
      </c>
      <c r="C70" s="205" t="s">
        <v>171</v>
      </c>
      <c r="D70" s="205"/>
      <c r="E70" s="201"/>
      <c r="F70" s="547"/>
      <c r="G70" s="541">
        <f>G71+G72</f>
        <v>0</v>
      </c>
      <c r="H70" s="541">
        <f>H71+H72</f>
        <v>0</v>
      </c>
      <c r="I70" s="642">
        <f>I71+I72</f>
        <v>0</v>
      </c>
      <c r="J70" s="534">
        <f>J71+J72</f>
        <v>0</v>
      </c>
      <c r="L70" s="312"/>
      <c r="M70" s="256"/>
      <c r="N70" s="256"/>
      <c r="O70" s="256"/>
      <c r="P70" s="256"/>
      <c r="Q70" s="256"/>
      <c r="R70" s="256"/>
      <c r="S70" s="361"/>
    </row>
    <row r="71" spans="1:19" x14ac:dyDescent="0.2">
      <c r="A71" s="219"/>
      <c r="B71" s="1826"/>
      <c r="C71" s="1725" t="s">
        <v>83</v>
      </c>
      <c r="D71" s="200"/>
      <c r="E71" s="203"/>
      <c r="F71" s="547"/>
      <c r="G71" s="349"/>
      <c r="H71" s="532">
        <f>G71</f>
        <v>0</v>
      </c>
      <c r="I71" s="923">
        <f>H71</f>
        <v>0</v>
      </c>
      <c r="J71" s="1924">
        <f>I71</f>
        <v>0</v>
      </c>
      <c r="L71" s="312"/>
      <c r="M71" s="152"/>
      <c r="N71" s="152"/>
      <c r="O71" s="152"/>
      <c r="P71" s="152"/>
      <c r="Q71" s="152"/>
      <c r="R71" s="152"/>
      <c r="S71" s="398"/>
    </row>
    <row r="72" spans="1:19" x14ac:dyDescent="0.2">
      <c r="A72" s="6"/>
      <c r="B72" s="1826"/>
      <c r="C72" s="1725" t="s">
        <v>798</v>
      </c>
      <c r="D72" s="200"/>
      <c r="E72" s="203"/>
      <c r="F72" s="1957"/>
      <c r="G72" s="541">
        <f>'AT2 Lainat, alv'!U29</f>
        <v>0</v>
      </c>
      <c r="H72" s="541">
        <f>'AT2 Lainat, alv'!AA29+'AT2 Lainat, alv'!AA32</f>
        <v>0</v>
      </c>
      <c r="I72" s="541">
        <f>'AT2 Lainat, alv'!AG29+'AT2 Lainat, alv'!AG32+'AT2 Lainat, alv'!AG35</f>
        <v>0</v>
      </c>
      <c r="J72" s="534">
        <f>IF('2. T7 LAINAT'!O38=0,'AT2 Lainat, alv'!AM29+'AT2 Lainat, alv'!AM32+'AT2 Lainat, alv'!AM35,+'AT2 Lainat, alv'!AM41)</f>
        <v>0</v>
      </c>
      <c r="L72" s="312"/>
      <c r="M72" s="256"/>
      <c r="N72" s="256"/>
      <c r="O72" s="256"/>
      <c r="P72" s="256"/>
      <c r="Q72" s="256"/>
      <c r="R72" s="256"/>
      <c r="S72" s="361"/>
    </row>
    <row r="73" spans="1:19" x14ac:dyDescent="0.2">
      <c r="A73" s="219"/>
      <c r="B73" s="1826"/>
      <c r="C73" s="2126" t="s">
        <v>172</v>
      </c>
      <c r="D73" s="2126"/>
      <c r="E73" s="2127"/>
      <c r="F73" s="547"/>
      <c r="G73" s="541">
        <f>'2. T7 LAINAT'!C44-'2. T7 LAINAT'!G44</f>
        <v>0</v>
      </c>
      <c r="H73" s="642">
        <f>G73-'2. T7 LAINAT'!J44</f>
        <v>0</v>
      </c>
      <c r="I73" s="642">
        <f>H73-'2. T7 LAINAT'!M44</f>
        <v>0</v>
      </c>
      <c r="J73" s="534">
        <f>I73-'2. T7 LAINAT'!P44</f>
        <v>0</v>
      </c>
      <c r="L73" s="404"/>
      <c r="M73" s="152"/>
      <c r="N73" s="152"/>
      <c r="O73" s="152"/>
      <c r="P73" s="152"/>
      <c r="Q73" s="152"/>
      <c r="R73" s="152"/>
      <c r="S73" s="398"/>
    </row>
    <row r="74" spans="1:19" x14ac:dyDescent="0.2">
      <c r="B74" s="1951" t="s">
        <v>238</v>
      </c>
      <c r="C74" s="2036" t="s">
        <v>170</v>
      </c>
      <c r="D74" s="2036"/>
      <c r="E74" s="2130"/>
      <c r="F74" s="567"/>
      <c r="G74" s="928">
        <f>G75+G78+G79+G83+G89+G94</f>
        <v>0</v>
      </c>
      <c r="H74" s="928">
        <f>H75+H78+H79+H83+H89+H94</f>
        <v>0</v>
      </c>
      <c r="I74" s="928">
        <f>I75+I78+I79+I83+I89+I94</f>
        <v>0</v>
      </c>
      <c r="J74" s="1952">
        <f>J75+J78+J79+J83+J89+J94</f>
        <v>0</v>
      </c>
      <c r="L74" s="312"/>
      <c r="M74" s="256"/>
      <c r="N74" s="256"/>
      <c r="O74" s="256"/>
      <c r="P74" s="256"/>
      <c r="Q74" s="256"/>
      <c r="R74" s="256"/>
      <c r="S74" s="361"/>
    </row>
    <row r="75" spans="1:19" x14ac:dyDescent="0.2">
      <c r="A75" s="219"/>
      <c r="B75" s="1826" t="s">
        <v>0</v>
      </c>
      <c r="C75" s="2139" t="s">
        <v>160</v>
      </c>
      <c r="D75" s="2139"/>
      <c r="E75" s="2140"/>
      <c r="F75" s="546"/>
      <c r="G75" s="1817">
        <f>G76+G77</f>
        <v>0</v>
      </c>
      <c r="H75" s="1817">
        <f>H76+H77</f>
        <v>0</v>
      </c>
      <c r="I75" s="1817">
        <f>I76+I77</f>
        <v>0</v>
      </c>
      <c r="J75" s="1958">
        <f>J76+J77</f>
        <v>0</v>
      </c>
      <c r="L75" s="312"/>
      <c r="M75" s="256"/>
      <c r="N75" s="256"/>
      <c r="O75" s="256"/>
      <c r="P75" s="256"/>
      <c r="Q75" s="256"/>
      <c r="R75" s="256"/>
      <c r="S75" s="361"/>
    </row>
    <row r="76" spans="1:19" x14ac:dyDescent="0.2">
      <c r="A76" s="219"/>
      <c r="B76" s="1826"/>
      <c r="C76" s="1726" t="s">
        <v>799</v>
      </c>
      <c r="D76" s="485"/>
      <c r="E76" s="486"/>
      <c r="F76" s="546"/>
      <c r="G76" s="918">
        <f>'2. T7 LAINAT'!J13+'2. T7 LAINAT'!J14+'2. T7 LAINAT'!J15+'2. T7 LAINAT'!J16</f>
        <v>0</v>
      </c>
      <c r="H76" s="918">
        <f>'2. T7 LAINAT'!M13+'2. T7 LAINAT'!M14+'2. T7 LAINAT'!M15+'2. T7 LAINAT'!M16+'2. T7 LAINAT'!M18+'2. T7 LAINAT'!M19+'2. T7 LAINAT'!M20+'2. T7 LAINAT'!M21</f>
        <v>0</v>
      </c>
      <c r="I76" s="918">
        <f>'2. T7 LAINAT'!P13+'2. T7 LAINAT'!P14+'2. T7 LAINAT'!P15+'2. T7 LAINAT'!P16+'2. T7 LAINAT'!P18+'2. T7 LAINAT'!P19+'2. T7 LAINAT'!P20+'2. T7 LAINAT'!P21+'2. T7 LAINAT'!P23+'2. T7 LAINAT'!P24+'2. T7 LAINAT'!P25+'2. T7 LAINAT'!P26</f>
        <v>0</v>
      </c>
      <c r="J76" s="1959">
        <f>'AT2 Lainat, alv'!AK24</f>
        <v>0</v>
      </c>
      <c r="L76" s="312"/>
      <c r="M76" s="256"/>
      <c r="N76" s="256"/>
      <c r="O76" s="256"/>
      <c r="P76" s="256"/>
      <c r="Q76" s="256"/>
      <c r="R76" s="256"/>
      <c r="S76" s="361"/>
    </row>
    <row r="77" spans="1:19" x14ac:dyDescent="0.2">
      <c r="A77" s="219"/>
      <c r="B77" s="1826"/>
      <c r="C77" s="1726" t="s">
        <v>800</v>
      </c>
      <c r="D77" s="485"/>
      <c r="E77" s="486"/>
      <c r="F77" s="546"/>
      <c r="G77" s="1815">
        <f>'2. T7 LAINAT'!F40</f>
        <v>0</v>
      </c>
      <c r="H77" s="1815">
        <f>'2. T7 LAINAT'!I40</f>
        <v>0</v>
      </c>
      <c r="I77" s="1815">
        <f>'2. T7 LAINAT'!L40</f>
        <v>0</v>
      </c>
      <c r="J77" s="1960">
        <f>'2. T7 LAINAT'!O40</f>
        <v>0</v>
      </c>
      <c r="L77" s="312"/>
      <c r="M77" s="256"/>
      <c r="N77" s="256"/>
      <c r="O77" s="256"/>
      <c r="P77" s="256"/>
      <c r="Q77" s="256"/>
      <c r="R77" s="256"/>
      <c r="S77" s="361"/>
    </row>
    <row r="78" spans="1:19" x14ac:dyDescent="0.2">
      <c r="B78" s="1826" t="s">
        <v>0</v>
      </c>
      <c r="C78" s="2126" t="s">
        <v>173</v>
      </c>
      <c r="D78" s="2126"/>
      <c r="E78" s="2127"/>
      <c r="F78" s="547"/>
      <c r="G78" s="532">
        <v>0</v>
      </c>
      <c r="H78" s="532">
        <f t="shared" ref="H78:J78" si="1">G78</f>
        <v>0</v>
      </c>
      <c r="I78" s="532">
        <f t="shared" si="1"/>
        <v>0</v>
      </c>
      <c r="J78" s="1924">
        <f t="shared" si="1"/>
        <v>0</v>
      </c>
      <c r="L78" s="312"/>
      <c r="M78" s="256"/>
      <c r="N78" s="256"/>
      <c r="O78" s="256"/>
      <c r="P78" s="256"/>
      <c r="Q78" s="256"/>
      <c r="R78" s="256"/>
      <c r="S78" s="361"/>
    </row>
    <row r="79" spans="1:19" x14ac:dyDescent="0.2">
      <c r="A79" s="219"/>
      <c r="B79" s="1826" t="s">
        <v>0</v>
      </c>
      <c r="C79" s="205" t="s">
        <v>171</v>
      </c>
      <c r="D79" s="200"/>
      <c r="E79" s="203"/>
      <c r="F79" s="547"/>
      <c r="G79" s="541">
        <f>G80+G82</f>
        <v>0</v>
      </c>
      <c r="H79" s="541">
        <f>H80+H82</f>
        <v>0</v>
      </c>
      <c r="I79" s="642">
        <f>I80+I82</f>
        <v>0</v>
      </c>
      <c r="J79" s="534">
        <f>J80+J82</f>
        <v>0</v>
      </c>
      <c r="L79" s="312"/>
      <c r="M79" s="256"/>
      <c r="N79" s="256"/>
      <c r="O79" s="256">
        <v>0</v>
      </c>
      <c r="P79" s="256"/>
      <c r="Q79" s="256"/>
      <c r="R79" s="256"/>
      <c r="S79" s="361"/>
    </row>
    <row r="80" spans="1:19" x14ac:dyDescent="0.2">
      <c r="A80" s="6"/>
      <c r="B80" s="1826"/>
      <c r="C80" s="1725" t="s">
        <v>83</v>
      </c>
      <c r="D80" s="1725"/>
      <c r="E80" s="1727"/>
      <c r="F80" s="547"/>
      <c r="G80" s="541">
        <f>'5. T4 RAHOITUSSUUN.'!G55</f>
        <v>0</v>
      </c>
      <c r="H80" s="541">
        <f>'5. T4 RAHOITUSSUUN.'!H55</f>
        <v>0</v>
      </c>
      <c r="I80" s="541">
        <f>'5. T4 RAHOITUSSUUN.'!I55</f>
        <v>0</v>
      </c>
      <c r="J80" s="534">
        <f>'5. T4 RAHOITUSSUUN.'!J55</f>
        <v>0</v>
      </c>
      <c r="L80" s="312"/>
      <c r="M80" s="256"/>
      <c r="N80" s="256"/>
      <c r="O80" s="256"/>
      <c r="P80" s="256"/>
      <c r="Q80" s="256"/>
      <c r="R80" s="256"/>
      <c r="S80" s="361"/>
    </row>
    <row r="81" spans="1:19" x14ac:dyDescent="0.2">
      <c r="A81" s="6"/>
      <c r="B81" s="1826"/>
      <c r="C81" s="2121" t="s">
        <v>244</v>
      </c>
      <c r="D81" s="2121"/>
      <c r="E81" s="2122"/>
      <c r="F81" s="547"/>
      <c r="G81" s="751">
        <f>'5. T4 RAHOITUSSUUN.'!G56</f>
        <v>14</v>
      </c>
      <c r="H81" s="751">
        <f>'5. T4 RAHOITUSSUUN.'!H56</f>
        <v>14</v>
      </c>
      <c r="I81" s="751">
        <f>'5. T4 RAHOITUSSUUN.'!I56</f>
        <v>14</v>
      </c>
      <c r="J81" s="1942">
        <f>'5. T4 RAHOITUSSUUN.'!J56</f>
        <v>14</v>
      </c>
      <c r="L81" s="312"/>
      <c r="M81" s="256"/>
      <c r="N81" s="256"/>
      <c r="O81" s="256"/>
      <c r="P81" s="256"/>
      <c r="Q81" s="256"/>
      <c r="R81" s="256"/>
      <c r="S81" s="361"/>
    </row>
    <row r="82" spans="1:19" x14ac:dyDescent="0.2">
      <c r="A82" s="219"/>
      <c r="B82" s="1826"/>
      <c r="C82" s="1725" t="s">
        <v>798</v>
      </c>
      <c r="D82" s="1725"/>
      <c r="E82" s="1727"/>
      <c r="F82" s="1957"/>
      <c r="G82" s="541">
        <f>'AT2 Lainat, alv'!S29</f>
        <v>0</v>
      </c>
      <c r="H82" s="541">
        <f>'AT2 Lainat, alv'!Y29+'AT2 Lainat, alv'!Y32</f>
        <v>0</v>
      </c>
      <c r="I82" s="541">
        <f>'AT2 Lainat, alv'!AE29+'AT2 Lainat, alv'!AE32+'AT2 Lainat, alv'!AE35</f>
        <v>0</v>
      </c>
      <c r="J82" s="534">
        <f>'AT2 Lainat, alv'!AK29+'AT2 Lainat, alv'!AK32+'AT2 Lainat, alv'!AK35+'AT2 Lainat, alv'!AK38</f>
        <v>0</v>
      </c>
      <c r="L82" s="312"/>
      <c r="M82" s="256"/>
      <c r="N82" s="256"/>
      <c r="O82" s="256"/>
      <c r="P82" s="256"/>
      <c r="Q82" s="256"/>
      <c r="R82" s="256"/>
      <c r="S82" s="361"/>
    </row>
    <row r="83" spans="1:19" x14ac:dyDescent="0.2">
      <c r="B83" s="1826"/>
      <c r="C83" s="2126" t="s">
        <v>174</v>
      </c>
      <c r="D83" s="2126"/>
      <c r="E83" s="2127"/>
      <c r="F83" s="547"/>
      <c r="G83" s="541">
        <f>G84+G86+G87+G88</f>
        <v>0</v>
      </c>
      <c r="H83" s="541">
        <f>H84+H86+H87+H88</f>
        <v>0</v>
      </c>
      <c r="I83" s="642">
        <f>I84+I86+I87+I88</f>
        <v>0</v>
      </c>
      <c r="J83" s="534">
        <f>J84+J86+J87+J88</f>
        <v>0</v>
      </c>
      <c r="L83" s="312"/>
      <c r="M83" s="256"/>
      <c r="N83" s="256"/>
      <c r="O83" s="256"/>
      <c r="P83" s="256"/>
      <c r="Q83" s="256"/>
      <c r="R83" s="256"/>
      <c r="S83" s="361"/>
    </row>
    <row r="84" spans="1:19" x14ac:dyDescent="0.2">
      <c r="A84" s="219"/>
      <c r="B84" s="1826"/>
      <c r="C84" s="1725" t="s">
        <v>801</v>
      </c>
      <c r="D84" s="1725"/>
      <c r="E84" s="1728"/>
      <c r="F84" s="563"/>
      <c r="G84" s="538">
        <f>G85*('3. E1 KUSTANNUKSET'!D13+'3. E1 KUSTANNUKSET'!D14+'3. E1 KUSTANNUKSET'!D22/12+'3. E1 KUSTANNUKSET'!D17/12+'3. E1 KUSTANNUKSET'!D24/12+'3. E1 KUSTANNUKSET'!D28/12)</f>
        <v>0</v>
      </c>
      <c r="H84" s="538">
        <f>H85*('3. E1 KUSTANNUKSET'!F13+'3. E1 KUSTANNUKSET'!F14+'3. E1 KUSTANNUKSET'!F22/12+'3. E1 KUSTANNUKSET'!F17/12+'3. E1 KUSTANNUKSET'!F24/12+'3. E1 KUSTANNUKSET'!F28/12)</f>
        <v>0</v>
      </c>
      <c r="I84" s="538">
        <f>I85*('3. E1 KUSTANNUKSET'!H13+'3. E1 KUSTANNUKSET'!H14+'3. E1 KUSTANNUKSET'!H22/12+'3. E1 KUSTANNUKSET'!H17/12+'3. E1 KUSTANNUKSET'!H24/12+'3. E1 KUSTANNUKSET'!H28/12)</f>
        <v>0</v>
      </c>
      <c r="J84" s="534">
        <f>J85*('3. E1 KUSTANNUKSET'!J13+'3. E1 KUSTANNUKSET'!J14+'3. E1 KUSTANNUKSET'!J22/12+'3. E1 KUSTANNUKSET'!J17/12+'3. E1 KUSTANNUKSET'!J24/12+'3. E1 KUSTANNUKSET'!J28/12)</f>
        <v>0</v>
      </c>
      <c r="L84" s="312"/>
      <c r="M84" s="256"/>
      <c r="N84" s="256"/>
      <c r="O84" s="256"/>
      <c r="P84" s="256"/>
      <c r="Q84" s="256"/>
      <c r="R84" s="256"/>
      <c r="S84" s="361"/>
    </row>
    <row r="85" spans="1:19" x14ac:dyDescent="0.2">
      <c r="B85" s="1826"/>
      <c r="C85" s="2124" t="s">
        <v>221</v>
      </c>
      <c r="D85" s="2124"/>
      <c r="E85" s="2125"/>
      <c r="F85" s="570"/>
      <c r="G85" s="934">
        <v>0.25</v>
      </c>
      <c r="H85" s="934">
        <f>G85</f>
        <v>0.25</v>
      </c>
      <c r="I85" s="934">
        <f>H85</f>
        <v>0.25</v>
      </c>
      <c r="J85" s="1961">
        <f>I85</f>
        <v>0.25</v>
      </c>
      <c r="L85" s="312"/>
      <c r="M85" s="256"/>
      <c r="N85" s="256"/>
      <c r="O85" s="256"/>
      <c r="P85" s="256"/>
      <c r="Q85" s="256"/>
      <c r="R85" s="256"/>
      <c r="S85" s="361"/>
    </row>
    <row r="86" spans="1:19" x14ac:dyDescent="0.2">
      <c r="A86" s="219"/>
      <c r="B86" s="1826"/>
      <c r="C86" s="1725" t="s">
        <v>802</v>
      </c>
      <c r="D86" s="1725"/>
      <c r="E86" s="1725"/>
      <c r="F86" s="563"/>
      <c r="G86" s="538">
        <f>'8. T5 KASSABUDJETTI'!AD25*('3. E1 KUSTANNUKSET'!D13+'3. E1 KUSTANNUKSET'!D14+'3. E1 KUSTANNUKSET'!D17/12+'3. E1 KUSTANNUKSET'!D22/12+'3. E1 KUSTANNUKSET'!D24/12+'3. E1 KUSTANNUKSET'!D28/12)</f>
        <v>0</v>
      </c>
      <c r="H86" s="538">
        <f>'8. T5 KASSABUDJETTI'!AD25*('3. E1 KUSTANNUKSET'!F13+'3. E1 KUSTANNUKSET'!F14+'3. E1 KUSTANNUKSET'!F17/12+'3. E1 KUSTANNUKSET'!F22/12+'3. E1 KUSTANNUKSET'!F24/12+'3. E1 KUSTANNUKSET'!F28/12)</f>
        <v>0</v>
      </c>
      <c r="I86" s="538">
        <f>'8. T5 KASSABUDJETTI'!AD25*('3. E1 KUSTANNUKSET'!H13+'3. E1 KUSTANNUKSET'!H14+'3. E1 KUSTANNUKSET'!H17/12+'3. E1 KUSTANNUKSET'!H22/12+'3. E1 KUSTANNUKSET'!H24/12+'3. E1 KUSTANNUKSET'!H28/12)</f>
        <v>0</v>
      </c>
      <c r="J86" s="537">
        <f>'8. T5 KASSABUDJETTI'!AD25*('3. E1 KUSTANNUKSET'!J13+'3. E1 KUSTANNUKSET'!J14+'3. E1 KUSTANNUKSET'!J17/12+'3. E1 KUSTANNUKSET'!J22/12+'3. E1 KUSTANNUKSET'!J24/12+'3. E1 KUSTANNUKSET'!J28/12)</f>
        <v>0</v>
      </c>
      <c r="L86" s="312"/>
      <c r="M86" s="256"/>
      <c r="N86" s="256"/>
      <c r="O86" s="256"/>
      <c r="P86" s="256"/>
      <c r="Q86" s="256"/>
      <c r="R86" s="256"/>
      <c r="S86" s="361"/>
    </row>
    <row r="87" spans="1:19" x14ac:dyDescent="0.2">
      <c r="A87" s="6"/>
      <c r="B87" s="1826"/>
      <c r="C87" s="2123" t="s">
        <v>803</v>
      </c>
      <c r="D87" s="2123"/>
      <c r="E87" s="2123"/>
      <c r="F87" s="563"/>
      <c r="G87" s="536">
        <f>('4. E2 LIIKEVAIHTO'!E13-'4. E2 LIIKEVAIHTO'!E14)/6-IF('4. E2 LIIKEVAIHTO'!E13=0,0,'AT2 Lainat, alv'!E64+G94)/6</f>
        <v>0</v>
      </c>
      <c r="H87" s="536">
        <f>('4. E2 LIIKEVAIHTO'!F13-'4. E2 LIIKEVAIHTO'!F14)/6-IF('4. E2 LIIKEVAIHTO'!F13=0,0,'AT2 Lainat, alv'!G64+H94)/6</f>
        <v>0</v>
      </c>
      <c r="I87" s="536">
        <f>('4. E2 LIIKEVAIHTO'!G13-'4. E2 LIIKEVAIHTO'!G14)/6-IF('4. E2 LIIKEVAIHTO'!G13=0,0,('AT2 Lainat, alv'!I64+I94)/6)</f>
        <v>0</v>
      </c>
      <c r="J87" s="1924">
        <f>('4. E2 LIIKEVAIHTO'!H13-'4. E2 LIIKEVAIHTO'!H14)/6-IF('4. E2 LIIKEVAIHTO'!H13=0,0,('AT2 Lainat, alv'!K64+J94)/6)</f>
        <v>0</v>
      </c>
      <c r="L87" s="312"/>
      <c r="M87" s="256"/>
      <c r="N87" s="256"/>
      <c r="O87" s="256"/>
      <c r="P87" s="256"/>
      <c r="Q87" s="256"/>
      <c r="R87" s="256"/>
      <c r="S87" s="361"/>
    </row>
    <row r="88" spans="1:19" x14ac:dyDescent="0.2">
      <c r="A88" s="219"/>
      <c r="B88" s="1826"/>
      <c r="C88" s="2123" t="s">
        <v>804</v>
      </c>
      <c r="D88" s="2123"/>
      <c r="E88" s="2123"/>
      <c r="F88" s="563"/>
      <c r="G88" s="536">
        <v>0</v>
      </c>
      <c r="H88" s="536"/>
      <c r="I88" s="536"/>
      <c r="J88" s="1962"/>
      <c r="L88" s="312"/>
      <c r="M88" s="256"/>
      <c r="N88" s="256"/>
      <c r="O88" s="256"/>
      <c r="P88" s="256"/>
      <c r="Q88" s="256"/>
      <c r="R88" s="256"/>
      <c r="S88" s="361"/>
    </row>
    <row r="89" spans="1:19" s="1" customFormat="1" x14ac:dyDescent="0.2">
      <c r="A89" s="40"/>
      <c r="B89" s="1826" t="s">
        <v>0</v>
      </c>
      <c r="C89" s="205" t="s">
        <v>175</v>
      </c>
      <c r="D89" s="204"/>
      <c r="E89" s="1461"/>
      <c r="F89" s="563"/>
      <c r="G89" s="935">
        <f>G91+G90+G92</f>
        <v>0</v>
      </c>
      <c r="H89" s="935">
        <f>H91+H90+H92</f>
        <v>0</v>
      </c>
      <c r="I89" s="935">
        <f>I91+I90+I92</f>
        <v>0</v>
      </c>
      <c r="J89" s="1963">
        <f>J91+J90+J92</f>
        <v>0</v>
      </c>
      <c r="L89" s="312"/>
      <c r="M89" s="256"/>
      <c r="N89" s="256"/>
      <c r="O89" s="256"/>
      <c r="P89" s="256"/>
      <c r="Q89" s="256"/>
      <c r="R89" s="256"/>
      <c r="S89" s="361"/>
    </row>
    <row r="90" spans="1:19" s="1" customFormat="1" x14ac:dyDescent="0.2">
      <c r="A90" s="219"/>
      <c r="B90" s="1826"/>
      <c r="C90" s="2123" t="s">
        <v>805</v>
      </c>
      <c r="D90" s="2123"/>
      <c r="E90" s="2123"/>
      <c r="F90" s="547"/>
      <c r="G90" s="536">
        <v>0</v>
      </c>
      <c r="H90" s="536"/>
      <c r="I90" s="536"/>
      <c r="J90" s="1962"/>
      <c r="L90" s="312"/>
      <c r="M90" s="256"/>
      <c r="N90" s="256"/>
      <c r="O90" s="256"/>
      <c r="P90" s="256"/>
      <c r="Q90" s="256"/>
      <c r="R90" s="256"/>
      <c r="S90" s="361"/>
    </row>
    <row r="91" spans="1:19" s="1" customFormat="1" x14ac:dyDescent="0.2">
      <c r="A91" s="6"/>
      <c r="B91" s="1826"/>
      <c r="C91" s="2149" t="s">
        <v>806</v>
      </c>
      <c r="D91" s="2149"/>
      <c r="E91" s="2149"/>
      <c r="F91" s="568"/>
      <c r="G91" s="918">
        <f>(('3. E1 KUSTANNUKSET'!D12+'3. E1 KUSTANNUKSET'!D17+'3. E1 KUSTANNUKSET'!D24)/12/25)*30+0.5*(('3. E1 KUSTANNUKSET'!D12+'3. E1 KUSTANNUKSET'!D17+'3. E1 KUSTANNUKSET'!D24)/12/25)*30</f>
        <v>0</v>
      </c>
      <c r="H91" s="918">
        <f>(('3. E1 KUSTANNUKSET'!F12+'3. E1 KUSTANNUKSET'!F17+'3. E1 KUSTANNUKSET'!F24)/12.5/25)*30+0.5*(('3. E1 KUSTANNUKSET'!F12+'3. E1 KUSTANNUKSET'!F17+'3. E1 KUSTANNUKSET'!F24)/12.5/25)*30</f>
        <v>0</v>
      </c>
      <c r="I91" s="541">
        <f>(('3. E1 KUSTANNUKSET'!H12+'3. E1 KUSTANNUKSET'!H17+'3. E1 KUSTANNUKSET'!H24)/12.5/25)*30+0.5*(('3. E1 KUSTANNUKSET'!H12+'3. E1 KUSTANNUKSET'!H17+'3. E1 KUSTANNUKSET'!H24)/12.5/25)*30</f>
        <v>0</v>
      </c>
      <c r="J91" s="534">
        <f>(('3. E1 KUSTANNUKSET'!J12+'3. E1 KUSTANNUKSET'!J17+'3. E1 KUSTANNUKSET'!J24)/12.5/25)*30+0.5*(('3. E1 KUSTANNUKSET'!J12+'3. E1 KUSTANNUKSET'!J17+'3. E1 KUSTANNUKSET'!J24)/12.5/25)*30</f>
        <v>0</v>
      </c>
      <c r="L91" s="312"/>
      <c r="M91" s="256"/>
      <c r="N91" s="256"/>
      <c r="O91" s="256"/>
      <c r="P91" s="256"/>
      <c r="Q91" s="256"/>
      <c r="R91" s="256"/>
      <c r="S91" s="361"/>
    </row>
    <row r="92" spans="1:19" s="1" customFormat="1" x14ac:dyDescent="0.2">
      <c r="A92" s="40"/>
      <c r="B92" s="1826"/>
      <c r="C92" s="1725" t="s">
        <v>807</v>
      </c>
      <c r="D92" s="1725"/>
      <c r="E92" s="1729"/>
      <c r="F92" s="547"/>
      <c r="G92" s="538">
        <f>G91*G93</f>
        <v>0</v>
      </c>
      <c r="H92" s="538">
        <f>H91*H93</f>
        <v>0</v>
      </c>
      <c r="I92" s="538">
        <f>I91*I93</f>
        <v>0</v>
      </c>
      <c r="J92" s="537">
        <f>J91*J93</f>
        <v>0</v>
      </c>
      <c r="L92" s="312"/>
      <c r="M92" s="256">
        <v>0</v>
      </c>
      <c r="N92" s="256"/>
      <c r="O92" s="256"/>
      <c r="P92" s="256"/>
      <c r="Q92" s="256"/>
      <c r="R92" s="256"/>
      <c r="S92" s="361"/>
    </row>
    <row r="93" spans="1:19" s="1" customFormat="1" x14ac:dyDescent="0.2">
      <c r="A93" s="219"/>
      <c r="B93" s="1826"/>
      <c r="C93" s="2124" t="s">
        <v>809</v>
      </c>
      <c r="D93" s="2124"/>
      <c r="E93" s="2125"/>
      <c r="F93" s="569"/>
      <c r="G93" s="938">
        <v>0.19789999999999999</v>
      </c>
      <c r="H93" s="938">
        <f>G93</f>
        <v>0.19789999999999999</v>
      </c>
      <c r="I93" s="938">
        <f>H93</f>
        <v>0.19789999999999999</v>
      </c>
      <c r="J93" s="1964">
        <f>I93</f>
        <v>0.19789999999999999</v>
      </c>
      <c r="L93" s="312"/>
      <c r="M93" s="256"/>
      <c r="N93" s="256"/>
      <c r="O93" s="256"/>
      <c r="P93" s="256"/>
      <c r="Q93" s="256"/>
      <c r="R93" s="256"/>
      <c r="S93" s="361"/>
    </row>
    <row r="94" spans="1:19" x14ac:dyDescent="0.2">
      <c r="A94" s="219"/>
      <c r="B94" s="1826"/>
      <c r="C94" s="189" t="s">
        <v>181</v>
      </c>
      <c r="D94" s="1880"/>
      <c r="E94" s="1462"/>
      <c r="F94" s="547"/>
      <c r="G94" s="541">
        <f>'5. T4 RAHOITUSSUUN.'!G57</f>
        <v>0</v>
      </c>
      <c r="H94" s="541">
        <f>'5. T4 RAHOITUSSUUN.'!H57</f>
        <v>0</v>
      </c>
      <c r="I94" s="541">
        <f>'5. T4 RAHOITUSSUUN.'!I57</f>
        <v>0</v>
      </c>
      <c r="J94" s="534">
        <f>'5. T4 RAHOITUSSUUN.'!J57</f>
        <v>0</v>
      </c>
      <c r="L94" s="405"/>
      <c r="M94" s="363"/>
      <c r="N94" s="363"/>
      <c r="O94" s="363"/>
      <c r="P94" s="363"/>
      <c r="Q94" s="363"/>
      <c r="R94" s="363"/>
      <c r="S94" s="364"/>
    </row>
    <row r="95" spans="1:19" x14ac:dyDescent="0.2">
      <c r="A95" s="219"/>
      <c r="B95" s="1826"/>
      <c r="C95" s="2121" t="s">
        <v>418</v>
      </c>
      <c r="D95" s="2121"/>
      <c r="E95" s="2122"/>
      <c r="F95" s="547"/>
      <c r="G95" s="936">
        <f>'5. T4 RAHOITUSSUUN.'!G58</f>
        <v>0</v>
      </c>
      <c r="H95" s="936">
        <f>'5. T4 RAHOITUSSUUN.'!H58</f>
        <v>0</v>
      </c>
      <c r="I95" s="936">
        <f>'5. T4 RAHOITUSSUUN.'!I58</f>
        <v>0</v>
      </c>
      <c r="J95" s="1965">
        <f>'5. T4 RAHOITUSSUUN.'!J58</f>
        <v>0</v>
      </c>
      <c r="L95" s="256"/>
      <c r="M95" s="256"/>
      <c r="N95" s="256"/>
      <c r="O95" s="256"/>
      <c r="P95" s="256"/>
      <c r="Q95" s="256"/>
      <c r="R95" s="256"/>
      <c r="S95" s="256"/>
    </row>
    <row r="96" spans="1:19" ht="6" customHeight="1" thickBot="1" x14ac:dyDescent="0.25">
      <c r="A96" s="219"/>
      <c r="B96" s="1966"/>
      <c r="C96" s="1967"/>
      <c r="D96" s="1967"/>
      <c r="E96" s="1967"/>
      <c r="F96" s="1968"/>
      <c r="G96" s="1969"/>
      <c r="H96" s="1969"/>
      <c r="I96" s="1969"/>
      <c r="J96" s="1970"/>
      <c r="L96" s="256"/>
      <c r="M96" s="256"/>
      <c r="N96" s="256"/>
      <c r="O96" s="256"/>
      <c r="P96" s="256"/>
      <c r="Q96" s="256"/>
      <c r="R96" s="256"/>
      <c r="S96" s="256"/>
    </row>
    <row r="97" spans="1:19" ht="6" customHeight="1" thickBot="1" x14ac:dyDescent="0.25">
      <c r="A97" s="6"/>
      <c r="B97" s="225"/>
      <c r="C97" s="226"/>
      <c r="D97" s="227"/>
      <c r="E97" s="228"/>
      <c r="F97" s="229"/>
      <c r="G97" s="937"/>
      <c r="H97" s="937"/>
      <c r="I97" s="937"/>
      <c r="J97" s="937"/>
      <c r="K97" s="129"/>
      <c r="L97" s="129"/>
      <c r="M97" s="129"/>
      <c r="N97" s="129"/>
      <c r="O97" s="129"/>
      <c r="P97" s="129"/>
      <c r="Q97" s="129"/>
      <c r="R97" s="129"/>
      <c r="S97" s="129"/>
    </row>
    <row r="98" spans="1:19" ht="13.5" thickBot="1" x14ac:dyDescent="0.25">
      <c r="B98" s="1971"/>
      <c r="C98" s="2142" t="s">
        <v>190</v>
      </c>
      <c r="D98" s="2142"/>
      <c r="E98" s="2142"/>
      <c r="F98" s="1972" t="s">
        <v>0</v>
      </c>
      <c r="G98" s="1973">
        <f>G56+G62+G66+G67+G74</f>
        <v>0</v>
      </c>
      <c r="H98" s="1973">
        <f>H56+H62+H66+H67+H74</f>
        <v>0</v>
      </c>
      <c r="I98" s="1974">
        <f>I56+I62+I66+I67+I74</f>
        <v>0</v>
      </c>
      <c r="J98" s="757">
        <f>J56+J62+J66+J67+J74</f>
        <v>0</v>
      </c>
      <c r="K98" s="129"/>
      <c r="M98" s="129"/>
      <c r="N98" s="129"/>
      <c r="O98" s="129"/>
      <c r="P98" s="129"/>
      <c r="Q98" s="129"/>
      <c r="R98" s="129"/>
      <c r="S98" s="129"/>
    </row>
    <row r="99" spans="1:19" ht="7.5" customHeight="1" x14ac:dyDescent="0.2">
      <c r="B99" s="225"/>
      <c r="C99" s="226"/>
      <c r="D99" s="227"/>
      <c r="E99" s="228"/>
      <c r="F99" s="229"/>
      <c r="G99" s="229"/>
      <c r="H99" s="229"/>
      <c r="I99" s="229"/>
      <c r="J99" s="229"/>
      <c r="K99" s="129"/>
      <c r="L99" s="199" t="s">
        <v>0</v>
      </c>
      <c r="M99" s="129"/>
      <c r="N99" s="129"/>
      <c r="O99" s="129"/>
      <c r="P99" s="129"/>
      <c r="Q99" s="129"/>
      <c r="R99" s="129"/>
      <c r="S99" s="129"/>
    </row>
    <row r="100" spans="1:19" x14ac:dyDescent="0.2">
      <c r="B100" s="231"/>
      <c r="C100" s="1761" t="str">
        <f>IF(H51&lt;&gt;H98,"TARKISTA TASEEN LOPPUSUMMAT, EROTUS",IF(G51&lt;&gt;G98,"TARKISTA TASEEN LOPPUSUMMAT, EROTUS",IF(I51&lt;&gt;I98,"TARKISTA TASEEN LOPPUSUMMAT, EROTUS",IF(J51&lt;&gt;J98,"TARKISTA TASEEN LOPPUSUMMAT,EROTUS"," "))))</f>
        <v xml:space="preserve"> </v>
      </c>
      <c r="E100" s="231"/>
      <c r="F100" s="231"/>
      <c r="G100" s="1759">
        <f>G51-G98</f>
        <v>0</v>
      </c>
      <c r="H100" s="1759">
        <f>H51-H98</f>
        <v>0</v>
      </c>
      <c r="I100" s="1760">
        <f>I51-I98</f>
        <v>0</v>
      </c>
      <c r="J100" s="1759">
        <f>J51-J98</f>
        <v>0</v>
      </c>
      <c r="K100" s="129"/>
      <c r="M100" s="129"/>
      <c r="N100" s="129"/>
      <c r="O100" s="129"/>
      <c r="P100" s="129"/>
      <c r="Q100" s="129"/>
      <c r="R100" s="129"/>
      <c r="S100" s="129"/>
    </row>
    <row r="101" spans="1:19" x14ac:dyDescent="0.2">
      <c r="B101" s="74" t="s">
        <v>0</v>
      </c>
      <c r="J101" s="384" t="str">
        <f>'1. T1 INVESTOINTISUUN.'!I67</f>
        <v>Kehittämisyhtiö Witas Oy</v>
      </c>
    </row>
    <row r="102" spans="1:19" x14ac:dyDescent="0.2">
      <c r="B102" s="1978"/>
      <c r="C102" s="1978"/>
    </row>
    <row r="104" spans="1:19" x14ac:dyDescent="0.2">
      <c r="B104" s="327" t="s">
        <v>234</v>
      </c>
    </row>
    <row r="105" spans="1:19" x14ac:dyDescent="0.2">
      <c r="B105" s="52" t="s">
        <v>235</v>
      </c>
    </row>
    <row r="106" spans="1:19" x14ac:dyDescent="0.2">
      <c r="B106" s="52" t="s">
        <v>236</v>
      </c>
    </row>
  </sheetData>
  <sheetProtection algorithmName="SHA-512" hashValue="2tfw4d6Y//7vv3tEFswiC9rLLa+uF/1nWplENdrVkRwaW+tVCbDqzE1eHcU4/wnFkIyDaek6plonj6XdLVVr8Q==" saltValue="CoTXNbZBPKEitLHhNy2J4A==" spinCount="100000" sheet="1" objects="1" scenarios="1"/>
  <mergeCells count="42">
    <mergeCell ref="B2:C3"/>
    <mergeCell ref="C88:E88"/>
    <mergeCell ref="C98:E98"/>
    <mergeCell ref="C74:E74"/>
    <mergeCell ref="B51:E51"/>
    <mergeCell ref="B11:E11"/>
    <mergeCell ref="B54:E54"/>
    <mergeCell ref="C30:E30"/>
    <mergeCell ref="C91:E91"/>
    <mergeCell ref="C90:E90"/>
    <mergeCell ref="C43:E43"/>
    <mergeCell ref="C40:E40"/>
    <mergeCell ref="C45:E45"/>
    <mergeCell ref="C65:E65"/>
    <mergeCell ref="C81:E81"/>
    <mergeCell ref="C46:D46"/>
    <mergeCell ref="C93:E93"/>
    <mergeCell ref="L53:S53"/>
    <mergeCell ref="G6:J6"/>
    <mergeCell ref="C73:E73"/>
    <mergeCell ref="C75:E75"/>
    <mergeCell ref="C68:E68"/>
    <mergeCell ref="C69:E69"/>
    <mergeCell ref="C48:D48"/>
    <mergeCell ref="C44:D44"/>
    <mergeCell ref="B8:C8"/>
    <mergeCell ref="C95:E95"/>
    <mergeCell ref="B102:C102"/>
    <mergeCell ref="L3:M3"/>
    <mergeCell ref="C87:E87"/>
    <mergeCell ref="C85:E85"/>
    <mergeCell ref="C83:E83"/>
    <mergeCell ref="L27:O27"/>
    <mergeCell ref="C47:D47"/>
    <mergeCell ref="C67:E67"/>
    <mergeCell ref="C78:E78"/>
    <mergeCell ref="C66:E66"/>
    <mergeCell ref="L15:O15"/>
    <mergeCell ref="L31:O31"/>
    <mergeCell ref="C59:E59"/>
    <mergeCell ref="L23:O23"/>
    <mergeCell ref="L10:S10"/>
  </mergeCells>
  <printOptions horizontalCentered="1"/>
  <pageMargins left="0.25" right="0.25" top="0.75" bottom="0.75" header="0.3" footer="0.3"/>
  <pageSetup paperSize="9" orientation="portrait" verticalDpi="4" r:id="rId1"/>
  <rowBreaks count="1" manualBreakCount="1">
    <brk id="52" min="1" max="18" man="1"/>
  </rowBreaks>
  <colBreaks count="1" manualBreakCount="1">
    <brk id="10" min="1" max="87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152A1"/>
  </sheetPr>
  <dimension ref="A2:AD128"/>
  <sheetViews>
    <sheetView showGridLines="0" showZeros="0" zoomScale="110" zoomScaleNormal="110" workbookViewId="0">
      <selection activeCell="E12" sqref="E12"/>
    </sheetView>
  </sheetViews>
  <sheetFormatPr defaultRowHeight="12.75" x14ac:dyDescent="0.2"/>
  <cols>
    <col min="2" max="2" width="3.42578125" style="40" customWidth="1"/>
    <col min="3" max="3" width="35.140625" customWidth="1"/>
    <col min="4" max="4" width="5.28515625" customWidth="1"/>
    <col min="5" max="5" width="13.140625" customWidth="1"/>
    <col min="6" max="6" width="5.7109375" style="40" customWidth="1"/>
    <col min="7" max="7" width="13.140625" style="4" customWidth="1"/>
    <col min="8" max="8" width="5.7109375" style="40" customWidth="1"/>
    <col min="9" max="9" width="13.140625" customWidth="1"/>
    <col min="10" max="10" width="5.7109375" style="40" customWidth="1"/>
    <col min="11" max="11" width="13.140625" customWidth="1"/>
    <col min="12" max="12" width="5.7109375" style="40" customWidth="1"/>
    <col min="13" max="13" width="13.140625" customWidth="1"/>
    <col min="14" max="14" width="5.7109375" style="40" customWidth="1"/>
    <col min="15" max="15" width="3.28515625" customWidth="1"/>
  </cols>
  <sheetData>
    <row r="2" spans="1:30" ht="15.75" x14ac:dyDescent="0.25">
      <c r="C2" s="24" t="s">
        <v>47</v>
      </c>
      <c r="E2" s="49"/>
      <c r="P2" s="24" t="s">
        <v>47</v>
      </c>
    </row>
    <row r="3" spans="1:30" x14ac:dyDescent="0.2">
      <c r="E3" s="523"/>
      <c r="P3" s="2001"/>
      <c r="Q3" s="2001"/>
    </row>
    <row r="4" spans="1:30" ht="20.25" customHeight="1" thickBot="1" x14ac:dyDescent="0.25">
      <c r="B4" s="49" t="s">
        <v>39</v>
      </c>
      <c r="C4" s="45"/>
      <c r="D4" s="45"/>
      <c r="E4" s="45"/>
      <c r="F4" s="49"/>
      <c r="G4" s="49" t="s">
        <v>35</v>
      </c>
      <c r="I4" s="49"/>
      <c r="K4" s="45"/>
      <c r="L4" s="45"/>
      <c r="M4" s="45"/>
      <c r="N4" s="59"/>
      <c r="R4" s="185"/>
    </row>
    <row r="5" spans="1:30" ht="15" customHeight="1" x14ac:dyDescent="0.2">
      <c r="B5" s="2120">
        <f>'1. T1 INVESTOINTISUUN.'!B7:E7</f>
        <v>0</v>
      </c>
      <c r="C5" s="2120"/>
      <c r="D5" s="2120"/>
      <c r="E5" s="44"/>
      <c r="F5" s="527"/>
      <c r="G5" s="530">
        <f>'1. T1 INVESTOINTISUUN.'!F4</f>
        <v>0</v>
      </c>
      <c r="H5" s="44"/>
      <c r="I5" s="2141"/>
      <c r="J5" s="2141"/>
      <c r="K5" s="2141"/>
      <c r="L5" s="2193"/>
      <c r="M5" s="2193"/>
      <c r="N5" s="2193"/>
      <c r="P5" s="1550" t="s">
        <v>452</v>
      </c>
      <c r="Q5" s="250"/>
      <c r="R5" s="321"/>
      <c r="S5" s="250"/>
      <c r="T5" s="250"/>
      <c r="U5" s="250"/>
      <c r="V5" s="250"/>
      <c r="W5" s="250"/>
      <c r="X5" s="251"/>
      <c r="Y5" s="251"/>
      <c r="Z5" s="251"/>
      <c r="AA5" s="251"/>
      <c r="AB5" s="251"/>
      <c r="AC5" s="251"/>
      <c r="AD5" s="252"/>
    </row>
    <row r="6" spans="1:30" ht="12.75" customHeight="1" thickBot="1" x14ac:dyDescent="0.25">
      <c r="A6" s="53"/>
      <c r="P6" s="316"/>
      <c r="Q6" s="256"/>
      <c r="R6" s="365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92"/>
    </row>
    <row r="7" spans="1:30" x14ac:dyDescent="0.2">
      <c r="A7" s="2191" t="s">
        <v>457</v>
      </c>
      <c r="B7" s="2174" t="s">
        <v>0</v>
      </c>
      <c r="C7" s="2175"/>
      <c r="D7" s="2176"/>
      <c r="E7" s="2165"/>
      <c r="F7" s="2166"/>
      <c r="G7" s="2165" t="str">
        <f>'1. T1 INVESTOINTISUUN.'!E15</f>
        <v>Ennuste 1</v>
      </c>
      <c r="H7" s="2166"/>
      <c r="I7" s="2165" t="s">
        <v>43</v>
      </c>
      <c r="J7" s="2166"/>
      <c r="K7" s="2165" t="s">
        <v>44</v>
      </c>
      <c r="L7" s="2166"/>
      <c r="M7" s="2165" t="s">
        <v>188</v>
      </c>
      <c r="N7" s="2166"/>
      <c r="O7" s="4"/>
      <c r="P7" s="316"/>
      <c r="Q7" s="256"/>
      <c r="R7" s="365"/>
      <c r="S7" s="256"/>
      <c r="T7" s="256"/>
      <c r="U7" s="256"/>
      <c r="V7" s="256"/>
      <c r="W7" s="256"/>
      <c r="X7" s="256"/>
      <c r="Y7" s="256"/>
      <c r="Z7" s="256"/>
      <c r="AA7" s="256"/>
      <c r="AB7" s="256"/>
      <c r="AC7" s="256"/>
      <c r="AD7" s="292"/>
    </row>
    <row r="8" spans="1:30" x14ac:dyDescent="0.2">
      <c r="A8" s="2192"/>
      <c r="B8" s="2177"/>
      <c r="C8" s="2178"/>
      <c r="D8" s="2179"/>
      <c r="E8" s="2194"/>
      <c r="F8" s="2195"/>
      <c r="G8" s="2162">
        <f>'1. T1 INVESTOINTISUUN.'!E16</f>
        <v>2027</v>
      </c>
      <c r="H8" s="2163"/>
      <c r="I8" s="2162">
        <f>'1. T1 INVESTOINTISUUN.'!F16</f>
        <v>2028</v>
      </c>
      <c r="J8" s="2163"/>
      <c r="K8" s="2162">
        <f>'1. T1 INVESTOINTISUUN.'!G16</f>
        <v>2029</v>
      </c>
      <c r="L8" s="2163"/>
      <c r="M8" s="2162">
        <f>'1. T1 INVESTOINTISUUN.'!H16</f>
        <v>2030</v>
      </c>
      <c r="N8" s="2163"/>
      <c r="O8" s="4"/>
      <c r="P8" s="316"/>
      <c r="Q8" s="256"/>
      <c r="R8" s="365"/>
      <c r="S8" s="256"/>
      <c r="T8" s="256"/>
      <c r="U8" s="256"/>
      <c r="V8" s="256"/>
      <c r="W8" s="256"/>
      <c r="X8" s="256"/>
      <c r="Y8" s="256"/>
      <c r="Z8" s="256"/>
      <c r="AA8" s="256"/>
      <c r="AB8" s="256"/>
      <c r="AC8" s="256"/>
      <c r="AD8" s="292"/>
    </row>
    <row r="9" spans="1:30" x14ac:dyDescent="0.2">
      <c r="A9" s="2"/>
      <c r="B9" s="1116"/>
      <c r="C9" s="1117"/>
      <c r="D9" s="1118"/>
      <c r="E9" s="1119"/>
      <c r="F9" s="1120"/>
      <c r="G9" s="1121" t="s">
        <v>443</v>
      </c>
      <c r="H9" s="1122" t="s">
        <v>13</v>
      </c>
      <c r="I9" s="1121" t="s">
        <v>443</v>
      </c>
      <c r="J9" s="1122" t="s">
        <v>13</v>
      </c>
      <c r="K9" s="1121" t="s">
        <v>443</v>
      </c>
      <c r="L9" s="1122" t="s">
        <v>13</v>
      </c>
      <c r="M9" s="1121" t="s">
        <v>443</v>
      </c>
      <c r="N9" s="1122" t="s">
        <v>13</v>
      </c>
      <c r="O9" s="4"/>
      <c r="P9" s="316"/>
      <c r="Q9" s="256"/>
      <c r="R9" s="256"/>
      <c r="S9" s="256"/>
      <c r="T9" s="179"/>
      <c r="U9" s="179"/>
      <c r="V9" s="179"/>
      <c r="W9" s="283"/>
      <c r="X9" s="283"/>
      <c r="Y9" s="283"/>
      <c r="Z9" s="283"/>
      <c r="AA9" s="283"/>
      <c r="AB9" s="283"/>
      <c r="AC9" s="283"/>
      <c r="AD9" s="313"/>
    </row>
    <row r="10" spans="1:30" ht="13.5" thickBot="1" x14ac:dyDescent="0.25">
      <c r="A10" s="53"/>
      <c r="B10" s="1123"/>
      <c r="C10" s="1124"/>
      <c r="D10" s="1130" t="s">
        <v>288</v>
      </c>
      <c r="E10" s="1125" t="s">
        <v>0</v>
      </c>
      <c r="F10" s="1126"/>
      <c r="G10" s="1127">
        <f>'3. E1 KUSTANNUKSET'!D10</f>
        <v>12</v>
      </c>
      <c r="H10" s="1128"/>
      <c r="I10" s="1127" t="s">
        <v>308</v>
      </c>
      <c r="J10" s="1128"/>
      <c r="K10" s="1127" t="s">
        <v>308</v>
      </c>
      <c r="L10" s="1128"/>
      <c r="M10" s="1127" t="s">
        <v>308</v>
      </c>
      <c r="N10" s="1129"/>
      <c r="O10" s="4"/>
      <c r="P10" s="2159" t="s">
        <v>352</v>
      </c>
      <c r="Q10" s="2160"/>
      <c r="R10" s="2160"/>
      <c r="S10" s="2160"/>
      <c r="T10" s="179"/>
      <c r="U10" s="179"/>
      <c r="V10" s="179"/>
      <c r="W10" s="283"/>
      <c r="X10" s="283"/>
      <c r="Y10" s="283"/>
      <c r="Z10" s="283"/>
      <c r="AA10" s="283"/>
      <c r="AB10" s="283"/>
      <c r="AC10" s="283"/>
      <c r="AD10" s="313"/>
    </row>
    <row r="11" spans="1:30" s="53" customFormat="1" ht="21" customHeight="1" x14ac:dyDescent="0.2">
      <c r="A11"/>
      <c r="B11" s="270" t="s">
        <v>2</v>
      </c>
      <c r="C11" s="455" t="s">
        <v>20</v>
      </c>
      <c r="D11" s="272" t="s">
        <v>30</v>
      </c>
      <c r="E11" s="948"/>
      <c r="F11" s="574"/>
      <c r="G11" s="1569">
        <f>'4. E2 LIIKEVAIHTO'!E10</f>
        <v>0</v>
      </c>
      <c r="H11" s="581">
        <v>0</v>
      </c>
      <c r="I11" s="1569">
        <f>'4. E2 LIIKEVAIHTO'!F10</f>
        <v>0</v>
      </c>
      <c r="J11" s="581">
        <v>0</v>
      </c>
      <c r="K11" s="1569">
        <f>'4. E2 LIIKEVAIHTO'!G10</f>
        <v>0</v>
      </c>
      <c r="L11" s="581">
        <v>0</v>
      </c>
      <c r="M11" s="1569">
        <f>'4. E2 LIIKEVAIHTO'!H10</f>
        <v>0</v>
      </c>
      <c r="N11" s="581">
        <v>0</v>
      </c>
      <c r="O11" s="164"/>
      <c r="P11" s="583"/>
      <c r="Q11" s="242">
        <f>I8</f>
        <v>2028</v>
      </c>
      <c r="R11" s="242">
        <f>K$8</f>
        <v>2029</v>
      </c>
      <c r="S11" s="242">
        <f>M$8</f>
        <v>2030</v>
      </c>
      <c r="T11" s="316"/>
      <c r="U11" s="256"/>
      <c r="V11" s="256"/>
      <c r="W11" s="256"/>
      <c r="X11" s="256"/>
      <c r="Y11" s="256"/>
      <c r="Z11" s="256"/>
      <c r="AA11" s="256"/>
      <c r="AB11" s="256"/>
      <c r="AC11" s="256"/>
      <c r="AD11" s="292"/>
    </row>
    <row r="12" spans="1:30" s="53" customFormat="1" ht="15" customHeight="1" x14ac:dyDescent="0.2">
      <c r="B12" s="257" t="s">
        <v>3</v>
      </c>
      <c r="C12" s="258" t="s">
        <v>21</v>
      </c>
      <c r="D12" s="259" t="s">
        <v>30</v>
      </c>
      <c r="E12" s="949"/>
      <c r="F12" s="575"/>
      <c r="G12" s="765">
        <v>0</v>
      </c>
      <c r="H12" s="582"/>
      <c r="I12" s="765">
        <f>G12+G12*P12</f>
        <v>0</v>
      </c>
      <c r="J12" s="582"/>
      <c r="K12" s="765">
        <f>I12+I12*R12</f>
        <v>0</v>
      </c>
      <c r="L12" s="582"/>
      <c r="M12" s="765">
        <f>K12+K12*S12</f>
        <v>0</v>
      </c>
      <c r="N12" s="582"/>
      <c r="O12" s="164"/>
      <c r="P12" s="584"/>
      <c r="Q12" s="315">
        <v>0</v>
      </c>
      <c r="R12" s="315">
        <f>Q12</f>
        <v>0</v>
      </c>
      <c r="S12" s="315">
        <f>R12</f>
        <v>0</v>
      </c>
      <c r="T12" s="316"/>
      <c r="U12" s="256"/>
      <c r="V12" s="256"/>
      <c r="W12" s="256"/>
      <c r="X12" s="256"/>
      <c r="Y12" s="256"/>
      <c r="Z12" s="256"/>
      <c r="AA12" s="256"/>
      <c r="AB12" s="256"/>
      <c r="AC12" s="256"/>
      <c r="AD12" s="292"/>
    </row>
    <row r="13" spans="1:30" s="53" customFormat="1" ht="15" customHeight="1" x14ac:dyDescent="0.2">
      <c r="B13" s="257" t="s">
        <v>4</v>
      </c>
      <c r="C13" s="258" t="s">
        <v>289</v>
      </c>
      <c r="D13" s="259"/>
      <c r="E13" s="949"/>
      <c r="F13" s="575"/>
      <c r="G13" s="765"/>
      <c r="H13" s="582"/>
      <c r="I13" s="765"/>
      <c r="J13" s="582"/>
      <c r="K13" s="765"/>
      <c r="L13" s="582"/>
      <c r="M13" s="765"/>
      <c r="N13" s="582"/>
      <c r="O13" s="164"/>
      <c r="P13" s="441"/>
      <c r="Q13" s="442"/>
      <c r="R13" s="442"/>
      <c r="S13" s="442"/>
      <c r="T13" s="256"/>
      <c r="U13" s="256"/>
      <c r="V13" s="256"/>
      <c r="W13" s="256"/>
      <c r="X13" s="256"/>
      <c r="Y13" s="256"/>
      <c r="Z13" s="256"/>
      <c r="AA13" s="256"/>
      <c r="AB13" s="256"/>
      <c r="AC13" s="256"/>
      <c r="AD13" s="292"/>
    </row>
    <row r="14" spans="1:30" s="50" customFormat="1" ht="15" customHeight="1" x14ac:dyDescent="0.2">
      <c r="A14" s="53"/>
      <c r="B14" s="257" t="s">
        <v>5</v>
      </c>
      <c r="C14" s="260" t="s">
        <v>25</v>
      </c>
      <c r="D14" s="261"/>
      <c r="E14" s="576"/>
      <c r="F14" s="577"/>
      <c r="G14" s="766">
        <f>G11+G12+G13</f>
        <v>0</v>
      </c>
      <c r="H14" s="262">
        <v>100</v>
      </c>
      <c r="I14" s="766">
        <f>I11+I12+I13</f>
        <v>0</v>
      </c>
      <c r="J14" s="262">
        <v>100</v>
      </c>
      <c r="K14" s="766">
        <f>K11+K12+K13</f>
        <v>0</v>
      </c>
      <c r="L14" s="262">
        <v>100</v>
      </c>
      <c r="M14" s="766">
        <f>M11+M12+M13</f>
        <v>0</v>
      </c>
      <c r="N14" s="262">
        <v>100</v>
      </c>
      <c r="O14" s="164"/>
      <c r="P14" s="31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92"/>
    </row>
    <row r="15" spans="1:30" s="53" customFormat="1" ht="15" customHeight="1" x14ac:dyDescent="0.2">
      <c r="A15"/>
      <c r="B15" s="257" t="s">
        <v>6</v>
      </c>
      <c r="C15" s="258" t="s">
        <v>466</v>
      </c>
      <c r="D15" s="259" t="s">
        <v>31</v>
      </c>
      <c r="E15" s="949"/>
      <c r="F15" s="575"/>
      <c r="G15" s="767">
        <f>-'4. E2 LIIKEVAIHTO'!E11</f>
        <v>0</v>
      </c>
      <c r="H15" s="263">
        <f>-IF(G$14&gt;0,G15/G$14*100,0)</f>
        <v>0</v>
      </c>
      <c r="I15" s="767">
        <f>-'4. E2 LIIKEVAIHTO'!F11</f>
        <v>0</v>
      </c>
      <c r="J15" s="263">
        <f>-IF(I$14&gt;0,I15/I$14*100,0)</f>
        <v>0</v>
      </c>
      <c r="K15" s="767">
        <f>-'4. E2 LIIKEVAIHTO'!G11</f>
        <v>0</v>
      </c>
      <c r="L15" s="263">
        <f>-IF(K$14&gt;0,K15/K$14*100,0)</f>
        <v>0</v>
      </c>
      <c r="M15" s="767">
        <f>-'4. E2 LIIKEVAIHTO'!H11</f>
        <v>0</v>
      </c>
      <c r="N15" s="263">
        <f>-IF(M$14&gt;0,M15/M$14*100,0)</f>
        <v>0</v>
      </c>
      <c r="O15" s="164"/>
      <c r="P15" s="31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92"/>
    </row>
    <row r="16" spans="1:30" s="53" customFormat="1" ht="15" customHeight="1" x14ac:dyDescent="0.2">
      <c r="B16" s="257" t="s">
        <v>7</v>
      </c>
      <c r="C16" s="258" t="s">
        <v>23</v>
      </c>
      <c r="D16" s="259" t="s">
        <v>31</v>
      </c>
      <c r="E16" s="949"/>
      <c r="F16" s="575"/>
      <c r="G16" s="765">
        <v>0</v>
      </c>
      <c r="H16" s="263">
        <f>-IF(G$14&gt;0,G16/G$14*100,0)</f>
        <v>0</v>
      </c>
      <c r="I16" s="767">
        <f>-J16*I14/100</f>
        <v>0</v>
      </c>
      <c r="J16" s="264">
        <f>H16</f>
        <v>0</v>
      </c>
      <c r="K16" s="767">
        <f>-L16*K14/100</f>
        <v>0</v>
      </c>
      <c r="L16" s="264">
        <f>J16</f>
        <v>0</v>
      </c>
      <c r="M16" s="767">
        <f>-N16*M14/100</f>
        <v>0</v>
      </c>
      <c r="N16" s="264">
        <f>L16</f>
        <v>0</v>
      </c>
      <c r="O16" s="164"/>
      <c r="P16" s="1471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92"/>
    </row>
    <row r="17" spans="1:30" s="53" customFormat="1" ht="15" customHeight="1" x14ac:dyDescent="0.2">
      <c r="A17"/>
      <c r="B17" s="257" t="s">
        <v>8</v>
      </c>
      <c r="C17" s="258" t="s">
        <v>247</v>
      </c>
      <c r="D17" s="259" t="s">
        <v>31</v>
      </c>
      <c r="E17" s="949"/>
      <c r="F17" s="575"/>
      <c r="G17" s="767">
        <f>-'3. E1 KUSTANNUKSET'!D44-'6. T3 TASE'!G92-'6. T3 TASE'!G91</f>
        <v>0</v>
      </c>
      <c r="H17" s="263">
        <f>-IF(G$14&gt;0,G17/G$14*100,0)</f>
        <v>0</v>
      </c>
      <c r="I17" s="767">
        <f>-'3. E1 KUSTANNUKSET'!F44-('6. T3 TASE'!H92-'6. T3 TASE'!G92)-('6. T3 TASE'!H91-'6. T3 TASE'!G91)</f>
        <v>0</v>
      </c>
      <c r="J17" s="263">
        <f>-IF(I$14&gt;0,I17/I$14*100,0)</f>
        <v>0</v>
      </c>
      <c r="K17" s="767">
        <f>-'3. E1 KUSTANNUKSET'!H44-('6. T3 TASE'!I92-'6. T3 TASE'!H92)-('6. T3 TASE'!I91-'6. T3 TASE'!H91)</f>
        <v>0</v>
      </c>
      <c r="L17" s="263">
        <f>-IF(K$14&gt;0,K17/K$14*100,0)</f>
        <v>0</v>
      </c>
      <c r="M17" s="767">
        <f>-'3. E1 KUSTANNUKSET'!J44-('6. T3 TASE'!J92-'6. T3 TASE'!I92)-('6. T3 TASE'!J91-'6. T3 TASE'!I91)</f>
        <v>0</v>
      </c>
      <c r="N17" s="263">
        <f>-IF(M$14&gt;0,M17/M$14*100,0)</f>
        <v>0</v>
      </c>
      <c r="O17" s="164"/>
      <c r="P17" s="31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92"/>
    </row>
    <row r="18" spans="1:30" s="53" customFormat="1" ht="15" customHeight="1" x14ac:dyDescent="0.2">
      <c r="B18" s="257" t="s">
        <v>9</v>
      </c>
      <c r="C18" s="265" t="s">
        <v>24</v>
      </c>
      <c r="D18" s="259" t="s">
        <v>31</v>
      </c>
      <c r="E18" s="949"/>
      <c r="F18" s="575"/>
      <c r="G18" s="767">
        <f>-'3. E1 KUSTANNUKSET'!D45</f>
        <v>0</v>
      </c>
      <c r="H18" s="263">
        <f>-IF(G$14&gt;0,G18/G$14*100,0)</f>
        <v>0</v>
      </c>
      <c r="I18" s="767">
        <f>-'3. E1 KUSTANNUKSET'!F45</f>
        <v>0</v>
      </c>
      <c r="J18" s="263">
        <f>-IF(I$14&gt;0,I18/I$14*100,0)</f>
        <v>0</v>
      </c>
      <c r="K18" s="767">
        <f>-'3. E1 KUSTANNUKSET'!H45</f>
        <v>0</v>
      </c>
      <c r="L18" s="263">
        <f>-IF(K$14&gt;0,K18/K$14*100,0)</f>
        <v>0</v>
      </c>
      <c r="M18" s="767">
        <f>-'3. E1 KUSTANNUKSET'!J45</f>
        <v>0</v>
      </c>
      <c r="N18" s="263">
        <f>-IF(M$14&gt;0,M18/M$14*100,0)</f>
        <v>0</v>
      </c>
      <c r="O18" s="164"/>
      <c r="P18" s="31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92"/>
    </row>
    <row r="19" spans="1:30" s="53" customFormat="1" ht="15" customHeight="1" x14ac:dyDescent="0.2">
      <c r="A19" s="2"/>
      <c r="B19" s="257" t="s">
        <v>10</v>
      </c>
      <c r="C19" s="265" t="s">
        <v>679</v>
      </c>
      <c r="D19" s="266" t="s">
        <v>191</v>
      </c>
      <c r="E19" s="949"/>
      <c r="F19" s="575"/>
      <c r="G19" s="1713">
        <v>0</v>
      </c>
      <c r="H19" s="263">
        <f>IF(G$14&gt;0,G19/G$14*100,0)</f>
        <v>0</v>
      </c>
      <c r="I19" s="767">
        <f>'6. T3 TASE'!H39-'6. T3 TASE'!G39</f>
        <v>0</v>
      </c>
      <c r="J19" s="263">
        <f>IF(I$14&gt;0,I19/I$14*100,0)</f>
        <v>0</v>
      </c>
      <c r="K19" s="767">
        <f>'6. T3 TASE'!I39-'6. T3 TASE'!H39</f>
        <v>0</v>
      </c>
      <c r="L19" s="263">
        <f>IF(K$14&gt;0,K19/K$14*100,0)</f>
        <v>0</v>
      </c>
      <c r="M19" s="767">
        <f>'6. T3 TASE'!J39-'6. T3 TASE'!I39</f>
        <v>0</v>
      </c>
      <c r="N19" s="263">
        <f>IF(M$14&gt;0,M19/M$14*100,0)</f>
        <v>0</v>
      </c>
      <c r="O19" s="164"/>
      <c r="P19" s="31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92"/>
    </row>
    <row r="20" spans="1:30" s="53" customFormat="1" ht="15" customHeight="1" x14ac:dyDescent="0.2">
      <c r="A20"/>
      <c r="B20" s="257" t="s">
        <v>11</v>
      </c>
      <c r="C20" s="267" t="s">
        <v>26</v>
      </c>
      <c r="D20" s="268"/>
      <c r="E20" s="576"/>
      <c r="F20" s="575"/>
      <c r="G20" s="766">
        <f>SUM(G14:G19)</f>
        <v>0</v>
      </c>
      <c r="H20" s="263">
        <f>IF(G$14&gt;0,G20/G$14*100,0)</f>
        <v>0</v>
      </c>
      <c r="I20" s="766">
        <f>SUM(I14:I19)</f>
        <v>0</v>
      </c>
      <c r="J20" s="263">
        <f>IF(I$14&gt;0,I20/I$14*100,0)</f>
        <v>0</v>
      </c>
      <c r="K20" s="766">
        <f>SUM(K14:K19)</f>
        <v>0</v>
      </c>
      <c r="L20" s="263">
        <f>IF(K$14&gt;0,K20/K$14*100,0)</f>
        <v>0</v>
      </c>
      <c r="M20" s="766">
        <f>SUM(M14:M19)</f>
        <v>0</v>
      </c>
      <c r="N20" s="263">
        <f>IF(M$14&gt;0,M20/M$14*100,0)</f>
        <v>0</v>
      </c>
      <c r="O20" s="164"/>
      <c r="P20" s="316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92"/>
    </row>
    <row r="21" spans="1:30" s="53" customFormat="1" ht="15" customHeight="1" x14ac:dyDescent="0.2">
      <c r="A21"/>
      <c r="B21" s="257" t="s">
        <v>109</v>
      </c>
      <c r="C21" s="265" t="s">
        <v>27</v>
      </c>
      <c r="D21" s="259" t="s">
        <v>31</v>
      </c>
      <c r="E21" s="949"/>
      <c r="F21" s="575"/>
      <c r="G21" s="767">
        <f>-('6. T3 TASE'!G17+'6. T3 TASE'!G25+'6. T3 TASE'!G29+'6. T3 TASE'!G33)</f>
        <v>0</v>
      </c>
      <c r="H21" s="263">
        <f>-IF(G$14&gt;0,G21/G$14*100,0)</f>
        <v>0</v>
      </c>
      <c r="I21" s="767">
        <f>-('6. T3 TASE'!H17+'6. T3 TASE'!H25+'6. T3 TASE'!H29+'6. T3 TASE'!H33)</f>
        <v>0</v>
      </c>
      <c r="J21" s="263">
        <f>-IF(I$14&gt;0,I21/I$14*100,0)</f>
        <v>0</v>
      </c>
      <c r="K21" s="767">
        <f>-('6. T3 TASE'!I17+'6. T3 TASE'!I25+'6. T3 TASE'!I29+'6. T3 TASE'!I33)</f>
        <v>0</v>
      </c>
      <c r="L21" s="263">
        <f>-IF(K$14&gt;0,K21/K$14*100,0)</f>
        <v>0</v>
      </c>
      <c r="M21" s="767">
        <f>-('6. T3 TASE'!J17+'6. T3 TASE'!J25+'6. T3 TASE'!J29+'6. T3 TASE'!J33)</f>
        <v>0</v>
      </c>
      <c r="N21" s="263">
        <f>-IF(M$14&gt;0,M21/M$14*100,0)</f>
        <v>0</v>
      </c>
      <c r="O21" s="164"/>
      <c r="P21" s="316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92"/>
    </row>
    <row r="22" spans="1:30" s="53" customFormat="1" ht="15" customHeight="1" x14ac:dyDescent="0.2">
      <c r="A22"/>
      <c r="B22" s="257" t="s">
        <v>110</v>
      </c>
      <c r="C22" s="267" t="s">
        <v>292</v>
      </c>
      <c r="D22" s="269"/>
      <c r="E22" s="576"/>
      <c r="F22" s="575"/>
      <c r="G22" s="766">
        <f>SUM(G20:G21)</f>
        <v>0</v>
      </c>
      <c r="H22" s="263">
        <f>IF(G$14&gt;0,G22/G$14*100,0)</f>
        <v>0</v>
      </c>
      <c r="I22" s="766">
        <f>SUM(I20:I21)</f>
        <v>0</v>
      </c>
      <c r="J22" s="263">
        <f>IF(I$14&gt;0,I22/I$14*100,0)</f>
        <v>0</v>
      </c>
      <c r="K22" s="766">
        <f>SUM(K20:K21)</f>
        <v>0</v>
      </c>
      <c r="L22" s="263">
        <f>IF(K$14&gt;0,K22/K$14*100,0)</f>
        <v>0</v>
      </c>
      <c r="M22" s="766">
        <f>SUM(M20:M21)</f>
        <v>0</v>
      </c>
      <c r="N22" s="263">
        <f>IF(M$14&gt;0,M22/M$14*100,0)</f>
        <v>0</v>
      </c>
      <c r="O22" s="164"/>
      <c r="P22" s="316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92"/>
    </row>
    <row r="23" spans="1:30" s="53" customFormat="1" ht="15" customHeight="1" x14ac:dyDescent="0.2">
      <c r="A23"/>
      <c r="B23" s="257" t="s">
        <v>293</v>
      </c>
      <c r="C23" s="265" t="s">
        <v>42</v>
      </c>
      <c r="D23" s="259" t="s">
        <v>30</v>
      </c>
      <c r="E23" s="949"/>
      <c r="F23" s="950"/>
      <c r="G23" s="765">
        <v>0</v>
      </c>
      <c r="H23" s="319">
        <f>IF(G$14&gt;0,G23/G$14*100,0)</f>
        <v>0</v>
      </c>
      <c r="I23" s="765">
        <v>0</v>
      </c>
      <c r="J23" s="319">
        <f>IF(I$14&gt;0,I23/I$14*100,0)</f>
        <v>0</v>
      </c>
      <c r="K23" s="765"/>
      <c r="L23" s="319">
        <f>IF(K$14&gt;0,K23/K$14*100,0)</f>
        <v>0</v>
      </c>
      <c r="M23" s="765"/>
      <c r="N23" s="319">
        <f>IF(M$14&gt;0,M23/M$14*100,0)</f>
        <v>0</v>
      </c>
      <c r="O23" s="164"/>
      <c r="P23" s="31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92"/>
    </row>
    <row r="24" spans="1:30" s="53" customFormat="1" ht="15" customHeight="1" x14ac:dyDescent="0.2">
      <c r="A24"/>
      <c r="B24" s="270" t="s">
        <v>111</v>
      </c>
      <c r="C24" s="271" t="s">
        <v>304</v>
      </c>
      <c r="D24" s="272" t="s">
        <v>30</v>
      </c>
      <c r="E24" s="949"/>
      <c r="F24" s="950"/>
      <c r="G24" s="765">
        <v>0</v>
      </c>
      <c r="H24" s="319">
        <f>IF(G$14&gt;0,G24/G$14*100,0)</f>
        <v>0</v>
      </c>
      <c r="I24" s="765">
        <v>0</v>
      </c>
      <c r="J24" s="319">
        <f>IF(I$14&gt;0,I24/I$14*100,0)</f>
        <v>0</v>
      </c>
      <c r="K24" s="765">
        <v>0</v>
      </c>
      <c r="L24" s="319">
        <f>IF(K$14&gt;0,K24/K$14*100,0)</f>
        <v>0</v>
      </c>
      <c r="M24" s="765">
        <v>0</v>
      </c>
      <c r="N24" s="319">
        <f>IF(M$14&gt;0,M24/M$14*100,0)</f>
        <v>0</v>
      </c>
      <c r="O24" s="164"/>
      <c r="P24" s="31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92"/>
    </row>
    <row r="25" spans="1:30" s="53" customFormat="1" ht="15" customHeight="1" x14ac:dyDescent="0.2">
      <c r="A25"/>
      <c r="B25" s="257" t="s">
        <v>112</v>
      </c>
      <c r="C25" s="258" t="s">
        <v>305</v>
      </c>
      <c r="D25" s="259" t="s">
        <v>31</v>
      </c>
      <c r="E25" s="949"/>
      <c r="F25" s="575"/>
      <c r="G25" s="767">
        <f>-'2. T7 LAINAT'!H48</f>
        <v>0</v>
      </c>
      <c r="H25" s="263">
        <f>-IF(G$14&gt;0,G25/G$14*100,0)</f>
        <v>0</v>
      </c>
      <c r="I25" s="767">
        <f>-'2. T7 LAINAT'!K48</f>
        <v>0</v>
      </c>
      <c r="J25" s="263">
        <f>-IF(I$14&gt;0,I25/I$14*100,0)</f>
        <v>0</v>
      </c>
      <c r="K25" s="767">
        <f>-'2. T7 LAINAT'!N48</f>
        <v>0</v>
      </c>
      <c r="L25" s="263">
        <f>-IF(K$14&gt;0,K25/K$14*100,0)</f>
        <v>0</v>
      </c>
      <c r="M25" s="767">
        <f>-'2. T7 LAINAT'!Q48</f>
        <v>0</v>
      </c>
      <c r="N25" s="263">
        <f>-IF(M$14&gt;0,M25/M$14*100,0)</f>
        <v>0</v>
      </c>
      <c r="O25" s="164"/>
      <c r="P25" s="31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92"/>
    </row>
    <row r="26" spans="1:30" s="53" customFormat="1" ht="25.15" customHeight="1" x14ac:dyDescent="0.2">
      <c r="A26"/>
      <c r="B26" s="257" t="s">
        <v>113</v>
      </c>
      <c r="C26" s="2185" t="s">
        <v>819</v>
      </c>
      <c r="D26" s="2186"/>
      <c r="E26" s="578"/>
      <c r="F26" s="575"/>
      <c r="G26" s="769">
        <f>SUM(G22:G25)</f>
        <v>0</v>
      </c>
      <c r="H26" s="421">
        <f>IF(G$14&gt;0,G26/G$14*100,0)</f>
        <v>0</v>
      </c>
      <c r="I26" s="769">
        <f>SUM(I22:I25)</f>
        <v>0</v>
      </c>
      <c r="J26" s="421">
        <f>IF(I$14&gt;0,I26/I$14*100,0)</f>
        <v>0</v>
      </c>
      <c r="K26" s="769">
        <f>SUM(K22:K25)</f>
        <v>0</v>
      </c>
      <c r="L26" s="421">
        <f>IF(K$14&gt;0,K26/K$14*100,0)</f>
        <v>0</v>
      </c>
      <c r="M26" s="769">
        <f>SUM(M22:M25)</f>
        <v>0</v>
      </c>
      <c r="N26" s="263">
        <f>IF(M$14&gt;0,M26/M$14*100,0)</f>
        <v>0</v>
      </c>
      <c r="O26" s="164"/>
      <c r="P26" s="31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92"/>
    </row>
    <row r="27" spans="1:30" s="53" customFormat="1" ht="15" customHeight="1" x14ac:dyDescent="0.2">
      <c r="A27"/>
      <c r="B27" s="257" t="s">
        <v>114</v>
      </c>
      <c r="C27" s="258" t="s">
        <v>29</v>
      </c>
      <c r="D27" s="259" t="s">
        <v>31</v>
      </c>
      <c r="E27" s="951"/>
      <c r="F27" s="950"/>
      <c r="G27" s="770">
        <f>-IF(G28*(G26+G29+G30+0.5*'3. E1 KUSTANNUKSET'!D93)&lt;0,0,G28*(G26+G29+G30+0.5*'3. E1 KUSTANNUKSET'!D93))</f>
        <v>0</v>
      </c>
      <c r="H27" s="263">
        <f>-IF(G$14&gt;0,G27/G$14*100,0)</f>
        <v>0</v>
      </c>
      <c r="I27" s="770">
        <f>-IF(I28*(I26+I29+I30+0.5*'3. E1 KUSTANNUKSET'!F93)&lt;0,0,I28*(I26+I29+I30+0.5*'3. E1 KUSTANNUKSET'!F93))</f>
        <v>0</v>
      </c>
      <c r="J27" s="263">
        <f>-IF(I$14&gt;0,I27/I$14*100,0)</f>
        <v>0</v>
      </c>
      <c r="K27" s="770">
        <f>-IF(K28*(K26+K29+K30+0.5*'3. E1 KUSTANNUKSET'!H93)&lt;0,0,K28*(K26+K29+K30+0.5*'3. E1 KUSTANNUKSET'!H93))</f>
        <v>0</v>
      </c>
      <c r="L27" s="263">
        <f>-IF(K$14&gt;0,K27/K$14*100,0)</f>
        <v>0</v>
      </c>
      <c r="M27" s="770">
        <f>-IF(M28*(M26+M29+M30+0.5*'3. E1 KUSTANNUKSET'!J93)&lt;0,0,M28*(M26+M29+M30+0.5*'3. E1 KUSTANNUKSET'!J93))</f>
        <v>0</v>
      </c>
      <c r="N27" s="263">
        <f>-IF(M$14&gt;0,M27/M$14*100,0)</f>
        <v>0</v>
      </c>
      <c r="O27" s="164"/>
      <c r="P27" s="316"/>
      <c r="Q27" s="256"/>
      <c r="R27" s="256"/>
      <c r="S27" s="256"/>
      <c r="T27" s="256"/>
      <c r="U27" s="256" t="s">
        <v>0</v>
      </c>
      <c r="V27" s="256"/>
      <c r="W27" s="256"/>
      <c r="X27" s="256"/>
      <c r="Y27" s="256"/>
      <c r="Z27" s="256"/>
      <c r="AA27" s="256"/>
      <c r="AB27" s="256"/>
      <c r="AC27" s="256"/>
      <c r="AD27" s="292"/>
    </row>
    <row r="28" spans="1:30" s="53" customFormat="1" ht="15" customHeight="1" x14ac:dyDescent="0.2">
      <c r="A28"/>
      <c r="B28" s="257"/>
      <c r="C28" s="1456" t="s">
        <v>246</v>
      </c>
      <c r="D28" s="585"/>
      <c r="E28" s="952"/>
      <c r="F28" s="953"/>
      <c r="G28" s="771">
        <v>0.2</v>
      </c>
      <c r="H28" s="772"/>
      <c r="I28" s="771">
        <f>G28</f>
        <v>0.2</v>
      </c>
      <c r="J28" s="772"/>
      <c r="K28" s="771">
        <f>I28</f>
        <v>0.2</v>
      </c>
      <c r="L28" s="772"/>
      <c r="M28" s="771">
        <f>K28</f>
        <v>0.2</v>
      </c>
      <c r="N28" s="263"/>
      <c r="O28" s="164"/>
      <c r="P28" s="316"/>
      <c r="Q28" s="256" t="s">
        <v>0</v>
      </c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92"/>
    </row>
    <row r="29" spans="1:30" s="53" customFormat="1" ht="15" customHeight="1" x14ac:dyDescent="0.2">
      <c r="B29" s="257" t="s">
        <v>115</v>
      </c>
      <c r="C29" s="258" t="s">
        <v>49</v>
      </c>
      <c r="D29" s="266" t="s">
        <v>196</v>
      </c>
      <c r="E29" s="951"/>
      <c r="F29" s="950"/>
      <c r="G29" s="773"/>
      <c r="H29" s="263"/>
      <c r="I29" s="773"/>
      <c r="J29" s="263"/>
      <c r="K29" s="773"/>
      <c r="L29" s="263"/>
      <c r="M29" s="773"/>
      <c r="N29" s="263"/>
      <c r="O29" s="164"/>
      <c r="P29" s="31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92"/>
    </row>
    <row r="30" spans="1:30" s="53" customFormat="1" ht="15" customHeight="1" x14ac:dyDescent="0.2">
      <c r="A30"/>
      <c r="B30" s="257" t="s">
        <v>116</v>
      </c>
      <c r="C30" s="258" t="s">
        <v>303</v>
      </c>
      <c r="D30" s="266" t="s">
        <v>196</v>
      </c>
      <c r="E30" s="951"/>
      <c r="F30" s="575"/>
      <c r="G30" s="773">
        <f>-('6. T3 TASE'!G64-'6. T3 TASE'!F64)</f>
        <v>0</v>
      </c>
      <c r="H30" s="263">
        <f>-IF(G$14&gt;0,G30/G$14*100,0)</f>
        <v>0</v>
      </c>
      <c r="I30" s="773">
        <f>-('6. T3 TASE'!H64-'6. T3 TASE'!G64)</f>
        <v>0</v>
      </c>
      <c r="J30" s="263">
        <f>-IF(I$14&gt;0,I30/I$14*100,0)</f>
        <v>0</v>
      </c>
      <c r="K30" s="773">
        <f>-('6. T3 TASE'!I64-'6. T3 TASE'!H64)</f>
        <v>0</v>
      </c>
      <c r="L30" s="263">
        <f>-IF(K$14&gt;0,K30/K$14*100,0)</f>
        <v>0</v>
      </c>
      <c r="M30" s="773">
        <f>-('6. T3 TASE'!J64-'6. T3 TASE'!I64)</f>
        <v>0</v>
      </c>
      <c r="N30" s="263">
        <f>-IF(M$14&gt;0,M30/M$14*100,0)</f>
        <v>0</v>
      </c>
      <c r="O30" s="164"/>
      <c r="P30" s="31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92"/>
    </row>
    <row r="31" spans="1:30" s="53" customFormat="1" ht="18.600000000000001" customHeight="1" thickBot="1" x14ac:dyDescent="0.25">
      <c r="A31"/>
      <c r="B31" s="273" t="s">
        <v>33</v>
      </c>
      <c r="C31" s="274" t="s">
        <v>32</v>
      </c>
      <c r="D31" s="275"/>
      <c r="E31" s="579"/>
      <c r="F31" s="580"/>
      <c r="G31" s="774">
        <f>G26+G27+G29+G30</f>
        <v>0</v>
      </c>
      <c r="H31" s="276">
        <f>IF(G$14&gt;0,G31/G$14*100,0)</f>
        <v>0</v>
      </c>
      <c r="I31" s="774">
        <f>I26+I27+I29+I30</f>
        <v>0</v>
      </c>
      <c r="J31" s="276">
        <f>IF(I$14&gt;0,I31/I$14*100,0)</f>
        <v>0</v>
      </c>
      <c r="K31" s="774">
        <f>K26+K27+K29+K30</f>
        <v>0</v>
      </c>
      <c r="L31" s="276">
        <f>IF(K$14&gt;0,K31/K$14*100,0)</f>
        <v>0</v>
      </c>
      <c r="M31" s="774">
        <f>M26+M27+M29+M30</f>
        <v>0</v>
      </c>
      <c r="N31" s="276">
        <f>IF(M$14&gt;0,M31/M$14*100,0)</f>
        <v>0</v>
      </c>
      <c r="O31" s="164"/>
      <c r="P31" s="331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4"/>
    </row>
    <row r="32" spans="1:30" ht="9" customHeight="1" thickBot="1" x14ac:dyDescent="0.25">
      <c r="B32" s="60"/>
      <c r="C32" s="164"/>
      <c r="D32" s="164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</row>
    <row r="33" spans="1:15" ht="15.75" customHeight="1" thickBot="1" x14ac:dyDescent="0.25">
      <c r="A33" s="53"/>
      <c r="B33" s="80"/>
      <c r="C33" s="196" t="s">
        <v>45</v>
      </c>
      <c r="D33" s="166"/>
      <c r="E33" s="2196">
        <v>0</v>
      </c>
      <c r="F33" s="2196"/>
      <c r="G33" s="2167">
        <f>1+'3. E1 KUSTANNUKSET'!F20+'3. E1 KUSTANNUKSET'!F26</f>
        <v>1</v>
      </c>
      <c r="H33" s="2168"/>
      <c r="I33" s="2167">
        <f>1+'3. E1 KUSTANNUKSET'!F20+'3. E1 KUSTANNUKSET'!F26</f>
        <v>1</v>
      </c>
      <c r="J33" s="2168"/>
      <c r="K33" s="2167">
        <f>1+'3. E1 KUSTANNUKSET'!H20+'3. E1 KUSTANNUKSET'!H26</f>
        <v>1</v>
      </c>
      <c r="L33" s="2168"/>
      <c r="M33" s="2167">
        <f>1+'3. E1 KUSTANNUKSET'!J20+'3. E1 KUSTANNUKSET'!J26</f>
        <v>1</v>
      </c>
      <c r="N33" s="2168"/>
    </row>
    <row r="34" spans="1:15" ht="12.75" customHeight="1" x14ac:dyDescent="0.2">
      <c r="B34" s="60"/>
      <c r="C34" s="1"/>
      <c r="D34" s="4"/>
      <c r="E34" s="81"/>
      <c r="F34" s="81"/>
      <c r="G34" s="277"/>
      <c r="H34" s="81"/>
      <c r="I34" s="81"/>
      <c r="J34" s="81"/>
      <c r="K34" s="81"/>
      <c r="L34" s="81"/>
      <c r="M34" s="81"/>
      <c r="N34" s="81"/>
    </row>
    <row r="35" spans="1:15" ht="14.25" customHeight="1" x14ac:dyDescent="0.2">
      <c r="B35" s="2161" t="str">
        <f>OHJE!G33</f>
        <v>YT6 Aloittavan yrityksen tulossuunnitelma</v>
      </c>
      <c r="C35" s="2161"/>
      <c r="D35" s="2161"/>
      <c r="E35" s="4"/>
      <c r="F35" s="60"/>
      <c r="G35" s="2197" t="str">
        <f>'1. T1 INVESTOINTISUUN.'!I67</f>
        <v>Kehittämisyhtiö Witas Oy</v>
      </c>
      <c r="H35" s="2197"/>
      <c r="I35" s="2197"/>
      <c r="J35" s="2197"/>
      <c r="K35" s="2197"/>
      <c r="L35" s="2197"/>
      <c r="M35" s="2197"/>
      <c r="N35" s="2197"/>
    </row>
    <row r="36" spans="1:15" ht="12.75" customHeight="1" x14ac:dyDescent="0.2">
      <c r="B36" s="1978"/>
      <c r="C36" s="1978"/>
      <c r="D36" s="461"/>
      <c r="E36" s="2181"/>
      <c r="F36" s="2181"/>
      <c r="G36" s="2181"/>
      <c r="H36" s="2181"/>
      <c r="I36" s="2181"/>
      <c r="J36" s="2181"/>
      <c r="K36" s="2181"/>
      <c r="L36" s="2181"/>
      <c r="M36" s="2181"/>
      <c r="N36" s="2181"/>
      <c r="O36" s="129"/>
    </row>
    <row r="37" spans="1:15" x14ac:dyDescent="0.2">
      <c r="B37" s="130"/>
      <c r="C37" s="131"/>
      <c r="D37" s="131"/>
      <c r="E37" s="2155"/>
      <c r="F37" s="2155"/>
      <c r="G37" s="2155"/>
      <c r="H37" s="2155"/>
      <c r="I37" s="2155"/>
      <c r="J37" s="2155"/>
      <c r="K37" s="2155"/>
      <c r="L37" s="2155"/>
      <c r="M37" s="2155"/>
      <c r="N37" s="2155"/>
      <c r="O37" s="129"/>
    </row>
    <row r="38" spans="1:15" x14ac:dyDescent="0.2">
      <c r="B38" s="130"/>
      <c r="C38" s="327" t="s">
        <v>234</v>
      </c>
      <c r="D38" s="131"/>
      <c r="E38" s="334"/>
      <c r="F38" s="334"/>
      <c r="G38" s="334"/>
      <c r="H38" s="334"/>
      <c r="I38" s="2155"/>
      <c r="J38" s="2155"/>
      <c r="K38" s="2155"/>
      <c r="L38" s="2155"/>
      <c r="M38" s="2155"/>
      <c r="N38" s="2155"/>
      <c r="O38" s="129"/>
    </row>
    <row r="39" spans="1:15" ht="14.25" customHeight="1" x14ac:dyDescent="0.2">
      <c r="B39" s="130"/>
      <c r="C39" s="52" t="s">
        <v>235</v>
      </c>
      <c r="D39" s="131"/>
      <c r="E39" s="129"/>
      <c r="F39" s="129"/>
      <c r="G39" s="334"/>
      <c r="H39" s="334"/>
      <c r="I39" s="2155"/>
      <c r="J39" s="2155"/>
      <c r="K39" s="2155"/>
      <c r="L39" s="2155"/>
      <c r="M39" s="2155"/>
      <c r="N39" s="2155"/>
      <c r="O39" s="129"/>
    </row>
    <row r="40" spans="1:15" x14ac:dyDescent="0.2">
      <c r="B40" s="130"/>
      <c r="C40" s="52" t="s">
        <v>236</v>
      </c>
      <c r="D40" s="131"/>
      <c r="E40" s="334"/>
      <c r="F40" s="334"/>
      <c r="G40" s="334"/>
      <c r="H40" s="334"/>
      <c r="I40" s="2155"/>
      <c r="J40" s="2155"/>
      <c r="K40" s="2155"/>
      <c r="L40" s="2155"/>
      <c r="M40" s="2155"/>
      <c r="N40" s="2155"/>
      <c r="O40" s="129"/>
    </row>
    <row r="41" spans="1:15" x14ac:dyDescent="0.2">
      <c r="B41" s="130"/>
      <c r="C41" s="131"/>
      <c r="D41" s="131"/>
      <c r="E41" s="2155"/>
      <c r="F41" s="2155"/>
      <c r="G41" s="2155"/>
      <c r="H41" s="2155"/>
      <c r="I41" s="2155"/>
      <c r="J41" s="2155"/>
      <c r="K41" s="2155"/>
      <c r="L41" s="2155"/>
      <c r="M41" s="2155"/>
      <c r="N41" s="2155"/>
      <c r="O41" s="129"/>
    </row>
    <row r="42" spans="1:15" x14ac:dyDescent="0.2">
      <c r="B42" s="130"/>
      <c r="C42" s="131"/>
      <c r="D42" s="131"/>
      <c r="E42" s="2155"/>
      <c r="F42" s="2155"/>
      <c r="G42" s="2155"/>
      <c r="H42" s="2155"/>
      <c r="I42" s="2155"/>
      <c r="J42" s="2155"/>
      <c r="K42" s="2155"/>
      <c r="L42" s="2155"/>
      <c r="M42" s="2155"/>
      <c r="N42" s="2155"/>
      <c r="O42" s="129"/>
    </row>
    <row r="43" spans="1:15" x14ac:dyDescent="0.2">
      <c r="B43" s="130"/>
      <c r="C43" s="131"/>
      <c r="D43" s="131"/>
      <c r="E43" s="2155"/>
      <c r="F43" s="2155"/>
      <c r="G43" s="2155"/>
      <c r="H43" s="2155"/>
      <c r="I43" s="2155"/>
      <c r="J43" s="2155"/>
      <c r="K43" s="2155"/>
      <c r="L43" s="2155"/>
      <c r="M43" s="2155"/>
      <c r="N43" s="2155"/>
      <c r="O43" s="129"/>
    </row>
    <row r="44" spans="1:15" x14ac:dyDescent="0.2">
      <c r="B44" s="130"/>
      <c r="C44" s="131"/>
      <c r="D44" s="131"/>
      <c r="E44" s="2155"/>
      <c r="F44" s="2155"/>
      <c r="G44" s="2155"/>
      <c r="H44" s="2155"/>
      <c r="I44" s="2155"/>
      <c r="J44" s="2155"/>
      <c r="K44" s="2155"/>
      <c r="L44" s="2155"/>
      <c r="M44" s="2155"/>
      <c r="N44" s="2155"/>
      <c r="O44" s="129"/>
    </row>
    <row r="45" spans="1:15" x14ac:dyDescent="0.2">
      <c r="B45" s="130"/>
      <c r="C45" s="131"/>
      <c r="D45" s="131"/>
      <c r="E45" s="2158"/>
      <c r="F45" s="2158"/>
      <c r="G45" s="2158"/>
      <c r="H45" s="2158"/>
      <c r="I45" s="2158"/>
      <c r="J45" s="2158"/>
      <c r="K45" s="2158"/>
      <c r="L45" s="2158"/>
      <c r="M45" s="2158"/>
      <c r="N45" s="2158"/>
      <c r="O45" s="129"/>
    </row>
    <row r="46" spans="1:15" x14ac:dyDescent="0.2">
      <c r="B46" s="2170"/>
      <c r="C46" s="2170"/>
      <c r="D46" s="2170"/>
      <c r="E46" s="2155"/>
      <c r="F46" s="2155"/>
      <c r="G46" s="2155"/>
      <c r="H46" s="2155"/>
      <c r="I46" s="2155"/>
      <c r="J46" s="2155"/>
      <c r="K46" s="2155"/>
      <c r="L46" s="2155"/>
      <c r="M46" s="2155"/>
      <c r="N46" s="2155"/>
      <c r="O46" s="129"/>
    </row>
    <row r="47" spans="1:15" x14ac:dyDescent="0.2">
      <c r="B47" s="130"/>
      <c r="C47" s="131"/>
      <c r="D47" s="131"/>
      <c r="E47" s="2155"/>
      <c r="F47" s="2155"/>
      <c r="G47" s="2155"/>
      <c r="H47" s="2155"/>
      <c r="I47" s="2155"/>
      <c r="J47" s="2155"/>
      <c r="K47" s="2155"/>
      <c r="L47" s="2155"/>
      <c r="M47" s="2155"/>
      <c r="N47" s="2155"/>
      <c r="O47" s="129"/>
    </row>
    <row r="48" spans="1:15" x14ac:dyDescent="0.2">
      <c r="B48" s="130"/>
      <c r="C48" s="131"/>
      <c r="D48" s="131"/>
      <c r="E48" s="2155"/>
      <c r="F48" s="2155"/>
      <c r="G48" s="2155"/>
      <c r="H48" s="2155"/>
      <c r="I48" s="2155"/>
      <c r="J48" s="2155"/>
      <c r="K48" s="2155"/>
      <c r="L48" s="2155"/>
      <c r="M48" s="2155"/>
      <c r="N48" s="2155"/>
      <c r="O48" s="129"/>
    </row>
    <row r="49" spans="2:19" x14ac:dyDescent="0.2">
      <c r="B49" s="130"/>
      <c r="C49" s="2173"/>
      <c r="D49" s="2173"/>
      <c r="E49" s="2155"/>
      <c r="F49" s="2155"/>
      <c r="G49" s="2155"/>
      <c r="H49" s="2155"/>
      <c r="I49" s="2155"/>
      <c r="J49" s="2155"/>
      <c r="K49" s="2155"/>
      <c r="L49" s="2155"/>
      <c r="M49" s="2155"/>
      <c r="N49" s="2155"/>
      <c r="O49" s="129"/>
      <c r="P49" s="1" t="s">
        <v>0</v>
      </c>
    </row>
    <row r="50" spans="2:19" x14ac:dyDescent="0.2">
      <c r="B50" s="130"/>
      <c r="C50" s="131"/>
      <c r="D50" s="131"/>
      <c r="E50" s="2155"/>
      <c r="F50" s="2155"/>
      <c r="G50" s="2155"/>
      <c r="H50" s="2155"/>
      <c r="I50" s="2155"/>
      <c r="J50" s="2155"/>
      <c r="K50" s="2155"/>
      <c r="L50" s="2155"/>
      <c r="M50" s="2155"/>
      <c r="N50" s="2155"/>
      <c r="O50" s="129"/>
      <c r="P50" s="1" t="s">
        <v>0</v>
      </c>
    </row>
    <row r="51" spans="2:19" x14ac:dyDescent="0.2">
      <c r="B51" s="130"/>
      <c r="C51" s="131"/>
      <c r="D51" s="131"/>
      <c r="E51" s="2155"/>
      <c r="F51" s="2155"/>
      <c r="G51" s="2155"/>
      <c r="H51" s="2155"/>
      <c r="I51" s="2155"/>
      <c r="J51" s="2155"/>
      <c r="K51" s="2155"/>
      <c r="L51" s="2155"/>
      <c r="M51" s="2155"/>
      <c r="N51" s="2155"/>
      <c r="O51" s="129"/>
    </row>
    <row r="52" spans="2:19" x14ac:dyDescent="0.2">
      <c r="B52" s="2189"/>
      <c r="C52" s="2189"/>
      <c r="D52" s="2189"/>
      <c r="E52" s="2155"/>
      <c r="F52" s="2155"/>
      <c r="G52" s="2155"/>
      <c r="H52" s="2155"/>
      <c r="I52" s="2155"/>
      <c r="J52" s="2155"/>
      <c r="K52" s="2155"/>
      <c r="L52" s="2155"/>
      <c r="M52" s="2155"/>
      <c r="N52" s="2155"/>
      <c r="O52" s="129"/>
    </row>
    <row r="53" spans="2:19" x14ac:dyDescent="0.2">
      <c r="B53" s="135"/>
      <c r="C53" s="129"/>
      <c r="D53" s="129"/>
      <c r="E53" s="129"/>
      <c r="F53" s="135"/>
      <c r="G53" s="131"/>
      <c r="H53" s="135"/>
      <c r="I53" s="129"/>
      <c r="J53" s="135"/>
      <c r="K53" s="129"/>
      <c r="L53" s="135"/>
      <c r="M53" s="129"/>
      <c r="N53" s="135"/>
      <c r="O53" s="129"/>
    </row>
    <row r="54" spans="2:19" x14ac:dyDescent="0.2">
      <c r="B54" s="2190"/>
      <c r="C54" s="2190"/>
      <c r="D54" s="2190"/>
      <c r="E54" s="2156"/>
      <c r="F54" s="2157"/>
      <c r="G54" s="2156"/>
      <c r="H54" s="2157"/>
      <c r="I54" s="2156"/>
      <c r="J54" s="2157"/>
      <c r="K54" s="2156"/>
      <c r="L54" s="2157"/>
      <c r="M54" s="2156"/>
      <c r="N54" s="2157"/>
      <c r="O54" s="129"/>
    </row>
    <row r="55" spans="2:19" x14ac:dyDescent="0.2">
      <c r="B55" s="2180"/>
      <c r="C55" s="2180"/>
      <c r="D55" s="2180"/>
      <c r="E55" s="2155"/>
      <c r="F55" s="2155"/>
      <c r="G55" s="2155"/>
      <c r="H55" s="2155"/>
      <c r="I55" s="2155"/>
      <c r="J55" s="2155"/>
      <c r="K55" s="2155"/>
      <c r="L55" s="2155"/>
      <c r="M55" s="2155"/>
      <c r="N55" s="2155"/>
      <c r="O55" s="129"/>
    </row>
    <row r="56" spans="2:19" x14ac:dyDescent="0.2">
      <c r="B56" s="2180"/>
      <c r="C56" s="2180"/>
      <c r="D56" s="2180"/>
      <c r="E56" s="2155"/>
      <c r="F56" s="2155"/>
      <c r="G56" s="2155"/>
      <c r="H56" s="2155"/>
      <c r="I56" s="2155"/>
      <c r="J56" s="2155"/>
      <c r="K56" s="2155"/>
      <c r="L56" s="2155"/>
      <c r="M56" s="2155"/>
      <c r="N56" s="2155"/>
      <c r="O56" s="129"/>
    </row>
    <row r="57" spans="2:19" x14ac:dyDescent="0.2">
      <c r="B57" s="2180"/>
      <c r="C57" s="2180"/>
      <c r="D57" s="2180"/>
      <c r="E57" s="2155"/>
      <c r="F57" s="2155"/>
      <c r="G57" s="2155"/>
      <c r="H57" s="2155"/>
      <c r="I57" s="2155"/>
      <c r="J57" s="2155"/>
      <c r="K57" s="2155"/>
      <c r="L57" s="2155"/>
      <c r="M57" s="2155"/>
      <c r="N57" s="2155"/>
      <c r="O57" s="129"/>
    </row>
    <row r="58" spans="2:19" x14ac:dyDescent="0.2">
      <c r="B58" s="2180"/>
      <c r="C58" s="2180"/>
      <c r="D58" s="2180"/>
      <c r="E58" s="2155"/>
      <c r="F58" s="2155"/>
      <c r="G58" s="2155"/>
      <c r="H58" s="2155"/>
      <c r="I58" s="2155"/>
      <c r="J58" s="2155"/>
      <c r="K58" s="2155"/>
      <c r="L58" s="2155"/>
      <c r="M58" s="2155"/>
      <c r="N58" s="2155"/>
      <c r="O58" s="129"/>
    </row>
    <row r="59" spans="2:19" x14ac:dyDescent="0.2">
      <c r="B59" s="111"/>
      <c r="C59" s="111"/>
      <c r="D59" s="111"/>
      <c r="E59" s="2155"/>
      <c r="F59" s="2155"/>
      <c r="G59" s="151"/>
      <c r="H59" s="132"/>
      <c r="I59" s="132"/>
      <c r="J59" s="132"/>
      <c r="K59" s="132"/>
      <c r="L59" s="132"/>
      <c r="M59" s="132"/>
      <c r="N59" s="132"/>
      <c r="O59" s="129"/>
    </row>
    <row r="60" spans="2:19" x14ac:dyDescent="0.2">
      <c r="B60" s="2180"/>
      <c r="C60" s="2180"/>
      <c r="D60" s="2180"/>
      <c r="E60" s="2155"/>
      <c r="F60" s="2155"/>
      <c r="G60" s="2155"/>
      <c r="H60" s="2155"/>
      <c r="I60" s="2155"/>
      <c r="J60" s="2155"/>
      <c r="K60" s="2155"/>
      <c r="L60" s="2155"/>
      <c r="M60" s="2155"/>
      <c r="N60" s="2155"/>
      <c r="O60" s="129"/>
      <c r="S60" s="1" t="s">
        <v>34</v>
      </c>
    </row>
    <row r="61" spans="2:19" x14ac:dyDescent="0.2">
      <c r="B61" s="2180"/>
      <c r="C61" s="2180"/>
      <c r="D61" s="2180"/>
      <c r="E61" s="2155"/>
      <c r="F61" s="2155"/>
      <c r="G61" s="2155"/>
      <c r="H61" s="2155"/>
      <c r="I61" s="2155"/>
      <c r="J61" s="2155"/>
      <c r="K61" s="2155"/>
      <c r="L61" s="2155"/>
      <c r="M61" s="2155"/>
      <c r="N61" s="2155"/>
      <c r="O61" s="129"/>
    </row>
    <row r="62" spans="2:19" x14ac:dyDescent="0.2">
      <c r="B62" s="2180"/>
      <c r="C62" s="2180"/>
      <c r="D62" s="2180"/>
      <c r="E62" s="2154"/>
      <c r="F62" s="2154"/>
      <c r="G62" s="2154"/>
      <c r="H62" s="2154"/>
      <c r="I62" s="2154"/>
      <c r="J62" s="2154"/>
      <c r="K62" s="2154"/>
      <c r="L62" s="2154"/>
      <c r="M62" s="2154"/>
      <c r="N62" s="2154"/>
      <c r="O62" s="129"/>
    </row>
    <row r="63" spans="2:19" x14ac:dyDescent="0.2">
      <c r="B63" s="111"/>
      <c r="C63" s="111"/>
      <c r="D63" s="111"/>
      <c r="E63" s="137"/>
      <c r="F63" s="137"/>
      <c r="G63" s="278"/>
      <c r="H63" s="137"/>
      <c r="I63" s="137"/>
      <c r="J63" s="137"/>
      <c r="K63" s="137"/>
      <c r="L63" s="137"/>
      <c r="M63" s="137"/>
      <c r="N63" s="137"/>
      <c r="O63" s="129"/>
    </row>
    <row r="64" spans="2:19" x14ac:dyDescent="0.2">
      <c r="B64" s="111"/>
      <c r="C64" s="111"/>
      <c r="D64" s="111"/>
      <c r="E64" s="137"/>
      <c r="F64" s="137"/>
      <c r="G64" s="278"/>
      <c r="H64" s="137"/>
      <c r="I64" s="137"/>
      <c r="J64" s="137"/>
      <c r="K64" s="137"/>
      <c r="L64" s="137"/>
      <c r="M64" s="137"/>
      <c r="N64" s="137"/>
      <c r="O64" s="129"/>
    </row>
    <row r="65" spans="2:15" x14ac:dyDescent="0.2">
      <c r="B65" s="111"/>
      <c r="C65" s="111"/>
      <c r="D65" s="111"/>
      <c r="E65" s="137"/>
      <c r="F65" s="137"/>
      <c r="G65" s="278"/>
      <c r="H65" s="137"/>
      <c r="I65" s="137"/>
      <c r="J65" s="137"/>
      <c r="K65" s="137"/>
      <c r="L65" s="137"/>
      <c r="M65" s="137"/>
      <c r="N65" s="137"/>
      <c r="O65" s="129"/>
    </row>
    <row r="66" spans="2:15" x14ac:dyDescent="0.2">
      <c r="B66" s="111"/>
      <c r="C66" s="111"/>
      <c r="D66" s="111"/>
      <c r="E66" s="137"/>
      <c r="F66" s="137"/>
      <c r="G66" s="278"/>
      <c r="H66" s="137"/>
      <c r="I66" s="137"/>
      <c r="J66" s="137"/>
      <c r="K66" s="137"/>
      <c r="L66" s="137"/>
      <c r="M66" s="137"/>
      <c r="N66" s="137"/>
      <c r="O66" s="129"/>
    </row>
    <row r="67" spans="2:15" x14ac:dyDescent="0.2">
      <c r="B67" s="111"/>
      <c r="C67" s="111"/>
      <c r="D67" s="111"/>
      <c r="E67" s="137"/>
      <c r="F67" s="137"/>
      <c r="G67" s="278"/>
      <c r="H67" s="137"/>
      <c r="I67" s="137"/>
      <c r="J67" s="137"/>
      <c r="K67" s="137"/>
      <c r="L67" s="137"/>
      <c r="M67" s="137"/>
      <c r="N67" s="137"/>
      <c r="O67" s="129"/>
    </row>
    <row r="68" spans="2:15" x14ac:dyDescent="0.2">
      <c r="B68" s="111"/>
      <c r="C68" s="111"/>
      <c r="D68" s="111"/>
      <c r="E68" s="137"/>
      <c r="F68" s="137"/>
      <c r="G68" s="278"/>
      <c r="H68" s="137"/>
      <c r="I68" s="137"/>
      <c r="J68" s="137"/>
      <c r="K68" s="137"/>
      <c r="L68" s="137"/>
      <c r="M68" s="137"/>
      <c r="N68" s="137"/>
      <c r="O68" s="129"/>
    </row>
    <row r="69" spans="2:15" x14ac:dyDescent="0.2">
      <c r="B69" s="111"/>
      <c r="C69" s="111"/>
      <c r="D69" s="111"/>
      <c r="E69" s="137"/>
      <c r="F69" s="137"/>
      <c r="G69" s="278"/>
      <c r="H69" s="137"/>
      <c r="I69" s="137"/>
      <c r="J69" s="137"/>
      <c r="K69" s="137"/>
      <c r="L69" s="137"/>
      <c r="M69" s="137"/>
      <c r="N69" s="137"/>
      <c r="O69" s="129"/>
    </row>
    <row r="70" spans="2:15" x14ac:dyDescent="0.2">
      <c r="B70" s="111"/>
      <c r="C70" s="111"/>
      <c r="D70" s="111"/>
      <c r="E70" s="137"/>
      <c r="F70" s="137"/>
      <c r="G70" s="278"/>
      <c r="H70" s="137"/>
      <c r="I70" s="137"/>
      <c r="J70" s="137"/>
      <c r="K70" s="137"/>
      <c r="L70" s="137"/>
      <c r="M70" s="137"/>
      <c r="N70" s="137"/>
      <c r="O70" s="129"/>
    </row>
    <row r="71" spans="2:15" x14ac:dyDescent="0.2">
      <c r="B71" s="111"/>
      <c r="C71" s="111"/>
      <c r="D71" s="111"/>
      <c r="E71" s="137"/>
      <c r="F71" s="137"/>
      <c r="G71" s="278"/>
      <c r="H71" s="137"/>
      <c r="I71" s="137"/>
      <c r="J71" s="137"/>
      <c r="K71" s="137"/>
      <c r="L71" s="137"/>
      <c r="M71" s="137"/>
      <c r="N71" s="137"/>
      <c r="O71" s="129"/>
    </row>
    <row r="72" spans="2:15" x14ac:dyDescent="0.2">
      <c r="B72" s="111"/>
      <c r="C72" s="111"/>
      <c r="D72" s="111"/>
      <c r="E72" s="137"/>
      <c r="F72" s="137"/>
      <c r="G72" s="278"/>
      <c r="H72" s="137"/>
      <c r="I72" s="137"/>
      <c r="J72" s="137"/>
      <c r="K72" s="137"/>
      <c r="L72" s="137"/>
      <c r="M72" s="137"/>
      <c r="N72" s="137"/>
      <c r="O72" s="129"/>
    </row>
    <row r="73" spans="2:15" x14ac:dyDescent="0.2">
      <c r="B73" s="111"/>
      <c r="C73" s="111"/>
      <c r="D73" s="111"/>
      <c r="E73" s="137"/>
      <c r="F73" s="137"/>
      <c r="G73" s="278"/>
      <c r="H73" s="137"/>
      <c r="I73" s="137"/>
      <c r="J73" s="137"/>
      <c r="K73" s="137"/>
      <c r="L73" s="137"/>
      <c r="M73" s="137"/>
      <c r="N73" s="137"/>
      <c r="O73" s="129"/>
    </row>
    <row r="74" spans="2:15" x14ac:dyDescent="0.2">
      <c r="B74" s="111"/>
      <c r="C74" s="111"/>
      <c r="D74" s="111"/>
      <c r="E74" s="137"/>
      <c r="F74" s="137"/>
      <c r="G74" s="278"/>
      <c r="H74" s="137"/>
      <c r="I74" s="137"/>
      <c r="J74" s="137"/>
      <c r="K74" s="137"/>
      <c r="L74" s="137"/>
      <c r="M74" s="137"/>
      <c r="N74" s="137"/>
      <c r="O74" s="129"/>
    </row>
    <row r="75" spans="2:15" x14ac:dyDescent="0.2">
      <c r="B75" s="135"/>
      <c r="C75" s="138"/>
      <c r="D75" s="129"/>
      <c r="E75" s="136"/>
      <c r="F75" s="139"/>
      <c r="G75" s="131"/>
      <c r="H75" s="139"/>
      <c r="I75" s="136"/>
      <c r="J75" s="139"/>
      <c r="K75" s="136"/>
      <c r="L75" s="139"/>
      <c r="M75" s="136"/>
      <c r="N75" s="139"/>
      <c r="O75" s="129"/>
    </row>
    <row r="76" spans="2:15" x14ac:dyDescent="0.2">
      <c r="B76" s="135"/>
      <c r="C76" s="138"/>
      <c r="D76" s="129"/>
      <c r="E76" s="129"/>
      <c r="F76" s="135"/>
      <c r="G76" s="131"/>
      <c r="H76" s="135"/>
      <c r="I76" s="129"/>
      <c r="J76" s="135"/>
      <c r="K76" s="129"/>
      <c r="L76" s="135"/>
      <c r="M76" s="129"/>
      <c r="N76" s="135"/>
      <c r="O76" s="129"/>
    </row>
    <row r="77" spans="2:15" x14ac:dyDescent="0.2">
      <c r="B77" s="135"/>
      <c r="C77" s="138"/>
      <c r="D77" s="129"/>
      <c r="E77" s="129"/>
      <c r="F77" s="135"/>
      <c r="G77" s="131"/>
      <c r="H77" s="135"/>
      <c r="I77" s="129"/>
      <c r="J77" s="135"/>
      <c r="K77" s="129"/>
      <c r="L77" s="135"/>
      <c r="M77" s="129"/>
      <c r="N77" s="135"/>
      <c r="O77" s="129"/>
    </row>
    <row r="78" spans="2:15" x14ac:dyDescent="0.2">
      <c r="B78" s="140"/>
      <c r="C78" s="138"/>
      <c r="D78" s="138"/>
      <c r="E78" s="138"/>
      <c r="F78" s="140"/>
      <c r="G78" s="279"/>
      <c r="H78" s="140"/>
      <c r="I78" s="138"/>
      <c r="J78" s="140"/>
      <c r="K78" s="138"/>
      <c r="L78" s="140"/>
      <c r="M78" s="138"/>
      <c r="N78" s="140"/>
      <c r="O78" s="129"/>
    </row>
    <row r="79" spans="2:15" x14ac:dyDescent="0.2">
      <c r="B79" s="2180"/>
      <c r="C79" s="2180"/>
      <c r="D79" s="2180"/>
      <c r="E79" s="2187"/>
      <c r="F79" s="2187"/>
      <c r="G79" s="2187"/>
      <c r="H79" s="2187"/>
      <c r="I79" s="2187"/>
      <c r="J79" s="2188"/>
      <c r="K79" s="2157"/>
      <c r="L79" s="2157"/>
      <c r="M79" s="135"/>
      <c r="N79" s="135"/>
      <c r="O79" s="129"/>
    </row>
    <row r="80" spans="2:15" x14ac:dyDescent="0.2">
      <c r="B80" s="139"/>
      <c r="C80" s="111"/>
      <c r="D80" s="111"/>
      <c r="E80" s="141"/>
      <c r="F80" s="143"/>
      <c r="G80" s="253"/>
      <c r="H80" s="143"/>
      <c r="I80" s="141"/>
      <c r="J80" s="142"/>
      <c r="K80" s="135"/>
      <c r="L80" s="135"/>
      <c r="M80" s="135"/>
      <c r="N80" s="135"/>
      <c r="O80" s="129"/>
    </row>
    <row r="81" spans="2:15" x14ac:dyDescent="0.2">
      <c r="B81" s="139"/>
      <c r="C81" s="111"/>
      <c r="D81" s="111"/>
      <c r="E81" s="141"/>
      <c r="F81" s="143"/>
      <c r="G81" s="253"/>
      <c r="H81" s="143"/>
      <c r="I81" s="141"/>
      <c r="J81" s="142"/>
      <c r="K81" s="135"/>
      <c r="L81" s="135"/>
      <c r="M81" s="135"/>
      <c r="N81" s="135"/>
      <c r="O81" s="129"/>
    </row>
    <row r="82" spans="2:15" x14ac:dyDescent="0.2">
      <c r="B82" s="139"/>
      <c r="C82" s="111"/>
      <c r="D82" s="111"/>
      <c r="E82" s="141"/>
      <c r="F82" s="143"/>
      <c r="G82" s="253"/>
      <c r="H82" s="143"/>
      <c r="I82" s="141"/>
      <c r="J82" s="142"/>
      <c r="K82" s="135"/>
      <c r="L82" s="135"/>
      <c r="M82" s="135"/>
      <c r="N82" s="135"/>
      <c r="O82" s="129"/>
    </row>
    <row r="83" spans="2:15" ht="18" x14ac:dyDescent="0.2">
      <c r="B83" s="139"/>
      <c r="C83" s="111"/>
      <c r="D83" s="144"/>
      <c r="E83" s="129"/>
      <c r="F83" s="143"/>
      <c r="G83" s="253"/>
      <c r="H83" s="143"/>
      <c r="I83" s="141"/>
      <c r="J83" s="142"/>
      <c r="K83" s="135"/>
      <c r="L83" s="135"/>
      <c r="M83" s="135"/>
      <c r="N83" s="135"/>
      <c r="O83" s="129"/>
    </row>
    <row r="84" spans="2:15" ht="18" x14ac:dyDescent="0.2">
      <c r="B84" s="139"/>
      <c r="C84" s="111"/>
      <c r="D84" s="144"/>
      <c r="E84" s="129"/>
      <c r="F84" s="143"/>
      <c r="G84" s="253"/>
      <c r="H84" s="143"/>
      <c r="I84" s="141"/>
      <c r="J84" s="142"/>
      <c r="K84" s="135"/>
      <c r="L84" s="135"/>
      <c r="M84" s="135"/>
      <c r="N84" s="135"/>
      <c r="O84" s="129"/>
    </row>
    <row r="85" spans="2:15" x14ac:dyDescent="0.2">
      <c r="B85" s="135"/>
      <c r="C85" s="129"/>
      <c r="D85" s="129"/>
      <c r="E85" s="129"/>
      <c r="F85" s="135"/>
      <c r="G85" s="131"/>
      <c r="H85" s="135"/>
      <c r="I85" s="129"/>
      <c r="J85" s="135"/>
      <c r="K85" s="129"/>
      <c r="L85" s="135"/>
      <c r="M85" s="129"/>
      <c r="N85" s="135"/>
      <c r="O85" s="129"/>
    </row>
    <row r="86" spans="2:15" x14ac:dyDescent="0.2">
      <c r="B86" s="135"/>
      <c r="C86" s="129"/>
      <c r="D86" s="129"/>
      <c r="E86" s="129"/>
      <c r="F86" s="135"/>
      <c r="G86" s="131"/>
      <c r="H86" s="135"/>
      <c r="I86" s="129"/>
      <c r="J86" s="135"/>
      <c r="K86" s="129"/>
      <c r="L86" s="135"/>
      <c r="M86" s="129"/>
      <c r="N86" s="135"/>
      <c r="O86" s="129"/>
    </row>
    <row r="87" spans="2:15" x14ac:dyDescent="0.2">
      <c r="B87" s="135"/>
      <c r="C87" s="129"/>
      <c r="D87" s="129"/>
      <c r="E87" s="129"/>
      <c r="F87" s="135"/>
      <c r="G87" s="131"/>
      <c r="H87" s="135"/>
      <c r="I87" s="129"/>
      <c r="J87" s="135"/>
      <c r="K87" s="129"/>
      <c r="L87" s="135"/>
      <c r="M87" s="129"/>
      <c r="N87" s="135"/>
      <c r="O87" s="129"/>
    </row>
    <row r="88" spans="2:15" x14ac:dyDescent="0.2">
      <c r="B88" s="135"/>
      <c r="C88" s="129"/>
      <c r="D88" s="129"/>
      <c r="E88" s="129"/>
      <c r="F88" s="135"/>
      <c r="G88" s="131"/>
      <c r="H88" s="135"/>
      <c r="I88" s="129"/>
      <c r="J88" s="135"/>
      <c r="K88" s="129"/>
      <c r="L88" s="135"/>
      <c r="M88" s="129"/>
      <c r="N88" s="135"/>
      <c r="O88" s="129"/>
    </row>
    <row r="89" spans="2:15" x14ac:dyDescent="0.2">
      <c r="B89" s="135"/>
      <c r="C89" s="129"/>
      <c r="D89" s="129"/>
      <c r="E89" s="129"/>
      <c r="F89" s="135"/>
      <c r="G89" s="131"/>
      <c r="H89" s="135"/>
      <c r="I89" s="129"/>
      <c r="J89" s="135"/>
      <c r="K89" s="129"/>
      <c r="L89" s="135"/>
      <c r="M89" s="129"/>
      <c r="N89" s="135"/>
      <c r="O89" s="129"/>
    </row>
    <row r="90" spans="2:15" x14ac:dyDescent="0.2">
      <c r="B90" s="135"/>
      <c r="C90" s="129"/>
      <c r="D90" s="129"/>
      <c r="E90" s="129"/>
      <c r="F90" s="135"/>
      <c r="G90" s="131"/>
      <c r="H90" s="135"/>
      <c r="I90" s="129"/>
      <c r="J90" s="135"/>
      <c r="K90" s="129"/>
      <c r="L90" s="135"/>
      <c r="M90" s="129"/>
      <c r="N90" s="135"/>
      <c r="O90" s="129"/>
    </row>
    <row r="91" spans="2:15" x14ac:dyDescent="0.2">
      <c r="B91" s="135"/>
      <c r="C91" s="129"/>
      <c r="D91" s="129"/>
      <c r="E91" s="129"/>
      <c r="F91" s="135"/>
      <c r="G91" s="131"/>
      <c r="H91" s="135"/>
      <c r="I91" s="129"/>
      <c r="J91" s="135"/>
      <c r="K91" s="129"/>
      <c r="L91" s="135"/>
      <c r="M91" s="129"/>
      <c r="N91" s="135"/>
      <c r="O91" s="129"/>
    </row>
    <row r="92" spans="2:15" x14ac:dyDescent="0.2">
      <c r="B92" s="135"/>
      <c r="C92" s="129"/>
      <c r="D92" s="129"/>
      <c r="E92" s="129"/>
      <c r="F92" s="135"/>
      <c r="G92" s="131"/>
      <c r="H92" s="135"/>
      <c r="I92" s="129"/>
      <c r="J92" s="135"/>
      <c r="K92" s="129"/>
      <c r="L92" s="135"/>
      <c r="M92" s="129"/>
      <c r="N92" s="135"/>
      <c r="O92" s="129"/>
    </row>
    <row r="93" spans="2:15" x14ac:dyDescent="0.2">
      <c r="B93" s="135"/>
      <c r="C93" s="129"/>
      <c r="D93" s="129"/>
      <c r="E93" s="129"/>
      <c r="F93" s="135"/>
      <c r="G93" s="131"/>
      <c r="H93" s="135"/>
      <c r="I93" s="129"/>
      <c r="J93" s="135"/>
      <c r="K93" s="129"/>
      <c r="L93" s="135"/>
      <c r="M93" s="129"/>
      <c r="N93" s="135"/>
      <c r="O93" s="129"/>
    </row>
    <row r="94" spans="2:15" x14ac:dyDescent="0.2">
      <c r="B94" s="135"/>
      <c r="C94" s="129"/>
      <c r="D94" s="129"/>
      <c r="E94" s="129"/>
      <c r="F94" s="135"/>
      <c r="G94" s="131"/>
      <c r="H94" s="135"/>
      <c r="I94" s="129"/>
      <c r="J94" s="135"/>
      <c r="K94" s="129"/>
      <c r="L94" s="135"/>
      <c r="M94" s="129"/>
      <c r="N94" s="135"/>
      <c r="O94" s="129"/>
    </row>
    <row r="95" spans="2:15" x14ac:dyDescent="0.2">
      <c r="B95" s="135"/>
      <c r="C95" s="129"/>
      <c r="D95" s="129"/>
      <c r="E95" s="129"/>
      <c r="F95" s="135"/>
      <c r="G95" s="131"/>
      <c r="H95" s="135"/>
      <c r="I95" s="129"/>
      <c r="J95" s="135"/>
      <c r="K95" s="129"/>
      <c r="L95" s="135"/>
      <c r="M95" s="129"/>
      <c r="N95" s="135"/>
      <c r="O95" s="129"/>
    </row>
    <row r="96" spans="2:15" x14ac:dyDescent="0.2">
      <c r="B96" s="135"/>
      <c r="C96" s="129"/>
      <c r="D96" s="129"/>
      <c r="E96" s="129"/>
      <c r="F96" s="135"/>
      <c r="G96" s="131"/>
      <c r="H96" s="135"/>
      <c r="I96" s="129"/>
      <c r="J96" s="135"/>
      <c r="K96" s="129"/>
      <c r="L96" s="135"/>
      <c r="M96" s="129"/>
      <c r="N96" s="135"/>
      <c r="O96" s="129"/>
    </row>
    <row r="97" spans="2:15" x14ac:dyDescent="0.2">
      <c r="B97" s="135"/>
      <c r="C97" s="129"/>
      <c r="D97" s="129"/>
      <c r="E97" s="129"/>
      <c r="F97" s="135"/>
      <c r="G97" s="131"/>
      <c r="H97" s="135"/>
      <c r="I97" s="129"/>
      <c r="J97" s="135"/>
      <c r="K97" s="129"/>
      <c r="L97" s="135"/>
      <c r="M97" s="129"/>
      <c r="N97" s="135"/>
      <c r="O97" s="129"/>
    </row>
    <row r="98" spans="2:15" x14ac:dyDescent="0.2">
      <c r="B98" s="135"/>
      <c r="C98" s="129"/>
      <c r="D98" s="129"/>
      <c r="E98" s="129"/>
      <c r="F98" s="135"/>
      <c r="G98" s="131"/>
      <c r="H98" s="135"/>
      <c r="I98" s="129"/>
      <c r="J98" s="135"/>
      <c r="K98" s="129"/>
      <c r="L98" s="135"/>
      <c r="M98" s="129"/>
      <c r="N98" s="135"/>
      <c r="O98" s="129"/>
    </row>
    <row r="99" spans="2:15" x14ac:dyDescent="0.2">
      <c r="B99" s="135"/>
      <c r="C99" s="129"/>
      <c r="D99" s="129"/>
      <c r="E99" s="129"/>
      <c r="F99" s="135"/>
      <c r="G99" s="131"/>
      <c r="H99" s="135"/>
      <c r="I99" s="129"/>
      <c r="J99" s="135"/>
      <c r="K99" s="129"/>
      <c r="L99" s="135"/>
      <c r="M99" s="129"/>
      <c r="N99" s="135"/>
      <c r="O99" s="129"/>
    </row>
    <row r="100" spans="2:15" x14ac:dyDescent="0.2">
      <c r="B100" s="135"/>
      <c r="C100" s="129"/>
      <c r="D100" s="129"/>
      <c r="E100" s="129"/>
      <c r="F100" s="135"/>
      <c r="G100" s="131"/>
      <c r="H100" s="135"/>
      <c r="I100" s="129"/>
      <c r="J100" s="135"/>
      <c r="K100" s="129"/>
      <c r="L100" s="135"/>
      <c r="M100" s="129"/>
      <c r="N100" s="135"/>
      <c r="O100" s="129"/>
    </row>
    <row r="101" spans="2:15" x14ac:dyDescent="0.2">
      <c r="B101" s="135"/>
      <c r="C101" s="129"/>
      <c r="D101" s="129"/>
      <c r="E101" s="129"/>
      <c r="F101" s="135"/>
      <c r="G101" s="131"/>
      <c r="H101" s="135"/>
      <c r="I101" s="129"/>
      <c r="J101" s="135"/>
      <c r="K101" s="129"/>
      <c r="L101" s="135"/>
      <c r="M101" s="129"/>
      <c r="N101" s="135"/>
      <c r="O101" s="129"/>
    </row>
    <row r="102" spans="2:15" x14ac:dyDescent="0.2">
      <c r="B102" s="135"/>
      <c r="C102" s="129"/>
      <c r="D102" s="129"/>
      <c r="E102" s="129"/>
      <c r="F102" s="135"/>
      <c r="G102" s="131"/>
      <c r="H102" s="135"/>
      <c r="I102" s="129"/>
      <c r="J102" s="135"/>
      <c r="K102" s="129"/>
      <c r="L102" s="135"/>
      <c r="M102" s="129"/>
      <c r="N102" s="135"/>
      <c r="O102" s="129"/>
    </row>
    <row r="103" spans="2:15" x14ac:dyDescent="0.2">
      <c r="B103" s="135"/>
      <c r="C103" s="129"/>
      <c r="D103" s="129"/>
      <c r="E103" s="129"/>
      <c r="F103" s="135"/>
      <c r="G103" s="131"/>
      <c r="H103" s="135"/>
      <c r="I103" s="129"/>
      <c r="J103" s="135"/>
      <c r="K103" s="129"/>
      <c r="L103" s="135"/>
      <c r="M103" s="129"/>
      <c r="N103" s="135"/>
      <c r="O103" s="129"/>
    </row>
    <row r="104" spans="2:15" x14ac:dyDescent="0.2">
      <c r="B104" s="135"/>
      <c r="C104" s="129"/>
      <c r="D104" s="129"/>
      <c r="E104" s="129"/>
      <c r="F104" s="135"/>
      <c r="G104" s="131"/>
      <c r="H104" s="135"/>
      <c r="I104" s="129"/>
      <c r="J104" s="135"/>
      <c r="K104" s="129"/>
      <c r="L104" s="135"/>
      <c r="M104" s="129"/>
      <c r="N104" s="135"/>
      <c r="O104" s="129"/>
    </row>
    <row r="105" spans="2:15" x14ac:dyDescent="0.2">
      <c r="B105" s="135"/>
      <c r="C105" s="129"/>
      <c r="D105" s="129"/>
      <c r="E105" s="129"/>
      <c r="F105" s="135"/>
      <c r="G105" s="131"/>
      <c r="H105" s="135"/>
      <c r="I105" s="129"/>
      <c r="J105" s="135"/>
      <c r="K105" s="129"/>
      <c r="L105" s="135"/>
      <c r="M105" s="129"/>
      <c r="N105" s="135"/>
      <c r="O105" s="129"/>
    </row>
    <row r="106" spans="2:15" x14ac:dyDescent="0.2">
      <c r="B106" s="135"/>
      <c r="C106" s="129"/>
      <c r="D106" s="129"/>
      <c r="E106" s="129"/>
      <c r="F106" s="135"/>
      <c r="G106" s="131"/>
      <c r="H106" s="135"/>
      <c r="I106" s="129"/>
      <c r="J106" s="135"/>
      <c r="K106" s="129"/>
      <c r="L106" s="135"/>
      <c r="M106" s="129"/>
      <c r="N106" s="135"/>
      <c r="O106" s="129"/>
    </row>
    <row r="107" spans="2:15" x14ac:dyDescent="0.2">
      <c r="B107" s="135"/>
      <c r="C107" s="129"/>
      <c r="D107" s="129"/>
      <c r="E107" s="129"/>
      <c r="F107" s="135"/>
      <c r="G107" s="131"/>
      <c r="H107" s="135"/>
      <c r="I107" s="129"/>
      <c r="J107" s="135"/>
      <c r="K107" s="129"/>
      <c r="L107" s="135"/>
      <c r="M107" s="129"/>
      <c r="N107" s="135"/>
      <c r="O107" s="129"/>
    </row>
    <row r="108" spans="2:15" x14ac:dyDescent="0.2">
      <c r="B108" s="135"/>
      <c r="C108" s="129"/>
      <c r="D108" s="129"/>
      <c r="E108" s="129"/>
      <c r="F108" s="135"/>
      <c r="G108" s="131"/>
      <c r="H108" s="135"/>
      <c r="I108" s="129"/>
      <c r="J108" s="135"/>
      <c r="K108" s="129"/>
      <c r="L108" s="135"/>
      <c r="M108" s="129"/>
      <c r="N108" s="135"/>
      <c r="O108" s="129"/>
    </row>
    <row r="109" spans="2:15" x14ac:dyDescent="0.2">
      <c r="B109" s="135"/>
      <c r="C109" s="129"/>
      <c r="D109" s="129"/>
      <c r="E109" s="129"/>
      <c r="F109" s="135"/>
      <c r="G109" s="131"/>
      <c r="H109" s="135"/>
      <c r="I109" s="129"/>
      <c r="J109" s="135"/>
      <c r="K109" s="129"/>
      <c r="L109" s="135"/>
      <c r="M109" s="129"/>
      <c r="N109" s="135"/>
      <c r="O109" s="129"/>
    </row>
    <row r="110" spans="2:15" x14ac:dyDescent="0.2">
      <c r="B110" s="135"/>
      <c r="C110" s="129"/>
      <c r="D110" s="129"/>
      <c r="E110" s="129"/>
      <c r="F110" s="135"/>
      <c r="G110" s="131"/>
      <c r="H110" s="135"/>
      <c r="I110" s="129"/>
      <c r="J110" s="135"/>
      <c r="K110" s="129"/>
      <c r="L110" s="135"/>
      <c r="M110" s="129"/>
      <c r="N110" s="135"/>
      <c r="O110" s="129"/>
    </row>
    <row r="111" spans="2:15" x14ac:dyDescent="0.2">
      <c r="B111" s="135"/>
      <c r="C111" s="129"/>
      <c r="D111" s="129"/>
      <c r="E111" s="129"/>
      <c r="F111" s="135"/>
      <c r="G111" s="131"/>
      <c r="H111" s="135"/>
      <c r="I111" s="129"/>
      <c r="J111" s="135"/>
      <c r="K111" s="129"/>
      <c r="L111" s="135"/>
      <c r="M111" s="129"/>
      <c r="N111" s="135"/>
      <c r="O111" s="129"/>
    </row>
    <row r="112" spans="2:15" x14ac:dyDescent="0.2">
      <c r="B112" s="135"/>
      <c r="C112" s="129"/>
      <c r="D112" s="129"/>
      <c r="E112" s="129"/>
      <c r="F112" s="135"/>
      <c r="G112" s="131"/>
      <c r="H112" s="135"/>
      <c r="I112" s="129"/>
      <c r="J112" s="135"/>
      <c r="K112" s="129"/>
      <c r="L112" s="135"/>
      <c r="M112" s="129"/>
      <c r="N112" s="135"/>
      <c r="O112" s="129"/>
    </row>
    <row r="113" spans="2:15" x14ac:dyDescent="0.2">
      <c r="B113" s="135"/>
      <c r="C113" s="2171"/>
      <c r="D113" s="2172"/>
      <c r="E113" s="2172"/>
      <c r="F113" s="2170"/>
      <c r="G113" s="2170"/>
      <c r="H113" s="2170"/>
      <c r="I113" s="2170"/>
      <c r="J113" s="2170"/>
      <c r="K113" s="2170"/>
      <c r="L113" s="133"/>
      <c r="M113" s="133"/>
      <c r="N113" s="133"/>
      <c r="O113" s="133"/>
    </row>
    <row r="114" spans="2:15" x14ac:dyDescent="0.2">
      <c r="B114" s="135"/>
      <c r="C114" s="2172"/>
      <c r="D114" s="2172"/>
      <c r="E114" s="2172"/>
      <c r="F114" s="2164"/>
      <c r="G114" s="2164"/>
      <c r="H114" s="2164"/>
      <c r="I114" s="2164"/>
      <c r="J114" s="2164"/>
      <c r="K114" s="2164"/>
      <c r="L114" s="145"/>
      <c r="M114" s="145"/>
      <c r="N114" s="145"/>
      <c r="O114" s="145"/>
    </row>
    <row r="115" spans="2:15" x14ac:dyDescent="0.2">
      <c r="B115" s="135"/>
      <c r="C115" s="146"/>
      <c r="D115" s="2173"/>
      <c r="E115" s="2173"/>
      <c r="F115" s="2169"/>
      <c r="G115" s="2169"/>
      <c r="H115" s="2169"/>
      <c r="I115" s="2169"/>
      <c r="J115" s="2169"/>
      <c r="K115" s="2169"/>
      <c r="L115" s="147"/>
      <c r="M115" s="147"/>
      <c r="N115" s="147"/>
      <c r="O115" s="147"/>
    </row>
    <row r="116" spans="2:15" x14ac:dyDescent="0.2">
      <c r="B116" s="135"/>
      <c r="C116" s="146"/>
      <c r="D116" s="134"/>
      <c r="E116" s="148"/>
      <c r="F116" s="2169"/>
      <c r="G116" s="2169"/>
      <c r="H116" s="2169"/>
      <c r="I116" s="2183"/>
      <c r="J116" s="2169"/>
      <c r="K116" s="2183"/>
      <c r="L116" s="147"/>
      <c r="M116" s="147"/>
      <c r="N116" s="147"/>
      <c r="O116" s="149"/>
    </row>
    <row r="117" spans="2:15" x14ac:dyDescent="0.2">
      <c r="B117" s="135"/>
      <c r="C117" s="146"/>
      <c r="D117" s="134"/>
      <c r="E117" s="148"/>
      <c r="F117" s="2169"/>
      <c r="G117" s="2169"/>
      <c r="H117" s="2169"/>
      <c r="I117" s="2183"/>
      <c r="J117" s="2169"/>
      <c r="K117" s="2183"/>
      <c r="L117" s="147"/>
      <c r="M117" s="147"/>
      <c r="N117" s="147"/>
      <c r="O117" s="149"/>
    </row>
    <row r="118" spans="2:15" x14ac:dyDescent="0.2">
      <c r="B118" s="135"/>
      <c r="C118" s="146"/>
      <c r="D118" s="134"/>
      <c r="E118" s="148"/>
      <c r="F118" s="2169"/>
      <c r="G118" s="2169"/>
      <c r="H118" s="2169"/>
      <c r="I118" s="2183"/>
      <c r="J118" s="2169"/>
      <c r="K118" s="2183"/>
      <c r="L118" s="147"/>
      <c r="M118" s="147"/>
      <c r="N118" s="147"/>
      <c r="O118" s="149"/>
    </row>
    <row r="119" spans="2:15" x14ac:dyDescent="0.2">
      <c r="B119" s="135"/>
      <c r="C119" s="146"/>
      <c r="D119" s="134"/>
      <c r="E119" s="148"/>
      <c r="F119" s="2169"/>
      <c r="G119" s="2169"/>
      <c r="H119" s="2182"/>
      <c r="I119" s="2182"/>
      <c r="J119" s="2182"/>
      <c r="K119" s="2182"/>
      <c r="L119" s="150"/>
      <c r="M119" s="150"/>
      <c r="N119" s="150"/>
      <c r="O119" s="150"/>
    </row>
    <row r="120" spans="2:15" x14ac:dyDescent="0.2">
      <c r="B120" s="135"/>
      <c r="C120" s="146"/>
      <c r="D120" s="2173"/>
      <c r="E120" s="2173"/>
      <c r="F120" s="2169"/>
      <c r="G120" s="2169"/>
      <c r="H120" s="2184"/>
      <c r="I120" s="2184"/>
      <c r="J120" s="2184"/>
      <c r="K120" s="2184"/>
      <c r="L120" s="151"/>
      <c r="M120" s="151"/>
      <c r="N120" s="151"/>
      <c r="O120" s="151"/>
    </row>
    <row r="121" spans="2:15" x14ac:dyDescent="0.2">
      <c r="B121" s="135"/>
      <c r="C121" s="146"/>
      <c r="D121" s="2073"/>
      <c r="E121" s="2073"/>
      <c r="F121" s="2169"/>
      <c r="G121" s="2183"/>
      <c r="H121" s="2169"/>
      <c r="I121" s="2183"/>
      <c r="J121" s="2169"/>
      <c r="K121" s="2183"/>
      <c r="L121" s="147"/>
      <c r="M121" s="147"/>
      <c r="N121" s="147"/>
      <c r="O121" s="149"/>
    </row>
    <row r="122" spans="2:15" x14ac:dyDescent="0.2">
      <c r="B122" s="135"/>
      <c r="C122" s="2171"/>
      <c r="D122" s="2172"/>
      <c r="E122" s="2172"/>
      <c r="F122" s="2170"/>
      <c r="G122" s="2170"/>
      <c r="H122" s="2170"/>
      <c r="I122" s="2170"/>
      <c r="J122" s="2170"/>
      <c r="K122" s="2170"/>
      <c r="L122" s="133"/>
      <c r="M122" s="133"/>
      <c r="N122" s="133"/>
      <c r="O122" s="133"/>
    </row>
    <row r="123" spans="2:15" x14ac:dyDescent="0.2">
      <c r="B123" s="135"/>
      <c r="C123" s="2172"/>
      <c r="D123" s="2172"/>
      <c r="E123" s="2172"/>
      <c r="F123" s="2164"/>
      <c r="G123" s="2164"/>
      <c r="H123" s="2164"/>
      <c r="I123" s="2164"/>
      <c r="J123" s="2164"/>
      <c r="K123" s="2164"/>
      <c r="L123" s="145"/>
      <c r="M123" s="145"/>
      <c r="N123" s="145"/>
      <c r="O123" s="145"/>
    </row>
    <row r="124" spans="2:15" x14ac:dyDescent="0.2">
      <c r="B124" s="135"/>
      <c r="C124" s="146"/>
      <c r="D124" s="131"/>
      <c r="E124" s="152"/>
      <c r="F124" s="2169"/>
      <c r="G124" s="2183"/>
      <c r="H124" s="2169"/>
      <c r="I124" s="2183"/>
      <c r="J124" s="2169"/>
      <c r="K124" s="2183"/>
      <c r="L124" s="147"/>
      <c r="M124" s="147"/>
      <c r="N124" s="147"/>
      <c r="O124" s="149"/>
    </row>
    <row r="125" spans="2:15" x14ac:dyDescent="0.2">
      <c r="B125" s="135"/>
      <c r="C125" s="146"/>
      <c r="D125" s="131"/>
      <c r="E125" s="152"/>
      <c r="F125" s="2169"/>
      <c r="G125" s="2183"/>
      <c r="H125" s="2169"/>
      <c r="I125" s="2183"/>
      <c r="J125" s="2169"/>
      <c r="K125" s="2183"/>
      <c r="L125" s="147"/>
      <c r="M125" s="147"/>
      <c r="N125" s="147"/>
      <c r="O125" s="149"/>
    </row>
    <row r="126" spans="2:15" x14ac:dyDescent="0.2">
      <c r="B126" s="135"/>
      <c r="C126" s="146"/>
      <c r="D126" s="131"/>
      <c r="E126" s="152"/>
      <c r="F126" s="2184"/>
      <c r="G126" s="2184"/>
      <c r="H126" s="2169"/>
      <c r="I126" s="2183"/>
      <c r="J126" s="2169"/>
      <c r="K126" s="2183"/>
      <c r="L126" s="147"/>
      <c r="M126" s="147"/>
      <c r="N126" s="147"/>
      <c r="O126" s="149"/>
    </row>
    <row r="127" spans="2:15" x14ac:dyDescent="0.2">
      <c r="B127" s="135"/>
      <c r="C127" s="146"/>
      <c r="D127" s="131"/>
      <c r="E127" s="152"/>
      <c r="F127" s="2169"/>
      <c r="G127" s="2183"/>
      <c r="H127" s="2169"/>
      <c r="I127" s="2183"/>
      <c r="J127" s="2169"/>
      <c r="K127" s="2183"/>
      <c r="L127" s="147"/>
      <c r="M127" s="147"/>
      <c r="N127" s="147"/>
      <c r="O127" s="149"/>
    </row>
    <row r="128" spans="2:15" x14ac:dyDescent="0.2">
      <c r="B128" s="135"/>
      <c r="C128" s="146"/>
      <c r="D128" s="131"/>
      <c r="E128" s="152"/>
      <c r="F128" s="2169"/>
      <c r="G128" s="2183"/>
      <c r="H128" s="2169"/>
      <c r="I128" s="2183"/>
      <c r="J128" s="2169"/>
      <c r="K128" s="2183"/>
      <c r="L128" s="147"/>
      <c r="M128" s="147"/>
      <c r="N128" s="147"/>
      <c r="O128" s="149"/>
    </row>
  </sheetData>
  <sheetProtection algorithmName="SHA-512" hashValue="WJMZuN6ehtlXDakcJaJOq9FN6D3DFtmD/czhXbkWi6o3kS7sakNfsICR8bpZb5+cZYx2nwKCW1gne6q2GotxiQ==" saltValue="jFFegj/FNGKlwQQeS3+w8g==" spinCount="100000" sheet="1" objects="1" scenarios="1"/>
  <mergeCells count="213">
    <mergeCell ref="A7:A8"/>
    <mergeCell ref="L5:N5"/>
    <mergeCell ref="I5:K5"/>
    <mergeCell ref="E59:F59"/>
    <mergeCell ref="E62:F62"/>
    <mergeCell ref="G62:H62"/>
    <mergeCell ref="I62:J62"/>
    <mergeCell ref="K62:L62"/>
    <mergeCell ref="K60:L60"/>
    <mergeCell ref="E61:F61"/>
    <mergeCell ref="G44:H44"/>
    <mergeCell ref="G43:H43"/>
    <mergeCell ref="I43:J43"/>
    <mergeCell ref="M7:N7"/>
    <mergeCell ref="M8:N8"/>
    <mergeCell ref="M33:N33"/>
    <mergeCell ref="M36:N36"/>
    <mergeCell ref="M37:N37"/>
    <mergeCell ref="M38:N38"/>
    <mergeCell ref="E8:F8"/>
    <mergeCell ref="E33:F33"/>
    <mergeCell ref="K42:L42"/>
    <mergeCell ref="K36:L36"/>
    <mergeCell ref="G35:N35"/>
    <mergeCell ref="I36:J36"/>
    <mergeCell ref="J119:K119"/>
    <mergeCell ref="D121:E121"/>
    <mergeCell ref="C122:E123"/>
    <mergeCell ref="F122:G122"/>
    <mergeCell ref="J122:K122"/>
    <mergeCell ref="C26:D26"/>
    <mergeCell ref="B79:D79"/>
    <mergeCell ref="E79:I79"/>
    <mergeCell ref="J79:L79"/>
    <mergeCell ref="B46:D46"/>
    <mergeCell ref="G60:H60"/>
    <mergeCell ref="B52:D52"/>
    <mergeCell ref="E36:F36"/>
    <mergeCell ref="E58:F58"/>
    <mergeCell ref="G58:H58"/>
    <mergeCell ref="I58:J58"/>
    <mergeCell ref="K58:L58"/>
    <mergeCell ref="B54:D54"/>
    <mergeCell ref="B55:D55"/>
    <mergeCell ref="B60:D60"/>
    <mergeCell ref="E54:F54"/>
    <mergeCell ref="G54:H54"/>
    <mergeCell ref="I54:J54"/>
    <mergeCell ref="D120:E120"/>
    <mergeCell ref="H114:I114"/>
    <mergeCell ref="H115:I115"/>
    <mergeCell ref="F113:G113"/>
    <mergeCell ref="J116:K116"/>
    <mergeCell ref="J128:K128"/>
    <mergeCell ref="J127:K127"/>
    <mergeCell ref="F126:G126"/>
    <mergeCell ref="H126:I126"/>
    <mergeCell ref="J126:K126"/>
    <mergeCell ref="H128:I128"/>
    <mergeCell ref="H127:I127"/>
    <mergeCell ref="F127:G127"/>
    <mergeCell ref="F128:G128"/>
    <mergeCell ref="F125:G125"/>
    <mergeCell ref="H125:I125"/>
    <mergeCell ref="J125:K125"/>
    <mergeCell ref="H117:I117"/>
    <mergeCell ref="J117:K117"/>
    <mergeCell ref="J113:K113"/>
    <mergeCell ref="F124:G124"/>
    <mergeCell ref="H118:I118"/>
    <mergeCell ref="J118:K118"/>
    <mergeCell ref="F118:G118"/>
    <mergeCell ref="F121:G121"/>
    <mergeCell ref="J120:K120"/>
    <mergeCell ref="J124:K124"/>
    <mergeCell ref="H120:I120"/>
    <mergeCell ref="F120:G120"/>
    <mergeCell ref="H124:I124"/>
    <mergeCell ref="H121:I121"/>
    <mergeCell ref="F123:G123"/>
    <mergeCell ref="H123:I123"/>
    <mergeCell ref="H122:I122"/>
    <mergeCell ref="J123:K123"/>
    <mergeCell ref="J121:K121"/>
    <mergeCell ref="B7:D8"/>
    <mergeCell ref="E7:F7"/>
    <mergeCell ref="F117:G117"/>
    <mergeCell ref="F119:G119"/>
    <mergeCell ref="B61:D61"/>
    <mergeCell ref="B57:D57"/>
    <mergeCell ref="B58:D58"/>
    <mergeCell ref="E37:F37"/>
    <mergeCell ref="B62:D62"/>
    <mergeCell ref="E55:F55"/>
    <mergeCell ref="G36:H36"/>
    <mergeCell ref="D115:E115"/>
    <mergeCell ref="H119:I119"/>
    <mergeCell ref="I57:J57"/>
    <mergeCell ref="E56:F56"/>
    <mergeCell ref="B56:D56"/>
    <mergeCell ref="E60:F60"/>
    <mergeCell ref="E57:F57"/>
    <mergeCell ref="G57:H57"/>
    <mergeCell ref="H116:I116"/>
    <mergeCell ref="J115:K115"/>
    <mergeCell ref="K56:L56"/>
    <mergeCell ref="G61:H61"/>
    <mergeCell ref="I61:J61"/>
    <mergeCell ref="I38:J38"/>
    <mergeCell ref="K38:L38"/>
    <mergeCell ref="G56:H56"/>
    <mergeCell ref="K61:L61"/>
    <mergeCell ref="K57:L57"/>
    <mergeCell ref="G55:H55"/>
    <mergeCell ref="K54:L54"/>
    <mergeCell ref="I60:J60"/>
    <mergeCell ref="I56:J56"/>
    <mergeCell ref="K45:L45"/>
    <mergeCell ref="K43:L43"/>
    <mergeCell ref="K52:L52"/>
    <mergeCell ref="K46:L46"/>
    <mergeCell ref="F114:G114"/>
    <mergeCell ref="F115:G115"/>
    <mergeCell ref="F116:G116"/>
    <mergeCell ref="E42:F42"/>
    <mergeCell ref="E44:F44"/>
    <mergeCell ref="E46:F46"/>
    <mergeCell ref="G46:H46"/>
    <mergeCell ref="I46:J46"/>
    <mergeCell ref="H113:I113"/>
    <mergeCell ref="C113:E114"/>
    <mergeCell ref="C49:D49"/>
    <mergeCell ref="E49:F49"/>
    <mergeCell ref="E48:F48"/>
    <mergeCell ref="E47:F47"/>
    <mergeCell ref="E52:F52"/>
    <mergeCell ref="G52:H52"/>
    <mergeCell ref="I52:J52"/>
    <mergeCell ref="E43:F43"/>
    <mergeCell ref="G45:H45"/>
    <mergeCell ref="I45:J45"/>
    <mergeCell ref="E41:F41"/>
    <mergeCell ref="I44:J44"/>
    <mergeCell ref="K44:L44"/>
    <mergeCell ref="J114:K114"/>
    <mergeCell ref="G7:H7"/>
    <mergeCell ref="I7:J7"/>
    <mergeCell ref="K7:L7"/>
    <mergeCell ref="I39:J39"/>
    <mergeCell ref="K39:L39"/>
    <mergeCell ref="G33:H33"/>
    <mergeCell ref="I33:J33"/>
    <mergeCell ref="K33:L33"/>
    <mergeCell ref="I55:J55"/>
    <mergeCell ref="K55:L55"/>
    <mergeCell ref="G41:H41"/>
    <mergeCell ref="I41:J41"/>
    <mergeCell ref="K41:L41"/>
    <mergeCell ref="G37:H37"/>
    <mergeCell ref="I37:J37"/>
    <mergeCell ref="I40:J40"/>
    <mergeCell ref="G42:H42"/>
    <mergeCell ref="K37:L37"/>
    <mergeCell ref="K40:L40"/>
    <mergeCell ref="G8:H8"/>
    <mergeCell ref="B35:D35"/>
    <mergeCell ref="B36:C36"/>
    <mergeCell ref="I8:J8"/>
    <mergeCell ref="K8:L8"/>
    <mergeCell ref="I42:J42"/>
    <mergeCell ref="B5:D5"/>
    <mergeCell ref="E51:F51"/>
    <mergeCell ref="G51:H51"/>
    <mergeCell ref="I51:J51"/>
    <mergeCell ref="K51:L51"/>
    <mergeCell ref="E50:F50"/>
    <mergeCell ref="G50:H50"/>
    <mergeCell ref="I50:J50"/>
    <mergeCell ref="K50:L50"/>
    <mergeCell ref="G48:H48"/>
    <mergeCell ref="I48:J48"/>
    <mergeCell ref="K48:L48"/>
    <mergeCell ref="G49:H49"/>
    <mergeCell ref="I49:J49"/>
    <mergeCell ref="K49:L49"/>
    <mergeCell ref="G47:H47"/>
    <mergeCell ref="I47:J47"/>
    <mergeCell ref="K47:L47"/>
    <mergeCell ref="E45:F45"/>
    <mergeCell ref="P3:Q3"/>
    <mergeCell ref="M62:N62"/>
    <mergeCell ref="M50:N50"/>
    <mergeCell ref="M51:N51"/>
    <mergeCell ref="M52:N52"/>
    <mergeCell ref="M54:N54"/>
    <mergeCell ref="M55:N55"/>
    <mergeCell ref="M48:N48"/>
    <mergeCell ref="M49:N49"/>
    <mergeCell ref="M57:N57"/>
    <mergeCell ref="M58:N58"/>
    <mergeCell ref="M60:N60"/>
    <mergeCell ref="M61:N61"/>
    <mergeCell ref="M39:N39"/>
    <mergeCell ref="M40:N40"/>
    <mergeCell ref="M41:N41"/>
    <mergeCell ref="M42:N42"/>
    <mergeCell ref="M43:N43"/>
    <mergeCell ref="M56:N56"/>
    <mergeCell ref="M44:N44"/>
    <mergeCell ref="M45:N45"/>
    <mergeCell ref="M46:N46"/>
    <mergeCell ref="M47:N47"/>
    <mergeCell ref="P10:S10"/>
  </mergeCells>
  <printOptions horizontalCentered="1" verticalCentered="1"/>
  <pageMargins left="0.25" right="0.25" top="0.75" bottom="0.75" header="0.3" footer="0.3"/>
  <pageSetup paperSize="9" orientation="landscape" verticalDpi="4" r:id="rId1"/>
  <colBreaks count="1" manualBreakCount="1">
    <brk id="14" min="1" max="35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152A1"/>
  </sheetPr>
  <dimension ref="A3:BQ155"/>
  <sheetViews>
    <sheetView showGridLines="0" showZeros="0" zoomScale="115" zoomScaleNormal="115" workbookViewId="0">
      <selection activeCell="U6" sqref="U6"/>
    </sheetView>
  </sheetViews>
  <sheetFormatPr defaultRowHeight="12.75" x14ac:dyDescent="0.2"/>
  <cols>
    <col min="2" max="2" width="4.140625" customWidth="1"/>
    <col min="3" max="3" width="4.28515625" customWidth="1"/>
    <col min="4" max="4" width="33.140625" customWidth="1"/>
    <col min="5" max="5" width="6.28515625" customWidth="1"/>
    <col min="6" max="6" width="5.28515625" style="40" customWidth="1"/>
    <col min="7" max="19" width="10" customWidth="1"/>
    <col min="20" max="20" width="9.28515625" customWidth="1"/>
    <col min="21" max="21" width="11.7109375" style="219" customWidth="1"/>
    <col min="22" max="22" width="6.5703125" style="219" customWidth="1"/>
    <col min="23" max="23" width="3.5703125" customWidth="1"/>
    <col min="24" max="24" width="8.85546875" hidden="1" customWidth="1"/>
    <col min="25" max="25" width="8.5703125" hidden="1" customWidth="1"/>
    <col min="26" max="26" width="7.7109375" hidden="1" customWidth="1"/>
    <col min="27" max="27" width="8.7109375" hidden="1" customWidth="1"/>
    <col min="28" max="28" width="10.5703125" hidden="1" customWidth="1"/>
    <col min="29" max="29" width="8.28515625" hidden="1" customWidth="1"/>
    <col min="30" max="32" width="8.7109375" hidden="1" customWidth="1"/>
    <col min="33" max="39" width="8.85546875" hidden="1" customWidth="1"/>
    <col min="40" max="40" width="9.5703125" hidden="1" customWidth="1"/>
    <col min="41" max="48" width="8.85546875" hidden="1" customWidth="1"/>
    <col min="49" max="49" width="7.28515625" hidden="1" customWidth="1"/>
    <col min="50" max="51" width="8.85546875" hidden="1" customWidth="1"/>
    <col min="52" max="52" width="2.7109375" customWidth="1"/>
    <col min="53" max="54" width="8.85546875" customWidth="1"/>
    <col min="70" max="70" width="2.28515625" customWidth="1"/>
  </cols>
  <sheetData>
    <row r="3" spans="1:67" ht="20.65" customHeight="1" x14ac:dyDescent="0.2"/>
    <row r="4" spans="1:67" ht="18" customHeight="1" x14ac:dyDescent="0.2">
      <c r="B4" s="2279" t="s">
        <v>457</v>
      </c>
      <c r="C4" s="2279"/>
    </row>
    <row r="5" spans="1:67" ht="13.35" customHeight="1" x14ac:dyDescent="0.2"/>
    <row r="6" spans="1:67" ht="15.75" customHeight="1" x14ac:dyDescent="0.3">
      <c r="B6" s="88" t="s">
        <v>117</v>
      </c>
      <c r="C6" s="99"/>
      <c r="D6" s="100"/>
      <c r="G6" s="1586">
        <v>1</v>
      </c>
      <c r="H6" s="2286" t="s">
        <v>231</v>
      </c>
      <c r="I6" s="2286"/>
      <c r="J6" s="2286"/>
      <c r="K6" s="1588">
        <f>'1. T1 INVESTOINTISUUN.'!E16</f>
        <v>2027</v>
      </c>
      <c r="M6" s="159"/>
      <c r="O6" s="2280" t="s">
        <v>353</v>
      </c>
      <c r="P6" s="2280"/>
      <c r="Q6" s="2280"/>
      <c r="R6" s="99"/>
      <c r="S6" s="99"/>
    </row>
    <row r="7" spans="1:67" ht="14.65" customHeight="1" x14ac:dyDescent="0.3">
      <c r="B7" s="160"/>
      <c r="C7" s="99"/>
      <c r="D7" s="100"/>
      <c r="E7" s="100"/>
      <c r="F7" s="128"/>
      <c r="G7" s="128"/>
      <c r="H7" s="158"/>
      <c r="I7" s="101"/>
      <c r="J7" s="2250"/>
      <c r="K7" s="2250"/>
      <c r="L7" s="2250"/>
      <c r="M7" s="2250"/>
      <c r="O7" s="2282"/>
      <c r="P7" s="2282"/>
      <c r="Q7" s="2282"/>
      <c r="R7" s="99"/>
      <c r="S7" s="99"/>
      <c r="U7" s="219">
        <v>0</v>
      </c>
      <c r="BB7" s="2254" t="s">
        <v>117</v>
      </c>
      <c r="BC7" s="2254"/>
      <c r="BD7" s="2254"/>
      <c r="BG7" s="317" t="str">
        <f>H6</f>
        <v xml:space="preserve">ENNUSTEVUOSI </v>
      </c>
      <c r="BH7" s="1587">
        <f>K6</f>
        <v>2027</v>
      </c>
      <c r="BL7" s="24" t="str">
        <f>O6</f>
        <v>1/20XX - 12/20XX</v>
      </c>
    </row>
    <row r="8" spans="1:67" ht="13.5" customHeight="1" x14ac:dyDescent="0.25">
      <c r="B8" s="2036">
        <f>B64</f>
        <v>0</v>
      </c>
      <c r="C8" s="2036"/>
      <c r="D8" s="2036"/>
      <c r="E8" s="2036"/>
      <c r="F8" s="2036"/>
      <c r="G8" s="102"/>
      <c r="H8" s="102"/>
      <c r="I8" s="102"/>
      <c r="J8" s="102"/>
      <c r="K8" s="102"/>
      <c r="L8" s="102"/>
      <c r="M8" s="102"/>
      <c r="O8" s="2281"/>
      <c r="P8" s="2281"/>
      <c r="Q8" s="2281"/>
      <c r="R8" s="102"/>
      <c r="S8" s="103"/>
      <c r="U8" s="2001"/>
      <c r="V8" s="2001"/>
      <c r="W8" s="2001"/>
      <c r="X8" s="2001"/>
      <c r="BB8" s="88"/>
      <c r="BC8" s="88"/>
      <c r="BD8" s="88"/>
      <c r="BF8" s="24"/>
      <c r="BL8" s="24"/>
    </row>
    <row r="9" spans="1:67" ht="11.25" customHeight="1" x14ac:dyDescent="0.2">
      <c r="B9" s="102"/>
      <c r="C9" s="102"/>
      <c r="G9" s="102"/>
      <c r="H9" s="102"/>
      <c r="I9" s="102"/>
      <c r="J9" s="102"/>
      <c r="K9" s="102"/>
      <c r="L9" s="102"/>
      <c r="M9" s="102"/>
      <c r="N9" s="1493"/>
      <c r="O9" s="1493"/>
      <c r="P9" s="1493"/>
      <c r="Q9" s="102"/>
      <c r="R9" s="102"/>
      <c r="S9" s="103"/>
      <c r="BB9" s="109"/>
      <c r="BD9" s="40"/>
    </row>
    <row r="10" spans="1:67" ht="15.6" customHeight="1" thickBot="1" x14ac:dyDescent="0.3">
      <c r="A10" s="53"/>
      <c r="B10" s="1494"/>
      <c r="C10" s="2239" t="s">
        <v>98</v>
      </c>
      <c r="D10" s="2239"/>
      <c r="E10" s="2240"/>
      <c r="F10" s="1495"/>
      <c r="G10" s="1555">
        <v>46388</v>
      </c>
      <c r="H10" s="1496">
        <f>G10+31</f>
        <v>46419</v>
      </c>
      <c r="I10" s="1496">
        <f t="shared" ref="I10:R10" si="0">H10+31</f>
        <v>46450</v>
      </c>
      <c r="J10" s="1496">
        <f t="shared" si="0"/>
        <v>46481</v>
      </c>
      <c r="K10" s="1496">
        <f t="shared" si="0"/>
        <v>46512</v>
      </c>
      <c r="L10" s="1496">
        <f t="shared" si="0"/>
        <v>46543</v>
      </c>
      <c r="M10" s="1496">
        <f t="shared" si="0"/>
        <v>46574</v>
      </c>
      <c r="N10" s="1496">
        <f t="shared" si="0"/>
        <v>46605</v>
      </c>
      <c r="O10" s="1496">
        <f t="shared" si="0"/>
        <v>46636</v>
      </c>
      <c r="P10" s="1496">
        <f t="shared" si="0"/>
        <v>46667</v>
      </c>
      <c r="Q10" s="1496">
        <f t="shared" si="0"/>
        <v>46698</v>
      </c>
      <c r="R10" s="1496">
        <f t="shared" si="0"/>
        <v>46729</v>
      </c>
      <c r="S10" s="1497" t="s">
        <v>87</v>
      </c>
      <c r="X10" s="2212" t="s">
        <v>375</v>
      </c>
      <c r="Y10" s="2212"/>
      <c r="Z10" s="2212"/>
      <c r="AA10" s="976"/>
      <c r="AB10" s="976"/>
      <c r="AC10" s="976"/>
      <c r="AD10" s="976"/>
      <c r="AE10" s="976"/>
      <c r="AF10" s="976"/>
      <c r="AG10" s="1976" t="s">
        <v>0</v>
      </c>
      <c r="AH10" s="1976"/>
      <c r="AI10" s="1976"/>
      <c r="AJ10" s="318"/>
      <c r="BB10" s="2">
        <f>'1. T1 INVESTOINTISUUN.'!B7</f>
        <v>0</v>
      </c>
      <c r="BC10" s="162"/>
      <c r="BD10" s="1549"/>
      <c r="BE10" s="162"/>
      <c r="BH10" s="24"/>
      <c r="BI10" s="24"/>
      <c r="BJ10" s="24"/>
      <c r="BK10" s="24"/>
      <c r="BM10" s="24"/>
      <c r="BN10" s="24"/>
      <c r="BO10" s="162"/>
    </row>
    <row r="11" spans="1:67" ht="13.15" customHeight="1" x14ac:dyDescent="0.2">
      <c r="B11" s="2225">
        <v>1</v>
      </c>
      <c r="C11" s="2283" t="s">
        <v>441</v>
      </c>
      <c r="D11" s="2284"/>
      <c r="E11" s="2284"/>
      <c r="F11" s="2285"/>
      <c r="G11" s="1297">
        <f>'1. T1 INVESTOINTISUUN.'!E48+'1. T1 INVESTOINTISUUN.'!E49+'1. T1 INVESTOINTISUUN.'!E51+'1. T1 INVESTOINTISUUN.'!E52</f>
        <v>0</v>
      </c>
      <c r="H11" s="592">
        <f>G58</f>
        <v>0</v>
      </c>
      <c r="I11" s="592">
        <f t="shared" ref="I11:R11" si="1">H58</f>
        <v>0</v>
      </c>
      <c r="J11" s="592">
        <f t="shared" si="1"/>
        <v>0</v>
      </c>
      <c r="K11" s="592">
        <f t="shared" si="1"/>
        <v>0</v>
      </c>
      <c r="L11" s="592">
        <f t="shared" si="1"/>
        <v>0</v>
      </c>
      <c r="M11" s="592">
        <f t="shared" si="1"/>
        <v>0</v>
      </c>
      <c r="N11" s="592">
        <f t="shared" si="1"/>
        <v>0</v>
      </c>
      <c r="O11" s="592">
        <f t="shared" si="1"/>
        <v>0</v>
      </c>
      <c r="P11" s="592">
        <f t="shared" si="1"/>
        <v>0</v>
      </c>
      <c r="Q11" s="592">
        <f t="shared" si="1"/>
        <v>0</v>
      </c>
      <c r="R11" s="592">
        <f t="shared" si="1"/>
        <v>0</v>
      </c>
      <c r="S11" s="592"/>
      <c r="X11" s="976"/>
      <c r="Y11" s="976"/>
      <c r="Z11" s="976"/>
      <c r="AA11" s="976"/>
      <c r="AB11" s="976"/>
      <c r="AC11" s="976"/>
      <c r="AD11" s="976"/>
      <c r="AE11" s="976"/>
      <c r="AF11" s="976"/>
      <c r="BD11" s="40"/>
    </row>
    <row r="12" spans="1:67" ht="13.15" customHeight="1" x14ac:dyDescent="0.2">
      <c r="B12" s="2226"/>
      <c r="C12" s="1520" t="s">
        <v>442</v>
      </c>
      <c r="D12" s="1521"/>
      <c r="E12" s="1521"/>
      <c r="F12" s="1522"/>
      <c r="G12" s="586">
        <f>'AT Kassa'!C11</f>
        <v>0</v>
      </c>
      <c r="H12" s="586">
        <f>'AT Kassa'!D11</f>
        <v>0</v>
      </c>
      <c r="I12" s="586">
        <f>'AT Kassa'!E11</f>
        <v>0</v>
      </c>
      <c r="J12" s="586">
        <f>'AT Kassa'!F11</f>
        <v>0</v>
      </c>
      <c r="K12" s="586">
        <f>'AT Kassa'!G11</f>
        <v>0</v>
      </c>
      <c r="L12" s="586">
        <f>'AT Kassa'!H11</f>
        <v>0</v>
      </c>
      <c r="M12" s="593"/>
      <c r="N12" s="593"/>
      <c r="O12" s="593"/>
      <c r="P12" s="593"/>
      <c r="Q12" s="593"/>
      <c r="R12" s="593"/>
      <c r="S12" s="1498">
        <f>SUM(G12:R12)</f>
        <v>0</v>
      </c>
      <c r="U12" s="219">
        <v>0</v>
      </c>
      <c r="X12" s="976"/>
      <c r="Y12" s="976"/>
      <c r="Z12" s="976"/>
      <c r="AA12" s="976"/>
      <c r="AB12" s="976"/>
      <c r="AC12" s="976"/>
      <c r="AD12" s="976"/>
      <c r="AE12" s="976"/>
      <c r="AF12" s="976"/>
      <c r="BD12" s="40"/>
    </row>
    <row r="13" spans="1:67" ht="13.15" customHeight="1" x14ac:dyDescent="0.2">
      <c r="A13" s="53"/>
      <c r="B13" s="1499">
        <v>2</v>
      </c>
      <c r="C13" s="2219" t="s">
        <v>680</v>
      </c>
      <c r="D13" s="2218"/>
      <c r="E13" s="1525">
        <v>0</v>
      </c>
      <c r="F13" s="1476">
        <v>25.5</v>
      </c>
      <c r="G13" s="587">
        <f t="shared" ref="G13:Q13" si="2">G14*$S13</f>
        <v>0</v>
      </c>
      <c r="H13" s="587">
        <f t="shared" si="2"/>
        <v>0</v>
      </c>
      <c r="I13" s="587">
        <f t="shared" si="2"/>
        <v>0</v>
      </c>
      <c r="J13" s="587">
        <f t="shared" si="2"/>
        <v>0</v>
      </c>
      <c r="K13" s="587">
        <f t="shared" si="2"/>
        <v>0</v>
      </c>
      <c r="L13" s="587">
        <f t="shared" si="2"/>
        <v>0</v>
      </c>
      <c r="M13" s="587">
        <f t="shared" si="2"/>
        <v>0</v>
      </c>
      <c r="N13" s="587">
        <f t="shared" si="2"/>
        <v>0</v>
      </c>
      <c r="O13" s="587">
        <f t="shared" si="2"/>
        <v>0</v>
      </c>
      <c r="P13" s="587">
        <f t="shared" si="2"/>
        <v>0</v>
      </c>
      <c r="Q13" s="587">
        <f t="shared" si="2"/>
        <v>0</v>
      </c>
      <c r="R13" s="587">
        <f>R14*$S13</f>
        <v>0</v>
      </c>
      <c r="S13" s="1500">
        <f>IF(G6=2,E13*('4. E2 LIIKEVAIHTO'!F10+'4. E2 LIIKEVAIHTO'!F13),E13*('4. E2 LIIKEVAIHTO'!E10+'4. E2 LIIKEVAIHTO'!E13))</f>
        <v>0</v>
      </c>
      <c r="X13" s="976"/>
      <c r="Y13" s="976"/>
      <c r="Z13" s="976"/>
      <c r="AA13" s="976"/>
      <c r="AB13" s="976"/>
      <c r="AC13" s="976"/>
      <c r="AD13" s="976"/>
      <c r="AE13" s="976"/>
      <c r="AF13" s="976"/>
      <c r="BD13" s="40"/>
    </row>
    <row r="14" spans="1:67" ht="13.15" customHeight="1" x14ac:dyDescent="0.2">
      <c r="A14" s="2"/>
      <c r="B14" s="491"/>
      <c r="C14" s="1526"/>
      <c r="D14" s="2221" t="s">
        <v>88</v>
      </c>
      <c r="E14" s="2221"/>
      <c r="F14" s="2222"/>
      <c r="G14" s="588">
        <v>0.08</v>
      </c>
      <c r="H14" s="588">
        <v>0.08</v>
      </c>
      <c r="I14" s="588">
        <v>0.08</v>
      </c>
      <c r="J14" s="588">
        <v>0.08</v>
      </c>
      <c r="K14" s="588">
        <v>0.08</v>
      </c>
      <c r="L14" s="588">
        <v>0.08</v>
      </c>
      <c r="M14" s="588">
        <v>0.12</v>
      </c>
      <c r="N14" s="588">
        <v>0.08</v>
      </c>
      <c r="O14" s="588">
        <v>0.08</v>
      </c>
      <c r="P14" s="588">
        <v>0.08</v>
      </c>
      <c r="Q14" s="588">
        <v>0.08</v>
      </c>
      <c r="R14" s="588">
        <v>0.08</v>
      </c>
      <c r="S14" s="1501">
        <f>SUM(G14:R14)</f>
        <v>0.99999999999999989</v>
      </c>
      <c r="T14" s="199" t="str">
        <f>IF(E13=0," ",IF(S14=100%," ","VIRHE!"))</f>
        <v xml:space="preserve"> </v>
      </c>
      <c r="X14" s="976"/>
      <c r="Y14" s="976"/>
      <c r="Z14" s="976"/>
      <c r="AA14" s="976"/>
      <c r="AB14" s="976"/>
      <c r="AC14" s="976"/>
      <c r="AD14" s="976"/>
      <c r="AE14" s="976"/>
      <c r="AF14" s="976"/>
      <c r="BD14" s="40"/>
    </row>
    <row r="15" spans="1:67" ht="13.15" customHeight="1" x14ac:dyDescent="0.2">
      <c r="A15" s="53"/>
      <c r="B15" s="491">
        <v>3</v>
      </c>
      <c r="C15" s="2219" t="s">
        <v>89</v>
      </c>
      <c r="D15" s="2221"/>
      <c r="E15" s="2222"/>
      <c r="F15" s="1528">
        <v>25.5</v>
      </c>
      <c r="G15" s="587">
        <f>G16*$S15</f>
        <v>0</v>
      </c>
      <c r="H15" s="587">
        <f>H16*$S15</f>
        <v>0</v>
      </c>
      <c r="I15" s="587">
        <f t="shared" ref="I15:R15" si="3">I16*$S15</f>
        <v>0</v>
      </c>
      <c r="J15" s="587">
        <f t="shared" si="3"/>
        <v>0</v>
      </c>
      <c r="K15" s="587">
        <f t="shared" si="3"/>
        <v>0</v>
      </c>
      <c r="L15" s="587">
        <f t="shared" si="3"/>
        <v>0</v>
      </c>
      <c r="M15" s="587">
        <f t="shared" si="3"/>
        <v>0</v>
      </c>
      <c r="N15" s="587">
        <f t="shared" si="3"/>
        <v>0</v>
      </c>
      <c r="O15" s="587">
        <f t="shared" si="3"/>
        <v>0</v>
      </c>
      <c r="P15" s="587">
        <f t="shared" si="3"/>
        <v>0</v>
      </c>
      <c r="Q15" s="587">
        <f t="shared" si="3"/>
        <v>0</v>
      </c>
      <c r="R15" s="587">
        <f t="shared" si="3"/>
        <v>0</v>
      </c>
      <c r="S15" s="1500">
        <f>IF(G6=2,('4. E2 LIIKEVAIHTO'!F10+'4. E2 LIIKEVAIHTO'!F13)-S13,'4. E2 LIIKEVAIHTO'!E10+'4. E2 LIIKEVAIHTO'!E13-S13)</f>
        <v>0</v>
      </c>
      <c r="U15" s="225"/>
      <c r="V15" s="225"/>
      <c r="X15" s="976"/>
      <c r="Y15" s="976"/>
      <c r="Z15" s="976"/>
      <c r="AA15" s="976"/>
      <c r="AB15" s="976"/>
      <c r="AC15" s="976"/>
      <c r="AD15" s="976"/>
      <c r="AE15" s="976"/>
      <c r="AF15" s="976"/>
      <c r="BD15" s="40"/>
    </row>
    <row r="16" spans="1:67" ht="13.15" customHeight="1" x14ac:dyDescent="0.2">
      <c r="B16" s="491"/>
      <c r="C16" s="1526"/>
      <c r="D16" s="2221" t="s">
        <v>90</v>
      </c>
      <c r="E16" s="2221"/>
      <c r="F16" s="2222"/>
      <c r="G16" s="588">
        <v>0.04</v>
      </c>
      <c r="H16" s="588">
        <v>0.05</v>
      </c>
      <c r="I16" s="588">
        <v>0.06</v>
      </c>
      <c r="J16" s="588">
        <v>7.0000000000000007E-2</v>
      </c>
      <c r="K16" s="588">
        <v>0.09</v>
      </c>
      <c r="L16" s="588">
        <v>0.09</v>
      </c>
      <c r="M16" s="588">
        <v>0.1</v>
      </c>
      <c r="N16" s="588">
        <v>0.1</v>
      </c>
      <c r="O16" s="588">
        <v>0.1</v>
      </c>
      <c r="P16" s="588">
        <v>0.1</v>
      </c>
      <c r="Q16" s="588">
        <v>0.1</v>
      </c>
      <c r="R16" s="588">
        <v>0.1</v>
      </c>
      <c r="S16" s="1501">
        <f>SUM(G16:R16)</f>
        <v>0.99999999999999989</v>
      </c>
      <c r="T16" s="199" t="str">
        <f>IF(E13=100%," ",IF(S16=100%," ","VIRHE!"))</f>
        <v xml:space="preserve"> </v>
      </c>
      <c r="X16" s="976"/>
      <c r="Y16" s="976"/>
      <c r="Z16" s="976"/>
      <c r="AA16" s="976"/>
      <c r="AB16" s="976"/>
      <c r="AC16" s="976"/>
      <c r="AD16" s="976"/>
      <c r="AE16" s="976"/>
      <c r="AF16" s="976"/>
      <c r="BD16" s="40"/>
    </row>
    <row r="17" spans="1:68" ht="13.15" customHeight="1" thickBot="1" x14ac:dyDescent="0.25">
      <c r="A17" s="53"/>
      <c r="B17" s="491"/>
      <c r="C17" s="1526"/>
      <c r="D17" s="1527" t="s">
        <v>91</v>
      </c>
      <c r="E17" s="1529">
        <v>14</v>
      </c>
      <c r="F17" s="1530" t="s">
        <v>92</v>
      </c>
      <c r="G17" s="587">
        <f>'AT Kassa'!C33</f>
        <v>0</v>
      </c>
      <c r="H17" s="587">
        <f>'AT Kassa'!D33</f>
        <v>0</v>
      </c>
      <c r="I17" s="587">
        <f>'AT Kassa'!E33</f>
        <v>0</v>
      </c>
      <c r="J17" s="587">
        <f>'AT Kassa'!F33</f>
        <v>0</v>
      </c>
      <c r="K17" s="587">
        <f>'AT Kassa'!G33</f>
        <v>0</v>
      </c>
      <c r="L17" s="587">
        <f>'AT Kassa'!H33</f>
        <v>0</v>
      </c>
      <c r="M17" s="587">
        <f>'AT Kassa'!I33</f>
        <v>0</v>
      </c>
      <c r="N17" s="587">
        <f>'AT Kassa'!J33</f>
        <v>0</v>
      </c>
      <c r="O17" s="587">
        <f>'AT Kassa'!K33</f>
        <v>0</v>
      </c>
      <c r="P17" s="587">
        <f>'AT Kassa'!L33</f>
        <v>0</v>
      </c>
      <c r="Q17" s="587">
        <f>'AT Kassa'!M33</f>
        <v>0</v>
      </c>
      <c r="R17" s="587">
        <f>'AT Kassa'!N33</f>
        <v>0</v>
      </c>
      <c r="S17" s="1500">
        <f>SUM(G17:R17)</f>
        <v>0</v>
      </c>
      <c r="X17" s="131"/>
      <c r="Y17" s="131"/>
      <c r="Z17" s="131"/>
      <c r="AA17" s="131"/>
      <c r="AB17" s="131"/>
      <c r="AC17" s="131"/>
      <c r="AD17" s="131"/>
      <c r="AE17" s="131"/>
      <c r="AF17" s="131"/>
      <c r="AG17" s="4"/>
      <c r="AH17" s="4"/>
      <c r="AI17" s="4"/>
      <c r="AJ17" s="4"/>
      <c r="AK17" s="4"/>
      <c r="AL17" s="4"/>
      <c r="AM17" s="4"/>
      <c r="AN17" s="4"/>
      <c r="AO17" s="4"/>
      <c r="BD17" s="40"/>
    </row>
    <row r="18" spans="1:68" ht="13.15" customHeight="1" x14ac:dyDescent="0.2">
      <c r="A18" s="53"/>
      <c r="B18" s="491">
        <v>4</v>
      </c>
      <c r="C18" s="2241" t="s">
        <v>654</v>
      </c>
      <c r="D18" s="2242"/>
      <c r="E18" s="2243"/>
      <c r="F18" s="1528">
        <v>25.5</v>
      </c>
      <c r="G18" s="589">
        <f>-'5. T4 RAHOITUSSUUN.'!$G$58%*'8. T5 KASSABUDJETTI'!G15</f>
        <v>0</v>
      </c>
      <c r="H18" s="589">
        <f>-'5. T4 RAHOITUSSUUN.'!$G$58%*'8. T5 KASSABUDJETTI'!H15</f>
        <v>0</v>
      </c>
      <c r="I18" s="589">
        <f>-'5. T4 RAHOITUSSUUN.'!$G$58%*'8. T5 KASSABUDJETTI'!I15</f>
        <v>0</v>
      </c>
      <c r="J18" s="589">
        <f>-'5. T4 RAHOITUSSUUN.'!$G$58%*'8. T5 KASSABUDJETTI'!J15</f>
        <v>0</v>
      </c>
      <c r="K18" s="589">
        <f>-'5. T4 RAHOITUSSUUN.'!$G$58%*'8. T5 KASSABUDJETTI'!K15</f>
        <v>0</v>
      </c>
      <c r="L18" s="589">
        <f>-'5. T4 RAHOITUSSUUN.'!$G$58%*'8. T5 KASSABUDJETTI'!L15</f>
        <v>0</v>
      </c>
      <c r="M18" s="589">
        <f>-'5. T4 RAHOITUSSUUN.'!$G$58%*'8. T5 KASSABUDJETTI'!M15</f>
        <v>0</v>
      </c>
      <c r="N18" s="589">
        <f>-'5. T4 RAHOITUSSUUN.'!$G$58%*'8. T5 KASSABUDJETTI'!N15</f>
        <v>0</v>
      </c>
      <c r="O18" s="589">
        <f>-'5. T4 RAHOITUSSUUN.'!$G$58%*'8. T5 KASSABUDJETTI'!O15</f>
        <v>0</v>
      </c>
      <c r="P18" s="589">
        <f>-'5. T4 RAHOITUSSUUN.'!$G$58%*'8. T5 KASSABUDJETTI'!P15</f>
        <v>0</v>
      </c>
      <c r="Q18" s="589">
        <f>-'5. T4 RAHOITUSSUUN.'!$G$58%*'8. T5 KASSABUDJETTI'!Q15</f>
        <v>0</v>
      </c>
      <c r="R18" s="589">
        <f>-'5. T4 RAHOITUSSUUN.'!$G$58%*'8. T5 KASSABUDJETTI'!R15</f>
        <v>0</v>
      </c>
      <c r="S18" s="1500">
        <f>SUM(G18:R18)</f>
        <v>0</v>
      </c>
      <c r="U18" s="1132" t="s">
        <v>401</v>
      </c>
      <c r="V18" s="1007"/>
      <c r="W18">
        <v>0</v>
      </c>
      <c r="X18" s="131"/>
      <c r="Y18" s="131"/>
      <c r="Z18" s="131"/>
      <c r="AA18" s="131"/>
      <c r="AB18" s="131"/>
      <c r="AC18" s="131"/>
      <c r="AD18" s="131"/>
      <c r="AE18" s="131"/>
      <c r="AF18" s="131"/>
      <c r="AG18" s="4"/>
      <c r="AH18" s="4"/>
      <c r="AI18" s="4"/>
      <c r="AJ18" s="4"/>
      <c r="AK18" s="4"/>
      <c r="AL18" s="4"/>
      <c r="AM18" s="4"/>
      <c r="AN18" s="4"/>
      <c r="AO18" s="4"/>
      <c r="BD18" s="40"/>
    </row>
    <row r="19" spans="1:68" ht="13.15" customHeight="1" thickBot="1" x14ac:dyDescent="0.25">
      <c r="B19" s="1502">
        <v>5</v>
      </c>
      <c r="C19" s="2233" t="s">
        <v>651</v>
      </c>
      <c r="D19" s="2234"/>
      <c r="E19" s="2235"/>
      <c r="F19" s="1531"/>
      <c r="G19" s="1612">
        <f>'3. E1 KUSTANNUKSET'!$D$30/12</f>
        <v>0</v>
      </c>
      <c r="H19" s="1612">
        <f>'3. E1 KUSTANNUKSET'!$D$30/12</f>
        <v>0</v>
      </c>
      <c r="I19" s="1612">
        <f>'3. E1 KUSTANNUKSET'!$D$30/12</f>
        <v>0</v>
      </c>
      <c r="J19" s="1612">
        <f>'3. E1 KUSTANNUKSET'!$D$30/12</f>
        <v>0</v>
      </c>
      <c r="K19" s="1612">
        <f>'3. E1 KUSTANNUKSET'!$D$30/12</f>
        <v>0</v>
      </c>
      <c r="L19" s="1612">
        <f>'3. E1 KUSTANNUKSET'!$D$30/12</f>
        <v>0</v>
      </c>
      <c r="M19" s="1612">
        <f>'3. E1 KUSTANNUKSET'!$D$30/12+'1. T1 INVESTOINTISUUN.'!E61</f>
        <v>0</v>
      </c>
      <c r="N19" s="1612">
        <f>'3. E1 KUSTANNUKSET'!$D$30/12</f>
        <v>0</v>
      </c>
      <c r="O19" s="1612">
        <f>'3. E1 KUSTANNUKSET'!$D$30/12</f>
        <v>0</v>
      </c>
      <c r="P19" s="1612">
        <f>'3. E1 KUSTANNUKSET'!$D$30/12</f>
        <v>0</v>
      </c>
      <c r="Q19" s="1612">
        <f>'3. E1 KUSTANNUKSET'!$D$30/12</f>
        <v>0</v>
      </c>
      <c r="R19" s="1612">
        <f>'3. E1 KUSTANNUKSET'!$D$30/12</f>
        <v>0</v>
      </c>
      <c r="S19" s="1503">
        <f>SUM(G19:R19)</f>
        <v>0</v>
      </c>
      <c r="U19" s="1133" t="s">
        <v>402</v>
      </c>
      <c r="V19" s="1007"/>
      <c r="W19" s="53"/>
      <c r="X19" s="152"/>
      <c r="Y19" s="152"/>
      <c r="Z19" s="152"/>
      <c r="AA19" s="152"/>
      <c r="AB19" s="152"/>
      <c r="AC19" s="152"/>
      <c r="AD19" s="152"/>
      <c r="AE19" s="152"/>
      <c r="AF19" s="152"/>
      <c r="AG19" s="164"/>
      <c r="AH19" s="164"/>
      <c r="AI19" s="164"/>
      <c r="AJ19" s="164"/>
      <c r="AK19" s="164"/>
      <c r="AL19" s="164"/>
      <c r="AM19" s="164"/>
      <c r="AN19" s="164"/>
      <c r="AO19" s="164"/>
      <c r="AP19" s="53"/>
      <c r="AQ19" s="53"/>
      <c r="BD19" s="40"/>
    </row>
    <row r="20" spans="1:68" ht="12.75" customHeight="1" thickTop="1" x14ac:dyDescent="0.2">
      <c r="A20" s="53"/>
      <c r="B20" s="1504"/>
      <c r="C20" s="2236" t="s">
        <v>99</v>
      </c>
      <c r="D20" s="2237"/>
      <c r="E20" s="2238"/>
      <c r="F20" s="1505"/>
      <c r="G20" s="1506">
        <f>G13+G17+G19+G18</f>
        <v>0</v>
      </c>
      <c r="H20" s="1506">
        <f t="shared" ref="H20:Q20" si="4">H13+H17+H19+H18</f>
        <v>0</v>
      </c>
      <c r="I20" s="1506">
        <f t="shared" si="4"/>
        <v>0</v>
      </c>
      <c r="J20" s="1506">
        <f t="shared" si="4"/>
        <v>0</v>
      </c>
      <c r="K20" s="1506">
        <f t="shared" si="4"/>
        <v>0</v>
      </c>
      <c r="L20" s="1506">
        <f>L13+L17+L19+L18</f>
        <v>0</v>
      </c>
      <c r="M20" s="1506">
        <f>M13+M17+M19+M18</f>
        <v>0</v>
      </c>
      <c r="N20" s="1506">
        <f>N13+N17+N19+N18</f>
        <v>0</v>
      </c>
      <c r="O20" s="1506">
        <f t="shared" si="4"/>
        <v>0</v>
      </c>
      <c r="P20" s="1506">
        <f>P13+P17+P19+P18</f>
        <v>0</v>
      </c>
      <c r="Q20" s="1506">
        <f t="shared" si="4"/>
        <v>0</v>
      </c>
      <c r="R20" s="1506">
        <f>R13+R17+R19+R18</f>
        <v>0</v>
      </c>
      <c r="S20" s="1507">
        <f>SUM(G20:R20)</f>
        <v>0</v>
      </c>
      <c r="U20" s="1133" t="s">
        <v>232</v>
      </c>
      <c r="V20" s="1007"/>
      <c r="W20" s="53"/>
      <c r="X20" s="2213" t="s">
        <v>127</v>
      </c>
      <c r="Y20" s="2214"/>
      <c r="Z20" s="2214"/>
      <c r="AA20" s="2214"/>
      <c r="AB20" s="2214"/>
      <c r="AC20" s="2214"/>
      <c r="AD20" s="2214"/>
      <c r="AE20" s="2214"/>
      <c r="AF20" s="2215"/>
      <c r="AG20" s="2213" t="s">
        <v>420</v>
      </c>
      <c r="AH20" s="2214"/>
      <c r="AI20" s="2214"/>
      <c r="AJ20" s="2214"/>
      <c r="AK20" s="2214"/>
      <c r="AL20" s="2214"/>
      <c r="AM20" s="2215"/>
      <c r="AN20" s="2213" t="s">
        <v>419</v>
      </c>
      <c r="AO20" s="2214"/>
      <c r="AP20" s="2214"/>
      <c r="AQ20" s="2214"/>
      <c r="AR20" s="2214"/>
      <c r="AS20" s="2214"/>
      <c r="AT20" s="2215"/>
      <c r="AU20" s="2201" t="s">
        <v>18</v>
      </c>
      <c r="AV20" s="2202"/>
      <c r="AW20" s="2202"/>
      <c r="AX20" s="2202"/>
      <c r="AY20" s="2203"/>
      <c r="BD20" s="40"/>
    </row>
    <row r="21" spans="1:68" ht="4.3499999999999996" customHeight="1" x14ac:dyDescent="0.2">
      <c r="B21" s="287"/>
      <c r="C21" s="594"/>
      <c r="D21" s="594"/>
      <c r="E21" s="594"/>
      <c r="F21" s="288"/>
      <c r="G21" s="289"/>
      <c r="H21" s="289"/>
      <c r="I21" s="289"/>
      <c r="J21" s="289"/>
      <c r="K21" s="289"/>
      <c r="L21" s="289"/>
      <c r="M21" s="289"/>
      <c r="N21" s="289"/>
      <c r="O21" s="289"/>
      <c r="P21" s="289"/>
      <c r="Q21" s="289"/>
      <c r="R21" s="289"/>
      <c r="S21" s="229" t="s">
        <v>0</v>
      </c>
      <c r="U21" s="1131"/>
      <c r="V21" s="1007"/>
      <c r="W21" s="53"/>
      <c r="X21" s="500"/>
      <c r="Y21" s="500"/>
      <c r="Z21" s="500"/>
      <c r="AA21" s="500"/>
      <c r="AB21" s="500"/>
      <c r="AC21" s="500"/>
      <c r="AD21" s="1010"/>
      <c r="AE21" s="1010"/>
      <c r="AF21" s="1010"/>
      <c r="AG21" s="500"/>
      <c r="AH21" s="500"/>
      <c r="AI21" s="500"/>
      <c r="AJ21" s="500"/>
      <c r="AK21" s="1010"/>
      <c r="AL21" s="1010"/>
      <c r="AM21" s="1010"/>
      <c r="AN21" s="500"/>
      <c r="AO21" s="500"/>
      <c r="AP21" s="500"/>
      <c r="AQ21" s="500"/>
      <c r="AR21" s="1010"/>
      <c r="AS21" s="1010"/>
      <c r="AT21" s="1010"/>
      <c r="BD21" s="40"/>
    </row>
    <row r="22" spans="1:68" ht="15" customHeight="1" thickBot="1" x14ac:dyDescent="0.25">
      <c r="B22" s="1494"/>
      <c r="C22" s="2239" t="s">
        <v>100</v>
      </c>
      <c r="D22" s="2239"/>
      <c r="E22" s="2240"/>
      <c r="F22" s="1609" t="s">
        <v>105</v>
      </c>
      <c r="G22" s="1496">
        <f>G10</f>
        <v>46388</v>
      </c>
      <c r="H22" s="1496">
        <f t="shared" ref="H22:S22" si="5">+H10</f>
        <v>46419</v>
      </c>
      <c r="I22" s="1496">
        <f t="shared" si="5"/>
        <v>46450</v>
      </c>
      <c r="J22" s="1496">
        <f t="shared" si="5"/>
        <v>46481</v>
      </c>
      <c r="K22" s="1496">
        <f t="shared" si="5"/>
        <v>46512</v>
      </c>
      <c r="L22" s="1496">
        <f t="shared" si="5"/>
        <v>46543</v>
      </c>
      <c r="M22" s="1496">
        <f t="shared" si="5"/>
        <v>46574</v>
      </c>
      <c r="N22" s="1496">
        <f t="shared" si="5"/>
        <v>46605</v>
      </c>
      <c r="O22" s="1496">
        <f t="shared" si="5"/>
        <v>46636</v>
      </c>
      <c r="P22" s="1496">
        <f t="shared" si="5"/>
        <v>46667</v>
      </c>
      <c r="Q22" s="1496">
        <f t="shared" si="5"/>
        <v>46698</v>
      </c>
      <c r="R22" s="1496">
        <f t="shared" si="5"/>
        <v>46729</v>
      </c>
      <c r="S22" s="1610" t="str">
        <f t="shared" si="5"/>
        <v>YHT</v>
      </c>
      <c r="T22" s="1117" t="s">
        <v>400</v>
      </c>
      <c r="U22" s="1134" t="s">
        <v>399</v>
      </c>
      <c r="V22" s="1007"/>
      <c r="W22" s="53"/>
      <c r="X22" s="1011"/>
      <c r="Y22" s="1032"/>
      <c r="Z22" s="1030" t="s">
        <v>120</v>
      </c>
      <c r="AA22" s="1012" t="s">
        <v>376</v>
      </c>
      <c r="AB22" s="1012" t="s">
        <v>128</v>
      </c>
      <c r="AC22" s="2210" t="s">
        <v>104</v>
      </c>
      <c r="AD22" s="1013" t="s">
        <v>121</v>
      </c>
      <c r="AE22" s="1013" t="s">
        <v>436</v>
      </c>
      <c r="AF22" s="1014" t="s">
        <v>122</v>
      </c>
      <c r="AG22" s="1030" t="s">
        <v>120</v>
      </c>
      <c r="AH22" s="1012" t="s">
        <v>376</v>
      </c>
      <c r="AI22" s="1012" t="s">
        <v>128</v>
      </c>
      <c r="AJ22" s="2210" t="s">
        <v>104</v>
      </c>
      <c r="AK22" s="1013" t="s">
        <v>121</v>
      </c>
      <c r="AL22" s="1013" t="s">
        <v>436</v>
      </c>
      <c r="AM22" s="1014" t="s">
        <v>122</v>
      </c>
      <c r="AN22" s="1027" t="s">
        <v>120</v>
      </c>
      <c r="AO22" s="1012" t="s">
        <v>376</v>
      </c>
      <c r="AP22" s="1012" t="s">
        <v>128</v>
      </c>
      <c r="AQ22" s="2210" t="s">
        <v>104</v>
      </c>
      <c r="AR22" s="1013" t="s">
        <v>121</v>
      </c>
      <c r="AS22" s="1013" t="s">
        <v>436</v>
      </c>
      <c r="AT22" s="453" t="s">
        <v>122</v>
      </c>
      <c r="AU22" s="1025" t="s">
        <v>121</v>
      </c>
      <c r="AV22" s="1013" t="s">
        <v>436</v>
      </c>
      <c r="AW22" s="1014" t="s">
        <v>122</v>
      </c>
      <c r="AX22" s="2199" t="s">
        <v>877</v>
      </c>
      <c r="AY22" s="2200"/>
      <c r="BD22" s="40"/>
    </row>
    <row r="23" spans="1:68" ht="12" customHeight="1" x14ac:dyDescent="0.2">
      <c r="B23" s="2229">
        <v>6</v>
      </c>
      <c r="C23" s="2230" t="s">
        <v>93</v>
      </c>
      <c r="D23" s="2231"/>
      <c r="E23" s="2232"/>
      <c r="F23" s="493">
        <v>25.5</v>
      </c>
      <c r="G23" s="1477">
        <f>IF(($S13+$S15)*$U23=0,0,(G13+G15)/($S13+$S15)*'8. T5 KASSABUDJETTI'!$U23)</f>
        <v>0</v>
      </c>
      <c r="H23" s="1477">
        <f>IF(($S13+$S15)*$U23=0,0,(H13+H15)/($S13+$S15)*'8. T5 KASSABUDJETTI'!$U23)</f>
        <v>0</v>
      </c>
      <c r="I23" s="1477">
        <f>IF(($S13+$S15)*$U23=0,0,(I13+I15)/($S13+$S15)*'8. T5 KASSABUDJETTI'!$U23)</f>
        <v>0</v>
      </c>
      <c r="J23" s="1477">
        <f>IF(($S13+$S15)*$U23=0,0,(J13+J15)/($S13+$S15)*'8. T5 KASSABUDJETTI'!$U23)</f>
        <v>0</v>
      </c>
      <c r="K23" s="1477">
        <f>IF(($S13+$S15)*$U23=0,0,(K13+K15)/($S13+$S15)*'8. T5 KASSABUDJETTI'!$U23)</f>
        <v>0</v>
      </c>
      <c r="L23" s="1477">
        <f>IF(($S13+$S15)*$U23=0,0,(L13+L15)/($S13+$S15)*'8. T5 KASSABUDJETTI'!$U23)</f>
        <v>0</v>
      </c>
      <c r="M23" s="1477">
        <f>IF(($S13+$S15)*$U23=0,0,(M13+M15)/($S13+$S15)*'8. T5 KASSABUDJETTI'!$U23)</f>
        <v>0</v>
      </c>
      <c r="N23" s="1477">
        <f>IF(($S13+$S15)*$U23=0,0,(N13+N15)/($S13+$S15)*'8. T5 KASSABUDJETTI'!$U23)</f>
        <v>0</v>
      </c>
      <c r="O23" s="1477">
        <f>IF(($S13+$S15)*$U23=0,0,(O13+O15)/($S13+$S15)*'8. T5 KASSABUDJETTI'!$U23)</f>
        <v>0</v>
      </c>
      <c r="P23" s="1477">
        <f>IF(($S13+$S15)*$U23=0,0,(P13+P15)/($S13+$S15)*'8. T5 KASSABUDJETTI'!$U23)</f>
        <v>0</v>
      </c>
      <c r="Q23" s="1477">
        <f>IF(($S13+$S15)*$U23=0,0,(Q13+Q15)/($S13+$S15)*'8. T5 KASSABUDJETTI'!$U23)</f>
        <v>0</v>
      </c>
      <c r="R23" s="1477">
        <f>IF(($S13+$S15)*$U23=0,0,(R13+R15)/($S13+$S15)*'8. T5 KASSABUDJETTI'!$U23)</f>
        <v>0</v>
      </c>
      <c r="S23" s="592">
        <f>SUM(G23:R23)</f>
        <v>0</v>
      </c>
      <c r="T23" s="977">
        <f>U23-S23</f>
        <v>0</v>
      </c>
      <c r="U23" s="968">
        <f>'4. E2 LIIKEVAIHTO'!E11+'8. T5 KASSABUDJETTI'!F23/100*'4. E2 LIIKEVAIHTO'!E11</f>
        <v>0</v>
      </c>
      <c r="V23" s="925" t="s">
        <v>0</v>
      </c>
      <c r="W23" s="53"/>
      <c r="X23" s="1015"/>
      <c r="Y23" s="1033"/>
      <c r="Z23" s="1031" t="s">
        <v>123</v>
      </c>
      <c r="AA23" s="1016" t="s">
        <v>124</v>
      </c>
      <c r="AB23" s="1016" t="s">
        <v>129</v>
      </c>
      <c r="AC23" s="2211"/>
      <c r="AD23" s="1017" t="s">
        <v>125</v>
      </c>
      <c r="AE23" s="1017" t="s">
        <v>437</v>
      </c>
      <c r="AF23" s="1018" t="s">
        <v>123</v>
      </c>
      <c r="AG23" s="1031" t="s">
        <v>123</v>
      </c>
      <c r="AH23" s="1016" t="s">
        <v>124</v>
      </c>
      <c r="AI23" s="1016" t="s">
        <v>129</v>
      </c>
      <c r="AJ23" s="2211"/>
      <c r="AK23" s="1017" t="s">
        <v>125</v>
      </c>
      <c r="AL23" s="1017" t="s">
        <v>437</v>
      </c>
      <c r="AM23" s="1018" t="s">
        <v>123</v>
      </c>
      <c r="AN23" s="1028" t="s">
        <v>123</v>
      </c>
      <c r="AO23" s="1016" t="s">
        <v>124</v>
      </c>
      <c r="AP23" s="1016" t="s">
        <v>129</v>
      </c>
      <c r="AQ23" s="2211"/>
      <c r="AR23" s="1017" t="s">
        <v>125</v>
      </c>
      <c r="AS23" s="1017" t="s">
        <v>437</v>
      </c>
      <c r="AT23" s="454" t="s">
        <v>123</v>
      </c>
      <c r="AU23" s="1026" t="s">
        <v>125</v>
      </c>
      <c r="AV23" s="1017" t="s">
        <v>437</v>
      </c>
      <c r="AW23" s="1018" t="s">
        <v>123</v>
      </c>
      <c r="AX23" s="1018" t="s">
        <v>868</v>
      </c>
      <c r="AY23" s="1018" t="s">
        <v>869</v>
      </c>
      <c r="BD23" s="40"/>
    </row>
    <row r="24" spans="1:68" ht="12" customHeight="1" x14ac:dyDescent="0.2">
      <c r="B24" s="2228"/>
      <c r="C24" s="1532" t="s">
        <v>467</v>
      </c>
      <c r="D24" s="1533"/>
      <c r="E24" s="1476">
        <v>14</v>
      </c>
      <c r="F24" s="1704"/>
      <c r="G24" s="1498">
        <f>'AT Kassa'!Q8</f>
        <v>0</v>
      </c>
      <c r="H24" s="1498">
        <f>'AT Kassa'!R8</f>
        <v>0</v>
      </c>
      <c r="I24" s="1498">
        <f>'AT Kassa'!S8</f>
        <v>0</v>
      </c>
      <c r="J24" s="1478"/>
      <c r="K24" s="1478"/>
      <c r="L24" s="1478"/>
      <c r="M24" s="1478"/>
      <c r="N24" s="1478"/>
      <c r="O24" s="1478"/>
      <c r="P24" s="1478"/>
      <c r="Q24" s="1478"/>
      <c r="R24" s="1478"/>
      <c r="S24" s="593"/>
      <c r="T24" s="1508"/>
      <c r="U24" s="971"/>
      <c r="V24" s="925"/>
      <c r="W24" s="53"/>
      <c r="X24" s="1015"/>
      <c r="Y24" s="1033"/>
      <c r="Z24" s="1031"/>
      <c r="AA24" s="1016"/>
      <c r="AB24" s="1016"/>
      <c r="AC24" s="1474"/>
      <c r="AD24" s="1475"/>
      <c r="AE24" s="1475"/>
      <c r="AF24" s="1018"/>
      <c r="AG24" s="1031"/>
      <c r="AH24" s="1016"/>
      <c r="AI24" s="1016"/>
      <c r="AJ24" s="1473"/>
      <c r="AK24" s="1017"/>
      <c r="AL24" s="1017"/>
      <c r="AM24" s="1018"/>
      <c r="AN24" s="1028"/>
      <c r="AO24" s="1016"/>
      <c r="AP24" s="1016"/>
      <c r="AQ24" s="1473"/>
      <c r="AR24" s="1017"/>
      <c r="AS24" s="1017"/>
      <c r="AT24" s="454"/>
      <c r="AU24" s="1026"/>
      <c r="AV24" s="1017"/>
      <c r="AW24" s="1018"/>
      <c r="AX24" s="1018"/>
      <c r="AY24" s="1018"/>
      <c r="BD24" s="40"/>
    </row>
    <row r="25" spans="1:68" ht="10.9" customHeight="1" x14ac:dyDescent="0.2">
      <c r="B25" s="1499">
        <f>B23+1</f>
        <v>7</v>
      </c>
      <c r="C25" s="2219" t="s">
        <v>677</v>
      </c>
      <c r="D25" s="2217"/>
      <c r="E25" s="2218"/>
      <c r="F25" s="1711">
        <v>25.5</v>
      </c>
      <c r="G25" s="1298">
        <f>'1. T1 INVESTOINTISUUN.'!E40</f>
        <v>0</v>
      </c>
      <c r="H25" s="1298"/>
      <c r="I25" s="1298">
        <v>0</v>
      </c>
      <c r="J25" s="1298">
        <v>0</v>
      </c>
      <c r="K25" s="1298"/>
      <c r="L25" s="1298"/>
      <c r="M25" s="1298">
        <v>0</v>
      </c>
      <c r="N25" s="1298">
        <v>0</v>
      </c>
      <c r="O25" s="1298"/>
      <c r="P25" s="1298"/>
      <c r="Q25" s="1298"/>
      <c r="R25" s="1298"/>
      <c r="S25" s="1500">
        <f>SUM(G25:R25)</f>
        <v>0</v>
      </c>
      <c r="T25" s="1491" t="s">
        <v>0</v>
      </c>
      <c r="U25" s="1492"/>
      <c r="V25" s="925"/>
      <c r="W25" s="53"/>
      <c r="X25" s="1019"/>
      <c r="Y25" s="1034"/>
      <c r="Z25" s="2208" t="s">
        <v>0</v>
      </c>
      <c r="AA25" s="2209"/>
      <c r="AB25" s="1037"/>
      <c r="AC25" s="1038"/>
      <c r="AD25" s="1047">
        <v>1.9099999999999999E-2</v>
      </c>
      <c r="AE25" s="1036">
        <v>0</v>
      </c>
      <c r="AF25" s="1039"/>
      <c r="AG25" s="2208" t="s">
        <v>0</v>
      </c>
      <c r="AH25" s="2209"/>
      <c r="AI25" s="1037">
        <v>0</v>
      </c>
      <c r="AJ25" s="1037"/>
      <c r="AK25" s="1020">
        <f>AD25</f>
        <v>1.9099999999999999E-2</v>
      </c>
      <c r="AL25" s="1048">
        <v>8.1900000000000001E-2</v>
      </c>
      <c r="AM25" s="1039"/>
      <c r="AN25" s="2208" t="s">
        <v>0</v>
      </c>
      <c r="AO25" s="2209"/>
      <c r="AP25" s="1037" t="s">
        <v>0</v>
      </c>
      <c r="AQ25" s="1037"/>
      <c r="AR25" s="1020">
        <f>AD25</f>
        <v>1.9099999999999999E-2</v>
      </c>
      <c r="AS25" s="1020">
        <f>AL25</f>
        <v>8.1900000000000001E-2</v>
      </c>
      <c r="AT25" s="1040"/>
      <c r="AU25" s="1041"/>
      <c r="AV25" s="1046"/>
      <c r="AW25" s="1042"/>
      <c r="AX25" s="1042"/>
      <c r="AY25" s="1042"/>
      <c r="BD25" s="40"/>
    </row>
    <row r="26" spans="1:68" ht="12" customHeight="1" x14ac:dyDescent="0.2">
      <c r="B26" s="1499">
        <f t="shared" ref="B26:B45" si="6">B25+1</f>
        <v>8</v>
      </c>
      <c r="C26" s="1523" t="s">
        <v>119</v>
      </c>
      <c r="D26" s="1534"/>
      <c r="E26" s="1524"/>
      <c r="F26" s="1712">
        <v>25.5</v>
      </c>
      <c r="G26" s="1298">
        <f t="shared" ref="G26:R26" si="7">$U26/12</f>
        <v>0</v>
      </c>
      <c r="H26" s="1298">
        <f t="shared" si="7"/>
        <v>0</v>
      </c>
      <c r="I26" s="1298">
        <f t="shared" si="7"/>
        <v>0</v>
      </c>
      <c r="J26" s="1298">
        <f t="shared" si="7"/>
        <v>0</v>
      </c>
      <c r="K26" s="1298">
        <f t="shared" si="7"/>
        <v>0</v>
      </c>
      <c r="L26" s="1298">
        <f t="shared" si="7"/>
        <v>0</v>
      </c>
      <c r="M26" s="1298">
        <f t="shared" si="7"/>
        <v>0</v>
      </c>
      <c r="N26" s="1298">
        <f t="shared" si="7"/>
        <v>0</v>
      </c>
      <c r="O26" s="1298">
        <f t="shared" si="7"/>
        <v>0</v>
      </c>
      <c r="P26" s="1298">
        <f t="shared" si="7"/>
        <v>0</v>
      </c>
      <c r="Q26" s="1298">
        <f t="shared" si="7"/>
        <v>0</v>
      </c>
      <c r="R26" s="1298">
        <f t="shared" si="7"/>
        <v>0</v>
      </c>
      <c r="S26" s="1500">
        <f>SUM(G26:R26)</f>
        <v>0</v>
      </c>
      <c r="T26" s="977">
        <f t="shared" ref="T26:T43" si="8">U26-S26</f>
        <v>0</v>
      </c>
      <c r="U26" s="968">
        <f>-'7. T2 TULOSSUUN.'!G16-'7. T2 TULOSSUUN.'!G16*'8. T5 KASSABUDJETTI'!F26/100</f>
        <v>0</v>
      </c>
      <c r="V26" s="925"/>
      <c r="W26" s="53"/>
      <c r="X26" s="2206">
        <f>K6</f>
        <v>2027</v>
      </c>
      <c r="Y26" s="2207"/>
      <c r="Z26" s="872">
        <f>'3. E1 KUSTANNUKSET'!D13*'3. E1 KUSTANNUKSET'!D15</f>
        <v>0</v>
      </c>
      <c r="AA26" s="1021">
        <f>'3. E1 KUSTANNUKSET'!D14*'3. E1 KUSTANNUKSET'!D15</f>
        <v>0</v>
      </c>
      <c r="AB26" s="1021">
        <f>AA26+Z26</f>
        <v>0</v>
      </c>
      <c r="AC26" s="1035">
        <f>'3. E1 KUSTANNUKSET'!D16</f>
        <v>0.28999999999999998</v>
      </c>
      <c r="AD26" s="1771">
        <f>(AC26+AD$25)*AB26</f>
        <v>0</v>
      </c>
      <c r="AE26" s="1771">
        <v>0</v>
      </c>
      <c r="AF26" s="1023">
        <f>Z26-AB26*AC26</f>
        <v>0</v>
      </c>
      <c r="AG26" s="872">
        <f>'3. E1 KUSTANNUKSET'!D18*'3. E1 KUSTANNUKSET'!D19*'3. E1 KUSTANNUKSET'!D20*'3. E1 KUSTANNUKSET'!D21</f>
        <v>0</v>
      </c>
      <c r="AH26" s="1021">
        <f>'3. E1 KUSTANNUKSET'!D22</f>
        <v>0</v>
      </c>
      <c r="AI26" s="1021">
        <f>AH26+AG26</f>
        <v>0</v>
      </c>
      <c r="AJ26" s="1035">
        <f>'3. E1 KUSTANNUKSET'!D23</f>
        <v>0.2</v>
      </c>
      <c r="AK26" s="1772">
        <f>(AJ26+AK$25)*AI26</f>
        <v>0</v>
      </c>
      <c r="AL26" s="1043">
        <f>AI26*AL$25</f>
        <v>0</v>
      </c>
      <c r="AM26" s="1023">
        <f>AG26-AI26*AJ26-AL26</f>
        <v>0</v>
      </c>
      <c r="AN26" s="1029">
        <f>'3. E1 KUSTANNUKSET'!D25*'3. E1 KUSTANNUKSET'!D26*'3. E1 KUSTANNUKSET'!D27</f>
        <v>0</v>
      </c>
      <c r="AO26" s="1021">
        <f>'3. E1 KUSTANNUKSET'!D28</f>
        <v>0</v>
      </c>
      <c r="AP26" s="1021">
        <f>AO26+AN26</f>
        <v>0</v>
      </c>
      <c r="AQ26" s="1035">
        <f>'3. E1 KUSTANNUKSET'!D29</f>
        <v>0.25</v>
      </c>
      <c r="AR26" s="1771">
        <f>(AQ26+AR$25)*AP26</f>
        <v>0</v>
      </c>
      <c r="AS26" s="1043">
        <f>AS$25*AP26</f>
        <v>0</v>
      </c>
      <c r="AT26" s="1024">
        <f>AN26-AP26*AQ26-AS26</f>
        <v>0</v>
      </c>
      <c r="AU26" s="1044">
        <f>AR26+AK26+AD26</f>
        <v>0</v>
      </c>
      <c r="AV26" s="1022">
        <f>AS26+AL26+AE26</f>
        <v>0</v>
      </c>
      <c r="AW26" s="1045">
        <f>AT26+AM26+AF26</f>
        <v>0</v>
      </c>
      <c r="AX26" s="1045">
        <f>AB26</f>
        <v>0</v>
      </c>
      <c r="AY26" s="1045">
        <f>AI26+AP26</f>
        <v>0</v>
      </c>
      <c r="BD26" s="40"/>
      <c r="BP26" s="40"/>
    </row>
    <row r="27" spans="1:68" ht="12" customHeight="1" x14ac:dyDescent="0.2">
      <c r="B27" s="1499">
        <f t="shared" si="6"/>
        <v>9</v>
      </c>
      <c r="C27" s="2219" t="s">
        <v>395</v>
      </c>
      <c r="D27" s="2217"/>
      <c r="E27" s="2218"/>
      <c r="F27" s="1712">
        <v>25.5</v>
      </c>
      <c r="G27" s="1298">
        <f>'1. T1 INVESTOINTISUUN.'!E20+'1. T1 INVESTOINTISUUN.'!E27+IF('1. T1 INVESTOINTISUUN.'!E33=0,0,'1. T1 INVESTOINTISUUN.'!E32)+IF('1. T1 INVESTOINTISUUN.'!E36&gt;0,'1. T1 INVESTOINTISUUN.'!E35,0)</f>
        <v>0</v>
      </c>
      <c r="H27" s="1298">
        <v>0</v>
      </c>
      <c r="I27" s="1298">
        <v>0</v>
      </c>
      <c r="J27" s="1298">
        <v>0</v>
      </c>
      <c r="K27" s="1298">
        <v>0</v>
      </c>
      <c r="L27" s="1298">
        <v>0</v>
      </c>
      <c r="M27" s="1298">
        <v>0</v>
      </c>
      <c r="N27" s="1298">
        <v>0</v>
      </c>
      <c r="O27" s="1298">
        <v>0</v>
      </c>
      <c r="P27" s="1298">
        <v>0</v>
      </c>
      <c r="Q27" s="1298">
        <v>0</v>
      </c>
      <c r="R27" s="1298"/>
      <c r="S27" s="1500">
        <f t="shared" ref="S27:S45" si="9">SUM(G27:R27)</f>
        <v>0</v>
      </c>
      <c r="T27" s="978" t="s">
        <v>0</v>
      </c>
      <c r="U27" s="969"/>
      <c r="V27" s="925"/>
      <c r="W27" s="53"/>
      <c r="BD27" s="40"/>
    </row>
    <row r="28" spans="1:68" ht="12" customHeight="1" x14ac:dyDescent="0.2">
      <c r="B28" s="1499">
        <f t="shared" si="6"/>
        <v>10</v>
      </c>
      <c r="C28" s="2244" t="s">
        <v>398</v>
      </c>
      <c r="D28" s="2245"/>
      <c r="E28" s="2246"/>
      <c r="F28" s="1712">
        <v>25.5</v>
      </c>
      <c r="G28" s="1298">
        <f t="shared" ref="G28:R29" si="10">$U28/12</f>
        <v>0</v>
      </c>
      <c r="H28" s="1298">
        <f t="shared" si="10"/>
        <v>0</v>
      </c>
      <c r="I28" s="1298">
        <f t="shared" si="10"/>
        <v>0</v>
      </c>
      <c r="J28" s="1298">
        <f t="shared" si="10"/>
        <v>0</v>
      </c>
      <c r="K28" s="1298">
        <f t="shared" si="10"/>
        <v>0</v>
      </c>
      <c r="L28" s="1298">
        <f t="shared" si="10"/>
        <v>0</v>
      </c>
      <c r="M28" s="1298">
        <f t="shared" si="10"/>
        <v>0</v>
      </c>
      <c r="N28" s="1298">
        <f t="shared" si="10"/>
        <v>0</v>
      </c>
      <c r="O28" s="1298">
        <f t="shared" si="10"/>
        <v>0</v>
      </c>
      <c r="P28" s="1298">
        <f t="shared" si="10"/>
        <v>0</v>
      </c>
      <c r="Q28" s="1298">
        <f t="shared" si="10"/>
        <v>0</v>
      </c>
      <c r="R28" s="1298">
        <f t="shared" si="10"/>
        <v>0</v>
      </c>
      <c r="S28" s="1500">
        <f t="shared" si="9"/>
        <v>0</v>
      </c>
      <c r="T28" s="977">
        <f t="shared" si="8"/>
        <v>0</v>
      </c>
      <c r="U28" s="968">
        <f>'3. E1 KUSTANNUKSET'!D53+'3. E1 KUSTANNUKSET'!D53*F28/100</f>
        <v>0</v>
      </c>
      <c r="V28" s="925"/>
      <c r="W28" s="53"/>
      <c r="X28" s="1049"/>
      <c r="Y28" s="1050"/>
      <c r="Z28" s="1051"/>
      <c r="AA28" s="1051"/>
      <c r="AB28" s="1051"/>
      <c r="AC28" s="1051"/>
      <c r="AD28" s="1052"/>
      <c r="AE28" s="1052"/>
      <c r="AF28" s="1053"/>
      <c r="AG28" s="1051"/>
      <c r="AH28" s="1051"/>
      <c r="AI28" s="1051"/>
      <c r="AJ28" s="1051"/>
      <c r="AK28" s="1054"/>
      <c r="AL28" s="1054"/>
      <c r="AM28" s="1053"/>
      <c r="AN28" s="1051"/>
      <c r="AO28" s="1051"/>
      <c r="AP28" s="1051"/>
      <c r="AQ28" s="1051"/>
      <c r="AR28" s="1054"/>
      <c r="AS28" s="1054"/>
      <c r="AT28" s="1053"/>
      <c r="AU28" s="1054"/>
      <c r="AV28" s="1054"/>
      <c r="AW28" s="1054"/>
      <c r="BD28" s="40"/>
    </row>
    <row r="29" spans="1:68" ht="12" customHeight="1" x14ac:dyDescent="0.2">
      <c r="B29" s="1499">
        <f t="shared" si="6"/>
        <v>11</v>
      </c>
      <c r="C29" s="2216" t="s">
        <v>857</v>
      </c>
      <c r="D29" s="2217"/>
      <c r="E29" s="2218"/>
      <c r="F29" s="1712">
        <v>25.5</v>
      </c>
      <c r="G29" s="1298">
        <f t="shared" si="10"/>
        <v>0</v>
      </c>
      <c r="H29" s="1298">
        <f t="shared" si="10"/>
        <v>0</v>
      </c>
      <c r="I29" s="1298">
        <f t="shared" si="10"/>
        <v>0</v>
      </c>
      <c r="J29" s="1298">
        <f t="shared" si="10"/>
        <v>0</v>
      </c>
      <c r="K29" s="1298">
        <f t="shared" si="10"/>
        <v>0</v>
      </c>
      <c r="L29" s="1298">
        <f t="shared" si="10"/>
        <v>0</v>
      </c>
      <c r="M29" s="1298">
        <f t="shared" si="10"/>
        <v>0</v>
      </c>
      <c r="N29" s="1298">
        <f t="shared" si="10"/>
        <v>0</v>
      </c>
      <c r="O29" s="1298">
        <f t="shared" si="10"/>
        <v>0</v>
      </c>
      <c r="P29" s="1298">
        <f t="shared" si="10"/>
        <v>0</v>
      </c>
      <c r="Q29" s="1298">
        <f t="shared" si="10"/>
        <v>0</v>
      </c>
      <c r="R29" s="1298">
        <f t="shared" si="10"/>
        <v>0</v>
      </c>
      <c r="S29" s="1500">
        <f t="shared" si="9"/>
        <v>0</v>
      </c>
      <c r="T29" s="977">
        <f t="shared" si="8"/>
        <v>0</v>
      </c>
      <c r="U29" s="968">
        <f>'3. E1 KUSTANNUKSET'!D65+'3. E1 KUSTANNUKSET'!D65*'8. T5 KASSABUDJETTI'!F29/100+'3. E1 KUSTANNUKSET'!D77+'3. E1 KUSTANNUKSET'!D77*'8. T5 KASSABUDJETTI'!F29/100</f>
        <v>0</v>
      </c>
      <c r="V29" s="925"/>
      <c r="W29" s="53"/>
      <c r="X29" s="1055"/>
      <c r="Y29" s="414"/>
      <c r="Z29" s="416"/>
      <c r="AA29" s="416"/>
      <c r="AB29" s="416"/>
      <c r="AC29" s="416"/>
      <c r="AD29" s="1056"/>
      <c r="AE29" s="1056"/>
      <c r="AF29" s="1057"/>
      <c r="AG29" s="416"/>
      <c r="AH29" s="416"/>
      <c r="AI29" s="416"/>
      <c r="AJ29" s="416"/>
      <c r="AK29" s="1058"/>
      <c r="AL29" s="1058"/>
      <c r="AM29" s="1057"/>
      <c r="AN29" s="416"/>
      <c r="AO29" s="416"/>
      <c r="AP29" s="416"/>
      <c r="AQ29" s="416"/>
      <c r="AR29" s="1058"/>
      <c r="AS29" s="1058"/>
      <c r="AT29" s="1057"/>
      <c r="AU29" s="1058"/>
      <c r="AV29" s="1058"/>
      <c r="AW29" s="1058"/>
      <c r="BD29" s="40"/>
    </row>
    <row r="30" spans="1:68" ht="12" customHeight="1" x14ac:dyDescent="0.2">
      <c r="B30" s="1499">
        <f t="shared" si="6"/>
        <v>12</v>
      </c>
      <c r="C30" s="2219" t="s">
        <v>229</v>
      </c>
      <c r="D30" s="2217"/>
      <c r="E30" s="2218"/>
      <c r="F30" s="494"/>
      <c r="G30" s="1298">
        <f t="shared" ref="G30:R30" si="11">$U30/12</f>
        <v>0</v>
      </c>
      <c r="H30" s="1298">
        <f t="shared" si="11"/>
        <v>0</v>
      </c>
      <c r="I30" s="1298">
        <f t="shared" si="11"/>
        <v>0</v>
      </c>
      <c r="J30" s="1298">
        <f t="shared" si="11"/>
        <v>0</v>
      </c>
      <c r="K30" s="1298">
        <f t="shared" si="11"/>
        <v>0</v>
      </c>
      <c r="L30" s="1298">
        <f t="shared" si="11"/>
        <v>0</v>
      </c>
      <c r="M30" s="1298">
        <f t="shared" si="11"/>
        <v>0</v>
      </c>
      <c r="N30" s="1298">
        <f t="shared" si="11"/>
        <v>0</v>
      </c>
      <c r="O30" s="1298">
        <f t="shared" si="11"/>
        <v>0</v>
      </c>
      <c r="P30" s="1298">
        <f t="shared" si="11"/>
        <v>0</v>
      </c>
      <c r="Q30" s="1298">
        <f t="shared" si="11"/>
        <v>0</v>
      </c>
      <c r="R30" s="1298">
        <f t="shared" si="11"/>
        <v>0</v>
      </c>
      <c r="S30" s="1500">
        <f t="shared" si="9"/>
        <v>0</v>
      </c>
      <c r="T30" s="977">
        <f t="shared" si="8"/>
        <v>0</v>
      </c>
      <c r="U30" s="970">
        <f>'AT2 Lainat, alv'!E61</f>
        <v>0</v>
      </c>
      <c r="V30" s="1008"/>
      <c r="W30" s="53"/>
      <c r="X30" s="1055"/>
      <c r="Y30" s="414"/>
      <c r="Z30" s="416"/>
      <c r="AA30" s="416"/>
      <c r="AB30" s="416"/>
      <c r="AC30" s="416"/>
      <c r="AD30" s="1056"/>
      <c r="AE30" s="1056"/>
      <c r="AF30" s="1057"/>
      <c r="AG30" s="416"/>
      <c r="AH30" s="416"/>
      <c r="AI30" s="416"/>
      <c r="AJ30" s="416"/>
      <c r="AK30" s="1058"/>
      <c r="AL30" s="1058"/>
      <c r="AM30" s="1057"/>
      <c r="AN30" s="416"/>
      <c r="AO30" s="416"/>
      <c r="AP30" s="416"/>
      <c r="AQ30" s="416"/>
      <c r="AR30" s="1058"/>
      <c r="AS30" s="1058"/>
      <c r="AT30" s="1057"/>
      <c r="AU30" s="1058"/>
      <c r="AV30" s="1058"/>
      <c r="AW30" s="1058"/>
      <c r="BD30" s="40"/>
    </row>
    <row r="31" spans="1:68" ht="12" customHeight="1" x14ac:dyDescent="0.2">
      <c r="B31" s="1499">
        <f t="shared" si="6"/>
        <v>13</v>
      </c>
      <c r="C31" s="2219" t="s">
        <v>94</v>
      </c>
      <c r="D31" s="2217"/>
      <c r="E31" s="2218"/>
      <c r="F31" s="494"/>
      <c r="G31" s="587">
        <f>IF(G6=1,0,'6. T3 TASE'!H87/2)</f>
        <v>0</v>
      </c>
      <c r="H31" s="587">
        <f>G31</f>
        <v>0</v>
      </c>
      <c r="I31" s="587">
        <f>'AT1 Avustus, alv'!M27</f>
        <v>0</v>
      </c>
      <c r="J31" s="587">
        <f>'AT1 Avustus, alv'!N27</f>
        <v>0</v>
      </c>
      <c r="K31" s="587">
        <f>'AT1 Avustus, alv'!O27</f>
        <v>0</v>
      </c>
      <c r="L31" s="587">
        <f>'AT1 Avustus, alv'!P27</f>
        <v>0</v>
      </c>
      <c r="M31" s="587">
        <f>'AT1 Avustus, alv'!Q27</f>
        <v>0</v>
      </c>
      <c r="N31" s="587">
        <f>'AT1 Avustus, alv'!R27</f>
        <v>0</v>
      </c>
      <c r="O31" s="587">
        <f>'AT1 Avustus, alv'!S27</f>
        <v>0</v>
      </c>
      <c r="P31" s="587">
        <f>'AT1 Avustus, alv'!T27</f>
        <v>0</v>
      </c>
      <c r="Q31" s="587">
        <f>'AT1 Avustus, alv'!U27</f>
        <v>0</v>
      </c>
      <c r="R31" s="587">
        <f>'AT1 Avustus, alv'!V27</f>
        <v>0</v>
      </c>
      <c r="S31" s="1500">
        <f t="shared" si="9"/>
        <v>0</v>
      </c>
      <c r="T31" s="972" t="s">
        <v>0</v>
      </c>
      <c r="U31" s="971"/>
      <c r="V31" s="925"/>
      <c r="W31" s="53"/>
      <c r="X31" s="1055"/>
      <c r="Y31" s="414"/>
      <c r="Z31" s="416"/>
      <c r="AA31" s="416"/>
      <c r="AB31" s="416"/>
      <c r="AC31" s="416"/>
      <c r="AD31" s="1056"/>
      <c r="AE31" s="1056"/>
      <c r="AF31" s="1810"/>
      <c r="AG31" s="416"/>
      <c r="AH31" s="416"/>
      <c r="AI31" s="416"/>
      <c r="AJ31" s="416"/>
      <c r="AK31" s="1058"/>
      <c r="AL31" s="1058"/>
      <c r="AM31" s="1810"/>
      <c r="AN31" s="416"/>
      <c r="AO31" s="416"/>
      <c r="AP31" s="416"/>
      <c r="AQ31" s="416"/>
      <c r="AR31" s="1058"/>
      <c r="AS31" s="1058"/>
      <c r="AT31" s="1057"/>
      <c r="AU31" s="1058"/>
      <c r="AV31" s="1058"/>
      <c r="AW31" s="1058"/>
      <c r="BD31" s="40"/>
    </row>
    <row r="32" spans="1:68" ht="12" customHeight="1" x14ac:dyDescent="0.2">
      <c r="B32" s="2227">
        <v>14</v>
      </c>
      <c r="C32" s="2220" t="s">
        <v>870</v>
      </c>
      <c r="D32" s="2221"/>
      <c r="E32" s="2222"/>
      <c r="F32" s="494"/>
      <c r="G32" s="589">
        <f>U32/'3. E1 KUSTANNUKSET'!D15</f>
        <v>0</v>
      </c>
      <c r="H32" s="589">
        <f>G32</f>
        <v>0</v>
      </c>
      <c r="I32" s="589">
        <f t="shared" ref="I32:R32" si="12">H32</f>
        <v>0</v>
      </c>
      <c r="J32" s="589">
        <f t="shared" si="12"/>
        <v>0</v>
      </c>
      <c r="K32" s="589">
        <f t="shared" si="12"/>
        <v>0</v>
      </c>
      <c r="L32" s="589">
        <f t="shared" si="12"/>
        <v>0</v>
      </c>
      <c r="M32" s="589">
        <f t="shared" si="12"/>
        <v>0</v>
      </c>
      <c r="N32" s="589">
        <f t="shared" si="12"/>
        <v>0</v>
      </c>
      <c r="O32" s="589">
        <f t="shared" si="12"/>
        <v>0</v>
      </c>
      <c r="P32" s="589">
        <f t="shared" si="12"/>
        <v>0</v>
      </c>
      <c r="Q32" s="589">
        <f t="shared" si="12"/>
        <v>0</v>
      </c>
      <c r="R32" s="589">
        <f t="shared" si="12"/>
        <v>0</v>
      </c>
      <c r="S32" s="1500">
        <f>SUM(G32:R32)</f>
        <v>0</v>
      </c>
      <c r="T32" s="1779">
        <f t="shared" si="8"/>
        <v>0</v>
      </c>
      <c r="U32" s="970">
        <f>AX26</f>
        <v>0</v>
      </c>
      <c r="V32" s="925"/>
      <c r="W32" s="53"/>
      <c r="X32" s="1055"/>
      <c r="Y32" s="572"/>
      <c r="Z32" s="416"/>
      <c r="AA32" s="416"/>
      <c r="AB32" s="1811"/>
      <c r="AC32" s="1805"/>
      <c r="AD32" s="1805"/>
      <c r="AE32" s="1805"/>
      <c r="AF32" s="1805"/>
      <c r="AG32" s="1805"/>
      <c r="AH32" s="1805"/>
      <c r="AI32" s="1805"/>
      <c r="AJ32" s="1805"/>
      <c r="AK32" s="1805"/>
      <c r="AL32" s="1805"/>
      <c r="AM32" s="1805"/>
      <c r="AN32" s="1762"/>
      <c r="AO32" s="416"/>
      <c r="AP32" s="416"/>
      <c r="AQ32" s="416"/>
      <c r="AR32" s="1058"/>
      <c r="AS32" s="1058"/>
      <c r="AT32" s="1057"/>
      <c r="AU32" s="1058"/>
      <c r="AV32" s="1058"/>
      <c r="AW32" s="1058"/>
      <c r="BD32" s="40"/>
    </row>
    <row r="33" spans="2:69" ht="12" customHeight="1" x14ac:dyDescent="0.2">
      <c r="B33" s="2228"/>
      <c r="C33" s="2267" t="s">
        <v>875</v>
      </c>
      <c r="D33" s="2221"/>
      <c r="E33" s="2222"/>
      <c r="F33" s="504">
        <v>20.73</v>
      </c>
      <c r="G33" s="1770">
        <v>0</v>
      </c>
      <c r="H33" s="587">
        <f>($F33/100*G32)</f>
        <v>0</v>
      </c>
      <c r="I33" s="587">
        <f t="shared" ref="I33:R33" si="13">($F33/100*H32)</f>
        <v>0</v>
      </c>
      <c r="J33" s="587">
        <f t="shared" si="13"/>
        <v>0</v>
      </c>
      <c r="K33" s="587">
        <f t="shared" si="13"/>
        <v>0</v>
      </c>
      <c r="L33" s="587">
        <f t="shared" si="13"/>
        <v>0</v>
      </c>
      <c r="M33" s="587">
        <f t="shared" si="13"/>
        <v>0</v>
      </c>
      <c r="N33" s="587">
        <f t="shared" si="13"/>
        <v>0</v>
      </c>
      <c r="O33" s="587">
        <f t="shared" si="13"/>
        <v>0</v>
      </c>
      <c r="P33" s="587">
        <f t="shared" si="13"/>
        <v>0</v>
      </c>
      <c r="Q33" s="587">
        <f t="shared" si="13"/>
        <v>0</v>
      </c>
      <c r="R33" s="587">
        <f t="shared" si="13"/>
        <v>0</v>
      </c>
      <c r="S33" s="1500">
        <f>SUM(G33:R33)</f>
        <v>0</v>
      </c>
      <c r="T33" s="1780"/>
      <c r="U33" s="1781"/>
      <c r="V33" s="925"/>
      <c r="W33" s="53"/>
      <c r="X33" s="1055"/>
      <c r="Y33" s="414"/>
      <c r="Z33" s="416"/>
      <c r="AA33" s="416"/>
      <c r="AB33" s="416"/>
      <c r="AC33" s="416"/>
      <c r="AD33" s="1056"/>
      <c r="AE33" s="1056"/>
      <c r="AF33" s="1810"/>
      <c r="AG33" s="416"/>
      <c r="AH33" s="416"/>
      <c r="AI33" s="416"/>
      <c r="AJ33" s="416"/>
      <c r="AK33" s="1058"/>
      <c r="AL33" s="1058"/>
      <c r="AM33" s="1810"/>
      <c r="AN33" s="416"/>
      <c r="AO33" s="416"/>
      <c r="AP33" s="416"/>
      <c r="AQ33" s="416"/>
      <c r="AR33" s="1058"/>
      <c r="AS33" s="1058"/>
      <c r="AT33" s="1057"/>
      <c r="AU33" s="1058"/>
      <c r="AV33" s="1058"/>
      <c r="AW33" s="1058"/>
      <c r="BD33" s="40"/>
    </row>
    <row r="34" spans="2:69" ht="12" customHeight="1" x14ac:dyDescent="0.2">
      <c r="B34" s="1773">
        <v>15</v>
      </c>
      <c r="C34" s="1775" t="s">
        <v>871</v>
      </c>
      <c r="D34" s="1527"/>
      <c r="E34" s="1776"/>
      <c r="F34" s="1768"/>
      <c r="G34" s="589">
        <f>U34/12</f>
        <v>0</v>
      </c>
      <c r="H34" s="589">
        <f>U34/12</f>
        <v>0</v>
      </c>
      <c r="I34" s="589">
        <f>U34/12</f>
        <v>0</v>
      </c>
      <c r="J34" s="589">
        <f>U34/12</f>
        <v>0</v>
      </c>
      <c r="K34" s="589">
        <f>U34/12</f>
        <v>0</v>
      </c>
      <c r="L34" s="589">
        <f>U34/12</f>
        <v>0</v>
      </c>
      <c r="M34" s="589">
        <f>U34/12</f>
        <v>0</v>
      </c>
      <c r="N34" s="589">
        <f>U34/12</f>
        <v>0</v>
      </c>
      <c r="O34" s="589">
        <f>U34/12</f>
        <v>0</v>
      </c>
      <c r="P34" s="589">
        <f>U34/12</f>
        <v>0</v>
      </c>
      <c r="Q34" s="589">
        <f>U34/12</f>
        <v>0</v>
      </c>
      <c r="R34" s="589">
        <f>U34/12</f>
        <v>0</v>
      </c>
      <c r="S34" s="1500">
        <f>SUM(G34:R34)</f>
        <v>0</v>
      </c>
      <c r="T34" s="1777">
        <f>U34-S34-S35</f>
        <v>0</v>
      </c>
      <c r="U34" s="970">
        <f>AY26</f>
        <v>0</v>
      </c>
      <c r="V34" s="916"/>
      <c r="W34" s="53"/>
      <c r="X34" s="1055"/>
      <c r="Y34" s="2205"/>
      <c r="Z34" s="2205"/>
      <c r="AA34" s="2205"/>
      <c r="AB34" s="1806"/>
      <c r="AC34" s="1806"/>
      <c r="AD34" s="1806"/>
      <c r="AE34" s="1806"/>
      <c r="AF34" s="1806"/>
      <c r="AG34" s="1806"/>
      <c r="AH34" s="1806"/>
      <c r="AI34" s="1806"/>
      <c r="AJ34" s="1806"/>
      <c r="AK34" s="1806"/>
      <c r="AL34" s="1806"/>
      <c r="AM34" s="1806"/>
      <c r="AN34" s="1807"/>
      <c r="AO34" s="1809"/>
      <c r="AP34" s="416"/>
      <c r="AQ34" s="416"/>
      <c r="AR34" s="1058"/>
      <c r="AS34" s="1058"/>
      <c r="AT34" s="1057"/>
      <c r="AU34" s="1058"/>
      <c r="AV34" s="1058"/>
      <c r="AW34" s="1058"/>
      <c r="BD34" s="40"/>
    </row>
    <row r="35" spans="2:69" ht="12" customHeight="1" x14ac:dyDescent="0.2">
      <c r="B35" s="1499">
        <v>16</v>
      </c>
      <c r="C35" s="1775" t="s">
        <v>872</v>
      </c>
      <c r="D35" s="1527"/>
      <c r="E35" s="1776"/>
      <c r="F35" s="1768"/>
      <c r="G35" s="589">
        <v>0</v>
      </c>
      <c r="H35" s="589">
        <v>0</v>
      </c>
      <c r="I35" s="589">
        <v>0</v>
      </c>
      <c r="J35" s="589"/>
      <c r="K35" s="589"/>
      <c r="L35" s="589"/>
      <c r="M35" s="589"/>
      <c r="N35" s="589"/>
      <c r="O35" s="589"/>
      <c r="P35" s="589"/>
      <c r="Q35" s="589"/>
      <c r="R35" s="589"/>
      <c r="S35" s="1500">
        <f>SUM(G35:R35)</f>
        <v>0</v>
      </c>
      <c r="T35" s="973" t="s">
        <v>0</v>
      </c>
      <c r="U35" s="916"/>
      <c r="V35" s="916"/>
      <c r="W35" s="53"/>
      <c r="X35" s="1055"/>
      <c r="Y35" s="2205"/>
      <c r="Z35" s="2205"/>
      <c r="AA35" s="2205"/>
      <c r="AB35" s="1806"/>
      <c r="AC35" s="1806"/>
      <c r="AD35" s="1806"/>
      <c r="AE35" s="1806"/>
      <c r="AF35" s="1806"/>
      <c r="AG35" s="1806"/>
      <c r="AH35" s="1806"/>
      <c r="AI35" s="1806"/>
      <c r="AJ35" s="1806"/>
      <c r="AK35" s="1806"/>
      <c r="AL35" s="1806"/>
      <c r="AM35" s="1806"/>
      <c r="AN35" s="1807"/>
      <c r="AO35" s="1809"/>
      <c r="AP35" s="416"/>
      <c r="AQ35" s="416"/>
      <c r="AR35" s="1058"/>
      <c r="AS35" s="1058"/>
      <c r="AT35" s="1057"/>
      <c r="AU35" s="1058"/>
      <c r="AV35" s="1058"/>
      <c r="AW35" s="1058"/>
      <c r="BD35" s="40"/>
    </row>
    <row r="36" spans="2:69" ht="12" customHeight="1" x14ac:dyDescent="0.2">
      <c r="B36" s="1774">
        <v>17</v>
      </c>
      <c r="C36" s="1775" t="s">
        <v>873</v>
      </c>
      <c r="D36" s="1527"/>
      <c r="E36" s="1776"/>
      <c r="F36" s="505">
        <v>19</v>
      </c>
      <c r="G36" s="1770">
        <v>0</v>
      </c>
      <c r="H36" s="587">
        <f>$F36/100*(G34+G35)</f>
        <v>0</v>
      </c>
      <c r="I36" s="587">
        <f t="shared" ref="I36:R36" si="14">$F36/100*(H34+H35)</f>
        <v>0</v>
      </c>
      <c r="J36" s="587">
        <f t="shared" si="14"/>
        <v>0</v>
      </c>
      <c r="K36" s="587">
        <f t="shared" si="14"/>
        <v>0</v>
      </c>
      <c r="L36" s="587">
        <f t="shared" si="14"/>
        <v>0</v>
      </c>
      <c r="M36" s="587">
        <f t="shared" si="14"/>
        <v>0</v>
      </c>
      <c r="N36" s="587">
        <f t="shared" si="14"/>
        <v>0</v>
      </c>
      <c r="O36" s="587">
        <f t="shared" si="14"/>
        <v>0</v>
      </c>
      <c r="P36" s="587">
        <f t="shared" si="14"/>
        <v>0</v>
      </c>
      <c r="Q36" s="587">
        <f t="shared" si="14"/>
        <v>0</v>
      </c>
      <c r="R36" s="587">
        <f t="shared" si="14"/>
        <v>0</v>
      </c>
      <c r="S36" s="1500">
        <f>SUM(G36:R36)</f>
        <v>0</v>
      </c>
      <c r="T36" s="973"/>
      <c r="U36" s="916"/>
      <c r="V36" s="916"/>
      <c r="W36" s="53"/>
      <c r="X36" s="1055"/>
      <c r="Y36" s="2205"/>
      <c r="Z36" s="2205"/>
      <c r="AA36" s="2205"/>
      <c r="AB36" s="1808"/>
      <c r="AC36" s="1808"/>
      <c r="AD36" s="1808"/>
      <c r="AE36" s="1808"/>
      <c r="AF36" s="1808"/>
      <c r="AG36" s="1808"/>
      <c r="AH36" s="1808"/>
      <c r="AI36" s="1808"/>
      <c r="AJ36" s="1808"/>
      <c r="AK36" s="1808"/>
      <c r="AL36" s="1808"/>
      <c r="AM36" s="1808"/>
      <c r="AN36" s="1807"/>
      <c r="AO36" s="1809"/>
      <c r="AP36" s="416"/>
      <c r="AQ36" s="416"/>
      <c r="AR36" s="1058"/>
      <c r="AS36" s="1058"/>
      <c r="AT36" s="1057"/>
      <c r="AU36" s="1058"/>
      <c r="AV36" s="1058"/>
      <c r="AW36" s="1058"/>
      <c r="BD36" s="40"/>
    </row>
    <row r="37" spans="2:69" ht="12" customHeight="1" x14ac:dyDescent="0.2">
      <c r="B37" s="1499">
        <v>18</v>
      </c>
      <c r="C37" s="2219" t="s">
        <v>347</v>
      </c>
      <c r="D37" s="2221"/>
      <c r="E37" s="2221"/>
      <c r="F37" s="506"/>
      <c r="G37" s="1298">
        <f>$U37/12</f>
        <v>0</v>
      </c>
      <c r="H37" s="1298">
        <f t="shared" ref="H37:R37" si="15">$U37/12</f>
        <v>0</v>
      </c>
      <c r="I37" s="1298">
        <f t="shared" si="15"/>
        <v>0</v>
      </c>
      <c r="J37" s="1298">
        <f t="shared" si="15"/>
        <v>0</v>
      </c>
      <c r="K37" s="1298">
        <f t="shared" si="15"/>
        <v>0</v>
      </c>
      <c r="L37" s="1298">
        <f t="shared" si="15"/>
        <v>0</v>
      </c>
      <c r="M37" s="1298">
        <f t="shared" si="15"/>
        <v>0</v>
      </c>
      <c r="N37" s="1298">
        <f t="shared" si="15"/>
        <v>0</v>
      </c>
      <c r="O37" s="1298">
        <f t="shared" si="15"/>
        <v>0</v>
      </c>
      <c r="P37" s="1298">
        <f t="shared" si="15"/>
        <v>0</v>
      </c>
      <c r="Q37" s="1298">
        <f t="shared" si="15"/>
        <v>0</v>
      </c>
      <c r="R37" s="1298">
        <f t="shared" si="15"/>
        <v>0</v>
      </c>
      <c r="S37" s="1500">
        <f t="shared" si="9"/>
        <v>0</v>
      </c>
      <c r="T37" s="977">
        <f t="shared" si="8"/>
        <v>0</v>
      </c>
      <c r="U37" s="968">
        <f>'3. E1 KUSTANNUKSET'!D43+'3. E1 KUSTANNUKSET'!D38+'3. E1 KUSTANNUKSET'!D42</f>
        <v>0</v>
      </c>
      <c r="V37" s="925"/>
      <c r="W37" s="53"/>
      <c r="AO37" s="416"/>
      <c r="AP37" s="416"/>
      <c r="AQ37" s="416"/>
      <c r="AR37" s="1058"/>
      <c r="AS37" s="1058"/>
      <c r="AT37" s="1057"/>
      <c r="AU37" s="1058"/>
      <c r="AV37" s="1058"/>
      <c r="AW37" s="1058"/>
      <c r="BD37" s="40"/>
    </row>
    <row r="38" spans="2:69" ht="12" customHeight="1" x14ac:dyDescent="0.2">
      <c r="B38" s="1499">
        <f t="shared" si="6"/>
        <v>19</v>
      </c>
      <c r="C38" s="2244" t="s">
        <v>396</v>
      </c>
      <c r="D38" s="2245"/>
      <c r="E38" s="2246"/>
      <c r="F38" s="495"/>
      <c r="G38" s="1298">
        <f>$U38/12</f>
        <v>0</v>
      </c>
      <c r="H38" s="1298">
        <f t="shared" ref="H38:R38" si="16">$U38/12</f>
        <v>0</v>
      </c>
      <c r="I38" s="1298">
        <f t="shared" si="16"/>
        <v>0</v>
      </c>
      <c r="J38" s="1298">
        <f t="shared" si="16"/>
        <v>0</v>
      </c>
      <c r="K38" s="1298">
        <f t="shared" si="16"/>
        <v>0</v>
      </c>
      <c r="L38" s="1298">
        <f t="shared" si="16"/>
        <v>0</v>
      </c>
      <c r="M38" s="1298">
        <f t="shared" si="16"/>
        <v>0</v>
      </c>
      <c r="N38" s="1298">
        <f t="shared" si="16"/>
        <v>0</v>
      </c>
      <c r="O38" s="1298">
        <f t="shared" si="16"/>
        <v>0</v>
      </c>
      <c r="P38" s="1298">
        <f t="shared" si="16"/>
        <v>0</v>
      </c>
      <c r="Q38" s="1298">
        <f t="shared" si="16"/>
        <v>0</v>
      </c>
      <c r="R38" s="1298">
        <f t="shared" si="16"/>
        <v>0</v>
      </c>
      <c r="S38" s="1500">
        <f t="shared" si="9"/>
        <v>0</v>
      </c>
      <c r="T38" s="977">
        <f t="shared" si="8"/>
        <v>0</v>
      </c>
      <c r="U38" s="968">
        <f>'3. E1 KUSTANNUKSET'!D130</f>
        <v>0</v>
      </c>
      <c r="V38" s="925"/>
      <c r="W38" s="53"/>
      <c r="AO38" s="416"/>
      <c r="AP38" s="416"/>
      <c r="AQ38" s="416"/>
      <c r="AR38" s="1058"/>
      <c r="AS38" s="1058"/>
      <c r="AT38" s="1057"/>
      <c r="AU38" s="1058"/>
      <c r="AV38" s="1058"/>
      <c r="AW38" s="1058"/>
      <c r="BD38" s="40"/>
    </row>
    <row r="39" spans="2:69" ht="12" customHeight="1" x14ac:dyDescent="0.2">
      <c r="B39" s="1499">
        <f t="shared" si="6"/>
        <v>20</v>
      </c>
      <c r="C39" s="2278" t="s">
        <v>397</v>
      </c>
      <c r="D39" s="2217"/>
      <c r="E39" s="2218"/>
      <c r="F39" s="492"/>
      <c r="G39" s="1298">
        <f>$U39/12</f>
        <v>0</v>
      </c>
      <c r="H39" s="1298">
        <f t="shared" ref="H39:R41" si="17">$U39/12</f>
        <v>0</v>
      </c>
      <c r="I39" s="1298">
        <f t="shared" si="17"/>
        <v>0</v>
      </c>
      <c r="J39" s="1298">
        <f t="shared" si="17"/>
        <v>0</v>
      </c>
      <c r="K39" s="1298">
        <f t="shared" si="17"/>
        <v>0</v>
      </c>
      <c r="L39" s="1298">
        <f t="shared" si="17"/>
        <v>0</v>
      </c>
      <c r="M39" s="1298">
        <f t="shared" si="17"/>
        <v>0</v>
      </c>
      <c r="N39" s="1298">
        <f t="shared" si="17"/>
        <v>0</v>
      </c>
      <c r="O39" s="1298">
        <f t="shared" si="17"/>
        <v>0</v>
      </c>
      <c r="P39" s="1298">
        <f t="shared" si="17"/>
        <v>0</v>
      </c>
      <c r="Q39" s="1298">
        <f t="shared" si="17"/>
        <v>0</v>
      </c>
      <c r="R39" s="1298">
        <f t="shared" si="17"/>
        <v>0</v>
      </c>
      <c r="S39" s="1500">
        <f t="shared" si="9"/>
        <v>0</v>
      </c>
      <c r="T39" s="977">
        <f t="shared" si="8"/>
        <v>0</v>
      </c>
      <c r="U39" s="968">
        <f>'AT2 Lainat, alv'!E66</f>
        <v>0</v>
      </c>
      <c r="V39" s="925"/>
      <c r="W39" s="53"/>
      <c r="AO39" s="416"/>
      <c r="AP39" s="416"/>
      <c r="AQ39" s="416"/>
      <c r="AR39" s="416"/>
      <c r="AS39" s="416"/>
      <c r="AT39" s="416"/>
      <c r="AU39" s="416"/>
      <c r="AV39" s="416"/>
      <c r="AW39" s="416"/>
      <c r="BD39" s="40"/>
    </row>
    <row r="40" spans="2:69" ht="12" customHeight="1" x14ac:dyDescent="0.2">
      <c r="B40" s="1499">
        <f t="shared" si="6"/>
        <v>21</v>
      </c>
      <c r="C40" s="2219" t="s">
        <v>101</v>
      </c>
      <c r="D40" s="2217"/>
      <c r="E40" s="2218"/>
      <c r="F40" s="492"/>
      <c r="G40" s="1298">
        <f>$U40/12</f>
        <v>0</v>
      </c>
      <c r="H40" s="1298">
        <f t="shared" si="17"/>
        <v>0</v>
      </c>
      <c r="I40" s="1298">
        <f t="shared" si="17"/>
        <v>0</v>
      </c>
      <c r="J40" s="1298">
        <f t="shared" si="17"/>
        <v>0</v>
      </c>
      <c r="K40" s="1298">
        <f t="shared" si="17"/>
        <v>0</v>
      </c>
      <c r="L40" s="1298">
        <f t="shared" si="17"/>
        <v>0</v>
      </c>
      <c r="M40" s="1298">
        <f t="shared" si="17"/>
        <v>0</v>
      </c>
      <c r="N40" s="1298">
        <f t="shared" si="17"/>
        <v>0</v>
      </c>
      <c r="O40" s="1298">
        <f t="shared" si="17"/>
        <v>0</v>
      </c>
      <c r="P40" s="1298">
        <f t="shared" si="17"/>
        <v>0</v>
      </c>
      <c r="Q40" s="1298">
        <f t="shared" si="17"/>
        <v>0</v>
      </c>
      <c r="R40" s="1298">
        <f t="shared" si="17"/>
        <v>0</v>
      </c>
      <c r="S40" s="1500">
        <f t="shared" si="9"/>
        <v>0</v>
      </c>
      <c r="T40" s="977">
        <f t="shared" si="8"/>
        <v>0</v>
      </c>
      <c r="U40" s="968">
        <f>'2. T7 LAINAT'!H48</f>
        <v>0</v>
      </c>
      <c r="V40" s="925"/>
      <c r="W40" s="53"/>
      <c r="AO40" s="131"/>
      <c r="AP40" s="131"/>
      <c r="AQ40" s="131"/>
      <c r="BD40" s="40"/>
    </row>
    <row r="41" spans="2:69" ht="12" customHeight="1" thickBot="1" x14ac:dyDescent="0.25">
      <c r="B41" s="1499">
        <f t="shared" si="6"/>
        <v>22</v>
      </c>
      <c r="C41" s="2219" t="s">
        <v>95</v>
      </c>
      <c r="D41" s="2221"/>
      <c r="E41" s="2222"/>
      <c r="F41" s="496"/>
      <c r="G41" s="1298">
        <f>$U41/12</f>
        <v>0</v>
      </c>
      <c r="H41" s="1298">
        <f t="shared" si="17"/>
        <v>0</v>
      </c>
      <c r="I41" s="1298">
        <f t="shared" si="17"/>
        <v>0</v>
      </c>
      <c r="J41" s="1298">
        <f t="shared" si="17"/>
        <v>0</v>
      </c>
      <c r="K41" s="1298">
        <f t="shared" si="17"/>
        <v>0</v>
      </c>
      <c r="L41" s="1298">
        <f t="shared" si="17"/>
        <v>0</v>
      </c>
      <c r="M41" s="1298">
        <f t="shared" si="17"/>
        <v>0</v>
      </c>
      <c r="N41" s="1298">
        <f t="shared" si="17"/>
        <v>0</v>
      </c>
      <c r="O41" s="1298">
        <f t="shared" si="17"/>
        <v>0</v>
      </c>
      <c r="P41" s="1298">
        <f t="shared" si="17"/>
        <v>0</v>
      </c>
      <c r="Q41" s="1298">
        <f t="shared" si="17"/>
        <v>0</v>
      </c>
      <c r="R41" s="1298">
        <f t="shared" si="17"/>
        <v>0</v>
      </c>
      <c r="S41" s="1500">
        <f t="shared" si="9"/>
        <v>0</v>
      </c>
      <c r="T41" s="977">
        <f t="shared" si="8"/>
        <v>0</v>
      </c>
      <c r="U41" s="968">
        <f>-'7. T2 TULOSSUUN.'!G27</f>
        <v>0</v>
      </c>
      <c r="V41" s="925"/>
      <c r="W41" s="53"/>
      <c r="X41" s="2172"/>
      <c r="Y41" s="2172"/>
      <c r="Z41" s="2204"/>
      <c r="AA41" s="2204"/>
      <c r="AB41" s="2204"/>
      <c r="AC41" s="644"/>
      <c r="AG41" s="2204"/>
      <c r="AH41" s="2204"/>
      <c r="AI41" s="2204"/>
      <c r="AJ41" s="644"/>
      <c r="AN41" s="2204"/>
      <c r="AO41" s="2204"/>
      <c r="AP41" s="2204"/>
      <c r="AQ41" s="644"/>
      <c r="BD41" s="40"/>
    </row>
    <row r="42" spans="2:69" ht="12" customHeight="1" thickBot="1" x14ac:dyDescent="0.25">
      <c r="B42" s="1499">
        <f t="shared" si="6"/>
        <v>23</v>
      </c>
      <c r="C42" s="2278" t="s">
        <v>858</v>
      </c>
      <c r="D42" s="2221"/>
      <c r="E42" s="2222"/>
      <c r="F42" s="496"/>
      <c r="G42" s="1298">
        <f>'1. T1 INVESTOINTISUUN.'!E17+'1. T1 INVESTOINTISUUN.'!E24+'1. T1 INVESTOINTISUUN.'!E30+IF('1. T1 INVESTOINTISUUN.'!E33&gt;0,0,'1. T1 INVESTOINTISUUN.'!E32)+IF('1. T1 INVESTOINTISUUN.'!E36=0,'1. T1 INVESTOINTISUUN.'!E35,0)</f>
        <v>0</v>
      </c>
      <c r="H42" s="1298"/>
      <c r="I42" s="1298"/>
      <c r="J42" s="1298"/>
      <c r="K42" s="1298"/>
      <c r="L42" s="1298"/>
      <c r="M42" s="1298"/>
      <c r="N42" s="1298"/>
      <c r="O42" s="1298"/>
      <c r="P42" s="1298"/>
      <c r="Q42" s="1298"/>
      <c r="R42" s="1298"/>
      <c r="S42" s="1500">
        <f t="shared" si="9"/>
        <v>0</v>
      </c>
      <c r="T42" s="978" t="s">
        <v>0</v>
      </c>
      <c r="U42" s="971"/>
      <c r="V42" s="925"/>
      <c r="W42" s="53"/>
      <c r="X42" s="2172"/>
      <c r="Y42" s="2172"/>
      <c r="Z42" s="2204"/>
      <c r="AA42" s="2204"/>
      <c r="AB42" s="2204"/>
      <c r="AC42" s="644"/>
      <c r="AG42" s="2204"/>
      <c r="AH42" s="2204"/>
      <c r="AI42" s="2204"/>
      <c r="AJ42" s="644"/>
      <c r="AN42" s="2204"/>
      <c r="AO42" s="2204"/>
      <c r="AP42" s="2204"/>
      <c r="AQ42" s="644"/>
      <c r="BA42" s="2255"/>
      <c r="BB42" s="2255"/>
      <c r="BC42" s="2255"/>
      <c r="BD42" s="306"/>
      <c r="BE42" s="1464">
        <f t="shared" ref="BE42:BP42" si="18">G10</f>
        <v>46388</v>
      </c>
      <c r="BF42" s="1464">
        <f t="shared" si="18"/>
        <v>46419</v>
      </c>
      <c r="BG42" s="1464">
        <f t="shared" si="18"/>
        <v>46450</v>
      </c>
      <c r="BH42" s="1464">
        <f t="shared" si="18"/>
        <v>46481</v>
      </c>
      <c r="BI42" s="1464">
        <f t="shared" si="18"/>
        <v>46512</v>
      </c>
      <c r="BJ42" s="1464">
        <f t="shared" si="18"/>
        <v>46543</v>
      </c>
      <c r="BK42" s="1464">
        <f t="shared" si="18"/>
        <v>46574</v>
      </c>
      <c r="BL42" s="1464">
        <f t="shared" si="18"/>
        <v>46605</v>
      </c>
      <c r="BM42" s="1464">
        <f t="shared" si="18"/>
        <v>46636</v>
      </c>
      <c r="BN42" s="1464">
        <f t="shared" si="18"/>
        <v>46667</v>
      </c>
      <c r="BO42" s="1464">
        <f t="shared" si="18"/>
        <v>46698</v>
      </c>
      <c r="BP42" s="1464">
        <f t="shared" si="18"/>
        <v>46729</v>
      </c>
      <c r="BQ42" s="1465" t="s">
        <v>87</v>
      </c>
    </row>
    <row r="43" spans="2:69" ht="12" customHeight="1" x14ac:dyDescent="0.2">
      <c r="B43" s="1499">
        <f t="shared" si="6"/>
        <v>24</v>
      </c>
      <c r="C43" s="2278" t="s">
        <v>859</v>
      </c>
      <c r="D43" s="2221"/>
      <c r="E43" s="2222"/>
      <c r="F43" s="497"/>
      <c r="G43" s="1298">
        <f>$U43/12</f>
        <v>0</v>
      </c>
      <c r="H43" s="1298">
        <f t="shared" ref="H43:R43" si="19">$U43/12</f>
        <v>0</v>
      </c>
      <c r="I43" s="1298">
        <f t="shared" si="19"/>
        <v>0</v>
      </c>
      <c r="J43" s="1298">
        <f t="shared" si="19"/>
        <v>0</v>
      </c>
      <c r="K43" s="1298">
        <f t="shared" si="19"/>
        <v>0</v>
      </c>
      <c r="L43" s="1298">
        <f t="shared" si="19"/>
        <v>0</v>
      </c>
      <c r="M43" s="1298">
        <f t="shared" si="19"/>
        <v>0</v>
      </c>
      <c r="N43" s="1298">
        <f t="shared" si="19"/>
        <v>0</v>
      </c>
      <c r="O43" s="1298">
        <f t="shared" si="19"/>
        <v>0</v>
      </c>
      <c r="P43" s="1298">
        <f t="shared" si="19"/>
        <v>0</v>
      </c>
      <c r="Q43" s="1298">
        <f t="shared" si="19"/>
        <v>0</v>
      </c>
      <c r="R43" s="1298">
        <f t="shared" si="19"/>
        <v>0</v>
      </c>
      <c r="S43" s="1500">
        <f t="shared" si="9"/>
        <v>0</v>
      </c>
      <c r="T43" s="977">
        <f t="shared" si="8"/>
        <v>0</v>
      </c>
      <c r="U43" s="968">
        <f>'3. E1 KUSTANNUKSET'!D128</f>
        <v>0</v>
      </c>
      <c r="V43" s="925"/>
      <c r="W43" s="53"/>
      <c r="X43" s="2172"/>
      <c r="Y43" s="2172"/>
      <c r="Z43" s="2204"/>
      <c r="AA43" s="2204"/>
      <c r="AB43" s="2204"/>
      <c r="AC43" s="644"/>
      <c r="AG43" s="2204"/>
      <c r="AH43" s="2204"/>
      <c r="AI43" s="2204"/>
      <c r="AJ43" s="644"/>
      <c r="AN43" s="2204"/>
      <c r="AO43" s="2204"/>
      <c r="AP43" s="2204"/>
      <c r="AQ43" s="644"/>
      <c r="BA43" s="2256" t="s">
        <v>97</v>
      </c>
      <c r="BB43" s="2257"/>
      <c r="BC43" s="2257"/>
      <c r="BD43" s="2258"/>
      <c r="BE43" s="595">
        <f t="shared" ref="BE43:BP44" si="20">G57</f>
        <v>0</v>
      </c>
      <c r="BF43" s="595">
        <f t="shared" si="20"/>
        <v>0</v>
      </c>
      <c r="BG43" s="595">
        <f t="shared" si="20"/>
        <v>0</v>
      </c>
      <c r="BH43" s="595">
        <f t="shared" si="20"/>
        <v>0</v>
      </c>
      <c r="BI43" s="595">
        <f t="shared" si="20"/>
        <v>0</v>
      </c>
      <c r="BJ43" s="595">
        <f t="shared" si="20"/>
        <v>0</v>
      </c>
      <c r="BK43" s="595">
        <f t="shared" si="20"/>
        <v>0</v>
      </c>
      <c r="BL43" s="595">
        <f t="shared" si="20"/>
        <v>0</v>
      </c>
      <c r="BM43" s="595">
        <f t="shared" si="20"/>
        <v>0</v>
      </c>
      <c r="BN43" s="595">
        <f t="shared" si="20"/>
        <v>0</v>
      </c>
      <c r="BO43" s="595">
        <f t="shared" si="20"/>
        <v>0</v>
      </c>
      <c r="BP43" s="595">
        <f t="shared" si="20"/>
        <v>0</v>
      </c>
      <c r="BQ43" s="596">
        <f>SUM(BE43:BP43)</f>
        <v>0</v>
      </c>
    </row>
    <row r="44" spans="2:69" ht="11.45" customHeight="1" x14ac:dyDescent="0.2">
      <c r="B44" s="1499">
        <f t="shared" si="6"/>
        <v>25</v>
      </c>
      <c r="C44" s="2241" t="s">
        <v>446</v>
      </c>
      <c r="D44" s="2242"/>
      <c r="E44" s="2243"/>
      <c r="F44" s="496"/>
      <c r="G44" s="1298">
        <v>0</v>
      </c>
      <c r="H44" s="1298"/>
      <c r="I44" s="1298"/>
      <c r="J44" s="1298"/>
      <c r="K44" s="1298"/>
      <c r="L44" s="1298"/>
      <c r="M44" s="1298"/>
      <c r="N44" s="1298"/>
      <c r="O44" s="1298"/>
      <c r="P44" s="1298"/>
      <c r="Q44" s="1298">
        <v>0</v>
      </c>
      <c r="R44" s="1298">
        <v>0</v>
      </c>
      <c r="S44" s="1500">
        <f t="shared" si="9"/>
        <v>0</v>
      </c>
      <c r="T44" s="972" t="s">
        <v>0</v>
      </c>
      <c r="U44" s="925">
        <v>0</v>
      </c>
      <c r="V44" s="925"/>
      <c r="W44" s="53"/>
      <c r="X44" s="2172"/>
      <c r="Y44" s="2172"/>
      <c r="Z44" s="2204"/>
      <c r="AA44" s="2204"/>
      <c r="AB44" s="2204"/>
      <c r="AC44" s="644"/>
      <c r="AG44" s="2204"/>
      <c r="AH44" s="2204"/>
      <c r="AI44" s="2204"/>
      <c r="AJ44" s="644"/>
      <c r="AN44" s="2204"/>
      <c r="AO44" s="2204"/>
      <c r="AP44" s="2204"/>
      <c r="AQ44" s="644"/>
      <c r="BA44" s="2247" t="s">
        <v>653</v>
      </c>
      <c r="BB44" s="2248"/>
      <c r="BC44" s="2248"/>
      <c r="BD44" s="2249"/>
      <c r="BE44" s="595">
        <f t="shared" si="20"/>
        <v>0</v>
      </c>
      <c r="BF44" s="595">
        <f t="shared" si="20"/>
        <v>0</v>
      </c>
      <c r="BG44" s="595">
        <f t="shared" si="20"/>
        <v>0</v>
      </c>
      <c r="BH44" s="595">
        <f t="shared" si="20"/>
        <v>0</v>
      </c>
      <c r="BI44" s="595">
        <f t="shared" si="20"/>
        <v>0</v>
      </c>
      <c r="BJ44" s="595">
        <f t="shared" si="20"/>
        <v>0</v>
      </c>
      <c r="BK44" s="595">
        <f t="shared" si="20"/>
        <v>0</v>
      </c>
      <c r="BL44" s="595">
        <f t="shared" si="20"/>
        <v>0</v>
      </c>
      <c r="BM44" s="595">
        <f t="shared" si="20"/>
        <v>0</v>
      </c>
      <c r="BN44" s="595">
        <f t="shared" si="20"/>
        <v>0</v>
      </c>
      <c r="BO44" s="595">
        <f t="shared" si="20"/>
        <v>0</v>
      </c>
      <c r="BP44" s="1564">
        <f t="shared" si="20"/>
        <v>0</v>
      </c>
      <c r="BQ44" s="597"/>
    </row>
    <row r="45" spans="2:69" ht="12" customHeight="1" thickBot="1" x14ac:dyDescent="0.25">
      <c r="B45" s="1499">
        <f t="shared" si="6"/>
        <v>26</v>
      </c>
      <c r="C45" s="2241"/>
      <c r="D45" s="2242"/>
      <c r="E45" s="2243"/>
      <c r="F45" s="496"/>
      <c r="G45" s="1298">
        <v>0</v>
      </c>
      <c r="H45" s="1298"/>
      <c r="I45" s="1298"/>
      <c r="J45" s="1298">
        <v>0</v>
      </c>
      <c r="K45" s="1298"/>
      <c r="L45" s="1298"/>
      <c r="M45" s="1298"/>
      <c r="N45" s="1298"/>
      <c r="O45" s="1298"/>
      <c r="P45" s="1298"/>
      <c r="Q45" s="1298"/>
      <c r="R45" s="1298">
        <v>0</v>
      </c>
      <c r="S45" s="1503">
        <f t="shared" si="9"/>
        <v>0</v>
      </c>
      <c r="T45" s="973" t="s">
        <v>0</v>
      </c>
      <c r="W45" s="53"/>
      <c r="X45" s="164"/>
      <c r="Y45" s="164"/>
      <c r="Z45" s="997"/>
      <c r="AA45" s="997"/>
      <c r="AB45" s="164"/>
      <c r="AC45" s="164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64"/>
      <c r="AO45" s="164"/>
      <c r="AP45" s="164"/>
      <c r="AQ45" s="164"/>
    </row>
    <row r="46" spans="2:69" ht="13.5" thickTop="1" x14ac:dyDescent="0.2">
      <c r="B46" s="1514"/>
      <c r="C46" s="1515" t="s">
        <v>108</v>
      </c>
      <c r="D46" s="1516"/>
      <c r="E46" s="1517"/>
      <c r="F46" s="1518"/>
      <c r="G46" s="1769">
        <f>G23+G24+G25+G26+G27+G28+G29+G30+G31+G32+G33+G34+G35+G36+G37+G38+G39+G40+G41+G42+G43+G44+G45</f>
        <v>0</v>
      </c>
      <c r="H46" s="1769">
        <f t="shared" ref="H46:R46" si="21">H23+H24+H25+H26+H27+H28+H29+H30+H31+H32+H33+H34+H35+H36+H37+H38+H39+H40+H41+H42+H43+H44+H45</f>
        <v>0</v>
      </c>
      <c r="I46" s="1769">
        <f t="shared" si="21"/>
        <v>0</v>
      </c>
      <c r="J46" s="1769">
        <f t="shared" si="21"/>
        <v>0</v>
      </c>
      <c r="K46" s="1769">
        <f t="shared" si="21"/>
        <v>0</v>
      </c>
      <c r="L46" s="1769">
        <f t="shared" si="21"/>
        <v>0</v>
      </c>
      <c r="M46" s="1769">
        <f t="shared" si="21"/>
        <v>0</v>
      </c>
      <c r="N46" s="1769">
        <f t="shared" si="21"/>
        <v>0</v>
      </c>
      <c r="O46" s="1769">
        <f t="shared" si="21"/>
        <v>0</v>
      </c>
      <c r="P46" s="1769">
        <f t="shared" si="21"/>
        <v>0</v>
      </c>
      <c r="Q46" s="1769">
        <f t="shared" si="21"/>
        <v>0</v>
      </c>
      <c r="R46" s="1769">
        <f t="shared" si="21"/>
        <v>0</v>
      </c>
      <c r="S46" s="1519">
        <f>SUM(G46:R46)</f>
        <v>0</v>
      </c>
      <c r="T46" s="219"/>
      <c r="U46" s="1132" t="s">
        <v>403</v>
      </c>
      <c r="V46" s="1007"/>
      <c r="W46" s="53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pans="2:69" ht="4.3499999999999996" customHeight="1" x14ac:dyDescent="0.2">
      <c r="B47" s="1509"/>
      <c r="C47" s="1510"/>
      <c r="D47" s="986"/>
      <c r="E47" s="986"/>
      <c r="F47" s="1511"/>
      <c r="G47" s="1512"/>
      <c r="H47" s="1512"/>
      <c r="I47" s="1512"/>
      <c r="J47" s="1512"/>
      <c r="K47" s="1512"/>
      <c r="L47" s="1512"/>
      <c r="M47" s="1512"/>
      <c r="N47" s="1512"/>
      <c r="O47" s="1512"/>
      <c r="P47" s="1512"/>
      <c r="Q47" s="1512"/>
      <c r="R47" s="1512"/>
      <c r="S47" s="464"/>
      <c r="T47" s="219"/>
      <c r="U47" s="2268" t="s">
        <v>232</v>
      </c>
      <c r="V47" s="1007"/>
      <c r="W47" s="53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</row>
    <row r="48" spans="2:69" ht="15" customHeight="1" thickBot="1" x14ac:dyDescent="0.25">
      <c r="B48" s="1535"/>
      <c r="C48" s="1536" t="s">
        <v>103</v>
      </c>
      <c r="D48" s="1537"/>
      <c r="E48" s="1538"/>
      <c r="F48" s="1539">
        <v>0</v>
      </c>
      <c r="G48" s="1611">
        <f t="shared" ref="G48:R48" si="22">G22</f>
        <v>46388</v>
      </c>
      <c r="H48" s="1611">
        <f t="shared" si="22"/>
        <v>46419</v>
      </c>
      <c r="I48" s="1611">
        <f t="shared" si="22"/>
        <v>46450</v>
      </c>
      <c r="J48" s="1611">
        <f t="shared" si="22"/>
        <v>46481</v>
      </c>
      <c r="K48" s="1611">
        <f t="shared" si="22"/>
        <v>46512</v>
      </c>
      <c r="L48" s="1611">
        <f t="shared" si="22"/>
        <v>46543</v>
      </c>
      <c r="M48" s="1611">
        <f t="shared" si="22"/>
        <v>46574</v>
      </c>
      <c r="N48" s="1611">
        <f t="shared" si="22"/>
        <v>46605</v>
      </c>
      <c r="O48" s="1611">
        <f t="shared" si="22"/>
        <v>46636</v>
      </c>
      <c r="P48" s="1611">
        <f t="shared" si="22"/>
        <v>46667</v>
      </c>
      <c r="Q48" s="1611">
        <f t="shared" si="22"/>
        <v>46698</v>
      </c>
      <c r="R48" s="1611">
        <f t="shared" si="22"/>
        <v>46729</v>
      </c>
      <c r="S48" s="1610" t="s">
        <v>87</v>
      </c>
      <c r="T48" s="1117" t="s">
        <v>400</v>
      </c>
      <c r="U48" s="2269"/>
      <c r="V48" s="1007"/>
      <c r="W48" s="53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BA48" s="154"/>
      <c r="BB48" s="154"/>
      <c r="BC48" s="156"/>
      <c r="BD48" s="157"/>
      <c r="BE48" s="55"/>
      <c r="BF48" s="55"/>
      <c r="BG48" s="55"/>
      <c r="BH48" s="107"/>
      <c r="BI48" s="55"/>
      <c r="BJ48" s="55"/>
      <c r="BK48" s="55"/>
      <c r="BL48" s="55"/>
      <c r="BM48" s="55"/>
      <c r="BN48" s="55"/>
      <c r="BO48" s="155"/>
      <c r="BQ48" s="153">
        <f>'1. T1 INVESTOINTISUUN.'!I66</f>
        <v>0</v>
      </c>
    </row>
    <row r="49" spans="2:69" ht="12" customHeight="1" x14ac:dyDescent="0.2">
      <c r="B49" s="1540">
        <v>27</v>
      </c>
      <c r="C49" s="2270" t="s">
        <v>481</v>
      </c>
      <c r="D49" s="2271"/>
      <c r="E49" s="2272"/>
      <c r="F49" s="494"/>
      <c r="G49" s="1299">
        <f t="shared" ref="G49:R49" si="23">$U49/12</f>
        <v>0</v>
      </c>
      <c r="H49" s="1299">
        <f t="shared" si="23"/>
        <v>0</v>
      </c>
      <c r="I49" s="1299">
        <f t="shared" si="23"/>
        <v>0</v>
      </c>
      <c r="J49" s="1299">
        <f t="shared" si="23"/>
        <v>0</v>
      </c>
      <c r="K49" s="1299">
        <f t="shared" si="23"/>
        <v>0</v>
      </c>
      <c r="L49" s="1299">
        <f t="shared" si="23"/>
        <v>0</v>
      </c>
      <c r="M49" s="1299">
        <f t="shared" si="23"/>
        <v>0</v>
      </c>
      <c r="N49" s="1299">
        <f t="shared" si="23"/>
        <v>0</v>
      </c>
      <c r="O49" s="1299">
        <f t="shared" si="23"/>
        <v>0</v>
      </c>
      <c r="P49" s="1299">
        <f t="shared" si="23"/>
        <v>0</v>
      </c>
      <c r="Q49" s="1299">
        <f t="shared" si="23"/>
        <v>0</v>
      </c>
      <c r="R49" s="1299">
        <f t="shared" si="23"/>
        <v>0</v>
      </c>
      <c r="S49" s="593">
        <f t="shared" ref="S49:S54" si="24">SUM(G49:R49)</f>
        <v>0</v>
      </c>
      <c r="T49" s="979">
        <f t="shared" ref="T49:T54" si="25">U49-S49</f>
        <v>0</v>
      </c>
      <c r="U49" s="968">
        <f>'2. T7 LAINAT'!G38+'2. T7 LAINAT'!H38</f>
        <v>0</v>
      </c>
      <c r="V49" s="925"/>
      <c r="W49" s="53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53"/>
      <c r="AQ49" s="53"/>
      <c r="BA49" s="154" t="str">
        <f>'1. T1 INVESTOINTISUUN.'!B67</f>
        <v>yritysTULKKI YT6 Aloittavan yrityksen tulossuunnitelma</v>
      </c>
      <c r="BC49" s="106"/>
      <c r="BD49" s="127"/>
      <c r="BE49" s="104"/>
      <c r="BF49" s="104"/>
      <c r="BG49" s="104"/>
      <c r="BH49" s="108"/>
      <c r="BI49" s="104"/>
      <c r="BJ49" s="104"/>
      <c r="BK49" s="104"/>
      <c r="BL49" s="104"/>
      <c r="BM49" s="104"/>
      <c r="BN49" s="104"/>
      <c r="BO49" s="104"/>
      <c r="BQ49" s="384" t="str">
        <f>'1. T1 INVESTOINTISUUN.'!I67</f>
        <v>Kehittämisyhtiö Witas Oy</v>
      </c>
    </row>
    <row r="50" spans="2:69" ht="12" customHeight="1" x14ac:dyDescent="0.2">
      <c r="B50" s="1540">
        <f>B49+1</f>
        <v>28</v>
      </c>
      <c r="C50" s="2219" t="s">
        <v>392</v>
      </c>
      <c r="D50" s="2217"/>
      <c r="E50" s="2218"/>
      <c r="F50" s="494"/>
      <c r="G50" s="1299">
        <f>U50</f>
        <v>0</v>
      </c>
      <c r="H50" s="1299"/>
      <c r="I50" s="1299"/>
      <c r="J50" s="1299">
        <v>0</v>
      </c>
      <c r="K50" s="1299">
        <v>0</v>
      </c>
      <c r="L50" s="1299"/>
      <c r="M50" s="1299"/>
      <c r="N50" s="1299"/>
      <c r="O50" s="1299"/>
      <c r="P50" s="1299">
        <v>0</v>
      </c>
      <c r="Q50" s="1299"/>
      <c r="R50" s="1299">
        <v>0</v>
      </c>
      <c r="S50" s="593">
        <f t="shared" si="24"/>
        <v>0</v>
      </c>
      <c r="T50" s="979">
        <f t="shared" si="25"/>
        <v>0</v>
      </c>
      <c r="U50" s="968">
        <f>'2. T7 LAINAT'!F48</f>
        <v>0</v>
      </c>
      <c r="V50" s="925"/>
      <c r="W50" s="53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53"/>
      <c r="AQ50" s="53"/>
    </row>
    <row r="51" spans="2:69" ht="12" customHeight="1" x14ac:dyDescent="0.2">
      <c r="B51" s="1540">
        <f>B50+1</f>
        <v>29</v>
      </c>
      <c r="C51" s="2219" t="s">
        <v>245</v>
      </c>
      <c r="D51" s="2217"/>
      <c r="E51" s="2218"/>
      <c r="F51" s="492"/>
      <c r="G51" s="1298">
        <f>$U51/12</f>
        <v>0</v>
      </c>
      <c r="H51" s="1298">
        <f t="shared" ref="H51:Q51" si="26">$U51/12</f>
        <v>0</v>
      </c>
      <c r="I51" s="1298">
        <f t="shared" si="26"/>
        <v>0</v>
      </c>
      <c r="J51" s="1298">
        <f t="shared" si="26"/>
        <v>0</v>
      </c>
      <c r="K51" s="1298">
        <f t="shared" si="26"/>
        <v>0</v>
      </c>
      <c r="L51" s="1298">
        <f t="shared" si="26"/>
        <v>0</v>
      </c>
      <c r="M51" s="1298">
        <f t="shared" si="26"/>
        <v>0</v>
      </c>
      <c r="N51" s="1298">
        <f t="shared" si="26"/>
        <v>0</v>
      </c>
      <c r="O51" s="1298">
        <f t="shared" si="26"/>
        <v>0</v>
      </c>
      <c r="P51" s="1298">
        <f t="shared" si="26"/>
        <v>0</v>
      </c>
      <c r="Q51" s="1298">
        <f t="shared" si="26"/>
        <v>0</v>
      </c>
      <c r="R51" s="1298">
        <f>$U51/12</f>
        <v>0</v>
      </c>
      <c r="S51" s="593">
        <f t="shared" si="24"/>
        <v>0</v>
      </c>
      <c r="T51" s="979">
        <f t="shared" si="25"/>
        <v>0</v>
      </c>
      <c r="U51" s="968">
        <f>'2. T7 LAINAT'!G32</f>
        <v>0</v>
      </c>
      <c r="V51" s="925"/>
      <c r="W51" s="53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53"/>
      <c r="AQ51" s="53"/>
    </row>
    <row r="52" spans="2:69" ht="12" customHeight="1" x14ac:dyDescent="0.2">
      <c r="B52" s="1540">
        <f>B51+1</f>
        <v>30</v>
      </c>
      <c r="C52" s="2219" t="s">
        <v>96</v>
      </c>
      <c r="D52" s="2217"/>
      <c r="E52" s="2218"/>
      <c r="F52" s="492"/>
      <c r="G52" s="1298">
        <v>0</v>
      </c>
      <c r="H52" s="1298">
        <v>0</v>
      </c>
      <c r="I52" s="1298">
        <v>0</v>
      </c>
      <c r="J52" s="1298">
        <v>0</v>
      </c>
      <c r="K52" s="1298">
        <v>0</v>
      </c>
      <c r="L52" s="1298">
        <v>0</v>
      </c>
      <c r="M52" s="1298">
        <v>0</v>
      </c>
      <c r="N52" s="1298">
        <v>0</v>
      </c>
      <c r="O52" s="1298">
        <v>0</v>
      </c>
      <c r="P52" s="1298">
        <v>0</v>
      </c>
      <c r="Q52" s="1298">
        <v>0</v>
      </c>
      <c r="R52" s="1298">
        <v>0</v>
      </c>
      <c r="S52" s="593">
        <f t="shared" si="24"/>
        <v>0</v>
      </c>
      <c r="T52" s="980" t="s">
        <v>0</v>
      </c>
      <c r="U52" s="971"/>
      <c r="V52" s="925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</row>
    <row r="53" spans="2:69" ht="12" customHeight="1" x14ac:dyDescent="0.2">
      <c r="B53" s="1563">
        <v>31</v>
      </c>
      <c r="C53" s="2273" t="s">
        <v>484</v>
      </c>
      <c r="D53" s="2276"/>
      <c r="E53" s="2277"/>
      <c r="F53" s="1562"/>
      <c r="G53" s="1500"/>
      <c r="H53" s="1500"/>
      <c r="I53" s="1500"/>
      <c r="J53" s="1500"/>
      <c r="K53" s="1500"/>
      <c r="L53" s="1500"/>
      <c r="M53" s="1500"/>
      <c r="N53" s="1500"/>
      <c r="O53" s="1500"/>
      <c r="P53" s="1500"/>
      <c r="Q53" s="1500"/>
      <c r="R53" s="1500"/>
      <c r="S53" s="593">
        <f t="shared" si="24"/>
        <v>0</v>
      </c>
      <c r="T53" s="979">
        <f t="shared" si="25"/>
        <v>0</v>
      </c>
      <c r="U53" s="928"/>
      <c r="V53" s="1009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</row>
    <row r="54" spans="2:69" ht="12" customHeight="1" thickBot="1" x14ac:dyDescent="0.25">
      <c r="B54" s="1563">
        <v>32</v>
      </c>
      <c r="C54" s="2273"/>
      <c r="D54" s="2274"/>
      <c r="E54" s="2275"/>
      <c r="F54" s="1562"/>
      <c r="G54" s="1561"/>
      <c r="H54" s="1561">
        <v>0</v>
      </c>
      <c r="I54" s="1561"/>
      <c r="J54" s="1561"/>
      <c r="K54" s="1561"/>
      <c r="L54" s="1561">
        <v>0</v>
      </c>
      <c r="M54" s="1561"/>
      <c r="N54" s="1561"/>
      <c r="O54" s="1561"/>
      <c r="P54" s="1561"/>
      <c r="Q54" s="1561"/>
      <c r="R54" s="1561"/>
      <c r="S54" s="593">
        <f t="shared" si="24"/>
        <v>0</v>
      </c>
      <c r="T54" s="979">
        <f t="shared" si="25"/>
        <v>0</v>
      </c>
      <c r="U54" s="1256"/>
      <c r="V54" s="1009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</row>
    <row r="55" spans="2:69" ht="12.75" customHeight="1" thickTop="1" x14ac:dyDescent="0.2">
      <c r="B55" s="1541"/>
      <c r="C55" s="2259" t="s">
        <v>107</v>
      </c>
      <c r="D55" s="2260"/>
      <c r="E55" s="2261"/>
      <c r="F55" s="1518"/>
      <c r="G55" s="1542">
        <f>-G49+G50-G51-G52+G53+G54</f>
        <v>0</v>
      </c>
      <c r="H55" s="1542">
        <f t="shared" ref="H55:R55" si="27">-H49+H50-H51-H52+H53+H54</f>
        <v>0</v>
      </c>
      <c r="I55" s="1542">
        <f t="shared" si="27"/>
        <v>0</v>
      </c>
      <c r="J55" s="1542">
        <f t="shared" si="27"/>
        <v>0</v>
      </c>
      <c r="K55" s="1542">
        <f t="shared" si="27"/>
        <v>0</v>
      </c>
      <c r="L55" s="1542">
        <f t="shared" si="27"/>
        <v>0</v>
      </c>
      <c r="M55" s="1542">
        <f t="shared" si="27"/>
        <v>0</v>
      </c>
      <c r="N55" s="1542">
        <f t="shared" si="27"/>
        <v>0</v>
      </c>
      <c r="O55" s="1542">
        <f t="shared" si="27"/>
        <v>0</v>
      </c>
      <c r="P55" s="1542">
        <f t="shared" si="27"/>
        <v>0</v>
      </c>
      <c r="Q55" s="1542">
        <f t="shared" si="27"/>
        <v>0</v>
      </c>
      <c r="R55" s="1542">
        <f t="shared" si="27"/>
        <v>0</v>
      </c>
      <c r="S55" s="1543">
        <f>-S49+S50-S51-S52+S53+S54</f>
        <v>0</v>
      </c>
      <c r="U55" s="225"/>
      <c r="V55" s="225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</row>
    <row r="56" spans="2:69" ht="4.3499999999999996" customHeight="1" x14ac:dyDescent="0.2">
      <c r="B56" s="498"/>
      <c r="C56" s="498"/>
      <c r="D56" s="498"/>
      <c r="E56" s="498"/>
      <c r="F56" s="499"/>
      <c r="G56" s="590"/>
      <c r="H56" s="590"/>
      <c r="I56" s="590"/>
      <c r="J56" s="590"/>
      <c r="K56" s="590"/>
      <c r="L56" s="590"/>
      <c r="M56" s="590"/>
      <c r="N56" s="590"/>
      <c r="O56" s="590"/>
      <c r="P56" s="590"/>
      <c r="Q56" s="590"/>
      <c r="R56" s="590"/>
      <c r="S56" s="591"/>
      <c r="U56" s="225"/>
      <c r="V56" s="225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</row>
    <row r="57" spans="2:69" x14ac:dyDescent="0.2">
      <c r="B57" s="1544">
        <v>33</v>
      </c>
      <c r="C57" s="2262" t="s">
        <v>823</v>
      </c>
      <c r="D57" s="2263"/>
      <c r="E57" s="2263"/>
      <c r="F57" s="2264"/>
      <c r="G57" s="1545">
        <f t="shared" ref="G57:R57" si="28">G20-G46+G55</f>
        <v>0</v>
      </c>
      <c r="H57" s="1545">
        <f t="shared" si="28"/>
        <v>0</v>
      </c>
      <c r="I57" s="1545">
        <f t="shared" si="28"/>
        <v>0</v>
      </c>
      <c r="J57" s="1545">
        <f t="shared" si="28"/>
        <v>0</v>
      </c>
      <c r="K57" s="1545">
        <f t="shared" si="28"/>
        <v>0</v>
      </c>
      <c r="L57" s="1545">
        <f t="shared" si="28"/>
        <v>0</v>
      </c>
      <c r="M57" s="1545">
        <f t="shared" si="28"/>
        <v>0</v>
      </c>
      <c r="N57" s="1545">
        <f t="shared" si="28"/>
        <v>0</v>
      </c>
      <c r="O57" s="1545">
        <f t="shared" si="28"/>
        <v>0</v>
      </c>
      <c r="P57" s="1545">
        <f t="shared" si="28"/>
        <v>0</v>
      </c>
      <c r="Q57" s="1545">
        <f t="shared" si="28"/>
        <v>0</v>
      </c>
      <c r="R57" s="1546">
        <f t="shared" si="28"/>
        <v>0</v>
      </c>
      <c r="S57" s="1545">
        <f>SUM(G57:R57)</f>
        <v>0</v>
      </c>
      <c r="U57" s="225"/>
      <c r="V57" s="225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 t="s">
        <v>241</v>
      </c>
      <c r="AJ57" s="4"/>
      <c r="AK57" s="4"/>
      <c r="AL57" s="4"/>
      <c r="AM57" s="4"/>
      <c r="AN57" s="4"/>
      <c r="AO57" s="4"/>
    </row>
    <row r="58" spans="2:69" x14ac:dyDescent="0.2">
      <c r="B58" s="1547">
        <v>34</v>
      </c>
      <c r="C58" s="2251" t="s">
        <v>824</v>
      </c>
      <c r="D58" s="2252"/>
      <c r="E58" s="2252"/>
      <c r="F58" s="2253"/>
      <c r="G58" s="1545">
        <f t="shared" ref="G58:R58" si="29">G11+G57+G12</f>
        <v>0</v>
      </c>
      <c r="H58" s="1545">
        <f t="shared" si="29"/>
        <v>0</v>
      </c>
      <c r="I58" s="1545">
        <f t="shared" si="29"/>
        <v>0</v>
      </c>
      <c r="J58" s="1545">
        <f t="shared" si="29"/>
        <v>0</v>
      </c>
      <c r="K58" s="1545">
        <f t="shared" si="29"/>
        <v>0</v>
      </c>
      <c r="L58" s="1545">
        <f t="shared" si="29"/>
        <v>0</v>
      </c>
      <c r="M58" s="1545">
        <f t="shared" si="29"/>
        <v>0</v>
      </c>
      <c r="N58" s="1545">
        <f t="shared" si="29"/>
        <v>0</v>
      </c>
      <c r="O58" s="1545">
        <f t="shared" si="29"/>
        <v>0</v>
      </c>
      <c r="P58" s="1545">
        <f t="shared" si="29"/>
        <v>0</v>
      </c>
      <c r="Q58" s="1545">
        <f t="shared" si="29"/>
        <v>0</v>
      </c>
      <c r="R58" s="1545">
        <f t="shared" si="29"/>
        <v>0</v>
      </c>
      <c r="S58" s="1548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</row>
    <row r="59" spans="2:69" ht="4.3499999999999996" customHeight="1" x14ac:dyDescent="0.2">
      <c r="B59" s="154"/>
      <c r="C59" s="154"/>
      <c r="D59" s="52"/>
      <c r="E59" s="52"/>
      <c r="F59" s="87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155"/>
      <c r="R59" s="154"/>
      <c r="S59" s="105">
        <v>0</v>
      </c>
    </row>
    <row r="60" spans="2:69" x14ac:dyDescent="0.2">
      <c r="B60" s="52"/>
      <c r="C60" s="52"/>
      <c r="D60" s="52"/>
      <c r="E60" s="52"/>
      <c r="F60" s="87"/>
      <c r="S60" s="153">
        <f>OHJE!F6</f>
        <v>0</v>
      </c>
      <c r="AP60" s="85"/>
      <c r="AQ60" s="85"/>
    </row>
    <row r="61" spans="2:69" s="53" customFormat="1" ht="24" customHeight="1" x14ac:dyDescent="0.2">
      <c r="B61" s="1592" t="str">
        <f>'7. T2 TULOSSUUN.'!B35</f>
        <v>YT6 Aloittavan yrityksen tulossuunnitelma</v>
      </c>
      <c r="C61" s="1592"/>
      <c r="D61" s="1592"/>
      <c r="E61" s="1592"/>
      <c r="F61" s="1593"/>
      <c r="G61" s="1594"/>
      <c r="H61" s="1594"/>
      <c r="I61" s="1594"/>
      <c r="J61" s="1594"/>
      <c r="K61" s="1594"/>
      <c r="L61" s="1594"/>
      <c r="M61" s="1594"/>
      <c r="N61" s="1594"/>
      <c r="O61" s="1594"/>
      <c r="P61" s="1594"/>
      <c r="Q61" s="1594"/>
      <c r="R61" s="1594"/>
      <c r="S61" s="1595" t="str">
        <f>'7. T2 TULOSSUUN.'!G35</f>
        <v>Kehittämisyhtiö Witas Oy</v>
      </c>
      <c r="U61" s="219"/>
      <c r="V61" s="219"/>
      <c r="X61" s="50"/>
      <c r="Y61" s="1778"/>
      <c r="AP61" s="1254"/>
      <c r="AQ61" s="1254"/>
    </row>
    <row r="62" spans="2:69" ht="20.25" x14ac:dyDescent="0.3">
      <c r="B62" s="88" t="s">
        <v>117</v>
      </c>
      <c r="C62" s="99"/>
      <c r="D62" s="100"/>
      <c r="G62" s="1589">
        <v>2</v>
      </c>
      <c r="H62" s="2286" t="s">
        <v>231</v>
      </c>
      <c r="I62" s="2286"/>
      <c r="J62" s="2286"/>
      <c r="K62" s="1587">
        <f>'1. T1 INVESTOINTISUUN.'!F16</f>
        <v>2028</v>
      </c>
      <c r="M62" s="159"/>
      <c r="O62" s="2280"/>
      <c r="P62" s="2280"/>
      <c r="Q62" s="2280"/>
      <c r="R62" s="99"/>
      <c r="S62" s="99"/>
    </row>
    <row r="63" spans="2:69" ht="8.25" customHeight="1" x14ac:dyDescent="0.3">
      <c r="B63" s="160"/>
      <c r="C63" s="99"/>
      <c r="D63" s="100"/>
      <c r="E63" s="100"/>
      <c r="F63" s="128"/>
      <c r="G63" s="128"/>
      <c r="H63" s="158"/>
      <c r="I63" s="101"/>
      <c r="J63" s="2250"/>
      <c r="K63" s="2250"/>
      <c r="L63" s="2250"/>
      <c r="M63" s="2250"/>
      <c r="O63" s="2282"/>
      <c r="P63" s="2282"/>
      <c r="Q63" s="2282"/>
      <c r="R63" s="99"/>
      <c r="S63" s="99"/>
      <c r="U63" s="219">
        <v>0</v>
      </c>
    </row>
    <row r="64" spans="2:69" ht="14.25" x14ac:dyDescent="0.2">
      <c r="B64" s="2250">
        <f>'1. T1 INVESTOINTISUUN.'!B7</f>
        <v>0</v>
      </c>
      <c r="C64" s="2250"/>
      <c r="D64" s="2250"/>
      <c r="E64" s="2250"/>
      <c r="G64" s="102"/>
      <c r="H64" s="102"/>
      <c r="I64" s="102"/>
      <c r="J64" s="102"/>
      <c r="K64" s="102"/>
      <c r="L64" s="102"/>
      <c r="M64" s="102"/>
      <c r="O64" s="2281"/>
      <c r="P64" s="2281"/>
      <c r="Q64" s="2281"/>
      <c r="R64" s="102"/>
      <c r="S64" s="103"/>
      <c r="U64" s="2001"/>
      <c r="V64" s="2001"/>
      <c r="W64" s="2001"/>
      <c r="X64" s="2001"/>
    </row>
    <row r="65" spans="2:67" ht="11.25" customHeight="1" x14ac:dyDescent="0.2">
      <c r="B65" s="102"/>
      <c r="C65" s="102"/>
      <c r="G65" s="102"/>
      <c r="H65" s="102"/>
      <c r="I65" s="102"/>
      <c r="J65" s="102"/>
      <c r="K65" s="102"/>
      <c r="L65" s="102"/>
      <c r="M65" s="102"/>
      <c r="N65" s="1493"/>
      <c r="O65" s="1493"/>
      <c r="P65" s="1493"/>
      <c r="Q65" s="102"/>
      <c r="R65" s="102"/>
      <c r="S65" s="103"/>
    </row>
    <row r="66" spans="2:67" ht="16.5" thickBot="1" x14ac:dyDescent="0.3">
      <c r="B66" s="1494"/>
      <c r="C66" s="2239" t="s">
        <v>98</v>
      </c>
      <c r="D66" s="2239"/>
      <c r="E66" s="2240"/>
      <c r="F66" s="1495"/>
      <c r="G66" s="1554">
        <f>R10+31</f>
        <v>46760</v>
      </c>
      <c r="H66" s="1496">
        <f t="shared" ref="H66:R66" si="30">G66+31</f>
        <v>46791</v>
      </c>
      <c r="I66" s="1496">
        <f t="shared" si="30"/>
        <v>46822</v>
      </c>
      <c r="J66" s="1496">
        <f t="shared" si="30"/>
        <v>46853</v>
      </c>
      <c r="K66" s="1496">
        <f t="shared" si="30"/>
        <v>46884</v>
      </c>
      <c r="L66" s="1496">
        <f t="shared" si="30"/>
        <v>46915</v>
      </c>
      <c r="M66" s="1496">
        <f t="shared" si="30"/>
        <v>46946</v>
      </c>
      <c r="N66" s="1496">
        <f t="shared" si="30"/>
        <v>46977</v>
      </c>
      <c r="O66" s="1496">
        <f t="shared" si="30"/>
        <v>47008</v>
      </c>
      <c r="P66" s="1496">
        <f t="shared" si="30"/>
        <v>47039</v>
      </c>
      <c r="Q66" s="1496">
        <f t="shared" si="30"/>
        <v>47070</v>
      </c>
      <c r="R66" s="1496">
        <f t="shared" si="30"/>
        <v>47101</v>
      </c>
      <c r="S66" s="1497" t="s">
        <v>87</v>
      </c>
      <c r="X66" s="2212" t="s">
        <v>375</v>
      </c>
      <c r="Y66" s="2212"/>
      <c r="Z66" s="2212"/>
      <c r="AA66" s="976"/>
      <c r="AB66" s="976"/>
      <c r="AC66" s="976"/>
      <c r="AD66" s="976"/>
      <c r="AE66" s="976"/>
      <c r="AF66" s="976"/>
      <c r="BB66" s="2254" t="s">
        <v>117</v>
      </c>
      <c r="BC66" s="2254"/>
      <c r="BD66" s="2254"/>
      <c r="BG66" s="317" t="str">
        <f>H62</f>
        <v xml:space="preserve">ENNUSTEVUOSI </v>
      </c>
      <c r="BH66" s="1587">
        <f>K62</f>
        <v>2028</v>
      </c>
      <c r="BL66" s="24"/>
    </row>
    <row r="67" spans="2:67" ht="15.75" x14ac:dyDescent="0.25">
      <c r="B67" s="2225">
        <v>1</v>
      </c>
      <c r="C67" s="2223" t="s">
        <v>480</v>
      </c>
      <c r="D67" s="2224"/>
      <c r="E67" s="2224"/>
      <c r="F67" s="2224"/>
      <c r="G67" s="1591">
        <f>R58</f>
        <v>0</v>
      </c>
      <c r="H67" s="1553">
        <f t="shared" ref="H67:R67" si="31">G114</f>
        <v>0</v>
      </c>
      <c r="I67" s="592">
        <f t="shared" si="31"/>
        <v>0</v>
      </c>
      <c r="J67" s="592">
        <f t="shared" si="31"/>
        <v>0</v>
      </c>
      <c r="K67" s="592">
        <f t="shared" si="31"/>
        <v>0</v>
      </c>
      <c r="L67" s="592">
        <f t="shared" si="31"/>
        <v>0</v>
      </c>
      <c r="M67" s="592">
        <f t="shared" si="31"/>
        <v>0</v>
      </c>
      <c r="N67" s="592">
        <f t="shared" si="31"/>
        <v>0</v>
      </c>
      <c r="O67" s="592">
        <f t="shared" si="31"/>
        <v>0</v>
      </c>
      <c r="P67" s="592">
        <f t="shared" si="31"/>
        <v>0</v>
      </c>
      <c r="Q67" s="592">
        <f t="shared" si="31"/>
        <v>0</v>
      </c>
      <c r="R67" s="592">
        <f t="shared" si="31"/>
        <v>0</v>
      </c>
      <c r="S67" s="592"/>
      <c r="X67" s="976"/>
      <c r="Y67" s="976"/>
      <c r="Z67" s="976"/>
      <c r="AA67" s="976"/>
      <c r="AB67" s="976"/>
      <c r="AC67" s="976"/>
      <c r="AD67" s="976"/>
      <c r="AE67" s="976"/>
      <c r="AF67" s="976"/>
      <c r="BB67" s="88"/>
      <c r="BC67" s="88"/>
      <c r="BD67" s="88"/>
      <c r="BF67" s="24"/>
      <c r="BL67" s="24"/>
    </row>
    <row r="68" spans="2:67" x14ac:dyDescent="0.2">
      <c r="B68" s="2226"/>
      <c r="C68" s="1520" t="s">
        <v>442</v>
      </c>
      <c r="D68" s="1521"/>
      <c r="E68" s="1521"/>
      <c r="F68" s="1522"/>
      <c r="G68" s="586">
        <f>'AT Kassa'!C45</f>
        <v>0</v>
      </c>
      <c r="H68" s="586">
        <f>'AT Kassa'!D45</f>
        <v>0</v>
      </c>
      <c r="I68" s="586">
        <f>'AT Kassa'!E45</f>
        <v>0</v>
      </c>
      <c r="J68" s="586">
        <f>'AT Kassa'!F45</f>
        <v>0</v>
      </c>
      <c r="K68" s="586">
        <f>'AT Kassa'!G45</f>
        <v>0</v>
      </c>
      <c r="L68" s="586">
        <f>'AT Kassa'!H45</f>
        <v>0</v>
      </c>
      <c r="M68" s="593"/>
      <c r="N68" s="593"/>
      <c r="O68" s="593"/>
      <c r="P68" s="593"/>
      <c r="Q68" s="593"/>
      <c r="R68" s="593"/>
      <c r="S68" s="1498">
        <f>SUM(G68:R68)</f>
        <v>0</v>
      </c>
      <c r="U68" s="219">
        <v>0</v>
      </c>
      <c r="X68" s="976"/>
      <c r="Y68" s="976"/>
      <c r="Z68" s="976"/>
      <c r="AA68" s="976"/>
      <c r="AB68" s="976"/>
      <c r="AC68" s="976"/>
      <c r="AD68" s="976"/>
      <c r="AE68" s="976"/>
      <c r="AF68" s="976"/>
      <c r="BB68" s="109"/>
      <c r="BD68" s="40"/>
    </row>
    <row r="69" spans="2:67" ht="15.75" x14ac:dyDescent="0.25">
      <c r="B69" s="1499">
        <v>2</v>
      </c>
      <c r="C69" s="2219" t="s">
        <v>680</v>
      </c>
      <c r="D69" s="2218"/>
      <c r="E69" s="1525">
        <v>0</v>
      </c>
      <c r="F69" s="1476">
        <v>25.5</v>
      </c>
      <c r="G69" s="587">
        <f t="shared" ref="G69:Q69" si="32">G70*$S69</f>
        <v>0</v>
      </c>
      <c r="H69" s="587">
        <f t="shared" si="32"/>
        <v>0</v>
      </c>
      <c r="I69" s="587">
        <f t="shared" si="32"/>
        <v>0</v>
      </c>
      <c r="J69" s="587">
        <f t="shared" si="32"/>
        <v>0</v>
      </c>
      <c r="K69" s="587">
        <f t="shared" si="32"/>
        <v>0</v>
      </c>
      <c r="L69" s="587">
        <f t="shared" si="32"/>
        <v>0</v>
      </c>
      <c r="M69" s="587">
        <f t="shared" si="32"/>
        <v>0</v>
      </c>
      <c r="N69" s="587">
        <f t="shared" si="32"/>
        <v>0</v>
      </c>
      <c r="O69" s="587">
        <f t="shared" si="32"/>
        <v>0</v>
      </c>
      <c r="P69" s="587">
        <f t="shared" si="32"/>
        <v>0</v>
      </c>
      <c r="Q69" s="587">
        <f t="shared" si="32"/>
        <v>0</v>
      </c>
      <c r="R69" s="587">
        <f>R70*$S69</f>
        <v>0</v>
      </c>
      <c r="S69" s="1500">
        <f>E69*('4. E2 LIIKEVAIHTO'!F10+'4. E2 LIIKEVAIHTO'!F13)</f>
        <v>0</v>
      </c>
      <c r="X69" s="976"/>
      <c r="Y69" s="976"/>
      <c r="Z69" s="976"/>
      <c r="AA69" s="976"/>
      <c r="AB69" s="976"/>
      <c r="AC69" s="976"/>
      <c r="AD69" s="976"/>
      <c r="AE69" s="976"/>
      <c r="AF69" s="976"/>
      <c r="BB69" s="2">
        <f>'1. T1 INVESTOINTISUUN.'!B7</f>
        <v>0</v>
      </c>
      <c r="BC69" s="162"/>
      <c r="BD69" s="1549"/>
      <c r="BE69" s="162"/>
      <c r="BH69" s="24"/>
      <c r="BI69" s="24"/>
      <c r="BJ69" s="24"/>
      <c r="BK69" s="24"/>
      <c r="BM69" s="24"/>
      <c r="BN69" s="24"/>
      <c r="BO69" s="162"/>
    </row>
    <row r="70" spans="2:67" x14ac:dyDescent="0.2">
      <c r="B70" s="491"/>
      <c r="C70" s="1526"/>
      <c r="D70" s="2221" t="s">
        <v>88</v>
      </c>
      <c r="E70" s="2221"/>
      <c r="F70" s="2222"/>
      <c r="G70" s="588">
        <v>0.09</v>
      </c>
      <c r="H70" s="588">
        <v>0.09</v>
      </c>
      <c r="I70" s="588">
        <v>0.09</v>
      </c>
      <c r="J70" s="588">
        <v>0.09</v>
      </c>
      <c r="K70" s="588">
        <v>0.08</v>
      </c>
      <c r="L70" s="588">
        <v>0.09</v>
      </c>
      <c r="M70" s="588">
        <v>0.06</v>
      </c>
      <c r="N70" s="588">
        <v>7.0000000000000007E-2</v>
      </c>
      <c r="O70" s="588">
        <v>0.09</v>
      </c>
      <c r="P70" s="588">
        <v>0.09</v>
      </c>
      <c r="Q70" s="588">
        <v>0.08</v>
      </c>
      <c r="R70" s="588">
        <v>0.08</v>
      </c>
      <c r="S70" s="1501">
        <f>SUM(G70:R70)</f>
        <v>1</v>
      </c>
      <c r="T70" s="199" t="str">
        <f>IF(E69=0," ",IF(S70=100%," ","VIRHE!"))</f>
        <v xml:space="preserve"> </v>
      </c>
      <c r="X70" s="976"/>
      <c r="Y70" s="976"/>
      <c r="Z70" s="976"/>
      <c r="AA70" s="976"/>
      <c r="AB70" s="976"/>
      <c r="AC70" s="976"/>
      <c r="AD70" s="976"/>
      <c r="AE70" s="976"/>
      <c r="AF70" s="976"/>
      <c r="BD70" s="40"/>
    </row>
    <row r="71" spans="2:67" x14ac:dyDescent="0.2">
      <c r="B71" s="491">
        <v>3</v>
      </c>
      <c r="C71" s="2219" t="s">
        <v>89</v>
      </c>
      <c r="D71" s="2221"/>
      <c r="E71" s="2222"/>
      <c r="F71" s="1528">
        <v>25.5</v>
      </c>
      <c r="G71" s="587">
        <f>G72*$S71</f>
        <v>0</v>
      </c>
      <c r="H71" s="587">
        <f>H72*$S71</f>
        <v>0</v>
      </c>
      <c r="I71" s="587">
        <f t="shared" ref="I71:R71" si="33">I72*$S71</f>
        <v>0</v>
      </c>
      <c r="J71" s="587">
        <f t="shared" si="33"/>
        <v>0</v>
      </c>
      <c r="K71" s="587">
        <f t="shared" si="33"/>
        <v>0</v>
      </c>
      <c r="L71" s="587">
        <f t="shared" si="33"/>
        <v>0</v>
      </c>
      <c r="M71" s="587">
        <f t="shared" si="33"/>
        <v>0</v>
      </c>
      <c r="N71" s="587">
        <f t="shared" si="33"/>
        <v>0</v>
      </c>
      <c r="O71" s="587">
        <f t="shared" si="33"/>
        <v>0</v>
      </c>
      <c r="P71" s="587">
        <f t="shared" si="33"/>
        <v>0</v>
      </c>
      <c r="Q71" s="587">
        <f t="shared" si="33"/>
        <v>0</v>
      </c>
      <c r="R71" s="587">
        <f t="shared" si="33"/>
        <v>0</v>
      </c>
      <c r="S71" s="1500">
        <f>('4. E2 LIIKEVAIHTO'!F10+'4. E2 LIIKEVAIHTO'!F13)-S69</f>
        <v>0</v>
      </c>
      <c r="U71" s="225"/>
      <c r="V71" s="225"/>
      <c r="X71" s="976"/>
      <c r="Y71" s="976"/>
      <c r="Z71" s="976"/>
      <c r="AA71" s="976"/>
      <c r="AB71" s="976"/>
      <c r="AC71" s="976"/>
      <c r="AD71" s="976"/>
      <c r="AE71" s="976"/>
      <c r="AF71" s="976"/>
      <c r="BD71" s="40"/>
    </row>
    <row r="72" spans="2:67" x14ac:dyDescent="0.2">
      <c r="B72" s="491"/>
      <c r="C72" s="1526"/>
      <c r="D72" s="2221" t="s">
        <v>90</v>
      </c>
      <c r="E72" s="2221"/>
      <c r="F72" s="2222"/>
      <c r="G72" s="588">
        <v>0.08</v>
      </c>
      <c r="H72" s="588">
        <v>0.09</v>
      </c>
      <c r="I72" s="588">
        <v>0.08</v>
      </c>
      <c r="J72" s="588">
        <v>0.08</v>
      </c>
      <c r="K72" s="588">
        <v>0.08</v>
      </c>
      <c r="L72" s="588">
        <v>0.09</v>
      </c>
      <c r="M72" s="588">
        <v>0.09</v>
      </c>
      <c r="N72" s="588">
        <v>0.09</v>
      </c>
      <c r="O72" s="588">
        <v>0.08</v>
      </c>
      <c r="P72" s="588">
        <v>0.08</v>
      </c>
      <c r="Q72" s="588">
        <v>0.08</v>
      </c>
      <c r="R72" s="588">
        <v>0.08</v>
      </c>
      <c r="S72" s="1501">
        <f>SUM(G72:R72)</f>
        <v>0.99999999999999978</v>
      </c>
      <c r="T72" s="199" t="str">
        <f>IF(E69=100%," ",IF(S72=100%," ","VIRHE!"))</f>
        <v xml:space="preserve"> </v>
      </c>
      <c r="X72" s="976"/>
      <c r="Y72" s="976"/>
      <c r="Z72" s="976"/>
      <c r="AA72" s="976"/>
      <c r="AB72" s="976"/>
      <c r="AC72" s="976"/>
      <c r="AD72" s="976"/>
      <c r="AE72" s="976"/>
      <c r="AF72" s="976"/>
      <c r="BD72" s="40"/>
    </row>
    <row r="73" spans="2:67" ht="13.5" thickBot="1" x14ac:dyDescent="0.25">
      <c r="B73" s="491"/>
      <c r="C73" s="1526"/>
      <c r="D73" s="1527" t="s">
        <v>91</v>
      </c>
      <c r="E73" s="1529">
        <v>14</v>
      </c>
      <c r="F73" s="1530" t="s">
        <v>92</v>
      </c>
      <c r="G73" s="587">
        <f>'AT Kassa'!C67</f>
        <v>0</v>
      </c>
      <c r="H73" s="587">
        <f>'AT Kassa'!D67</f>
        <v>0</v>
      </c>
      <c r="I73" s="587">
        <f>'AT Kassa'!E67</f>
        <v>0</v>
      </c>
      <c r="J73" s="587">
        <f>'AT Kassa'!F67</f>
        <v>0</v>
      </c>
      <c r="K73" s="587">
        <f>'AT Kassa'!G67</f>
        <v>0</v>
      </c>
      <c r="L73" s="587">
        <f>'AT Kassa'!H67</f>
        <v>0</v>
      </c>
      <c r="M73" s="587">
        <f>'AT Kassa'!I67</f>
        <v>0</v>
      </c>
      <c r="N73" s="587">
        <f>'AT Kassa'!J67</f>
        <v>0</v>
      </c>
      <c r="O73" s="587">
        <f>'AT Kassa'!K67</f>
        <v>0</v>
      </c>
      <c r="P73" s="587">
        <f>'AT Kassa'!L67</f>
        <v>0</v>
      </c>
      <c r="Q73" s="587">
        <f>'AT Kassa'!M67</f>
        <v>0</v>
      </c>
      <c r="R73" s="587">
        <f>'AT Kassa'!N67</f>
        <v>0</v>
      </c>
      <c r="S73" s="1500">
        <f>SUM(G73:R73)</f>
        <v>0</v>
      </c>
      <c r="X73" s="131"/>
      <c r="Y73" s="131"/>
      <c r="Z73" s="131"/>
      <c r="AA73" s="131"/>
      <c r="AB73" s="131"/>
      <c r="AC73" s="131"/>
      <c r="AD73" s="131"/>
      <c r="AE73" s="131"/>
      <c r="AF73" s="131"/>
      <c r="BD73" s="40"/>
    </row>
    <row r="74" spans="2:67" x14ac:dyDescent="0.2">
      <c r="B74" s="491">
        <v>4</v>
      </c>
      <c r="C74" s="2241" t="s">
        <v>652</v>
      </c>
      <c r="D74" s="2242"/>
      <c r="E74" s="2243"/>
      <c r="F74" s="1528">
        <v>25.5</v>
      </c>
      <c r="G74" s="589">
        <f>-'5. T4 RAHOITUSSUUN.'!$G$58*'8. T5 KASSABUDJETTI'!G71</f>
        <v>0</v>
      </c>
      <c r="H74" s="589">
        <f>-'5. T4 RAHOITUSSUUN.'!$G$58*'8. T5 KASSABUDJETTI'!H71</f>
        <v>0</v>
      </c>
      <c r="I74" s="589">
        <f>-'5. T4 RAHOITUSSUUN.'!$G$58*'8. T5 KASSABUDJETTI'!I71</f>
        <v>0</v>
      </c>
      <c r="J74" s="589">
        <f>-'5. T4 RAHOITUSSUUN.'!$G$58*'8. T5 KASSABUDJETTI'!J71</f>
        <v>0</v>
      </c>
      <c r="K74" s="589">
        <f>-'5. T4 RAHOITUSSUUN.'!$G$58*'8. T5 KASSABUDJETTI'!K71</f>
        <v>0</v>
      </c>
      <c r="L74" s="589">
        <f>-'5. T4 RAHOITUSSUUN.'!$G$58*'8. T5 KASSABUDJETTI'!L71</f>
        <v>0</v>
      </c>
      <c r="M74" s="589">
        <f>-'5. T4 RAHOITUSSUUN.'!$G$58*'8. T5 KASSABUDJETTI'!M71</f>
        <v>0</v>
      </c>
      <c r="N74" s="589">
        <f>-'5. T4 RAHOITUSSUUN.'!$G$58*'8. T5 KASSABUDJETTI'!N71</f>
        <v>0</v>
      </c>
      <c r="O74" s="589">
        <f>-'5. T4 RAHOITUSSUUN.'!$G$58*'8. T5 KASSABUDJETTI'!O71</f>
        <v>0</v>
      </c>
      <c r="P74" s="589">
        <f>-'5. T4 RAHOITUSSUUN.'!$G$58*'8. T5 KASSABUDJETTI'!P71</f>
        <v>0</v>
      </c>
      <c r="Q74" s="589">
        <f>-'5. T4 RAHOITUSSUUN.'!$G$58*'8. T5 KASSABUDJETTI'!Q71</f>
        <v>0</v>
      </c>
      <c r="R74" s="589">
        <f>-'5. T4 RAHOITUSSUUN.'!$G$58*'8. T5 KASSABUDJETTI'!R71</f>
        <v>0</v>
      </c>
      <c r="S74" s="1500">
        <f>SUM(G74:R74)</f>
        <v>0</v>
      </c>
      <c r="U74" s="1132" t="s">
        <v>401</v>
      </c>
      <c r="V74" s="1007"/>
      <c r="X74" s="131"/>
      <c r="Y74" s="131"/>
      <c r="Z74" s="131"/>
      <c r="AA74" s="131"/>
      <c r="AB74" s="131"/>
      <c r="AC74" s="131"/>
      <c r="AD74" s="131"/>
      <c r="AE74" s="131"/>
      <c r="AF74" s="131"/>
      <c r="BD74" s="40"/>
    </row>
    <row r="75" spans="2:67" ht="13.5" thickBot="1" x14ac:dyDescent="0.25">
      <c r="B75" s="1502">
        <v>5</v>
      </c>
      <c r="C75" s="2233" t="s">
        <v>651</v>
      </c>
      <c r="D75" s="2234"/>
      <c r="E75" s="2235"/>
      <c r="F75" s="1531"/>
      <c r="G75" s="1612">
        <f>'3. E1 KUSTANNUKSET'!$F$30/12</f>
        <v>0</v>
      </c>
      <c r="H75" s="1612">
        <f>'3. E1 KUSTANNUKSET'!$F$30/12</f>
        <v>0</v>
      </c>
      <c r="I75" s="1612">
        <f>'3. E1 KUSTANNUKSET'!$F$30/12</f>
        <v>0</v>
      </c>
      <c r="J75" s="1612">
        <f>'3. E1 KUSTANNUKSET'!$F$30/12</f>
        <v>0</v>
      </c>
      <c r="K75" s="1612">
        <f>'3. E1 KUSTANNUKSET'!$F$30/12</f>
        <v>0</v>
      </c>
      <c r="L75" s="1612">
        <f>'3. E1 KUSTANNUKSET'!$F$30/12</f>
        <v>0</v>
      </c>
      <c r="M75" s="1612">
        <f>'3. E1 KUSTANNUKSET'!$F$30/12+'1. T1 INVESTOINTISUUN.'!F61</f>
        <v>0</v>
      </c>
      <c r="N75" s="1612">
        <f>'3. E1 KUSTANNUKSET'!$F$30/12</f>
        <v>0</v>
      </c>
      <c r="O75" s="1612">
        <f>'3. E1 KUSTANNUKSET'!$F$30/12</f>
        <v>0</v>
      </c>
      <c r="P75" s="1612">
        <f>'3. E1 KUSTANNUKSET'!$F$30/12</f>
        <v>0</v>
      </c>
      <c r="Q75" s="1612">
        <f>'3. E1 KUSTANNUKSET'!$F$30/12</f>
        <v>0</v>
      </c>
      <c r="R75" s="1612">
        <f>'3. E1 KUSTANNUKSET'!$F$30/12</f>
        <v>0</v>
      </c>
      <c r="S75" s="1503">
        <f>SUM(G75:R75)</f>
        <v>0</v>
      </c>
      <c r="U75" s="1133" t="s">
        <v>402</v>
      </c>
      <c r="V75" s="1007"/>
      <c r="W75" s="53"/>
      <c r="X75" s="152"/>
      <c r="Y75" s="152"/>
      <c r="Z75" s="152"/>
      <c r="AA75" s="152"/>
      <c r="AB75" s="152"/>
      <c r="AC75" s="152"/>
      <c r="AD75" s="152"/>
      <c r="AE75" s="152"/>
      <c r="AF75" s="152"/>
      <c r="BD75" s="40"/>
    </row>
    <row r="76" spans="2:67" ht="18" customHeight="1" thickTop="1" x14ac:dyDescent="0.2">
      <c r="B76" s="1504"/>
      <c r="C76" s="2236" t="s">
        <v>99</v>
      </c>
      <c r="D76" s="2237"/>
      <c r="E76" s="2238"/>
      <c r="F76" s="1505"/>
      <c r="G76" s="1506">
        <f t="shared" ref="G76:R76" si="34">G69+G73+G75+G74</f>
        <v>0</v>
      </c>
      <c r="H76" s="1506">
        <f t="shared" si="34"/>
        <v>0</v>
      </c>
      <c r="I76" s="1506">
        <f t="shared" si="34"/>
        <v>0</v>
      </c>
      <c r="J76" s="1506">
        <f t="shared" si="34"/>
        <v>0</v>
      </c>
      <c r="K76" s="1506">
        <f t="shared" si="34"/>
        <v>0</v>
      </c>
      <c r="L76" s="1506">
        <f t="shared" si="34"/>
        <v>0</v>
      </c>
      <c r="M76" s="1506">
        <f t="shared" si="34"/>
        <v>0</v>
      </c>
      <c r="N76" s="1506">
        <f t="shared" si="34"/>
        <v>0</v>
      </c>
      <c r="O76" s="1506">
        <f t="shared" si="34"/>
        <v>0</v>
      </c>
      <c r="P76" s="1506">
        <f t="shared" si="34"/>
        <v>0</v>
      </c>
      <c r="Q76" s="1506">
        <f t="shared" si="34"/>
        <v>0</v>
      </c>
      <c r="R76" s="1506">
        <f t="shared" si="34"/>
        <v>0</v>
      </c>
      <c r="S76" s="1507">
        <f>SUM(G76:R76)</f>
        <v>0</v>
      </c>
      <c r="U76" s="1133" t="s">
        <v>232</v>
      </c>
      <c r="V76" s="1007"/>
      <c r="W76" s="53"/>
      <c r="X76" s="2189"/>
      <c r="Y76" s="2189"/>
      <c r="Z76" s="2189"/>
      <c r="AA76" s="2189"/>
      <c r="AB76" s="2189"/>
      <c r="AC76" s="2189"/>
      <c r="AD76" s="2189"/>
      <c r="AE76" s="2189"/>
      <c r="AF76" s="2189"/>
      <c r="BD76" s="40"/>
    </row>
    <row r="77" spans="2:67" ht="3.75" customHeight="1" x14ac:dyDescent="0.2">
      <c r="B77" s="287"/>
      <c r="C77" s="594"/>
      <c r="D77" s="594"/>
      <c r="E77" s="594"/>
      <c r="F77" s="288"/>
      <c r="G77" s="289"/>
      <c r="H77" s="289"/>
      <c r="I77" s="289"/>
      <c r="J77" s="289"/>
      <c r="K77" s="289"/>
      <c r="L77" s="289"/>
      <c r="M77" s="289"/>
      <c r="N77" s="289"/>
      <c r="O77" s="289"/>
      <c r="P77" s="289"/>
      <c r="Q77" s="289"/>
      <c r="R77" s="289"/>
      <c r="S77" s="229" t="s">
        <v>0</v>
      </c>
      <c r="U77" s="1131"/>
      <c r="V77" s="1007"/>
      <c r="W77" s="53"/>
      <c r="X77" s="152"/>
      <c r="Y77" s="152"/>
      <c r="Z77" s="152"/>
      <c r="AA77" s="152"/>
      <c r="AB77" s="152"/>
      <c r="AC77" s="152"/>
      <c r="BD77" s="40"/>
    </row>
    <row r="78" spans="2:67" ht="13.5" thickBot="1" x14ac:dyDescent="0.25">
      <c r="B78" s="1494"/>
      <c r="C78" s="2239" t="s">
        <v>100</v>
      </c>
      <c r="D78" s="2239"/>
      <c r="E78" s="2240"/>
      <c r="F78" s="1609" t="s">
        <v>105</v>
      </c>
      <c r="G78" s="1496">
        <f>G66</f>
        <v>46760</v>
      </c>
      <c r="H78" s="1496">
        <f t="shared" ref="H78:S78" si="35">+H66</f>
        <v>46791</v>
      </c>
      <c r="I78" s="1496">
        <f t="shared" si="35"/>
        <v>46822</v>
      </c>
      <c r="J78" s="1496">
        <f t="shared" si="35"/>
        <v>46853</v>
      </c>
      <c r="K78" s="1496">
        <f t="shared" si="35"/>
        <v>46884</v>
      </c>
      <c r="L78" s="1496">
        <f t="shared" si="35"/>
        <v>46915</v>
      </c>
      <c r="M78" s="1496">
        <f t="shared" si="35"/>
        <v>46946</v>
      </c>
      <c r="N78" s="1496">
        <f t="shared" si="35"/>
        <v>46977</v>
      </c>
      <c r="O78" s="1496">
        <f t="shared" si="35"/>
        <v>47008</v>
      </c>
      <c r="P78" s="1496">
        <f t="shared" si="35"/>
        <v>47039</v>
      </c>
      <c r="Q78" s="1496">
        <f t="shared" si="35"/>
        <v>47070</v>
      </c>
      <c r="R78" s="1496">
        <f t="shared" si="35"/>
        <v>47101</v>
      </c>
      <c r="S78" s="1610" t="str">
        <f t="shared" si="35"/>
        <v>YHT</v>
      </c>
      <c r="T78" s="1117" t="s">
        <v>400</v>
      </c>
      <c r="U78" s="1134" t="s">
        <v>399</v>
      </c>
      <c r="V78" s="1007"/>
      <c r="W78" s="53"/>
      <c r="X78" s="415"/>
      <c r="Y78" s="415"/>
      <c r="Z78" s="414"/>
      <c r="AA78" s="414"/>
      <c r="AB78" s="414"/>
      <c r="AC78" s="2198"/>
      <c r="AD78" s="72"/>
      <c r="AE78" s="72"/>
      <c r="AF78" s="72"/>
      <c r="BD78" s="40"/>
    </row>
    <row r="79" spans="2:67" x14ac:dyDescent="0.2">
      <c r="B79" s="2229">
        <v>6</v>
      </c>
      <c r="C79" s="2230" t="s">
        <v>93</v>
      </c>
      <c r="D79" s="2231"/>
      <c r="E79" s="2232"/>
      <c r="F79" s="493">
        <v>25.5</v>
      </c>
      <c r="G79" s="1477">
        <f>IF(($S69+$S71)*$U79=0,0,(G69+G71)/($S69+$S71)*'8. T5 KASSABUDJETTI'!$U79)</f>
        <v>0</v>
      </c>
      <c r="H79" s="1477">
        <f>IF(($S69+$S71)*$U79=0,0,(H69+H71)/($S69+$S71)*'8. T5 KASSABUDJETTI'!$U79)</f>
        <v>0</v>
      </c>
      <c r="I79" s="1477">
        <f>IF(($S69+$S71)*$U79=0,0,(I69+I71)/($S69+$S71)*'8. T5 KASSABUDJETTI'!$U79)</f>
        <v>0</v>
      </c>
      <c r="J79" s="1477">
        <f>IF(($S69+$S71)*$U79=0,0,(J69+J71)/($S69+$S71)*'8. T5 KASSABUDJETTI'!$U79)</f>
        <v>0</v>
      </c>
      <c r="K79" s="1477">
        <f>IF(($S69+$S71)*$U79=0,0,(K69+K71)/($S69+$S71)*'8. T5 KASSABUDJETTI'!$U79)</f>
        <v>0</v>
      </c>
      <c r="L79" s="1477">
        <f>IF(($S69+$S71)*$U79=0,0,(L69+L71)/($S69+$S71)*'8. T5 KASSABUDJETTI'!$U79)</f>
        <v>0</v>
      </c>
      <c r="M79" s="1477">
        <f>IF(($S69+$S71)*$U79=0,0,(M69+M71)/($S69+$S71)*'8. T5 KASSABUDJETTI'!$U79)</f>
        <v>0</v>
      </c>
      <c r="N79" s="1477">
        <f>IF(($S69+$S71)*$U79=0,0,(N69+N71)/($S69+$S71)*'8. T5 KASSABUDJETTI'!$U79)</f>
        <v>0</v>
      </c>
      <c r="O79" s="1477">
        <f>IF(($S69+$S71)*$U79=0,0,(O69+O71)/($S69+$S71)*'8. T5 KASSABUDJETTI'!$U79)</f>
        <v>0</v>
      </c>
      <c r="P79" s="1477">
        <f>IF(($S69+$S71)*$U79=0,0,(P69+P71)/($S69+$S71)*'8. T5 KASSABUDJETTI'!$U79)</f>
        <v>0</v>
      </c>
      <c r="Q79" s="1477">
        <f>IF(($S69+$S71)*$U79=0,0,(Q69+Q71)/($S69+$S71)*'8. T5 KASSABUDJETTI'!$U79)</f>
        <v>0</v>
      </c>
      <c r="R79" s="1477">
        <f>IF(($S69+$S71)*$U79=0,0,(R69+R71)/($S69+$S71)*'8. T5 KASSABUDJETTI'!$U79)</f>
        <v>0</v>
      </c>
      <c r="S79" s="1714">
        <f>SUM(G79:R79)</f>
        <v>0</v>
      </c>
      <c r="T79" s="977">
        <f>U79-S79</f>
        <v>0</v>
      </c>
      <c r="U79" s="968">
        <f>-'7. T2 TULOSSUUN.'!I15-'7. T2 TULOSSUUN.'!I15*'8. T5 KASSABUDJETTI'!F79/100</f>
        <v>0</v>
      </c>
      <c r="V79" s="925"/>
      <c r="W79" s="53"/>
      <c r="X79" s="415"/>
      <c r="Y79" s="415"/>
      <c r="Z79" s="414"/>
      <c r="AA79" s="414"/>
      <c r="AB79" s="414"/>
      <c r="AC79" s="2198"/>
      <c r="AD79" s="72"/>
      <c r="AE79" s="72"/>
      <c r="AF79" s="72"/>
      <c r="BD79" s="40"/>
    </row>
    <row r="80" spans="2:67" x14ac:dyDescent="0.2">
      <c r="B80" s="2228"/>
      <c r="C80" s="1532" t="s">
        <v>467</v>
      </c>
      <c r="D80" s="1533"/>
      <c r="E80" s="1783">
        <f>'5. T4 RAHOITUSSUUN.'!G56</f>
        <v>14</v>
      </c>
      <c r="F80" s="495"/>
      <c r="G80" s="586">
        <f>'AT Kassa'!Q42</f>
        <v>0</v>
      </c>
      <c r="H80" s="586">
        <f>'AT Kassa'!R42</f>
        <v>0</v>
      </c>
      <c r="I80" s="586">
        <f>'AT Kassa'!S42</f>
        <v>0</v>
      </c>
      <c r="J80" s="1478"/>
      <c r="K80" s="1478"/>
      <c r="L80" s="1478"/>
      <c r="M80" s="1478"/>
      <c r="N80" s="1478"/>
      <c r="O80" s="1478"/>
      <c r="P80" s="1478"/>
      <c r="Q80" s="1478"/>
      <c r="R80" s="1478"/>
      <c r="S80" s="1500">
        <f>SUM(G80:R80)</f>
        <v>0</v>
      </c>
      <c r="T80" s="1508"/>
      <c r="U80" s="971"/>
      <c r="V80" s="925"/>
      <c r="W80" s="53"/>
      <c r="X80" s="415"/>
      <c r="Y80" s="415"/>
      <c r="Z80" s="414"/>
      <c r="AA80" s="414"/>
      <c r="AB80" s="414"/>
      <c r="AC80" s="1582"/>
      <c r="AD80" s="72"/>
      <c r="AE80" s="72"/>
      <c r="AF80" s="72"/>
      <c r="BD80" s="40"/>
    </row>
    <row r="81" spans="2:68" x14ac:dyDescent="0.2">
      <c r="B81" s="1499">
        <f>B79+1</f>
        <v>7</v>
      </c>
      <c r="C81" s="2219" t="s">
        <v>677</v>
      </c>
      <c r="D81" s="2217"/>
      <c r="E81" s="2218"/>
      <c r="F81" s="1782"/>
      <c r="G81" s="1500"/>
      <c r="H81" s="1500"/>
      <c r="I81" s="1500"/>
      <c r="J81" s="1500"/>
      <c r="K81" s="1500"/>
      <c r="L81" s="1500"/>
      <c r="M81" s="1500"/>
      <c r="N81" s="1500"/>
      <c r="O81" s="1500"/>
      <c r="P81" s="1500"/>
      <c r="Q81" s="1500"/>
      <c r="R81" s="1500"/>
      <c r="S81" s="593">
        <f>SUM(G81:R81)</f>
        <v>0</v>
      </c>
      <c r="T81" s="1491" t="s">
        <v>0</v>
      </c>
      <c r="U81" s="1492"/>
      <c r="V81" s="925"/>
      <c r="W81" s="53"/>
      <c r="X81" s="2213" t="s">
        <v>127</v>
      </c>
      <c r="Y81" s="2214"/>
      <c r="Z81" s="2214"/>
      <c r="AA81" s="2214"/>
      <c r="AB81" s="2214"/>
      <c r="AC81" s="2214"/>
      <c r="AD81" s="2214"/>
      <c r="AE81" s="2214"/>
      <c r="AF81" s="2215"/>
      <c r="AG81" s="2213" t="s">
        <v>420</v>
      </c>
      <c r="AH81" s="2214"/>
      <c r="AI81" s="2214"/>
      <c r="AJ81" s="2214"/>
      <c r="AK81" s="2214"/>
      <c r="AL81" s="2214"/>
      <c r="AM81" s="2215"/>
      <c r="AN81" s="2213" t="s">
        <v>419</v>
      </c>
      <c r="AO81" s="2214"/>
      <c r="AP81" s="2214"/>
      <c r="AQ81" s="2214"/>
      <c r="AR81" s="2214"/>
      <c r="AS81" s="2214"/>
      <c r="AT81" s="2215"/>
      <c r="AU81" s="2201" t="s">
        <v>18</v>
      </c>
      <c r="AV81" s="2202"/>
      <c r="AW81" s="2202"/>
      <c r="AX81" s="2202"/>
      <c r="AY81" s="2203"/>
      <c r="BD81" s="40"/>
    </row>
    <row r="82" spans="2:68" x14ac:dyDescent="0.2">
      <c r="B82" s="1499">
        <f t="shared" ref="B82:B101" si="36">B81+1</f>
        <v>8</v>
      </c>
      <c r="C82" s="1523" t="s">
        <v>119</v>
      </c>
      <c r="D82" s="1534"/>
      <c r="E82" s="1524"/>
      <c r="F82" s="1712">
        <v>25.5</v>
      </c>
      <c r="G82" s="1298">
        <f t="shared" ref="G82:R82" si="37">$U82/12</f>
        <v>0</v>
      </c>
      <c r="H82" s="1298">
        <f t="shared" si="37"/>
        <v>0</v>
      </c>
      <c r="I82" s="1298">
        <f t="shared" si="37"/>
        <v>0</v>
      </c>
      <c r="J82" s="1298">
        <f t="shared" si="37"/>
        <v>0</v>
      </c>
      <c r="K82" s="1298">
        <f t="shared" si="37"/>
        <v>0</v>
      </c>
      <c r="L82" s="1298">
        <f t="shared" si="37"/>
        <v>0</v>
      </c>
      <c r="M82" s="1298">
        <f t="shared" si="37"/>
        <v>0</v>
      </c>
      <c r="N82" s="1298">
        <f t="shared" si="37"/>
        <v>0</v>
      </c>
      <c r="O82" s="1298">
        <f t="shared" si="37"/>
        <v>0</v>
      </c>
      <c r="P82" s="1298">
        <f t="shared" si="37"/>
        <v>0</v>
      </c>
      <c r="Q82" s="1298">
        <f t="shared" si="37"/>
        <v>0</v>
      </c>
      <c r="R82" s="1298">
        <f t="shared" si="37"/>
        <v>0</v>
      </c>
      <c r="S82" s="1500">
        <f>SUM(G82:R82)</f>
        <v>0</v>
      </c>
      <c r="T82" s="977">
        <f>U82-S82</f>
        <v>0</v>
      </c>
      <c r="U82" s="968">
        <f>-'7. T2 TULOSSUUN.'!I16-'7. T2 TULOSSUUN.'!I16*'8. T5 KASSABUDJETTI'!F82/100</f>
        <v>0</v>
      </c>
      <c r="V82" s="925"/>
      <c r="W82" s="53"/>
      <c r="X82" s="500"/>
      <c r="Y82" s="500"/>
      <c r="Z82" s="500"/>
      <c r="AA82" s="500"/>
      <c r="AB82" s="500"/>
      <c r="AC82" s="500"/>
      <c r="AD82" s="1010"/>
      <c r="AE82" s="1010"/>
      <c r="AF82" s="1010"/>
      <c r="AG82" s="500"/>
      <c r="AH82" s="500"/>
      <c r="AI82" s="500"/>
      <c r="AJ82" s="500"/>
      <c r="AK82" s="1010"/>
      <c r="AL82" s="1010"/>
      <c r="AM82" s="1010"/>
      <c r="AN82" s="500"/>
      <c r="AO82" s="500"/>
      <c r="AP82" s="500"/>
      <c r="AQ82" s="500"/>
      <c r="AR82" s="1010"/>
      <c r="AS82" s="1010"/>
      <c r="AT82" s="1010"/>
      <c r="BD82" s="40"/>
    </row>
    <row r="83" spans="2:68" x14ac:dyDescent="0.2">
      <c r="B83" s="1499">
        <f t="shared" si="36"/>
        <v>9</v>
      </c>
      <c r="C83" s="2219" t="s">
        <v>395</v>
      </c>
      <c r="D83" s="2217"/>
      <c r="E83" s="2218"/>
      <c r="F83" s="1712">
        <v>25.5</v>
      </c>
      <c r="G83" s="1298">
        <f>'1. T1 INVESTOINTISUUN.'!F20+'1. T1 INVESTOINTISUUN.'!F27+IF('1. T1 INVESTOINTISUUN.'!F33&gt;0,'1. T1 INVESTOINTISUUN.'!F32,0)+IF('1. T1 INVESTOINTISUUN.'!F36=0,0,'1. T1 INVESTOINTISUUN.'!F35)</f>
        <v>0</v>
      </c>
      <c r="H83" s="1298">
        <v>0</v>
      </c>
      <c r="I83" s="1298">
        <v>0</v>
      </c>
      <c r="J83" s="1298">
        <v>0</v>
      </c>
      <c r="K83" s="1298">
        <v>0</v>
      </c>
      <c r="L83" s="1298">
        <v>0</v>
      </c>
      <c r="M83" s="1298">
        <v>0</v>
      </c>
      <c r="N83" s="1298">
        <v>0</v>
      </c>
      <c r="O83" s="1298">
        <v>0</v>
      </c>
      <c r="P83" s="1298">
        <v>0</v>
      </c>
      <c r="Q83" s="1298">
        <v>0</v>
      </c>
      <c r="R83" s="1298"/>
      <c r="S83" s="1500">
        <f t="shared" ref="S83:S101" si="38">SUM(G83:R83)</f>
        <v>0</v>
      </c>
      <c r="T83" s="978" t="s">
        <v>0</v>
      </c>
      <c r="U83" s="969"/>
      <c r="V83" s="925"/>
      <c r="W83" s="53"/>
      <c r="X83" s="1011"/>
      <c r="Y83" s="1032"/>
      <c r="Z83" s="1030" t="s">
        <v>120</v>
      </c>
      <c r="AA83" s="1012" t="s">
        <v>376</v>
      </c>
      <c r="AB83" s="1012" t="s">
        <v>128</v>
      </c>
      <c r="AC83" s="2210" t="s">
        <v>104</v>
      </c>
      <c r="AD83" s="1013" t="s">
        <v>121</v>
      </c>
      <c r="AE83" s="1013" t="s">
        <v>436</v>
      </c>
      <c r="AF83" s="1014" t="s">
        <v>122</v>
      </c>
      <c r="AG83" s="1030" t="s">
        <v>120</v>
      </c>
      <c r="AH83" s="1012" t="s">
        <v>376</v>
      </c>
      <c r="AI83" s="1012" t="s">
        <v>128</v>
      </c>
      <c r="AJ83" s="2210" t="s">
        <v>104</v>
      </c>
      <c r="AK83" s="1013" t="s">
        <v>121</v>
      </c>
      <c r="AL83" s="1013" t="s">
        <v>436</v>
      </c>
      <c r="AM83" s="1014" t="s">
        <v>122</v>
      </c>
      <c r="AN83" s="1027" t="s">
        <v>120</v>
      </c>
      <c r="AO83" s="1012" t="s">
        <v>376</v>
      </c>
      <c r="AP83" s="1012" t="s">
        <v>128</v>
      </c>
      <c r="AQ83" s="2210" t="s">
        <v>104</v>
      </c>
      <c r="AR83" s="1013" t="s">
        <v>121</v>
      </c>
      <c r="AS83" s="1013" t="s">
        <v>436</v>
      </c>
      <c r="AT83" s="453" t="s">
        <v>122</v>
      </c>
      <c r="AU83" s="1025" t="s">
        <v>121</v>
      </c>
      <c r="AV83" s="1013" t="s">
        <v>436</v>
      </c>
      <c r="AW83" s="1014" t="s">
        <v>122</v>
      </c>
      <c r="AX83" s="2199" t="s">
        <v>867</v>
      </c>
      <c r="AY83" s="2200"/>
      <c r="BD83" s="40"/>
    </row>
    <row r="84" spans="2:68" x14ac:dyDescent="0.2">
      <c r="B84" s="1499">
        <f t="shared" si="36"/>
        <v>10</v>
      </c>
      <c r="C84" s="2244" t="s">
        <v>398</v>
      </c>
      <c r="D84" s="2245"/>
      <c r="E84" s="2246"/>
      <c r="F84" s="1712">
        <f>F28</f>
        <v>25.5</v>
      </c>
      <c r="G84" s="1298">
        <f t="shared" ref="G84:R86" si="39">$U84/12</f>
        <v>0</v>
      </c>
      <c r="H84" s="1298">
        <f t="shared" si="39"/>
        <v>0</v>
      </c>
      <c r="I84" s="1298">
        <f t="shared" si="39"/>
        <v>0</v>
      </c>
      <c r="J84" s="1298">
        <f t="shared" si="39"/>
        <v>0</v>
      </c>
      <c r="K84" s="1298">
        <f t="shared" si="39"/>
        <v>0</v>
      </c>
      <c r="L84" s="1298">
        <f t="shared" si="39"/>
        <v>0</v>
      </c>
      <c r="M84" s="1298">
        <f t="shared" si="39"/>
        <v>0</v>
      </c>
      <c r="N84" s="1298">
        <f t="shared" si="39"/>
        <v>0</v>
      </c>
      <c r="O84" s="1298">
        <f t="shared" si="39"/>
        <v>0</v>
      </c>
      <c r="P84" s="1298">
        <f t="shared" si="39"/>
        <v>0</v>
      </c>
      <c r="Q84" s="1298">
        <f t="shared" si="39"/>
        <v>0</v>
      </c>
      <c r="R84" s="1298">
        <f t="shared" si="39"/>
        <v>0</v>
      </c>
      <c r="S84" s="1500">
        <f t="shared" si="38"/>
        <v>0</v>
      </c>
      <c r="T84" s="977">
        <f>U84-S84</f>
        <v>0</v>
      </c>
      <c r="U84" s="968">
        <f>'3. E1 KUSTANNUKSET'!F53+'3. E1 KUSTANNUKSET'!F53*'8. T5 KASSABUDJETTI'!F84/100</f>
        <v>0</v>
      </c>
      <c r="V84" s="925"/>
      <c r="W84" s="53"/>
      <c r="X84" s="1015"/>
      <c r="Y84" s="1033"/>
      <c r="Z84" s="1031" t="s">
        <v>123</v>
      </c>
      <c r="AA84" s="1016" t="s">
        <v>124</v>
      </c>
      <c r="AB84" s="1016" t="s">
        <v>129</v>
      </c>
      <c r="AC84" s="2211"/>
      <c r="AD84" s="1017" t="s">
        <v>125</v>
      </c>
      <c r="AE84" s="1017" t="s">
        <v>437</v>
      </c>
      <c r="AF84" s="1018" t="s">
        <v>123</v>
      </c>
      <c r="AG84" s="1031" t="s">
        <v>123</v>
      </c>
      <c r="AH84" s="1016" t="s">
        <v>124</v>
      </c>
      <c r="AI84" s="1016" t="s">
        <v>129</v>
      </c>
      <c r="AJ84" s="2211"/>
      <c r="AK84" s="1017" t="s">
        <v>125</v>
      </c>
      <c r="AL84" s="1017" t="s">
        <v>437</v>
      </c>
      <c r="AM84" s="1018" t="s">
        <v>123</v>
      </c>
      <c r="AN84" s="1028" t="s">
        <v>123</v>
      </c>
      <c r="AO84" s="1016" t="s">
        <v>124</v>
      </c>
      <c r="AP84" s="1016" t="s">
        <v>129</v>
      </c>
      <c r="AQ84" s="2211"/>
      <c r="AR84" s="1017" t="s">
        <v>125</v>
      </c>
      <c r="AS84" s="1017" t="s">
        <v>437</v>
      </c>
      <c r="AT84" s="454" t="s">
        <v>123</v>
      </c>
      <c r="AU84" s="1026" t="s">
        <v>125</v>
      </c>
      <c r="AV84" s="1017" t="s">
        <v>437</v>
      </c>
      <c r="AW84" s="1018" t="s">
        <v>123</v>
      </c>
      <c r="AX84" s="1018" t="s">
        <v>868</v>
      </c>
      <c r="AY84" s="1018" t="s">
        <v>869</v>
      </c>
      <c r="BD84" s="40"/>
    </row>
    <row r="85" spans="2:68" x14ac:dyDescent="0.2">
      <c r="B85" s="1499">
        <f t="shared" si="36"/>
        <v>11</v>
      </c>
      <c r="C85" s="2216" t="s">
        <v>857</v>
      </c>
      <c r="D85" s="2217"/>
      <c r="E85" s="2218"/>
      <c r="F85" s="1712">
        <v>25.5</v>
      </c>
      <c r="G85" s="1298">
        <f t="shared" si="39"/>
        <v>0</v>
      </c>
      <c r="H85" s="1298">
        <f t="shared" si="39"/>
        <v>0</v>
      </c>
      <c r="I85" s="1298">
        <f t="shared" si="39"/>
        <v>0</v>
      </c>
      <c r="J85" s="1298">
        <f t="shared" si="39"/>
        <v>0</v>
      </c>
      <c r="K85" s="1298">
        <f t="shared" si="39"/>
        <v>0</v>
      </c>
      <c r="L85" s="1298">
        <f t="shared" si="39"/>
        <v>0</v>
      </c>
      <c r="M85" s="1298">
        <f t="shared" si="39"/>
        <v>0</v>
      </c>
      <c r="N85" s="1298">
        <f t="shared" si="39"/>
        <v>0</v>
      </c>
      <c r="O85" s="1298">
        <f t="shared" si="39"/>
        <v>0</v>
      </c>
      <c r="P85" s="1298">
        <f t="shared" si="39"/>
        <v>0</v>
      </c>
      <c r="Q85" s="1298">
        <f t="shared" si="39"/>
        <v>0</v>
      </c>
      <c r="R85" s="1298">
        <f t="shared" si="39"/>
        <v>0</v>
      </c>
      <c r="S85" s="1500">
        <f t="shared" si="38"/>
        <v>0</v>
      </c>
      <c r="T85" s="977">
        <f>U85-S85</f>
        <v>0</v>
      </c>
      <c r="U85" s="968">
        <f>'3. E1 KUSTANNUKSET'!F65+'3. E1 KUSTANNUKSET'!F65*'8. T5 KASSABUDJETTI'!F85/100+'3. E1 KUSTANNUKSET'!F77+'3. E1 KUSTANNUKSET'!F77*'8. T5 KASSABUDJETTI'!F85/100</f>
        <v>0</v>
      </c>
      <c r="V85" s="925"/>
      <c r="W85" s="53"/>
      <c r="X85" s="1015"/>
      <c r="Y85" s="1033"/>
      <c r="Z85" s="1031"/>
      <c r="AA85" s="1016"/>
      <c r="AB85" s="1016"/>
      <c r="AC85" s="1474"/>
      <c r="AD85" s="1475"/>
      <c r="AE85" s="1475"/>
      <c r="AF85" s="1018"/>
      <c r="AG85" s="1031"/>
      <c r="AH85" s="1016"/>
      <c r="AI85" s="1016"/>
      <c r="AJ85" s="1473"/>
      <c r="AK85" s="1017"/>
      <c r="AL85" s="1017"/>
      <c r="AM85" s="1018"/>
      <c r="AN85" s="1028"/>
      <c r="AO85" s="1016"/>
      <c r="AP85" s="1016"/>
      <c r="AQ85" s="1473"/>
      <c r="AR85" s="1017"/>
      <c r="AS85" s="1017"/>
      <c r="AT85" s="454"/>
      <c r="AU85" s="1026"/>
      <c r="AV85" s="1017"/>
      <c r="AW85" s="1018"/>
      <c r="AX85" s="1018"/>
      <c r="AY85" s="1018"/>
      <c r="BD85" s="40"/>
      <c r="BP85" s="40"/>
    </row>
    <row r="86" spans="2:68" x14ac:dyDescent="0.2">
      <c r="B86" s="1499">
        <f t="shared" si="36"/>
        <v>12</v>
      </c>
      <c r="C86" s="2219" t="s">
        <v>229</v>
      </c>
      <c r="D86" s="2217"/>
      <c r="E86" s="2218"/>
      <c r="F86" s="494"/>
      <c r="G86" s="1298">
        <f>$U86/12</f>
        <v>0</v>
      </c>
      <c r="H86" s="1298">
        <f t="shared" si="39"/>
        <v>0</v>
      </c>
      <c r="I86" s="1298">
        <f t="shared" si="39"/>
        <v>0</v>
      </c>
      <c r="J86" s="1298">
        <f t="shared" si="39"/>
        <v>0</v>
      </c>
      <c r="K86" s="1298">
        <f t="shared" si="39"/>
        <v>0</v>
      </c>
      <c r="L86" s="1298">
        <f t="shared" si="39"/>
        <v>0</v>
      </c>
      <c r="M86" s="1298">
        <f t="shared" si="39"/>
        <v>0</v>
      </c>
      <c r="N86" s="1298">
        <f t="shared" si="39"/>
        <v>0</v>
      </c>
      <c r="O86" s="1298">
        <f t="shared" si="39"/>
        <v>0</v>
      </c>
      <c r="P86" s="1298">
        <f t="shared" si="39"/>
        <v>0</v>
      </c>
      <c r="Q86" s="1298">
        <f t="shared" si="39"/>
        <v>0</v>
      </c>
      <c r="R86" s="1298">
        <f t="shared" si="39"/>
        <v>0</v>
      </c>
      <c r="S86" s="1500">
        <f t="shared" si="38"/>
        <v>0</v>
      </c>
      <c r="T86" s="977">
        <f>U86-S86</f>
        <v>0</v>
      </c>
      <c r="U86" s="970">
        <f>'AT2 Lainat, alv'!G61</f>
        <v>0</v>
      </c>
      <c r="V86" s="1008"/>
      <c r="W86" s="53"/>
      <c r="X86" s="1019"/>
      <c r="Y86" s="1034"/>
      <c r="Z86" s="2208" t="s">
        <v>0</v>
      </c>
      <c r="AA86" s="2209"/>
      <c r="AB86" s="1037"/>
      <c r="AC86" s="1038"/>
      <c r="AD86" s="1047">
        <v>1.9099999999999999E-2</v>
      </c>
      <c r="AE86" s="1036">
        <v>0</v>
      </c>
      <c r="AF86" s="1039"/>
      <c r="AG86" s="2208" t="s">
        <v>0</v>
      </c>
      <c r="AH86" s="2209"/>
      <c r="AI86" s="1037">
        <v>0</v>
      </c>
      <c r="AJ86" s="1037"/>
      <c r="AK86" s="1020">
        <f>AD86</f>
        <v>1.9099999999999999E-2</v>
      </c>
      <c r="AL86" s="1048">
        <v>8.1900000000000001E-2</v>
      </c>
      <c r="AM86" s="1039"/>
      <c r="AN86" s="2208" t="s">
        <v>0</v>
      </c>
      <c r="AO86" s="2209"/>
      <c r="AP86" s="1037" t="s">
        <v>0</v>
      </c>
      <c r="AQ86" s="1037"/>
      <c r="AR86" s="1020">
        <f>AD86</f>
        <v>1.9099999999999999E-2</v>
      </c>
      <c r="AS86" s="1020">
        <f>AL86</f>
        <v>8.1900000000000001E-2</v>
      </c>
      <c r="AT86" s="1040"/>
      <c r="AU86" s="1041"/>
      <c r="AV86" s="1046"/>
      <c r="AW86" s="1042"/>
      <c r="AX86" s="1042"/>
      <c r="AY86" s="1042"/>
      <c r="BD86" s="40"/>
    </row>
    <row r="87" spans="2:68" x14ac:dyDescent="0.2">
      <c r="B87" s="1499">
        <f t="shared" si="36"/>
        <v>13</v>
      </c>
      <c r="C87" s="2219" t="s">
        <v>94</v>
      </c>
      <c r="D87" s="2217"/>
      <c r="E87" s="2218"/>
      <c r="F87" s="494"/>
      <c r="G87" s="587">
        <f>'AT1 Avustus, alv'!W27</f>
        <v>0</v>
      </c>
      <c r="H87" s="587">
        <f>'AT1 Avustus, alv'!X27</f>
        <v>0</v>
      </c>
      <c r="I87" s="587">
        <f>'AT1 Avustus, alv'!M57</f>
        <v>0</v>
      </c>
      <c r="J87" s="587">
        <f>'AT1 Avustus, alv'!N57</f>
        <v>0</v>
      </c>
      <c r="K87" s="587">
        <f>'AT1 Avustus, alv'!O57</f>
        <v>0</v>
      </c>
      <c r="L87" s="587">
        <f>'AT1 Avustus, alv'!P57</f>
        <v>0</v>
      </c>
      <c r="M87" s="587">
        <f>'AT1 Avustus, alv'!Q57</f>
        <v>0</v>
      </c>
      <c r="N87" s="587">
        <f>'AT1 Avustus, alv'!R57</f>
        <v>0</v>
      </c>
      <c r="O87" s="587">
        <f>'AT1 Avustus, alv'!S57</f>
        <v>0</v>
      </c>
      <c r="P87" s="587">
        <f>'AT1 Avustus, alv'!T57</f>
        <v>0</v>
      </c>
      <c r="Q87" s="587">
        <f>'AT1 Avustus, alv'!U57</f>
        <v>0</v>
      </c>
      <c r="R87" s="587">
        <f>'AT1 Avustus, alv'!V57</f>
        <v>0</v>
      </c>
      <c r="S87" s="1500">
        <f t="shared" si="38"/>
        <v>0</v>
      </c>
      <c r="T87" s="972" t="s">
        <v>0</v>
      </c>
      <c r="U87" s="971"/>
      <c r="V87" s="925"/>
      <c r="W87" s="53"/>
      <c r="X87" s="2206">
        <f>K62</f>
        <v>2028</v>
      </c>
      <c r="Y87" s="2207"/>
      <c r="Z87" s="872">
        <f>'3. E1 KUSTANNUKSET'!F13*'3. E1 KUSTANNUKSET'!F15</f>
        <v>0</v>
      </c>
      <c r="AA87" s="1021">
        <f>IF('3. E1 KUSTANNUKSET'!F15&gt;12,12,'3. E1 KUSTANNUKSET'!F15)*'3. E1 KUSTANNUKSET'!F14</f>
        <v>0</v>
      </c>
      <c r="AB87" s="1021">
        <f>AA87+Z87</f>
        <v>0</v>
      </c>
      <c r="AC87" s="1035">
        <f>'3. E1 KUSTANNUKSET'!F16</f>
        <v>0.28999999999999998</v>
      </c>
      <c r="AD87" s="1771">
        <f>(AC87+AD$25)*AB87</f>
        <v>0</v>
      </c>
      <c r="AE87" s="1043">
        <f>AE$25*$AB87</f>
        <v>0</v>
      </c>
      <c r="AF87" s="1023">
        <f>Z87-AB87*AC87</f>
        <v>0</v>
      </c>
      <c r="AG87" s="872">
        <f>'3. E1 KUSTANNUKSET'!F18*'3. E1 KUSTANNUKSET'!F19*'3. E1 KUSTANNUKSET'!F20*'3. E1 KUSTANNUKSET'!F21</f>
        <v>0</v>
      </c>
      <c r="AH87" s="1021">
        <f>'3. E1 KUSTANNUKSET'!F22</f>
        <v>0</v>
      </c>
      <c r="AI87" s="1021">
        <f>AH87+AG87</f>
        <v>0</v>
      </c>
      <c r="AJ87" s="1035">
        <f>'3. E1 KUSTANNUKSET'!F23</f>
        <v>0.2</v>
      </c>
      <c r="AK87" s="1771">
        <f>(AJ87+AK$25)*AI87</f>
        <v>0</v>
      </c>
      <c r="AL87" s="1043">
        <f>AI87*AL$25</f>
        <v>0</v>
      </c>
      <c r="AM87" s="1023">
        <f>AG87-AI87*AJ87-AL87</f>
        <v>0</v>
      </c>
      <c r="AN87" s="1029">
        <f>'3. E1 KUSTANNUKSET'!F25*'3. E1 KUSTANNUKSET'!F26*'3. E1 KUSTANNUKSET'!F27</f>
        <v>0</v>
      </c>
      <c r="AO87" s="1021">
        <f>'3. E1 KUSTANNUKSET'!F28</f>
        <v>0</v>
      </c>
      <c r="AP87" s="1021">
        <f>AO87+AN87</f>
        <v>0</v>
      </c>
      <c r="AQ87" s="1035">
        <f>'3. E1 KUSTANNUKSET'!F29</f>
        <v>0.25</v>
      </c>
      <c r="AR87" s="1771">
        <f>(AQ87+AR$25)*AP87</f>
        <v>0</v>
      </c>
      <c r="AS87" s="1043">
        <f>AP87*AS$25</f>
        <v>0</v>
      </c>
      <c r="AT87" s="1023">
        <f>AN87-AP87*AQ87-AS87</f>
        <v>0</v>
      </c>
      <c r="AU87" s="1044">
        <f>AR87+AK87+AD87</f>
        <v>0</v>
      </c>
      <c r="AV87" s="1022">
        <f>AS87+AL87+AE87</f>
        <v>0</v>
      </c>
      <c r="AW87" s="1045">
        <f>AT87+AM87+AF87</f>
        <v>0</v>
      </c>
      <c r="AX87" s="1045">
        <f>AB87</f>
        <v>0</v>
      </c>
      <c r="AY87" s="1045">
        <f>AI87+AP87</f>
        <v>0</v>
      </c>
      <c r="BD87" s="40"/>
    </row>
    <row r="88" spans="2:68" x14ac:dyDescent="0.2">
      <c r="B88" s="2227">
        <v>14</v>
      </c>
      <c r="C88" s="2220" t="s">
        <v>870</v>
      </c>
      <c r="D88" s="2221"/>
      <c r="E88" s="2222"/>
      <c r="F88" s="494"/>
      <c r="G88" s="589">
        <f>U88/'3. E1 KUSTANNUKSET'!F15</f>
        <v>0</v>
      </c>
      <c r="H88" s="589">
        <f>G88</f>
        <v>0</v>
      </c>
      <c r="I88" s="589">
        <f t="shared" ref="I88:L88" si="40">H88</f>
        <v>0</v>
      </c>
      <c r="J88" s="589">
        <f t="shared" si="40"/>
        <v>0</v>
      </c>
      <c r="K88" s="589">
        <f t="shared" si="40"/>
        <v>0</v>
      </c>
      <c r="L88" s="589">
        <f t="shared" si="40"/>
        <v>0</v>
      </c>
      <c r="M88" s="589">
        <f>1.5*L88</f>
        <v>0</v>
      </c>
      <c r="N88" s="589">
        <f>L88</f>
        <v>0</v>
      </c>
      <c r="O88" s="589">
        <f>N88</f>
        <v>0</v>
      </c>
      <c r="P88" s="589">
        <f t="shared" ref="P88:R90" si="41">O88</f>
        <v>0</v>
      </c>
      <c r="Q88" s="589">
        <f t="shared" si="41"/>
        <v>0</v>
      </c>
      <c r="R88" s="589">
        <f t="shared" si="41"/>
        <v>0</v>
      </c>
      <c r="S88" s="1500">
        <f>SUM(G88:R88)</f>
        <v>0</v>
      </c>
      <c r="T88" s="1803">
        <f t="shared" ref="T88" si="42">U88-S88</f>
        <v>0</v>
      </c>
      <c r="U88" s="970">
        <f>'3. E1 KUSTANNUKSET'!F12</f>
        <v>0</v>
      </c>
      <c r="V88" s="925"/>
      <c r="W88" s="53"/>
      <c r="X88" s="1055"/>
      <c r="BD88" s="40"/>
    </row>
    <row r="89" spans="2:68" ht="12" customHeight="1" x14ac:dyDescent="0.2">
      <c r="B89" s="2228"/>
      <c r="C89" s="2267" t="s">
        <v>875</v>
      </c>
      <c r="D89" s="2221"/>
      <c r="E89" s="2222"/>
      <c r="F89" s="504">
        <v>20.73</v>
      </c>
      <c r="G89" s="1804">
        <f>F33/100*R32</f>
        <v>0</v>
      </c>
      <c r="H89" s="587">
        <f>$F89/100*G88</f>
        <v>0</v>
      </c>
      <c r="I89" s="587">
        <f t="shared" ref="I89:R89" si="43">$F89/100*H88</f>
        <v>0</v>
      </c>
      <c r="J89" s="587">
        <f t="shared" si="43"/>
        <v>0</v>
      </c>
      <c r="K89" s="587">
        <f t="shared" si="43"/>
        <v>0</v>
      </c>
      <c r="L89" s="587">
        <f t="shared" si="43"/>
        <v>0</v>
      </c>
      <c r="M89" s="587">
        <f t="shared" si="43"/>
        <v>0</v>
      </c>
      <c r="N89" s="587">
        <f t="shared" si="43"/>
        <v>0</v>
      </c>
      <c r="O89" s="587">
        <f t="shared" si="43"/>
        <v>0</v>
      </c>
      <c r="P89" s="587">
        <f t="shared" si="43"/>
        <v>0</v>
      </c>
      <c r="Q89" s="587">
        <f t="shared" si="43"/>
        <v>0</v>
      </c>
      <c r="R89" s="587">
        <f t="shared" si="43"/>
        <v>0</v>
      </c>
      <c r="S89" s="1500">
        <f>SUM(G89:R89)</f>
        <v>0</v>
      </c>
      <c r="T89" s="1780"/>
      <c r="U89" s="1781"/>
      <c r="V89" s="925"/>
      <c r="W89" s="53"/>
      <c r="X89" s="1055"/>
      <c r="Y89" s="572"/>
      <c r="Z89" s="416"/>
      <c r="AA89" s="416"/>
      <c r="AB89" s="1805"/>
      <c r="AC89" s="1805"/>
      <c r="AD89" s="1805"/>
      <c r="AE89" s="1805"/>
      <c r="AF89" s="1805"/>
      <c r="AG89" s="1805"/>
      <c r="AH89" s="1805"/>
      <c r="AI89" s="1805"/>
      <c r="AJ89" s="1805"/>
      <c r="AK89" s="1805"/>
      <c r="AL89" s="1805"/>
      <c r="AM89" s="1805"/>
      <c r="AN89" s="1762"/>
      <c r="AO89" s="416"/>
      <c r="AP89" s="416"/>
      <c r="AQ89" s="416"/>
      <c r="AR89" s="1058"/>
      <c r="AS89" s="1058"/>
      <c r="AT89" s="1057"/>
      <c r="AU89" s="1058"/>
      <c r="AV89" s="1058"/>
      <c r="AW89" s="1058"/>
      <c r="BD89" s="40"/>
    </row>
    <row r="90" spans="2:68" x14ac:dyDescent="0.2">
      <c r="B90" s="1773">
        <v>15</v>
      </c>
      <c r="C90" s="2220" t="s">
        <v>874</v>
      </c>
      <c r="D90" s="2265"/>
      <c r="E90" s="2266"/>
      <c r="F90" s="1768"/>
      <c r="G90" s="589">
        <f>U90/'3. E1 KUSTANNUKSET'!F21</f>
        <v>0</v>
      </c>
      <c r="H90" s="589">
        <f>G90</f>
        <v>0</v>
      </c>
      <c r="I90" s="589">
        <f t="shared" ref="I90:L90" si="44">H90</f>
        <v>0</v>
      </c>
      <c r="J90" s="589">
        <f t="shared" si="44"/>
        <v>0</v>
      </c>
      <c r="K90" s="589">
        <f t="shared" si="44"/>
        <v>0</v>
      </c>
      <c r="L90" s="589">
        <f t="shared" si="44"/>
        <v>0</v>
      </c>
      <c r="M90" s="589">
        <f>1.5*L90</f>
        <v>0</v>
      </c>
      <c r="N90" s="589">
        <f>L90</f>
        <v>0</v>
      </c>
      <c r="O90" s="589">
        <f>N90</f>
        <v>0</v>
      </c>
      <c r="P90" s="589">
        <f t="shared" si="41"/>
        <v>0</v>
      </c>
      <c r="Q90" s="589">
        <f t="shared" si="41"/>
        <v>0</v>
      </c>
      <c r="R90" s="589">
        <f t="shared" si="41"/>
        <v>0</v>
      </c>
      <c r="S90" s="1500">
        <f>SUM(G90:R90)</f>
        <v>0</v>
      </c>
      <c r="T90" s="1803">
        <f>U90-S90-S91</f>
        <v>0</v>
      </c>
      <c r="U90" s="970">
        <f>'3. E1 KUSTANNUKSET'!F17+'3. E1 KUSTANNUKSET'!F24</f>
        <v>0</v>
      </c>
      <c r="V90" s="916"/>
      <c r="W90" s="53"/>
      <c r="X90" s="1055"/>
      <c r="Y90" s="2205"/>
      <c r="Z90" s="2205"/>
      <c r="AA90" s="2205"/>
      <c r="AB90" s="1806"/>
      <c r="AC90" s="1806"/>
      <c r="AD90" s="1806"/>
      <c r="AE90" s="1806"/>
      <c r="AF90" s="1806"/>
      <c r="AG90" s="1806"/>
      <c r="AH90" s="1806"/>
      <c r="AI90" s="1806"/>
      <c r="AJ90" s="1806"/>
      <c r="AK90" s="1806"/>
      <c r="AL90" s="1806"/>
      <c r="AM90" s="1806"/>
      <c r="AN90" s="1807"/>
      <c r="BD90" s="40"/>
    </row>
    <row r="91" spans="2:68" x14ac:dyDescent="0.2">
      <c r="B91" s="1499">
        <v>16</v>
      </c>
      <c r="C91" s="1775" t="s">
        <v>872</v>
      </c>
      <c r="D91" s="1527"/>
      <c r="E91" s="1776"/>
      <c r="F91" s="1768"/>
      <c r="G91" s="589">
        <v>0</v>
      </c>
      <c r="H91" s="589">
        <v>0</v>
      </c>
      <c r="I91" s="589">
        <v>0</v>
      </c>
      <c r="J91" s="589">
        <v>0</v>
      </c>
      <c r="K91" s="589">
        <v>0</v>
      </c>
      <c r="L91" s="589">
        <v>0</v>
      </c>
      <c r="M91" s="589">
        <v>0</v>
      </c>
      <c r="N91" s="589">
        <v>0</v>
      </c>
      <c r="O91" s="589">
        <v>0</v>
      </c>
      <c r="P91" s="589">
        <v>0</v>
      </c>
      <c r="Q91" s="589">
        <v>0</v>
      </c>
      <c r="R91" s="589">
        <v>0</v>
      </c>
      <c r="S91" s="1500">
        <f>SUM(G91:R91)</f>
        <v>0</v>
      </c>
      <c r="T91" s="973"/>
      <c r="U91" s="916"/>
      <c r="V91" s="916"/>
      <c r="W91" s="53"/>
      <c r="X91" s="1055"/>
      <c r="Y91" s="2205"/>
      <c r="Z91" s="2205"/>
      <c r="AA91" s="2205"/>
      <c r="AB91" s="1808"/>
      <c r="AC91" s="1808"/>
      <c r="AD91" s="1808"/>
      <c r="AE91" s="1808"/>
      <c r="AF91" s="1808"/>
      <c r="AG91" s="1808"/>
      <c r="AH91" s="1808"/>
      <c r="AI91" s="1808"/>
      <c r="AJ91" s="1808"/>
      <c r="AK91" s="1808"/>
      <c r="AL91" s="1808"/>
      <c r="AM91" s="1808"/>
      <c r="AN91" s="1807"/>
      <c r="BD91" s="40"/>
    </row>
    <row r="92" spans="2:68" x14ac:dyDescent="0.2">
      <c r="B92" s="1774">
        <v>17</v>
      </c>
      <c r="C92" s="1775" t="s">
        <v>873</v>
      </c>
      <c r="D92" s="1527"/>
      <c r="E92" s="1776"/>
      <c r="F92" s="505">
        <v>19</v>
      </c>
      <c r="G92" s="1804">
        <f>F36/100*(R34+R35)</f>
        <v>0</v>
      </c>
      <c r="H92" s="587">
        <f>$F92/100*(G90+G91)</f>
        <v>0</v>
      </c>
      <c r="I92" s="587">
        <f t="shared" ref="I92" si="45">$F92/100*(H90+H91)</f>
        <v>0</v>
      </c>
      <c r="J92" s="587">
        <f t="shared" ref="J92" si="46">$F92/100*(I90+I91)</f>
        <v>0</v>
      </c>
      <c r="K92" s="587">
        <f t="shared" ref="K92" si="47">$F92/100*(J90+J91)</f>
        <v>0</v>
      </c>
      <c r="L92" s="587">
        <f t="shared" ref="L92" si="48">$F92/100*(K90+K91)</f>
        <v>0</v>
      </c>
      <c r="M92" s="587">
        <f t="shared" ref="M92" si="49">$F92/100*(L90+L91)</f>
        <v>0</v>
      </c>
      <c r="N92" s="587">
        <f t="shared" ref="N92" si="50">$F92/100*(M90+M91)</f>
        <v>0</v>
      </c>
      <c r="O92" s="587">
        <f t="shared" ref="O92" si="51">$F92/100*(N90+N91)</f>
        <v>0</v>
      </c>
      <c r="P92" s="587">
        <f t="shared" ref="P92" si="52">$F92/100*(O90+O91)</f>
        <v>0</v>
      </c>
      <c r="Q92" s="587">
        <f t="shared" ref="Q92" si="53">$F92/100*(P90+P91)</f>
        <v>0</v>
      </c>
      <c r="R92" s="587">
        <f t="shared" ref="R92" si="54">$F92/100*(Q90+Q91)</f>
        <v>0</v>
      </c>
      <c r="S92" s="1500">
        <f>SUM(G92:R92)</f>
        <v>0</v>
      </c>
      <c r="T92" s="973" t="s">
        <v>0</v>
      </c>
      <c r="U92" s="916"/>
      <c r="V92" s="916"/>
      <c r="W92" s="53"/>
      <c r="X92" s="1806"/>
      <c r="Y92" s="2205"/>
      <c r="Z92" s="2205"/>
      <c r="AA92" s="2205"/>
      <c r="AB92" s="1808"/>
      <c r="AC92" s="1808"/>
      <c r="AD92" s="1808"/>
      <c r="AE92" s="1808"/>
      <c r="AF92" s="1808"/>
      <c r="AG92" s="1808"/>
      <c r="AH92" s="1808"/>
      <c r="AI92" s="1808"/>
      <c r="AJ92" s="1808"/>
      <c r="AK92" s="1808"/>
      <c r="AL92" s="1808"/>
      <c r="AM92" s="1808"/>
      <c r="AN92" s="1807"/>
      <c r="BD92" s="40"/>
    </row>
    <row r="93" spans="2:68" x14ac:dyDescent="0.2">
      <c r="B93" s="1774">
        <v>18</v>
      </c>
      <c r="C93" s="2219" t="s">
        <v>347</v>
      </c>
      <c r="D93" s="2221"/>
      <c r="E93" s="2221"/>
      <c r="F93" s="506"/>
      <c r="G93" s="1298">
        <f>$U93/12</f>
        <v>0</v>
      </c>
      <c r="H93" s="1298">
        <f t="shared" ref="H93:R97" si="55">$U93/12</f>
        <v>0</v>
      </c>
      <c r="I93" s="1298">
        <f t="shared" si="55"/>
        <v>0</v>
      </c>
      <c r="J93" s="1298">
        <f t="shared" si="55"/>
        <v>0</v>
      </c>
      <c r="K93" s="1298">
        <f t="shared" si="55"/>
        <v>0</v>
      </c>
      <c r="L93" s="1298">
        <f t="shared" si="55"/>
        <v>0</v>
      </c>
      <c r="M93" s="1298">
        <f t="shared" si="55"/>
        <v>0</v>
      </c>
      <c r="N93" s="1298">
        <f t="shared" si="55"/>
        <v>0</v>
      </c>
      <c r="O93" s="1298">
        <f t="shared" si="55"/>
        <v>0</v>
      </c>
      <c r="P93" s="1298">
        <f t="shared" si="55"/>
        <v>0</v>
      </c>
      <c r="Q93" s="1298">
        <f t="shared" si="55"/>
        <v>0</v>
      </c>
      <c r="R93" s="1298">
        <f t="shared" si="55"/>
        <v>0</v>
      </c>
      <c r="S93" s="1500">
        <f t="shared" si="38"/>
        <v>0</v>
      </c>
      <c r="T93" s="977">
        <f>U93-S93</f>
        <v>0</v>
      </c>
      <c r="U93" s="968">
        <f>'3. E1 KUSTANNUKSET'!F38+'3. E1 KUSTANNUKSET'!F43+'3. E1 KUSTANNUKSET'!F42</f>
        <v>0</v>
      </c>
      <c r="V93" s="925"/>
      <c r="W93" s="53"/>
      <c r="BD93" s="40"/>
    </row>
    <row r="94" spans="2:68" x14ac:dyDescent="0.2">
      <c r="B94" s="1499">
        <f t="shared" si="36"/>
        <v>19</v>
      </c>
      <c r="C94" s="2244" t="s">
        <v>396</v>
      </c>
      <c r="D94" s="2245"/>
      <c r="E94" s="2246"/>
      <c r="F94" s="495"/>
      <c r="G94" s="1298">
        <f>$U94/12</f>
        <v>0</v>
      </c>
      <c r="H94" s="1298">
        <f t="shared" si="55"/>
        <v>0</v>
      </c>
      <c r="I94" s="1298">
        <f t="shared" si="55"/>
        <v>0</v>
      </c>
      <c r="J94" s="1298">
        <f t="shared" si="55"/>
        <v>0</v>
      </c>
      <c r="K94" s="1298">
        <f t="shared" si="55"/>
        <v>0</v>
      </c>
      <c r="L94" s="1298">
        <f t="shared" si="55"/>
        <v>0</v>
      </c>
      <c r="M94" s="1298">
        <f t="shared" si="55"/>
        <v>0</v>
      </c>
      <c r="N94" s="1298">
        <f t="shared" si="55"/>
        <v>0</v>
      </c>
      <c r="O94" s="1298">
        <f t="shared" si="55"/>
        <v>0</v>
      </c>
      <c r="P94" s="1298">
        <f t="shared" si="55"/>
        <v>0</v>
      </c>
      <c r="Q94" s="1298">
        <f t="shared" si="55"/>
        <v>0</v>
      </c>
      <c r="R94" s="1298">
        <f t="shared" si="55"/>
        <v>0</v>
      </c>
      <c r="S94" s="1500">
        <f t="shared" si="38"/>
        <v>0</v>
      </c>
      <c r="T94" s="977">
        <f>U94-S94</f>
        <v>0</v>
      </c>
      <c r="U94" s="968">
        <f>'3. E1 KUSTANNUKSET'!F130</f>
        <v>0</v>
      </c>
      <c r="V94" s="925"/>
      <c r="W94" s="53"/>
      <c r="X94" s="1055"/>
      <c r="Y94" s="414"/>
      <c r="Z94" s="416"/>
      <c r="AA94" s="416"/>
      <c r="AB94" s="416"/>
      <c r="AC94" s="416"/>
      <c r="AD94" s="1056"/>
      <c r="AE94" s="1056"/>
      <c r="AF94" s="1057"/>
      <c r="BD94" s="40"/>
    </row>
    <row r="95" spans="2:68" x14ac:dyDescent="0.2">
      <c r="B95" s="1499">
        <f t="shared" si="36"/>
        <v>20</v>
      </c>
      <c r="C95" s="2219" t="s">
        <v>397</v>
      </c>
      <c r="D95" s="2217"/>
      <c r="E95" s="2218"/>
      <c r="F95" s="492"/>
      <c r="G95" s="1298">
        <f>$U95/12</f>
        <v>0</v>
      </c>
      <c r="H95" s="1298">
        <f t="shared" si="55"/>
        <v>0</v>
      </c>
      <c r="I95" s="1298">
        <f t="shared" si="55"/>
        <v>0</v>
      </c>
      <c r="J95" s="1298">
        <f t="shared" si="55"/>
        <v>0</v>
      </c>
      <c r="K95" s="1298">
        <f t="shared" si="55"/>
        <v>0</v>
      </c>
      <c r="L95" s="1298">
        <f t="shared" si="55"/>
        <v>0</v>
      </c>
      <c r="M95" s="1298">
        <f t="shared" si="55"/>
        <v>0</v>
      </c>
      <c r="N95" s="1298">
        <f t="shared" si="55"/>
        <v>0</v>
      </c>
      <c r="O95" s="1298">
        <f t="shared" si="55"/>
        <v>0</v>
      </c>
      <c r="P95" s="1298">
        <f t="shared" si="55"/>
        <v>0</v>
      </c>
      <c r="Q95" s="1298">
        <f t="shared" si="55"/>
        <v>0</v>
      </c>
      <c r="R95" s="1298">
        <f t="shared" si="55"/>
        <v>0</v>
      </c>
      <c r="S95" s="1500">
        <f t="shared" si="38"/>
        <v>0</v>
      </c>
      <c r="T95" s="977">
        <f>U95-S95</f>
        <v>0</v>
      </c>
      <c r="U95" s="968">
        <f>'AT2 Lainat, alv'!G66</f>
        <v>0</v>
      </c>
      <c r="V95" s="925"/>
      <c r="W95" s="53"/>
      <c r="X95" s="414"/>
      <c r="Y95" s="1059"/>
      <c r="Z95" s="416"/>
      <c r="AA95" s="416"/>
      <c r="AB95" s="416"/>
      <c r="AC95" s="416"/>
      <c r="AD95" s="1056"/>
      <c r="AE95" s="1056"/>
      <c r="AF95" s="1056"/>
      <c r="BD95" s="40"/>
    </row>
    <row r="96" spans="2:68" x14ac:dyDescent="0.2">
      <c r="B96" s="1499">
        <f t="shared" si="36"/>
        <v>21</v>
      </c>
      <c r="C96" s="2219" t="s">
        <v>101</v>
      </c>
      <c r="D96" s="2217"/>
      <c r="E96" s="2218"/>
      <c r="F96" s="492"/>
      <c r="G96" s="1298">
        <f>$U96/12</f>
        <v>0</v>
      </c>
      <c r="H96" s="1298">
        <f t="shared" si="55"/>
        <v>0</v>
      </c>
      <c r="I96" s="1298">
        <f t="shared" si="55"/>
        <v>0</v>
      </c>
      <c r="J96" s="1298">
        <f t="shared" si="55"/>
        <v>0</v>
      </c>
      <c r="K96" s="1298">
        <f t="shared" si="55"/>
        <v>0</v>
      </c>
      <c r="L96" s="1298">
        <f t="shared" si="55"/>
        <v>0</v>
      </c>
      <c r="M96" s="1298">
        <f t="shared" si="55"/>
        <v>0</v>
      </c>
      <c r="N96" s="1298">
        <f t="shared" si="55"/>
        <v>0</v>
      </c>
      <c r="O96" s="1298">
        <f t="shared" si="55"/>
        <v>0</v>
      </c>
      <c r="P96" s="1298">
        <f t="shared" si="55"/>
        <v>0</v>
      </c>
      <c r="Q96" s="1298">
        <f t="shared" si="55"/>
        <v>0</v>
      </c>
      <c r="R96" s="1298">
        <f t="shared" si="55"/>
        <v>0</v>
      </c>
      <c r="S96" s="1500">
        <f t="shared" si="38"/>
        <v>0</v>
      </c>
      <c r="T96" s="977">
        <f>U96-S96</f>
        <v>0</v>
      </c>
      <c r="U96" s="968">
        <f>'2. T7 LAINAT'!K48</f>
        <v>0</v>
      </c>
      <c r="V96" s="925"/>
      <c r="W96" s="53"/>
      <c r="X96" s="131"/>
      <c r="Y96" s="131"/>
      <c r="Z96" s="131"/>
      <c r="AA96" s="131"/>
      <c r="AB96" s="131"/>
      <c r="AC96" s="131"/>
      <c r="BD96" s="40"/>
    </row>
    <row r="97" spans="2:69" x14ac:dyDescent="0.2">
      <c r="B97" s="1499">
        <f t="shared" si="36"/>
        <v>22</v>
      </c>
      <c r="C97" s="2219" t="s">
        <v>95</v>
      </c>
      <c r="D97" s="2221"/>
      <c r="E97" s="2222"/>
      <c r="F97" s="496"/>
      <c r="G97" s="1298">
        <f>$U97/12</f>
        <v>0</v>
      </c>
      <c r="H97" s="1298">
        <f t="shared" si="55"/>
        <v>0</v>
      </c>
      <c r="I97" s="1298">
        <f t="shared" si="55"/>
        <v>0</v>
      </c>
      <c r="J97" s="1298">
        <f t="shared" si="55"/>
        <v>0</v>
      </c>
      <c r="K97" s="1298">
        <f t="shared" si="55"/>
        <v>0</v>
      </c>
      <c r="L97" s="1298">
        <f t="shared" si="55"/>
        <v>0</v>
      </c>
      <c r="M97" s="1298">
        <f t="shared" si="55"/>
        <v>0</v>
      </c>
      <c r="N97" s="1298">
        <f t="shared" si="55"/>
        <v>0</v>
      </c>
      <c r="O97" s="1298">
        <f t="shared" si="55"/>
        <v>0</v>
      </c>
      <c r="P97" s="1298">
        <f t="shared" si="55"/>
        <v>0</v>
      </c>
      <c r="Q97" s="1298">
        <f t="shared" si="55"/>
        <v>0</v>
      </c>
      <c r="R97" s="1298">
        <f t="shared" si="55"/>
        <v>0</v>
      </c>
      <c r="S97" s="1500">
        <f t="shared" si="38"/>
        <v>0</v>
      </c>
      <c r="T97" s="977">
        <f>U97-S97</f>
        <v>0</v>
      </c>
      <c r="U97" s="968">
        <f>-'7. T2 TULOSSUUN.'!I27</f>
        <v>0</v>
      </c>
      <c r="V97" s="925"/>
      <c r="W97" s="53"/>
      <c r="X97" s="2172"/>
      <c r="Y97" s="2172"/>
      <c r="Z97" s="2204"/>
      <c r="AA97" s="2204"/>
      <c r="AB97" s="2204"/>
      <c r="AC97" s="644"/>
      <c r="BD97" s="40"/>
    </row>
    <row r="98" spans="2:69" x14ac:dyDescent="0.2">
      <c r="B98" s="1499">
        <f t="shared" si="36"/>
        <v>23</v>
      </c>
      <c r="C98" s="2219" t="s">
        <v>243</v>
      </c>
      <c r="D98" s="2221"/>
      <c r="E98" s="2222"/>
      <c r="F98" s="496"/>
      <c r="G98" s="1298">
        <f>'1. T1 INVESTOINTISUUN.'!F17+'1. T1 INVESTOINTISUUN.'!F24+'1. T1 INVESTOINTISUUN.'!F30+IF('1. T1 INVESTOINTISUUN.'!F33&gt;0,0,'1. T1 INVESTOINTISUUN.'!F32)+IF('1. T1 INVESTOINTISUUN.'!F36=0,'1. T1 INVESTOINTISUUN.'!F35,0)</f>
        <v>0</v>
      </c>
      <c r="H98" s="1298"/>
      <c r="I98" s="1298"/>
      <c r="J98" s="1298"/>
      <c r="K98" s="1298"/>
      <c r="L98" s="1298"/>
      <c r="M98" s="1298"/>
      <c r="N98" s="1298"/>
      <c r="O98" s="1298"/>
      <c r="P98" s="1298"/>
      <c r="Q98" s="1298"/>
      <c r="R98" s="1298"/>
      <c r="S98" s="1500">
        <f t="shared" si="38"/>
        <v>0</v>
      </c>
      <c r="T98" s="978" t="s">
        <v>0</v>
      </c>
      <c r="U98" s="971"/>
      <c r="V98" s="925"/>
      <c r="W98" s="53"/>
      <c r="X98" s="2172"/>
      <c r="Y98" s="2172"/>
      <c r="Z98" s="2204"/>
      <c r="AA98" s="2204"/>
      <c r="AB98" s="2204"/>
      <c r="AC98" s="644"/>
      <c r="AE98">
        <v>0</v>
      </c>
      <c r="BD98" s="40"/>
    </row>
    <row r="99" spans="2:69" x14ac:dyDescent="0.2">
      <c r="B99" s="1499">
        <f t="shared" si="36"/>
        <v>24</v>
      </c>
      <c r="C99" s="2219" t="s">
        <v>482</v>
      </c>
      <c r="D99" s="2221"/>
      <c r="E99" s="2222"/>
      <c r="F99" s="497"/>
      <c r="G99" s="1298">
        <v>0</v>
      </c>
      <c r="H99" s="1298">
        <f t="shared" ref="H99:R99" si="56">$U99/12</f>
        <v>0</v>
      </c>
      <c r="I99" s="1298">
        <f t="shared" si="56"/>
        <v>0</v>
      </c>
      <c r="J99" s="1298">
        <f t="shared" si="56"/>
        <v>0</v>
      </c>
      <c r="K99" s="1298">
        <f t="shared" si="56"/>
        <v>0</v>
      </c>
      <c r="L99" s="1298">
        <f t="shared" si="56"/>
        <v>0</v>
      </c>
      <c r="M99" s="1298">
        <f t="shared" si="56"/>
        <v>0</v>
      </c>
      <c r="N99" s="1298">
        <f t="shared" si="56"/>
        <v>0</v>
      </c>
      <c r="O99" s="1298">
        <f t="shared" si="56"/>
        <v>0</v>
      </c>
      <c r="P99" s="1298">
        <f t="shared" si="56"/>
        <v>0</v>
      </c>
      <c r="Q99" s="1298">
        <f t="shared" si="56"/>
        <v>0</v>
      </c>
      <c r="R99" s="1298">
        <f t="shared" si="56"/>
        <v>0</v>
      </c>
      <c r="S99" s="1500">
        <f t="shared" si="38"/>
        <v>0</v>
      </c>
      <c r="T99" s="977">
        <f>U99-S99</f>
        <v>0</v>
      </c>
      <c r="U99" s="968">
        <f>'3. E1 KUSTANNUKSET'!F128</f>
        <v>0</v>
      </c>
      <c r="V99" s="925"/>
      <c r="W99" s="53"/>
      <c r="X99" s="2172"/>
      <c r="Y99" s="2172"/>
      <c r="Z99" s="2204"/>
      <c r="AA99" s="2204"/>
      <c r="AB99" s="2204"/>
      <c r="AC99" s="644"/>
      <c r="BD99" s="40"/>
    </row>
    <row r="100" spans="2:69" x14ac:dyDescent="0.2">
      <c r="B100" s="1499">
        <f t="shared" si="36"/>
        <v>25</v>
      </c>
      <c r="C100" s="2241" t="s">
        <v>446</v>
      </c>
      <c r="D100" s="2242"/>
      <c r="E100" s="2243"/>
      <c r="F100" s="496"/>
      <c r="G100" s="1298">
        <v>0</v>
      </c>
      <c r="H100" s="1298"/>
      <c r="I100" s="1298"/>
      <c r="J100" s="1298"/>
      <c r="K100" s="1298"/>
      <c r="L100" s="1298"/>
      <c r="M100" s="1298"/>
      <c r="N100" s="1298"/>
      <c r="O100" s="1298"/>
      <c r="P100" s="1298"/>
      <c r="Q100" s="1298">
        <v>0</v>
      </c>
      <c r="R100" s="1298">
        <v>0</v>
      </c>
      <c r="S100" s="1500">
        <f t="shared" si="38"/>
        <v>0</v>
      </c>
      <c r="T100" s="972" t="s">
        <v>0</v>
      </c>
      <c r="U100" s="925">
        <v>0</v>
      </c>
      <c r="V100" s="925"/>
      <c r="W100" s="53"/>
      <c r="X100" s="2172"/>
      <c r="Y100" s="2172"/>
      <c r="Z100" s="2204"/>
      <c r="AA100" s="2204"/>
      <c r="AB100" s="2204"/>
      <c r="AC100" s="644"/>
      <c r="BD100" s="40"/>
    </row>
    <row r="101" spans="2:69" ht="13.5" thickBot="1" x14ac:dyDescent="0.25">
      <c r="B101" s="1499">
        <f t="shared" si="36"/>
        <v>26</v>
      </c>
      <c r="C101" s="2241"/>
      <c r="D101" s="2242"/>
      <c r="E101" s="2243"/>
      <c r="F101" s="496"/>
      <c r="G101" s="1298">
        <v>0</v>
      </c>
      <c r="H101" s="1298"/>
      <c r="I101" s="1298"/>
      <c r="J101" s="1298">
        <v>0</v>
      </c>
      <c r="K101" s="1298"/>
      <c r="L101" s="1298"/>
      <c r="M101" s="1298"/>
      <c r="N101" s="1298"/>
      <c r="O101" s="1298"/>
      <c r="P101" s="1298"/>
      <c r="Q101" s="1298"/>
      <c r="R101" s="1298">
        <v>0</v>
      </c>
      <c r="S101" s="1503">
        <f t="shared" si="38"/>
        <v>0</v>
      </c>
      <c r="T101" s="973" t="s">
        <v>0</v>
      </c>
      <c r="W101" s="53"/>
      <c r="X101" s="164"/>
      <c r="Y101" s="164"/>
      <c r="Z101" s="997"/>
      <c r="AA101" s="997"/>
      <c r="AB101" s="164"/>
      <c r="AC101" s="164"/>
      <c r="AD101" s="164"/>
      <c r="AE101" s="164"/>
      <c r="AF101" s="164"/>
    </row>
    <row r="102" spans="2:69" ht="13.5" thickTop="1" x14ac:dyDescent="0.2">
      <c r="B102" s="1514"/>
      <c r="C102" s="1515" t="s">
        <v>108</v>
      </c>
      <c r="D102" s="1516"/>
      <c r="E102" s="1517"/>
      <c r="F102" s="1518"/>
      <c r="G102" s="1769">
        <f>G79+G80+G81+G82+G83+G84+G85+G86+G87+G88+G89+G90+G91+G92+G93+G94+G95+G96+G97+G98+G99+G100+G101</f>
        <v>0</v>
      </c>
      <c r="H102" s="1769">
        <f>H79+H80+H81+H82+H83+H84+H85+H86+H87+H88+H89+H90+H91+H92+H93+H94+H95+H96+H97+H98+H99+H100+H101</f>
        <v>0</v>
      </c>
      <c r="I102" s="1769">
        <f t="shared" ref="I102:R102" si="57">I79+I80+I81+I82+I83+I84+I85+I86+I87+I88+I89+I90+I91+I92+I93+I94+I95+I96+I97+I98+I99+I100+I101</f>
        <v>0</v>
      </c>
      <c r="J102" s="1769">
        <f t="shared" si="57"/>
        <v>0</v>
      </c>
      <c r="K102" s="1769">
        <f t="shared" si="57"/>
        <v>0</v>
      </c>
      <c r="L102" s="1769">
        <f t="shared" si="57"/>
        <v>0</v>
      </c>
      <c r="M102" s="1769">
        <f t="shared" si="57"/>
        <v>0</v>
      </c>
      <c r="N102" s="1769">
        <f t="shared" si="57"/>
        <v>0</v>
      </c>
      <c r="O102" s="1769">
        <f t="shared" si="57"/>
        <v>0</v>
      </c>
      <c r="P102" s="1769">
        <f t="shared" si="57"/>
        <v>0</v>
      </c>
      <c r="Q102" s="1769">
        <f t="shared" si="57"/>
        <v>0</v>
      </c>
      <c r="R102" s="1769">
        <f t="shared" si="57"/>
        <v>0</v>
      </c>
      <c r="S102" s="1519">
        <f>SUM(G102:R102)</f>
        <v>0</v>
      </c>
      <c r="T102" s="219"/>
      <c r="U102" s="1132" t="s">
        <v>403</v>
      </c>
      <c r="V102" s="1007"/>
      <c r="W102" s="53"/>
      <c r="X102" s="4"/>
      <c r="Y102" s="4"/>
      <c r="Z102" s="4"/>
      <c r="AA102" s="4"/>
      <c r="AB102" s="4"/>
      <c r="AC102" s="4"/>
      <c r="AD102" s="4"/>
      <c r="AE102" s="4"/>
      <c r="AF102" s="4"/>
    </row>
    <row r="103" spans="2:69" ht="3.75" customHeight="1" thickBot="1" x14ac:dyDescent="0.25">
      <c r="B103" s="1509"/>
      <c r="C103" s="1510"/>
      <c r="D103" s="986"/>
      <c r="E103" s="986"/>
      <c r="F103" s="1511"/>
      <c r="G103" s="1512"/>
      <c r="H103" s="1512"/>
      <c r="I103" s="1512"/>
      <c r="J103" s="1512"/>
      <c r="K103" s="1512"/>
      <c r="L103" s="1512"/>
      <c r="M103" s="1512"/>
      <c r="N103" s="1512"/>
      <c r="O103" s="1512"/>
      <c r="P103" s="1512"/>
      <c r="Q103" s="1512"/>
      <c r="R103" s="1512"/>
      <c r="S103" s="464"/>
      <c r="T103" s="219"/>
      <c r="U103" s="2268" t="s">
        <v>232</v>
      </c>
      <c r="V103" s="1007"/>
      <c r="W103" s="53"/>
      <c r="X103" s="4"/>
      <c r="Y103" s="4"/>
      <c r="Z103" s="4"/>
      <c r="AA103" s="4"/>
      <c r="AB103" s="4"/>
      <c r="AC103" s="4"/>
      <c r="AD103" s="4"/>
      <c r="AE103" s="4"/>
      <c r="AF103" s="4"/>
    </row>
    <row r="104" spans="2:69" ht="13.5" thickBot="1" x14ac:dyDescent="0.25">
      <c r="B104" s="1535"/>
      <c r="C104" s="1536" t="s">
        <v>103</v>
      </c>
      <c r="D104" s="1537"/>
      <c r="E104" s="1538"/>
      <c r="F104" s="1539">
        <v>0</v>
      </c>
      <c r="G104" s="1611">
        <f t="shared" ref="G104:R104" si="58">G78</f>
        <v>46760</v>
      </c>
      <c r="H104" s="1611">
        <f t="shared" si="58"/>
        <v>46791</v>
      </c>
      <c r="I104" s="1611">
        <f t="shared" si="58"/>
        <v>46822</v>
      </c>
      <c r="J104" s="1611">
        <f t="shared" si="58"/>
        <v>46853</v>
      </c>
      <c r="K104" s="1611">
        <f t="shared" si="58"/>
        <v>46884</v>
      </c>
      <c r="L104" s="1611">
        <f t="shared" si="58"/>
        <v>46915</v>
      </c>
      <c r="M104" s="1611">
        <f t="shared" si="58"/>
        <v>46946</v>
      </c>
      <c r="N104" s="1611">
        <f t="shared" si="58"/>
        <v>46977</v>
      </c>
      <c r="O104" s="1611">
        <f t="shared" si="58"/>
        <v>47008</v>
      </c>
      <c r="P104" s="1611">
        <f t="shared" si="58"/>
        <v>47039</v>
      </c>
      <c r="Q104" s="1611">
        <f t="shared" si="58"/>
        <v>47070</v>
      </c>
      <c r="R104" s="1611">
        <f t="shared" si="58"/>
        <v>47101</v>
      </c>
      <c r="S104" s="1513" t="s">
        <v>87</v>
      </c>
      <c r="T104" s="1117" t="s">
        <v>400</v>
      </c>
      <c r="U104" s="2269"/>
      <c r="V104" s="1007"/>
      <c r="W104" s="53"/>
      <c r="X104" s="4"/>
      <c r="Y104" s="4"/>
      <c r="Z104" s="4"/>
      <c r="AA104" s="4"/>
      <c r="AB104" s="4"/>
      <c r="AC104" s="4"/>
      <c r="AD104" s="4"/>
      <c r="AE104" s="4"/>
      <c r="AF104" s="4"/>
      <c r="BA104" s="2255"/>
      <c r="BB104" s="2255"/>
      <c r="BC104" s="2255"/>
      <c r="BD104" s="306"/>
      <c r="BE104" s="1464">
        <f t="shared" ref="BE104:BP104" si="59">G66</f>
        <v>46760</v>
      </c>
      <c r="BF104" s="1464">
        <f t="shared" si="59"/>
        <v>46791</v>
      </c>
      <c r="BG104" s="1464">
        <f t="shared" si="59"/>
        <v>46822</v>
      </c>
      <c r="BH104" s="1464">
        <f t="shared" si="59"/>
        <v>46853</v>
      </c>
      <c r="BI104" s="1464">
        <f t="shared" si="59"/>
        <v>46884</v>
      </c>
      <c r="BJ104" s="1464">
        <f t="shared" si="59"/>
        <v>46915</v>
      </c>
      <c r="BK104" s="1464">
        <f t="shared" si="59"/>
        <v>46946</v>
      </c>
      <c r="BL104" s="1464">
        <f t="shared" si="59"/>
        <v>46977</v>
      </c>
      <c r="BM104" s="1464">
        <f t="shared" si="59"/>
        <v>47008</v>
      </c>
      <c r="BN104" s="1464">
        <f t="shared" si="59"/>
        <v>47039</v>
      </c>
      <c r="BO104" s="1464">
        <f t="shared" si="59"/>
        <v>47070</v>
      </c>
      <c r="BP104" s="1464">
        <f t="shared" si="59"/>
        <v>47101</v>
      </c>
      <c r="BQ104" s="1465" t="s">
        <v>87</v>
      </c>
    </row>
    <row r="105" spans="2:69" x14ac:dyDescent="0.2">
      <c r="B105" s="1540">
        <v>27</v>
      </c>
      <c r="C105" s="2270" t="s">
        <v>483</v>
      </c>
      <c r="D105" s="2271"/>
      <c r="E105" s="2272"/>
      <c r="F105" s="494"/>
      <c r="G105" s="1299">
        <f t="shared" ref="G105:R105" si="60">$U105/12</f>
        <v>0</v>
      </c>
      <c r="H105" s="1299">
        <f t="shared" si="60"/>
        <v>0</v>
      </c>
      <c r="I105" s="1299">
        <f t="shared" si="60"/>
        <v>0</v>
      </c>
      <c r="J105" s="1299">
        <f t="shared" si="60"/>
        <v>0</v>
      </c>
      <c r="K105" s="1299">
        <f t="shared" si="60"/>
        <v>0</v>
      </c>
      <c r="L105" s="1299">
        <f t="shared" si="60"/>
        <v>0</v>
      </c>
      <c r="M105" s="1299">
        <f t="shared" si="60"/>
        <v>0</v>
      </c>
      <c r="N105" s="1299">
        <f t="shared" si="60"/>
        <v>0</v>
      </c>
      <c r="O105" s="1299">
        <f t="shared" si="60"/>
        <v>0</v>
      </c>
      <c r="P105" s="1299">
        <f t="shared" si="60"/>
        <v>0</v>
      </c>
      <c r="Q105" s="1299">
        <f t="shared" si="60"/>
        <v>0</v>
      </c>
      <c r="R105" s="1299">
        <f t="shared" si="60"/>
        <v>0</v>
      </c>
      <c r="S105" s="593">
        <f t="shared" ref="S105:S110" si="61">SUM(G105:R105)</f>
        <v>0</v>
      </c>
      <c r="T105" s="979">
        <f>U105-S105</f>
        <v>0</v>
      </c>
      <c r="U105" s="968">
        <f>'2. T7 LAINAT'!J38+'2. T7 LAINAT'!K38</f>
        <v>0</v>
      </c>
      <c r="V105" s="925"/>
      <c r="W105" s="53"/>
      <c r="X105" s="164"/>
      <c r="Y105" s="164"/>
      <c r="Z105" s="164"/>
      <c r="AA105" s="164"/>
      <c r="AB105" s="164"/>
      <c r="AC105" s="164"/>
      <c r="AD105" s="164"/>
      <c r="AE105" s="164"/>
      <c r="AF105" s="164"/>
      <c r="BA105" s="2256" t="s">
        <v>97</v>
      </c>
      <c r="BB105" s="2257"/>
      <c r="BC105" s="2257"/>
      <c r="BD105" s="2258"/>
      <c r="BE105" s="595">
        <f t="shared" ref="BE105:BP106" si="62">G113</f>
        <v>0</v>
      </c>
      <c r="BF105" s="595">
        <f t="shared" si="62"/>
        <v>0</v>
      </c>
      <c r="BG105" s="595">
        <f t="shared" si="62"/>
        <v>0</v>
      </c>
      <c r="BH105" s="595">
        <f t="shared" si="62"/>
        <v>0</v>
      </c>
      <c r="BI105" s="595">
        <f t="shared" si="62"/>
        <v>0</v>
      </c>
      <c r="BJ105" s="595">
        <f t="shared" si="62"/>
        <v>0</v>
      </c>
      <c r="BK105" s="595">
        <f t="shared" si="62"/>
        <v>0</v>
      </c>
      <c r="BL105" s="595">
        <f t="shared" si="62"/>
        <v>0</v>
      </c>
      <c r="BM105" s="595">
        <f t="shared" si="62"/>
        <v>0</v>
      </c>
      <c r="BN105" s="595">
        <f t="shared" si="62"/>
        <v>0</v>
      </c>
      <c r="BO105" s="595">
        <f t="shared" si="62"/>
        <v>0</v>
      </c>
      <c r="BP105" s="595">
        <f t="shared" si="62"/>
        <v>0</v>
      </c>
      <c r="BQ105" s="596">
        <f>SUM(BE105:BP105)</f>
        <v>0</v>
      </c>
    </row>
    <row r="106" spans="2:69" x14ac:dyDescent="0.2">
      <c r="B106" s="1540">
        <f>B105+1</f>
        <v>28</v>
      </c>
      <c r="C106" s="2219" t="s">
        <v>392</v>
      </c>
      <c r="D106" s="2217"/>
      <c r="E106" s="2218"/>
      <c r="F106" s="494"/>
      <c r="G106" s="1299">
        <f>U106</f>
        <v>0</v>
      </c>
      <c r="H106" s="1299"/>
      <c r="I106" s="1299"/>
      <c r="J106" s="1299">
        <v>0</v>
      </c>
      <c r="K106" s="1299">
        <v>0</v>
      </c>
      <c r="L106" s="1299"/>
      <c r="M106" s="1299"/>
      <c r="N106" s="1299"/>
      <c r="O106" s="1299"/>
      <c r="P106" s="1299">
        <v>0</v>
      </c>
      <c r="Q106" s="1299"/>
      <c r="R106" s="1299">
        <v>0</v>
      </c>
      <c r="S106" s="593">
        <f t="shared" si="61"/>
        <v>0</v>
      </c>
      <c r="T106" s="979">
        <f>U106-S106</f>
        <v>0</v>
      </c>
      <c r="U106" s="968">
        <f>'2. T7 LAINAT'!I48</f>
        <v>0</v>
      </c>
      <c r="V106" s="925"/>
      <c r="W106" s="53"/>
      <c r="X106" s="164"/>
      <c r="Y106" s="164"/>
      <c r="Z106" s="164"/>
      <c r="AA106" s="164"/>
      <c r="AB106" s="164"/>
      <c r="AC106" s="164"/>
      <c r="AD106" s="164"/>
      <c r="AE106" s="164"/>
      <c r="AF106" s="164"/>
      <c r="BA106" s="2247" t="s">
        <v>653</v>
      </c>
      <c r="BB106" s="2248"/>
      <c r="BC106" s="2248"/>
      <c r="BD106" s="2249"/>
      <c r="BE106" s="595">
        <f t="shared" si="62"/>
        <v>0</v>
      </c>
      <c r="BF106" s="595">
        <f t="shared" si="62"/>
        <v>0</v>
      </c>
      <c r="BG106" s="595">
        <f t="shared" si="62"/>
        <v>0</v>
      </c>
      <c r="BH106" s="595">
        <f t="shared" si="62"/>
        <v>0</v>
      </c>
      <c r="BI106" s="595">
        <f t="shared" si="62"/>
        <v>0</v>
      </c>
      <c r="BJ106" s="595">
        <f t="shared" si="62"/>
        <v>0</v>
      </c>
      <c r="BK106" s="595">
        <f t="shared" si="62"/>
        <v>0</v>
      </c>
      <c r="BL106" s="595">
        <f t="shared" si="62"/>
        <v>0</v>
      </c>
      <c r="BM106" s="595">
        <f t="shared" si="62"/>
        <v>0</v>
      </c>
      <c r="BN106" s="595">
        <f t="shared" si="62"/>
        <v>0</v>
      </c>
      <c r="BO106" s="595">
        <f t="shared" si="62"/>
        <v>0</v>
      </c>
      <c r="BP106" s="595">
        <f t="shared" si="62"/>
        <v>0</v>
      </c>
      <c r="BQ106" s="597"/>
    </row>
    <row r="107" spans="2:69" x14ac:dyDescent="0.2">
      <c r="B107" s="1540">
        <f>B106+1</f>
        <v>29</v>
      </c>
      <c r="C107" s="2219" t="s">
        <v>245</v>
      </c>
      <c r="D107" s="2217"/>
      <c r="E107" s="2218"/>
      <c r="F107" s="492"/>
      <c r="G107" s="1298">
        <f>$U107/12</f>
        <v>0</v>
      </c>
      <c r="H107" s="1298">
        <f t="shared" ref="H107:Q107" si="63">$U107/12</f>
        <v>0</v>
      </c>
      <c r="I107" s="1298">
        <f t="shared" si="63"/>
        <v>0</v>
      </c>
      <c r="J107" s="1298">
        <f t="shared" si="63"/>
        <v>0</v>
      </c>
      <c r="K107" s="1298">
        <f t="shared" si="63"/>
        <v>0</v>
      </c>
      <c r="L107" s="1298">
        <f t="shared" si="63"/>
        <v>0</v>
      </c>
      <c r="M107" s="1298">
        <f t="shared" si="63"/>
        <v>0</v>
      </c>
      <c r="N107" s="1298">
        <f t="shared" si="63"/>
        <v>0</v>
      </c>
      <c r="O107" s="1298">
        <f t="shared" si="63"/>
        <v>0</v>
      </c>
      <c r="P107" s="1298">
        <f t="shared" si="63"/>
        <v>0</v>
      </c>
      <c r="Q107" s="1298">
        <f t="shared" si="63"/>
        <v>0</v>
      </c>
      <c r="R107" s="1298">
        <f>$U107/12</f>
        <v>0</v>
      </c>
      <c r="S107" s="593">
        <f t="shared" si="61"/>
        <v>0</v>
      </c>
      <c r="T107" s="979">
        <f>U107-S107</f>
        <v>0</v>
      </c>
      <c r="U107" s="968">
        <f>'2. T7 LAINAT'!J32</f>
        <v>0</v>
      </c>
      <c r="V107" s="925"/>
      <c r="W107" s="53"/>
      <c r="X107" s="164"/>
      <c r="Y107" s="164"/>
      <c r="Z107" s="164"/>
      <c r="AA107" s="164"/>
      <c r="AB107" s="164"/>
      <c r="AC107" s="164"/>
      <c r="AD107" s="164"/>
      <c r="AE107" s="164"/>
      <c r="AF107" s="164"/>
      <c r="BA107" s="141"/>
      <c r="BB107" s="141"/>
      <c r="BC107" s="141"/>
      <c r="BD107" s="141"/>
      <c r="BE107" s="229"/>
      <c r="BF107" s="229"/>
      <c r="BG107" s="229"/>
      <c r="BH107" s="229"/>
      <c r="BI107" s="229"/>
      <c r="BJ107" s="229"/>
      <c r="BK107" s="229"/>
      <c r="BL107" s="229"/>
      <c r="BM107" s="229"/>
      <c r="BN107" s="229"/>
      <c r="BO107" s="229"/>
      <c r="BP107" s="229"/>
      <c r="BQ107" s="307"/>
    </row>
    <row r="108" spans="2:69" x14ac:dyDescent="0.2">
      <c r="B108" s="1540">
        <f>B107+1</f>
        <v>30</v>
      </c>
      <c r="C108" s="2219" t="s">
        <v>96</v>
      </c>
      <c r="D108" s="2217"/>
      <c r="E108" s="2218"/>
      <c r="F108" s="492"/>
      <c r="G108" s="1298">
        <f>$U108/3</f>
        <v>0</v>
      </c>
      <c r="H108" s="1298">
        <f>$U108/3</f>
        <v>0</v>
      </c>
      <c r="I108" s="1298">
        <f>$U108/3</f>
        <v>0</v>
      </c>
      <c r="J108" s="1298">
        <v>0</v>
      </c>
      <c r="K108" s="1298">
        <v>0</v>
      </c>
      <c r="L108" s="1298">
        <v>0</v>
      </c>
      <c r="M108" s="1298">
        <v>0</v>
      </c>
      <c r="N108" s="1298">
        <v>0</v>
      </c>
      <c r="O108" s="1298">
        <v>0</v>
      </c>
      <c r="P108" s="1298">
        <v>0</v>
      </c>
      <c r="Q108" s="1298">
        <v>0</v>
      </c>
      <c r="R108" s="1298">
        <v>0</v>
      </c>
      <c r="S108" s="593">
        <f t="shared" si="61"/>
        <v>0</v>
      </c>
      <c r="T108" s="980" t="s">
        <v>0</v>
      </c>
      <c r="U108" s="968">
        <f>'5. T4 RAHOITUSSUUN.'!R48</f>
        <v>0</v>
      </c>
      <c r="V108" s="925"/>
      <c r="X108" s="4"/>
      <c r="Y108" s="4"/>
      <c r="Z108" s="4"/>
      <c r="AA108" s="4"/>
      <c r="AB108" s="4"/>
      <c r="AC108" s="4"/>
      <c r="AD108" s="4"/>
      <c r="AE108" s="4"/>
      <c r="AF108" s="4"/>
      <c r="BA108" s="154"/>
      <c r="BB108" s="154"/>
      <c r="BC108" s="156"/>
      <c r="BD108" s="157"/>
      <c r="BE108" s="55"/>
      <c r="BF108" s="55"/>
      <c r="BG108" s="55"/>
      <c r="BH108" s="107"/>
      <c r="BI108" s="55"/>
      <c r="BJ108" s="55"/>
      <c r="BK108" s="55"/>
      <c r="BL108" s="55"/>
      <c r="BM108" s="55"/>
      <c r="BN108" s="55"/>
      <c r="BO108" s="155"/>
      <c r="BQ108" s="153">
        <f>OHJE!F6</f>
        <v>0</v>
      </c>
    </row>
    <row r="109" spans="2:69" x14ac:dyDescent="0.2">
      <c r="B109" s="1540">
        <f>B108+1</f>
        <v>31</v>
      </c>
      <c r="C109" s="2219" t="s">
        <v>102</v>
      </c>
      <c r="D109" s="2221"/>
      <c r="E109" s="2222"/>
      <c r="F109" s="492"/>
      <c r="G109" s="1298">
        <f>U109</f>
        <v>0</v>
      </c>
      <c r="H109" s="1298"/>
      <c r="I109" s="1298"/>
      <c r="J109" s="1298"/>
      <c r="K109" s="1298"/>
      <c r="L109" s="1298"/>
      <c r="M109" s="1298"/>
      <c r="N109" s="1298"/>
      <c r="O109" s="1298"/>
      <c r="P109" s="1298"/>
      <c r="Q109" s="1298"/>
      <c r="R109" s="1298"/>
      <c r="S109" s="593">
        <f t="shared" si="61"/>
        <v>0</v>
      </c>
      <c r="T109" s="979">
        <f>U109-S109</f>
        <v>0</v>
      </c>
      <c r="U109" s="1256">
        <f>'1. T1 INVESTOINTISUUN.'!F48+'1. T1 INVESTOINTISUUN.'!F49+'1. T1 INVESTOINTISUUN.'!F52</f>
        <v>0</v>
      </c>
      <c r="V109" s="1009"/>
      <c r="X109" s="4"/>
      <c r="Y109" s="4"/>
      <c r="Z109" s="4"/>
      <c r="AA109" s="4"/>
      <c r="AB109" s="4"/>
      <c r="AC109" s="4"/>
      <c r="AD109" s="4"/>
      <c r="AE109" s="4"/>
      <c r="AF109" s="4"/>
      <c r="BA109" s="154" t="str">
        <f>'1. T1 INVESTOINTISUUN.'!B67</f>
        <v>yritysTULKKI YT6 Aloittavan yrityksen tulossuunnitelma</v>
      </c>
      <c r="BC109" s="106"/>
      <c r="BD109" s="127"/>
      <c r="BE109" s="104"/>
      <c r="BF109" s="104"/>
      <c r="BG109" s="104"/>
      <c r="BH109" s="108"/>
      <c r="BI109" s="104"/>
      <c r="BJ109" s="104"/>
      <c r="BK109" s="104"/>
      <c r="BL109" s="104"/>
      <c r="BM109" s="104"/>
      <c r="BN109" s="104"/>
      <c r="BO109" s="104"/>
      <c r="BQ109" s="384" t="str">
        <f>OHJE!G8</f>
        <v>Kehittämisyhtiö Witas Oy</v>
      </c>
    </row>
    <row r="110" spans="2:69" ht="13.5" thickBot="1" x14ac:dyDescent="0.25">
      <c r="B110" s="1540">
        <f>B109+1</f>
        <v>32</v>
      </c>
      <c r="C110" s="2219" t="s">
        <v>394</v>
      </c>
      <c r="D110" s="2217"/>
      <c r="E110" s="2218"/>
      <c r="F110" s="492"/>
      <c r="G110" s="1298">
        <f>U110</f>
        <v>0</v>
      </c>
      <c r="H110" s="1298">
        <v>0</v>
      </c>
      <c r="I110" s="1298"/>
      <c r="J110" s="1298"/>
      <c r="K110" s="1298"/>
      <c r="L110" s="1298">
        <v>0</v>
      </c>
      <c r="M110" s="1298"/>
      <c r="N110" s="1298"/>
      <c r="O110" s="1298"/>
      <c r="P110" s="1298"/>
      <c r="Q110" s="1298"/>
      <c r="R110" s="1298"/>
      <c r="S110" s="593">
        <f t="shared" si="61"/>
        <v>0</v>
      </c>
      <c r="T110" s="979">
        <f>U110-S110</f>
        <v>0</v>
      </c>
      <c r="U110" s="1256">
        <f>'1. T1 INVESTOINTISUUN.'!F51</f>
        <v>0</v>
      </c>
      <c r="V110" s="1009"/>
      <c r="X110" s="4"/>
      <c r="Y110" s="4"/>
      <c r="Z110" s="4"/>
      <c r="AA110" s="4"/>
      <c r="AB110" s="4"/>
      <c r="AC110" s="4"/>
      <c r="AD110" s="4"/>
      <c r="AE110" s="4"/>
      <c r="AF110" s="4"/>
    </row>
    <row r="111" spans="2:69" ht="13.5" thickTop="1" x14ac:dyDescent="0.2">
      <c r="B111" s="1541"/>
      <c r="C111" s="2259" t="s">
        <v>107</v>
      </c>
      <c r="D111" s="2260"/>
      <c r="E111" s="2261"/>
      <c r="F111" s="1518"/>
      <c r="G111" s="1542">
        <f>-G105+G106-G107-G108+G109+G110</f>
        <v>0</v>
      </c>
      <c r="H111" s="1542">
        <f t="shared" ref="H111:R111" si="64">-H105+H106-H107-H108+H109+H110</f>
        <v>0</v>
      </c>
      <c r="I111" s="1542">
        <f t="shared" si="64"/>
        <v>0</v>
      </c>
      <c r="J111" s="1542">
        <f t="shared" si="64"/>
        <v>0</v>
      </c>
      <c r="K111" s="1542">
        <f t="shared" si="64"/>
        <v>0</v>
      </c>
      <c r="L111" s="1542">
        <f t="shared" si="64"/>
        <v>0</v>
      </c>
      <c r="M111" s="1542">
        <f t="shared" si="64"/>
        <v>0</v>
      </c>
      <c r="N111" s="1542">
        <f t="shared" si="64"/>
        <v>0</v>
      </c>
      <c r="O111" s="1542">
        <f t="shared" si="64"/>
        <v>0</v>
      </c>
      <c r="P111" s="1542">
        <f t="shared" si="64"/>
        <v>0</v>
      </c>
      <c r="Q111" s="1542">
        <f t="shared" si="64"/>
        <v>0</v>
      </c>
      <c r="R111" s="1542">
        <f t="shared" si="64"/>
        <v>0</v>
      </c>
      <c r="S111" s="1543">
        <f>-S105+S106-S107-S108+S109+S110</f>
        <v>0</v>
      </c>
      <c r="U111" s="225"/>
      <c r="V111" s="225"/>
      <c r="X111" s="4"/>
      <c r="Y111" s="4"/>
      <c r="Z111" s="4"/>
      <c r="AA111" s="4"/>
      <c r="AB111" s="4"/>
      <c r="AC111" s="4"/>
      <c r="AD111" s="4"/>
      <c r="AE111" s="4"/>
      <c r="AF111" s="4"/>
    </row>
    <row r="112" spans="2:69" ht="3.75" customHeight="1" x14ac:dyDescent="0.2">
      <c r="B112" s="498"/>
      <c r="C112" s="498"/>
      <c r="D112" s="498"/>
      <c r="E112" s="498"/>
      <c r="F112" s="499"/>
      <c r="G112" s="590"/>
      <c r="H112" s="590"/>
      <c r="I112" s="590"/>
      <c r="J112" s="590"/>
      <c r="K112" s="590"/>
      <c r="L112" s="590"/>
      <c r="M112" s="590"/>
      <c r="N112" s="590"/>
      <c r="O112" s="590"/>
      <c r="P112" s="590"/>
      <c r="Q112" s="590"/>
      <c r="R112" s="590"/>
      <c r="S112" s="591"/>
      <c r="U112" s="225"/>
      <c r="V112" s="225"/>
      <c r="X112" s="4"/>
      <c r="Y112" s="4"/>
      <c r="Z112" s="4"/>
      <c r="AA112" s="4"/>
      <c r="AB112" s="4"/>
      <c r="AC112" s="4"/>
      <c r="AD112" s="4"/>
      <c r="AE112" s="4"/>
      <c r="AF112" s="4"/>
    </row>
    <row r="113" spans="2:32" x14ac:dyDescent="0.2">
      <c r="B113" s="1544">
        <v>33</v>
      </c>
      <c r="C113" s="2262" t="s">
        <v>823</v>
      </c>
      <c r="D113" s="2263"/>
      <c r="E113" s="2263"/>
      <c r="F113" s="2264"/>
      <c r="G113" s="1545">
        <f t="shared" ref="G113:R113" si="65">G76-G102+G111</f>
        <v>0</v>
      </c>
      <c r="H113" s="1545">
        <f t="shared" si="65"/>
        <v>0</v>
      </c>
      <c r="I113" s="1545">
        <f t="shared" si="65"/>
        <v>0</v>
      </c>
      <c r="J113" s="1545">
        <f t="shared" si="65"/>
        <v>0</v>
      </c>
      <c r="K113" s="1545">
        <f t="shared" si="65"/>
        <v>0</v>
      </c>
      <c r="L113" s="1545">
        <f t="shared" si="65"/>
        <v>0</v>
      </c>
      <c r="M113" s="1545">
        <f t="shared" si="65"/>
        <v>0</v>
      </c>
      <c r="N113" s="1545">
        <f t="shared" si="65"/>
        <v>0</v>
      </c>
      <c r="O113" s="1545">
        <f t="shared" si="65"/>
        <v>0</v>
      </c>
      <c r="P113" s="1545">
        <f t="shared" si="65"/>
        <v>0</v>
      </c>
      <c r="Q113" s="1545">
        <f t="shared" si="65"/>
        <v>0</v>
      </c>
      <c r="R113" s="1546">
        <f t="shared" si="65"/>
        <v>0</v>
      </c>
      <c r="S113" s="1545">
        <f>SUM(G113:R113)</f>
        <v>0</v>
      </c>
      <c r="U113" s="225"/>
      <c r="V113" s="225"/>
      <c r="X113" s="4"/>
      <c r="Y113" s="4"/>
      <c r="Z113" s="4"/>
      <c r="AA113" s="4"/>
      <c r="AB113" s="4"/>
      <c r="AC113" s="4"/>
      <c r="AD113" s="4"/>
      <c r="AE113" s="4"/>
      <c r="AF113" s="4"/>
    </row>
    <row r="114" spans="2:32" x14ac:dyDescent="0.2">
      <c r="B114" s="1547">
        <v>34</v>
      </c>
      <c r="C114" s="2251" t="s">
        <v>824</v>
      </c>
      <c r="D114" s="2252"/>
      <c r="E114" s="2252"/>
      <c r="F114" s="2253"/>
      <c r="G114" s="1545">
        <f t="shared" ref="G114:R114" si="66">G67+G113+G68</f>
        <v>0</v>
      </c>
      <c r="H114" s="1545">
        <f t="shared" si="66"/>
        <v>0</v>
      </c>
      <c r="I114" s="1545">
        <f t="shared" si="66"/>
        <v>0</v>
      </c>
      <c r="J114" s="1545">
        <f t="shared" si="66"/>
        <v>0</v>
      </c>
      <c r="K114" s="1545">
        <f t="shared" si="66"/>
        <v>0</v>
      </c>
      <c r="L114" s="1545">
        <f t="shared" si="66"/>
        <v>0</v>
      </c>
      <c r="M114" s="1545">
        <f t="shared" si="66"/>
        <v>0</v>
      </c>
      <c r="N114" s="1545">
        <f t="shared" si="66"/>
        <v>0</v>
      </c>
      <c r="O114" s="1545">
        <f t="shared" si="66"/>
        <v>0</v>
      </c>
      <c r="P114" s="1545">
        <f t="shared" si="66"/>
        <v>0</v>
      </c>
      <c r="Q114" s="1545">
        <f t="shared" si="66"/>
        <v>0</v>
      </c>
      <c r="R114" s="1545">
        <f t="shared" si="66"/>
        <v>0</v>
      </c>
      <c r="S114" s="1548"/>
      <c r="X114" s="4"/>
      <c r="Y114" s="4"/>
      <c r="Z114" s="4"/>
      <c r="AA114" s="4"/>
      <c r="AB114" s="4"/>
      <c r="AC114" s="4"/>
      <c r="AD114" s="4"/>
      <c r="AE114" s="4"/>
      <c r="AF114" s="4"/>
    </row>
    <row r="115" spans="2:32" ht="3.75" customHeight="1" x14ac:dyDescent="0.2">
      <c r="B115" s="154"/>
      <c r="C115" s="154"/>
      <c r="D115" s="52"/>
      <c r="E115" s="52"/>
      <c r="F115" s="87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155"/>
      <c r="R115" s="154"/>
      <c r="S115" s="105">
        <v>0</v>
      </c>
    </row>
    <row r="116" spans="2:32" x14ac:dyDescent="0.2">
      <c r="B116" s="52" t="str">
        <f>B61</f>
        <v>YT6 Aloittavan yrityksen tulossuunnitelma</v>
      </c>
      <c r="C116" s="52"/>
      <c r="D116" s="52"/>
      <c r="E116" s="52"/>
      <c r="F116" s="87"/>
      <c r="S116" s="153">
        <f>OHJE!F6</f>
        <v>0</v>
      </c>
    </row>
    <row r="117" spans="2:32" x14ac:dyDescent="0.2">
      <c r="B117" s="50"/>
      <c r="C117" s="50"/>
      <c r="D117" s="50"/>
      <c r="E117" s="50"/>
      <c r="F117" s="72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1254" t="str">
        <f>OHJE!G8</f>
        <v>Kehittämisyhtiö Witas Oy</v>
      </c>
      <c r="T117" s="53"/>
      <c r="W117" s="53"/>
      <c r="X117" s="50"/>
      <c r="Y117" s="53"/>
      <c r="Z117" s="53"/>
      <c r="AA117" s="53"/>
      <c r="AB117" s="53"/>
      <c r="AC117" s="53"/>
      <c r="AD117" s="53"/>
      <c r="AE117" s="53"/>
      <c r="AF117" s="53"/>
    </row>
    <row r="118" spans="2:32" x14ac:dyDescent="0.2">
      <c r="B118" s="1978"/>
      <c r="C118" s="1978"/>
      <c r="D118" s="52"/>
      <c r="E118" s="52"/>
      <c r="F118" s="87"/>
    </row>
    <row r="153" spans="33:49" ht="20.100000000000001" customHeight="1" x14ac:dyDescent="0.2">
      <c r="AG153">
        <v>1</v>
      </c>
      <c r="AH153">
        <v>1</v>
      </c>
      <c r="AO153">
        <v>1</v>
      </c>
      <c r="AP153">
        <v>1</v>
      </c>
      <c r="AR153">
        <v>1</v>
      </c>
      <c r="AS153">
        <v>1</v>
      </c>
      <c r="AT153">
        <v>1</v>
      </c>
      <c r="AU153">
        <v>1</v>
      </c>
      <c r="AV153">
        <v>1</v>
      </c>
      <c r="AW153">
        <v>1</v>
      </c>
    </row>
    <row r="154" spans="33:49" ht="20.100000000000001" customHeight="1" x14ac:dyDescent="0.2"/>
    <row r="155" spans="33:49" ht="20.100000000000001" customHeight="1" x14ac:dyDescent="0.2"/>
  </sheetData>
  <sheetProtection algorithmName="SHA-512" hashValue="7b6/T/VBerziglKj4JdyybxsxTtzqjA+9pt0zOeEuSSoTbCuDyfwhKW3zQwDb2ukSFHycPTkGQxQ5SxpdtPfGQ==" saltValue="9lvmBqItSp9kyk7SGdMvDw==" spinCount="100000" sheet="1" objects="1" scenarios="1"/>
  <mergeCells count="156">
    <mergeCell ref="C30:E30"/>
    <mergeCell ref="C27:E27"/>
    <mergeCell ref="J63:M63"/>
    <mergeCell ref="O63:Q63"/>
    <mergeCell ref="O64:Q64"/>
    <mergeCell ref="C58:F58"/>
    <mergeCell ref="C69:D69"/>
    <mergeCell ref="D70:F70"/>
    <mergeCell ref="C71:E71"/>
    <mergeCell ref="C66:E66"/>
    <mergeCell ref="H6:J6"/>
    <mergeCell ref="H62:J62"/>
    <mergeCell ref="AP41:AP44"/>
    <mergeCell ref="AG10:AI10"/>
    <mergeCell ref="X10:Z10"/>
    <mergeCell ref="AC22:AC23"/>
    <mergeCell ref="AJ22:AJ23"/>
    <mergeCell ref="O62:Q62"/>
    <mergeCell ref="X20:AF20"/>
    <mergeCell ref="AG20:AM20"/>
    <mergeCell ref="AN20:AT20"/>
    <mergeCell ref="AG41:AG44"/>
    <mergeCell ref="AH41:AH44"/>
    <mergeCell ref="AA41:AA44"/>
    <mergeCell ref="AN25:AO25"/>
    <mergeCell ref="B4:C4"/>
    <mergeCell ref="C42:E42"/>
    <mergeCell ref="O6:Q6"/>
    <mergeCell ref="O8:Q8"/>
    <mergeCell ref="C20:E20"/>
    <mergeCell ref="C22:E22"/>
    <mergeCell ref="C23:E23"/>
    <mergeCell ref="C19:E19"/>
    <mergeCell ref="C18:E18"/>
    <mergeCell ref="C10:E10"/>
    <mergeCell ref="D16:F16"/>
    <mergeCell ref="B23:B24"/>
    <mergeCell ref="J7:M7"/>
    <mergeCell ref="O7:Q7"/>
    <mergeCell ref="B11:B12"/>
    <mergeCell ref="C38:E38"/>
    <mergeCell ref="C41:E41"/>
    <mergeCell ref="C40:E40"/>
    <mergeCell ref="C11:F11"/>
    <mergeCell ref="C13:D13"/>
    <mergeCell ref="C28:E28"/>
    <mergeCell ref="D14:F14"/>
    <mergeCell ref="C15:E15"/>
    <mergeCell ref="C31:E31"/>
    <mergeCell ref="BB7:BD7"/>
    <mergeCell ref="U47:U48"/>
    <mergeCell ref="C50:E50"/>
    <mergeCell ref="C57:F57"/>
    <mergeCell ref="C55:E55"/>
    <mergeCell ref="BA44:BD44"/>
    <mergeCell ref="X41:Y44"/>
    <mergeCell ref="C54:E54"/>
    <mergeCell ref="Z41:Z44"/>
    <mergeCell ref="C52:E52"/>
    <mergeCell ref="C53:E53"/>
    <mergeCell ref="C44:E44"/>
    <mergeCell ref="BA42:BC42"/>
    <mergeCell ref="BA43:BD43"/>
    <mergeCell ref="U8:X8"/>
    <mergeCell ref="C45:E45"/>
    <mergeCell ref="C51:E51"/>
    <mergeCell ref="C43:E43"/>
    <mergeCell ref="C25:E25"/>
    <mergeCell ref="Z25:AA25"/>
    <mergeCell ref="C29:E29"/>
    <mergeCell ref="C32:E32"/>
    <mergeCell ref="C49:E49"/>
    <mergeCell ref="C39:E39"/>
    <mergeCell ref="U103:U104"/>
    <mergeCell ref="C105:E105"/>
    <mergeCell ref="C89:E89"/>
    <mergeCell ref="C106:E106"/>
    <mergeCell ref="C107:E107"/>
    <mergeCell ref="C98:E98"/>
    <mergeCell ref="C99:E99"/>
    <mergeCell ref="C100:E100"/>
    <mergeCell ref="C97:E97"/>
    <mergeCell ref="B32:B33"/>
    <mergeCell ref="C83:E83"/>
    <mergeCell ref="C84:E84"/>
    <mergeCell ref="BA106:BD106"/>
    <mergeCell ref="B64:E64"/>
    <mergeCell ref="B8:F8"/>
    <mergeCell ref="C114:F114"/>
    <mergeCell ref="B118:C118"/>
    <mergeCell ref="BB66:BD66"/>
    <mergeCell ref="BA104:BC104"/>
    <mergeCell ref="BA105:BD105"/>
    <mergeCell ref="C108:E108"/>
    <mergeCell ref="C109:E109"/>
    <mergeCell ref="C110:E110"/>
    <mergeCell ref="C111:E111"/>
    <mergeCell ref="C113:F113"/>
    <mergeCell ref="C101:E101"/>
    <mergeCell ref="C93:E93"/>
    <mergeCell ref="C94:E94"/>
    <mergeCell ref="C95:E95"/>
    <mergeCell ref="C96:E96"/>
    <mergeCell ref="C87:E87"/>
    <mergeCell ref="C90:E90"/>
    <mergeCell ref="C33:E33"/>
    <mergeCell ref="C85:E85"/>
    <mergeCell ref="C86:E86"/>
    <mergeCell ref="C88:E88"/>
    <mergeCell ref="C67:F67"/>
    <mergeCell ref="C37:E37"/>
    <mergeCell ref="B67:B68"/>
    <mergeCell ref="B88:B89"/>
    <mergeCell ref="AB97:AB100"/>
    <mergeCell ref="AA97:AA100"/>
    <mergeCell ref="Z97:Z100"/>
    <mergeCell ref="X97:Y100"/>
    <mergeCell ref="Y92:AA92"/>
    <mergeCell ref="Y91:AA91"/>
    <mergeCell ref="Y90:AA90"/>
    <mergeCell ref="B79:B80"/>
    <mergeCell ref="C79:E79"/>
    <mergeCell ref="C81:E81"/>
    <mergeCell ref="C75:E75"/>
    <mergeCell ref="C76:E76"/>
    <mergeCell ref="C78:E78"/>
    <mergeCell ref="D72:F72"/>
    <mergeCell ref="C74:E74"/>
    <mergeCell ref="AN86:AO86"/>
    <mergeCell ref="AG86:AH86"/>
    <mergeCell ref="Z86:AA86"/>
    <mergeCell ref="X87:Y87"/>
    <mergeCell ref="AX83:AY83"/>
    <mergeCell ref="AQ83:AQ84"/>
    <mergeCell ref="AJ83:AJ84"/>
    <mergeCell ref="AC83:AC84"/>
    <mergeCell ref="AU81:AY81"/>
    <mergeCell ref="AN81:AT81"/>
    <mergeCell ref="AG81:AM81"/>
    <mergeCell ref="X81:AF81"/>
    <mergeCell ref="AC78:AC79"/>
    <mergeCell ref="AX22:AY22"/>
    <mergeCell ref="AU20:AY20"/>
    <mergeCell ref="X76:AF76"/>
    <mergeCell ref="AO41:AO44"/>
    <mergeCell ref="AN41:AN44"/>
    <mergeCell ref="AI41:AI44"/>
    <mergeCell ref="AB41:AB44"/>
    <mergeCell ref="Y36:AA36"/>
    <mergeCell ref="Y35:AA35"/>
    <mergeCell ref="Y34:AA34"/>
    <mergeCell ref="X26:Y26"/>
    <mergeCell ref="AG25:AH25"/>
    <mergeCell ref="AQ22:AQ23"/>
    <mergeCell ref="U64:X64"/>
    <mergeCell ref="X66:Z66"/>
  </mergeCells>
  <conditionalFormatting sqref="G58:R58">
    <cfRule type="cellIs" dxfId="39" priority="1" operator="lessThan">
      <formula>0</formula>
    </cfRule>
  </conditionalFormatting>
  <conditionalFormatting sqref="G114:R114">
    <cfRule type="cellIs" dxfId="38" priority="2" operator="lessThan">
      <formula>0</formula>
    </cfRule>
  </conditionalFormatting>
  <printOptions horizontalCentered="1" verticalCentered="1"/>
  <pageMargins left="0.25" right="0.25" top="0.75" bottom="0.75" header="0.3" footer="0.3"/>
  <pageSetup paperSize="9" scale="71" pageOrder="overThenDown" orientation="landscape" verticalDpi="4" r:id="rId1"/>
  <rowBreaks count="1" manualBreakCount="1">
    <brk id="61" min="1" max="68" man="1"/>
  </rowBreaks>
  <colBreaks count="1" manualBreakCount="1">
    <brk id="19" min="5" max="87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15</vt:i4>
      </vt:variant>
      <vt:variant>
        <vt:lpstr>Nimetyt alueet</vt:lpstr>
      </vt:variant>
      <vt:variant>
        <vt:i4>17</vt:i4>
      </vt:variant>
    </vt:vector>
  </HeadingPairs>
  <TitlesOfParts>
    <vt:vector size="32" baseType="lpstr">
      <vt:lpstr>OHJE</vt:lpstr>
      <vt:lpstr>1. T1 INVESTOINTISUUN.</vt:lpstr>
      <vt:lpstr>2. T7 LAINAT</vt:lpstr>
      <vt:lpstr>3. E1 KUSTANNUKSET</vt:lpstr>
      <vt:lpstr>4. E2 LIIKEVAIHTO</vt:lpstr>
      <vt:lpstr>5. T4 RAHOITUSSUUN.</vt:lpstr>
      <vt:lpstr>6. T3 TASE</vt:lpstr>
      <vt:lpstr>7. T2 TULOSSUUN.</vt:lpstr>
      <vt:lpstr>8. T5 KASSABUDJETTI</vt:lpstr>
      <vt:lpstr>AT Kassa</vt:lpstr>
      <vt:lpstr>AT1 Avustus, alv</vt:lpstr>
      <vt:lpstr>AT2 Lainat, alv</vt:lpstr>
      <vt:lpstr>Tulostussivu</vt:lpstr>
      <vt:lpstr>Financial Projection</vt:lpstr>
      <vt:lpstr>Kaaviot</vt:lpstr>
      <vt:lpstr>_3_2012</vt:lpstr>
      <vt:lpstr>'3. E1 KUSTANNUKSET'!Teksti37</vt:lpstr>
      <vt:lpstr>'3. E1 KUSTANNUKSET'!Teksti38</vt:lpstr>
      <vt:lpstr>'3. E1 KUSTANNUKSET'!Teksti39</vt:lpstr>
      <vt:lpstr>'1. T1 INVESTOINTISUUN.'!Tulostusalue</vt:lpstr>
      <vt:lpstr>'2. T7 LAINAT'!Tulostusalue</vt:lpstr>
      <vt:lpstr>'3. E1 KUSTANNUKSET'!Tulostusalue</vt:lpstr>
      <vt:lpstr>'4. E2 LIIKEVAIHTO'!Tulostusalue</vt:lpstr>
      <vt:lpstr>'5. T4 RAHOITUSSUUN.'!Tulostusalue</vt:lpstr>
      <vt:lpstr>'6. T3 TASE'!Tulostusalue</vt:lpstr>
      <vt:lpstr>'7. T2 TULOSSUUN.'!Tulostusalue</vt:lpstr>
      <vt:lpstr>'8. T5 KASSABUDJETTI'!Tulostusalue</vt:lpstr>
      <vt:lpstr>'Financial Projection'!Tulostusalue</vt:lpstr>
      <vt:lpstr>OHJE!Tulostusalue</vt:lpstr>
      <vt:lpstr>Tulostussivu!Tulostusalue</vt:lpstr>
      <vt:lpstr>'3. E1 KUSTANNUKSET'!Tulostusotsikot</vt:lpstr>
      <vt:lpstr>'6. T3 TASE'!Tulostusotsikot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YT6 Aloittavan yrityksen tulossuunnitelma</dc:title>
  <dc:creator>Yritystulkki</dc:creator>
  <cp:lastModifiedBy>yritysTULKKI</cp:lastModifiedBy>
  <cp:lastPrinted>2026-05-12T06:55:13Z</cp:lastPrinted>
  <dcterms:created xsi:type="dcterms:W3CDTF">2006-08-01T10:09:48Z</dcterms:created>
  <dcterms:modified xsi:type="dcterms:W3CDTF">2026-05-20T09:03:34Z</dcterms:modified>
</cp:coreProperties>
</file>