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F8FE08B7-137F-48A7-80EB-89CCC3CEC0D6}"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<sst xmlns="http://schemas.openxmlformats.org/spreadsheetml/2006/main" count="1492" uniqueCount="517">
  <si>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</si>
  <si>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</si>
  <si>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</si>
  <si>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</si>
  <si>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</si>
  <si>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</si>
  <si>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</si>
  <si>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</si>
  <si>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</si>
  <si>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</si>
  <si>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</si>
  <si>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</si>
  <si>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</si>
  <si>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</si>
  <si>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</si>
  <si>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</si>
  <si>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</si>
  <si>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</si>
  <si>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</si>
  <si>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</si>
  <si>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</si>
  <si>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</si>
  <si>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</si>
  <si>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</si>
  <si>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</si>
  <si>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</si>
  <si>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</si>
  <si>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</si>
  <si>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</si>
  <si>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</si>
  <si>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</si>
  <si>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</si>
  <si>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</si>
  <si>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</si>
  <si>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</si>
  <si>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</si>
  <si>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</si>
  <si>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</si>
  <si>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</si>
  <si>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</si>
  <si>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</si>
  <si>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</si>
  <si>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</si>
  <si>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</si>
  <si>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</si>
  <si>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</si>
  <si>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</si>
  <si>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</si>
  <si>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</si>
  <si>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</si>
  <si>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</si>
  <si>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</si>
  <si>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</si>
  <si>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</si>
  <si>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</si>
  <si>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</si>
  <si>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</si>
  <si>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</si>
  <si>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</si>
  <si>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</si>
  <si>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</si>
  <si>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</si>
  <si>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</si>
  <si>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</si>
  <si>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</si>
  <si>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</si>
  <si>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</si>
  <si>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</si>
  <si>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</si>
  <si>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</si>
  <si>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</si>
  <si>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</si>
  <si>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</si>
  <si>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</si>
  <si>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</si>
  <si>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</si>
  <si>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</si>
  <si>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</si>
  <si>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</si>
  <si>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</si>
  <si>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</si>
  <si>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</si>
  <si>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</si>
  <si>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</si>
  <si>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</si>
  <si>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</si>
  <si>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</si>
  <si>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</si>
  <si>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</si>
  <si>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</si>
  <si>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</si>
  <si>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</si>
  <si>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</si>
  <si>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</si>
  <si>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</si>
  <si>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</si>
  <si>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</si>
  <si>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</si>
  <si>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</si>
  <si>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</si>
  <si>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</si>
  <si>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</si>
  <si>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</si>
  <si>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</si>
  <si>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</si>
  <si>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</si>
  <si>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</si>
  <si>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</si>
  <si>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</si>
  <si>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</si>
  <si>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</si>
  <si>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</si>
  <si>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</si>
  <si>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</si>
  <si>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</si>
  <si>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</si>
  <si>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</si>
  <si>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</si>
  <si>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</si>
  <si>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</si>
  <si>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</si>
  <si>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</si>
  <si>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</si>
  <si>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</si>
  <si>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</si>
  <si>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</si>
  <si>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</si>
  <si>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</si>
  <si>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</si>
  <si>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</si>
  <si>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</si>
  <si>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</si>
  <si>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</si>
  <si>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</si>
  <si>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</si>
  <si>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</si>
  <si>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</si>
  <si>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</si>
  <si>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</si>
  <si>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</si>
  <si>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</si>
  <si>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</si>
  <si>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</si>
  <si>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</si>
  <si>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</si>
  <si>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</si>
  <si>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</si>
  <si>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</si>
  <si>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</si>
  <si>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</si>
  <si>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</si>
  <si>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</si>
  <si>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</si>
  <si>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</si>
  <si>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</si>
  <si>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</si>
  <si>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</si>
  <si>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</si>
  <si>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</si>
  <si>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</si>
  <si>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</si>
  <si>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</si>
  <si>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</si>
  <si>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</si>
  <si>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</si>
  <si>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</si>
  <si>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</si>
  <si>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</si>
  <si>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</si>
  <si>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</si>
  <si>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</si>
  <si>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</si>
  <si>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</si>
  <si>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</si>
  <si>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</si>
  <si>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</si>
  <si>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</si>
  <si>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</si>
  <si>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</si>
  <si>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</si>
  <si>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</si>
  <si>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</si>
  <si>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</si>
  <si>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</si>
  <si>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</si>
  <si>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</si>
  <si>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</si>
  <si>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</si>
  <si>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</si>
  <si>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</si>
  <si>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</si>
  <si>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</si>
  <si>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</si>
  <si>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</si>
  <si>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</si>
  <si>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</si>
  <si>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</si>
  <si>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</si>
  <si>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</si>
  <si>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</si>
  <si>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</si>
  <si>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</si>
  <si>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</si>
  <si>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</si>
  <si>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</si>
  <si>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</si>
  <si>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</si>
  <si>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</si>
  <si>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</si>
  <si>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</si>
  <si>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</si>
  <si>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</si>
  <si>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</si>
  <si>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</si>
  <si>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</si>
  <si>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</si>
  <si>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</si>
  <si>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</si>
  <si>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</si>
  <si>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</si>
  <si>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</si>
  <si>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</si>
  <si>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</si>
  <si>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</si>
  <si>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</si>
  <si>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</si>
  <si>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</si>
  <si>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</si>
  <si>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</si>
  <si>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</si>
  <si>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</si>
  <si>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</si>
  <si>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</si>
  <si>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</si>
  <si>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</si>
  <si>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</si>
  <si>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</si>
  <si>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</si>
  <si>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</si>
  <si>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</si>
  <si>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</si>
  <si>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</si>
  <si>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</si>
  <si>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</si>
  <si>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</si>
  <si>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</si>
  <si>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</si>
  <si>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</si>
  <si>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</si>
  <si>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</si>
  <si>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</si>
  <si>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</si>
  <si>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</si>
  <si>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</si>
  <si>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</si>
  <si>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</si>
  <si>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</si>
  <si>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</si>
  <si>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</si>
  <si>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</si>
  <si>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</si>
  <si>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</si>
  <si>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</si>
  <si>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</si>
  <si>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</si>
  <si>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</si>
  <si>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</si>
  <si>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</si>
  <si>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</si>
  <si>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</si>
  <si>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</si>
  <si>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</si>
  <si>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</si>
  <si>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</si>
  <si>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</si>
  <si>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</si>
  <si>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</si>
  <si>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</si>
  <si>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</si>
  <si>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</si>
  <si>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</si>
  <si>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</si>
  <si>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</si>
  <si>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</si>
  <si>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</si>
  <si>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</si>
  <si>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</si>
  <si>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</si>
  <si>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</si>
  <si>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</si>
  <si>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</si>
  <si>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</si>
  <si>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</si>
  <si>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</si>
  <si>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</si>
  <si>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</si>
  <si>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</si>
  <si>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</si>
  <si>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</si>
  <si>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</si>
  <si>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</si>
  <si>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</si>
  <si>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</si>
  <si>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</si>
  <si>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</si>
  <si>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</si>
  <si>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</si>
  <si>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</si>
  <si>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</si>
  <si>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</si>
  <si>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</si>
  <si>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</si>
  <si>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</si>
  <si>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</si>
  <si>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</si>
  <si>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</si>
  <si>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</si>
  <si>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</si>
  <si>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</si>
  <si>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</si>
  <si>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</si>
  <si>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</si>
  <si>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</si>
  <si>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</si>
  <si>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</si>
  <si>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</si>
  <si>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</si>
  <si>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</si>
  <si>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</si>
  <si>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</si>
  <si>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</si>
  <si>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</si>
  <si>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</si>
  <si>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</si>
  <si>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</si>
  <si>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</si>
  <si>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</si>
  <si>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</si>
  <si>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</si>
  <si>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</si>
  <si>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</si>
  <si>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</si>
  <si>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</si>
  <si>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</si>
  <si>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</si>
  <si>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</si>
  <si>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</si>
  <si>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</si>
  <si>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</si>
  <si>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</si>
  <si>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</si>
  <si>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</si>
  <si>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</si>
  <si>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</si>
  <si>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</si>
  <si>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</si>
  <si>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</si>
  <si>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</si>
  <si>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</si>
  <si>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</si>
  <si>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</si>
  <si>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</si>
  <si>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</si>
  <si>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</si>
  <si>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</si>
  <si>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</si>
  <si>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</si>
  <si>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</si>
  <si>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</si>
  <si>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</si>
  <si>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</si>
  <si>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</si>
  <si>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</si>
  <si>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</si>
  <si>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</si>
  <si>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</si>
  <si>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</si>
  <si>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</si>
  <si>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</si>
  <si>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</si>
  <si>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</si>
  <si>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</si>
  <si>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</si>
  <si>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</si>
  <si>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</si>
  <si>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</si>
  <si>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</si>
  <si>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</si>
  <si>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</si>
  <si>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</si>
  <si>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</si>
  <si>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</si>
  <si>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</si>
  <si>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</si>
  <si>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</si>
  <si>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</si>
  <si>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</si>
  <si>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</si>
  <si>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</si>
  <si>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</si>
  <si>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</si>
  <si>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</si>
  <si>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</si>
  <si>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</si>
  <si>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</si>
  <si>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</si>
  <si>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</si>
  <si>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</si>
  <si>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</si>
  <si>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</si>
  <si>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</si>
  <si>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</si>
  <si>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</si>
  <si>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</si>
  <si>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</si>
  <si>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</si>
  <si>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</si>
  <si>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</si>
  <si>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</si>
  <si>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</si>
  <si>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</si>
  <si>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</si>
  <si>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</si>
  <si>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</si>
  <si>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</si>
  <si>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</si>
  <si>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</si>
  <si>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</si>
  <si>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</si>
  <si>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</si>
  <si>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</si>
  <si>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</si>
  <si>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</si>
  <si>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</si>
  <si>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</si>
  <si>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</si>
  <si>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</si>
  <si>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</si>
  <si>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</si>
  <si>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</si>
  <si>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</si>
  <si>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</si>
  <si>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</si>
  <si>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</si>
  <si>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</si>
  <si>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</si>
  <si>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</si>
  <si>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</si>
  <si>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</si>
  <si>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</si>
  <si>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</si>
  <si>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</si>
  <si>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</si>
  <si>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</si>
  <si>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</si>
  <si>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</si>
  <si>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</si>
  <si>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</si>
  <si>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</si>
  <si>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</si>
  <si>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</si>
  <si>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</si>
  <si>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</si>
  <si>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</si>
  <si>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</si>
  <si>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</si>
  <si>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</si>
  <si>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</si>
  <si>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</si>
  <si>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</si>
  <si>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</si>
  <si>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</si>
  <si>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</si>
  <si>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</si>
  <si>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</si>
  <si>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</si>
  <si>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</si>
  <si>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</si>
  <si>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</si>
  <si>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</si>
  <si>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</si>
  <si>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</si>
  <si>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</si>
  <si>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</si>
  <si>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</si>
  <si>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</si>
  <si>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</si>
  <si>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</si>
  <si>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</si>
  <si>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</si>
  <si>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</si>
  <si>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</si>
  <si>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</si>
  <si>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</si>
  <si>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</si>
  <si>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</si>
  <si>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</si>
  <si>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</si>
  <si>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</si>
  <si>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</si>
  <si>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</si>
  <si>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</si>
  <si>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</si>
  <si>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</si>
  <si>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</si>
  <si>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</si>
  <si>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</si>
  <si>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</si>
  <si>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</si>
  <si>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</si>
  <si>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</si>
  <si>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</si>
  <si>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</si>
  <si>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</si>
  <si>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</si>
  <si>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Business Rauma, Eurajoki, Prizztech</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</si>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</sst>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7" fillId="4" borderId="69" xfId="0" applyNumberFormat="1" applyFont="1" applyFill="1" applyBorder="1" applyAlignment="1" applyProtection="1">
      <alignment horizontal="center" vertical="center"/>
      <protection locked="0"/>
    </xf>
    <xf numFmtId="0" fontId="11" fillId="0" borderId="69" xfId="0" applyFont="1" applyBorder="1" applyAlignment="1">
      <alignment horizontal="left" vertic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0" fillId="0" borderId="0" xfId="0" applyNumberFormat="1" applyAlignment="1">
      <alignment horizontal="center" vertical="center"/>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6" fillId="5" borderId="0" xfId="0" applyFont="1" applyFill="1" applyAlignment="1" applyProtection="1">
      <alignment horizontal="center" vertical="center"/>
      <protection locked="0"/>
    </xf>
    <xf numFmtId="165" fontId="12" fillId="3" borderId="69" xfId="0" applyNumberFormat="1" applyFont="1" applyFill="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4" fontId="7" fillId="0" borderId="69"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4" fontId="7" fillId="4" borderId="69" xfId="0" applyNumberFormat="1" applyFont="1" applyFill="1" applyBorder="1" applyAlignment="1" applyProtection="1">
      <alignment horizontal="center" vertical="center"/>
      <protection locked="0"/>
    </xf>
    <xf numFmtId="3" fontId="7" fillId="0" borderId="69" xfId="0" applyNumberFormat="1" applyFont="1" applyBorder="1" applyAlignment="1" applyProtection="1">
      <alignment horizontal="center" vertical="center"/>
      <protection hidden="1"/>
    </xf>
    <xf numFmtId="0" fontId="4" fillId="4" borderId="74" xfId="0" applyFont="1" applyFill="1" applyBorder="1" applyAlignment="1" applyProtection="1">
      <alignment horizontal="left" vertical="center" indent="1"/>
      <protection locked="0"/>
    </xf>
    <xf numFmtId="0" fontId="4" fillId="4" borderId="69" xfId="0" applyFont="1" applyFill="1" applyBorder="1" applyAlignment="1" applyProtection="1">
      <alignment horizontal="left" vertical="center" indent="1"/>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164" fontId="7" fillId="0" borderId="69" xfId="0" applyNumberFormat="1" applyFont="1" applyBorder="1" applyAlignment="1" applyProtection="1">
      <alignment horizontal="center" vertical="center"/>
      <protection hidden="1"/>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164" fontId="7" fillId="4" borderId="96"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84" xfId="0" applyNumberFormat="1" applyFont="1" applyFill="1" applyBorder="1" applyAlignment="1">
      <alignment horizontal="center" vertical="center"/>
    </xf>
    <xf numFmtId="0" fontId="7" fillId="0" borderId="130" xfId="0" applyFont="1" applyBorder="1" applyAlignment="1">
      <alignment horizontal="left" vertical="center" indent="1"/>
    </xf>
    <xf numFmtId="164" fontId="7" fillId="4" borderId="72" xfId="0" applyNumberFormat="1" applyFont="1" applyFill="1" applyBorder="1" applyAlignment="1" applyProtection="1">
      <alignment horizontal="center" vertical="center"/>
      <protection locked="0"/>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7" xfId="0" applyFont="1" applyBorder="1" applyAlignment="1">
      <alignment horizontal="left" vertical="center" indent="1"/>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3" fontId="12" fillId="0" borderId="69" xfId="0" applyNumberFormat="1" applyFont="1" applyBorder="1" applyAlignment="1" applyProtection="1">
      <alignment horizontal="center" vertical="center"/>
      <protection hidden="1"/>
    </xf>
    <xf numFmtId="0" fontId="0" fillId="0" borderId="0" xfId="0" applyAlignment="1">
      <alignment horizontal="left"/>
    </xf>
    <xf numFmtId="165" fontId="11" fillId="3" borderId="69" xfId="0" applyNumberFormat="1" applyFont="1" applyFill="1" applyBorder="1" applyAlignment="1" applyProtection="1">
      <alignment horizontal="center" vertical="center"/>
      <protection hidden="1"/>
    </xf>
    <xf numFmtId="3" fontId="12" fillId="4" borderId="69" xfId="0" applyNumberFormat="1" applyFont="1" applyFill="1" applyBorder="1" applyAlignment="1" applyProtection="1">
      <alignment horizontal="center" vertical="center"/>
      <protection locked="0"/>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0" borderId="0" xfId="0" applyFont="1" applyAlignment="1">
      <alignment horizontal="left"/>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0" fontId="4" fillId="0" borderId="0" xfId="0" applyFont="1" applyAlignment="1">
      <alignment horizontal="center" wrapText="1"/>
    </xf>
    <xf numFmtId="0" fontId="11" fillId="0" borderId="0" xfId="0" applyFont="1" applyAlignment="1">
      <alignment horizontal="right" vertical="center" indent="1"/>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11" fillId="4" borderId="0" xfId="0" applyFont="1" applyFill="1" applyAlignment="1" applyProtection="1">
      <alignment horizontal="left"/>
      <protection locked="0"/>
    </xf>
    <xf numFmtId="0" fontId="11" fillId="0" borderId="75" xfId="0" applyFont="1" applyBorder="1" applyAlignment="1">
      <alignment horizontal="left" vertical="center"/>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0" xfId="0" applyFont="1" applyBorder="1" applyAlignment="1">
      <alignment horizontal="left" vertical="center"/>
    </xf>
    <xf numFmtId="0" fontId="12" fillId="0" borderId="105" xfId="0" applyFont="1" applyBorder="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0" xfId="0" applyFont="1" applyFill="1" applyAlignment="1" applyProtection="1">
      <alignment horizontal="left" vertical="center"/>
      <protection locked="0"/>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1" fontId="11" fillId="0" borderId="69" xfId="0" applyNumberFormat="1" applyFont="1" applyBorder="1" applyAlignment="1">
      <alignment horizontal="center" vertical="center"/>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1" fontId="11" fillId="0" borderId="76" xfId="0" applyNumberFormat="1" applyFont="1" applyBorder="1" applyAlignment="1">
      <alignment horizontal="center" vertical="center"/>
    </xf>
    <xf numFmtId="3" fontId="12" fillId="6" borderId="0" xfId="0" applyNumberFormat="1" applyFont="1" applyFill="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49" fontId="12" fillId="4" borderId="0" xfId="0" applyNumberFormat="1" applyFont="1" applyFill="1" applyAlignment="1" applyProtection="1">
      <alignment horizontal="left" vertical="center"/>
      <protection locked="0"/>
    </xf>
    <xf numFmtId="0" fontId="11" fillId="0" borderId="97" xfId="0" applyFont="1" applyBorder="1" applyAlignment="1">
      <alignment horizontal="left" vertical="center"/>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7" fillId="0" borderId="104" xfId="0" applyFont="1" applyBorder="1" applyAlignment="1">
      <alignment horizontal="left" vertical="center" indent="1"/>
    </xf>
    <xf numFmtId="0" fontId="7" fillId="0" borderId="98" xfId="0" applyFont="1" applyBorder="1" applyAlignment="1">
      <alignment horizontal="left" vertical="center" indent="1"/>
    </xf>
    <xf numFmtId="0" fontId="7" fillId="0" borderId="99"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2" fillId="4" borderId="99" xfId="0" applyFont="1" applyFill="1" applyBorder="1" applyAlignment="1" applyProtection="1">
      <alignment horizontal="left" vertical="center"/>
      <protection locked="0"/>
    </xf>
    <xf numFmtId="49" fontId="12" fillId="4" borderId="100" xfId="0" applyNumberFormat="1" applyFont="1" applyFill="1" applyBorder="1" applyAlignment="1" applyProtection="1">
      <alignment horizontal="left" vertical="center"/>
      <protection locked="0"/>
    </xf>
    <xf numFmtId="0" fontId="0" fillId="0" borderId="0" xfId="0" applyAlignment="1">
      <alignment horizontal="center"/>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0" fontId="50" fillId="0" borderId="113"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9" fontId="12" fillId="4" borderId="69" xfId="0" applyNumberFormat="1" applyFont="1" applyFill="1" applyBorder="1" applyAlignment="1" applyProtection="1">
      <alignment horizontal="center" vertical="center"/>
      <protection locked="0"/>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5" xfId="0" applyFont="1" applyBorder="1" applyAlignment="1">
      <alignment horizontal="left" vertical="center"/>
    </xf>
    <xf numFmtId="0" fontId="12" fillId="0" borderId="41" xfId="0" applyFont="1" applyBorder="1" applyAlignment="1">
      <alignment horizontal="left" vertical="center"/>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6" fillId="27" borderId="48" xfId="0" applyFont="1" applyFill="1" applyBorder="1" applyAlignment="1">
      <alignment horizontal="left" vertic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3" fontId="12" fillId="28" borderId="69" xfId="0" applyNumberFormat="1" applyFont="1" applyFill="1" applyBorder="1" applyAlignment="1" applyProtection="1">
      <alignment horizontal="center" vertical="center"/>
      <protection locked="0"/>
    </xf>
    <xf numFmtId="165" fontId="12" fillId="0" borderId="69"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1"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0" xfId="0" applyFont="1" applyFill="1" applyBorder="1" applyAlignment="1" applyProtection="1">
      <alignment horizontal="left" vertical="center"/>
      <protection locked="0"/>
    </xf>
    <xf numFmtId="0" fontId="12" fillId="28" borderId="105" xfId="0" applyFont="1" applyFill="1" applyBorder="1" applyAlignment="1" applyProtection="1">
      <alignment horizontal="left" vertical="center"/>
      <protection locked="0"/>
    </xf>
    <xf numFmtId="0" fontId="12" fillId="28" borderId="0" xfId="0" applyFont="1" applyFill="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1" xfId="0" applyFont="1" applyFill="1" applyBorder="1" applyAlignment="1" applyProtection="1">
      <alignment horizontal="left" vertical="center"/>
      <protection locked="0"/>
    </xf>
    <xf numFmtId="0" fontId="11" fillId="28" borderId="0" xfId="0" applyFont="1" applyFill="1" applyAlignment="1" applyProtection="1">
      <alignment horizontal="left"/>
      <protection locked="0"/>
    </xf>
    <xf numFmtId="0" fontId="6" fillId="28" borderId="0" xfId="0" applyFont="1" applyFill="1" applyAlignment="1" applyProtection="1">
      <alignment horizontal="left" vertical="center"/>
      <protection locked="0"/>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2</xdr:col>
      <xdr:colOff>389139</xdr:colOff>
      <xdr:row>5</xdr:row>
      <xdr:rowOff>40777</xdr:rowOff>
    </xdr:from>
    <xdr:to>
      <xdr:col>6</xdr:col>
      <xdr:colOff>488673</xdr:colOff>
      <xdr:row>7</xdr:row>
      <xdr:rowOff>68859</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2053943" y="869038"/>
          <a:ext cx="4307100"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clientData/>
  </xdr:twoCellAnchor>
  <xdr:twoCellAnchor editAs="oneCell">
    <xdr:from>
      <xdr:col>1</xdr:col>
      <xdr:colOff>381123</xdr:colOff>
      <xdr:row>4</xdr:row>
      <xdr:rowOff>152736</xdr:rowOff>
    </xdr:from>
    <xdr:to>
      <xdr:col>2</xdr:col>
      <xdr:colOff>231339</xdr:colOff>
      <xdr:row>7</xdr:row>
      <xdr:rowOff>88318</xdr:rowOff>
    </xdr:to>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4036" y="815345"/>
          <a:ext cx="902107" cy="432538"/>
        </a:xfrm>
        <a:prstGeom prst="rect">
          <a:avLst/>
        </a:prstGeom>
      </xdr:spPr>
    </xdr:pic>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2</xdr:col>
      <xdr:colOff>430695</xdr:colOff>
      <xdr:row>36</xdr:row>
      <xdr:rowOff>16565</xdr:rowOff>
    </xdr:from>
    <xdr:to>
      <xdr:col>5</xdr:col>
      <xdr:colOff>728868</xdr:colOff>
      <xdr:row>39</xdr:row>
      <xdr:rowOff>72241</xdr:rowOff>
    </xdr:to>
    <xdr:pic>
      <xdr:nvPicPr>
        <xdr:cNvPr id="47" name="Kuva 46">
          <a:extLst>
            <a:ext uri="{FF2B5EF4-FFF2-40B4-BE49-F238E27FC236}">
              <a16:creationId xmlns:a16="http://schemas.microsoft.com/office/drawing/2014/main" id="{E6703C57-1191-3F49-D952-5F3106D6BF7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95499" y="5980043"/>
          <a:ext cx="3453847" cy="4532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I44" sqref="I44"/>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qOQ0SPH6nXMMXxaX0DwHj4idPvzFCL9CA7b9ZTwnijwAUTpZEhDRn3UR/VCJYODeZUTL1qU5ldHQwys217eXQA==" saltValue="PARRiPeFvvXFFQX9ALdIn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171"/>
      <c r="L1" s="1171"/>
      <c r="M1" s="1171"/>
    </row>
    <row r="2" spans="2:24" ht="40.9" customHeight="1" x14ac:dyDescent="0.2">
      <c r="C2" s="255"/>
      <c r="D2" s="34"/>
      <c r="J2" s="1172"/>
      <c r="K2" s="1173"/>
      <c r="L2" s="1173"/>
      <c r="M2" s="1173"/>
    </row>
    <row r="3" spans="2:24" ht="12.75" customHeight="1" x14ac:dyDescent="0.2">
      <c r="C3" s="255"/>
      <c r="D3" s="34"/>
      <c r="J3" s="419"/>
      <c r="K3" s="435"/>
      <c r="L3" s="435"/>
      <c r="M3" s="435"/>
    </row>
    <row r="4" spans="2:24" ht="13.5" customHeight="1" x14ac:dyDescent="0.3">
      <c r="B4" s="1025" t="s">
        <v>80</v>
      </c>
      <c r="C4" s="277" t="s">
        <v>5</v>
      </c>
      <c r="D4" s="247"/>
      <c r="E4" s="248"/>
      <c r="H4" s="73" t="s">
        <v>167</v>
      </c>
      <c r="J4" s="1104" t="str">
        <f>Aloitussivu!E40</f>
        <v>Business Rauma, Eurajoki, Prizztech</v>
      </c>
      <c r="K4" s="1104"/>
      <c r="L4" s="1104"/>
      <c r="M4" s="1104"/>
      <c r="R4" s="249"/>
    </row>
    <row r="5" spans="2:24" ht="13.35" customHeight="1" x14ac:dyDescent="0.2">
      <c r="B5" s="1025"/>
      <c r="C5" s="1192" t="s">
        <v>131</v>
      </c>
      <c r="D5" s="1192"/>
      <c r="E5" s="1192"/>
      <c r="F5" s="282"/>
      <c r="G5" s="282"/>
      <c r="H5" s="403">
        <v>0</v>
      </c>
      <c r="J5" s="1104"/>
      <c r="K5" s="1104"/>
      <c r="L5" s="1104"/>
      <c r="M5" s="1104"/>
      <c r="O5" s="266"/>
      <c r="P5" s="266"/>
    </row>
    <row r="6" spans="2:24" ht="14.25" x14ac:dyDescent="0.2">
      <c r="C6" s="1093" t="s">
        <v>1</v>
      </c>
      <c r="D6" s="1093"/>
      <c r="E6" s="249"/>
      <c r="F6" s="250"/>
      <c r="G6" s="250"/>
      <c r="H6" s="251" t="s">
        <v>160</v>
      </c>
      <c r="I6" s="251"/>
      <c r="J6" s="252" t="s">
        <v>0</v>
      </c>
      <c r="K6" s="210"/>
      <c r="L6" s="251"/>
      <c r="M6" s="11" t="s">
        <v>0</v>
      </c>
    </row>
    <row r="7" spans="2:24" ht="13.35" customHeight="1" x14ac:dyDescent="0.2">
      <c r="C7" s="1121"/>
      <c r="D7" s="1121"/>
      <c r="E7" s="1121"/>
      <c r="F7" s="24"/>
      <c r="G7" s="24"/>
      <c r="H7" s="1121">
        <v>0</v>
      </c>
      <c r="I7" s="1121"/>
      <c r="J7" s="1121"/>
      <c r="K7" s="1121"/>
      <c r="L7" s="1121"/>
      <c r="M7" s="1121"/>
      <c r="O7" s="266"/>
    </row>
    <row r="8" spans="2:24" ht="12.75" customHeight="1" x14ac:dyDescent="0.2">
      <c r="C8" s="16"/>
      <c r="D8" s="262"/>
      <c r="E8" s="262"/>
      <c r="F8" s="262"/>
      <c r="G8" s="262"/>
      <c r="H8" s="262"/>
      <c r="I8" s="262"/>
      <c r="J8" s="262"/>
      <c r="K8" s="262"/>
      <c r="L8" s="263"/>
      <c r="M8" s="263"/>
    </row>
    <row r="9" spans="2:24" ht="23.25" customHeight="1" x14ac:dyDescent="0.2">
      <c r="B9" s="266"/>
      <c r="C9" s="1189" t="s">
        <v>179</v>
      </c>
      <c r="D9" s="1190"/>
      <c r="E9" s="1191"/>
      <c r="F9" s="1138" t="s">
        <v>12</v>
      </c>
      <c r="G9" s="1139"/>
      <c r="H9" s="1140" t="s">
        <v>161</v>
      </c>
      <c r="I9" s="1141"/>
      <c r="J9" s="1141"/>
      <c r="K9" s="1141"/>
      <c r="L9" s="1142"/>
      <c r="M9" s="547" t="s">
        <v>12</v>
      </c>
      <c r="O9" s="928" t="s">
        <v>369</v>
      </c>
      <c r="P9" s="929"/>
      <c r="Q9" s="929"/>
      <c r="R9" s="929"/>
      <c r="S9" s="929"/>
      <c r="T9" s="929"/>
      <c r="U9" s="929"/>
      <c r="V9" s="929"/>
      <c r="W9" s="929"/>
      <c r="X9" s="930"/>
    </row>
    <row r="10" spans="2:24" ht="13.5" customHeight="1" x14ac:dyDescent="0.2">
      <c r="C10" s="1122" t="s">
        <v>329</v>
      </c>
      <c r="D10" s="1004"/>
      <c r="E10" s="481" t="s">
        <v>32</v>
      </c>
      <c r="F10" s="1027">
        <f>F11+F12+F13</f>
        <v>0</v>
      </c>
      <c r="G10" s="1027"/>
      <c r="H10" s="1122" t="s">
        <v>193</v>
      </c>
      <c r="I10" s="1003"/>
      <c r="J10" s="1003"/>
      <c r="K10" s="1195"/>
      <c r="L10" s="1196"/>
      <c r="M10" s="494">
        <f>SUM(M12:M14)</f>
        <v>0</v>
      </c>
      <c r="O10" s="685"/>
      <c r="P10" s="683"/>
      <c r="Q10" s="683"/>
      <c r="R10" s="683"/>
      <c r="S10" s="683"/>
      <c r="T10" s="683"/>
      <c r="U10" s="683"/>
      <c r="V10" s="683"/>
      <c r="W10" s="683"/>
      <c r="X10" s="684"/>
    </row>
    <row r="11" spans="2:24" ht="13.5" customHeight="1" x14ac:dyDescent="0.2">
      <c r="C11" s="1181" t="s">
        <v>497</v>
      </c>
      <c r="D11" s="1182"/>
      <c r="E11" s="476">
        <v>0</v>
      </c>
      <c r="F11" s="1088">
        <v>0</v>
      </c>
      <c r="G11" s="1088"/>
      <c r="H11" s="1132" t="s">
        <v>165</v>
      </c>
      <c r="I11" s="1133"/>
      <c r="J11" s="559" t="s">
        <v>20</v>
      </c>
      <c r="K11" s="1197" t="s">
        <v>22</v>
      </c>
      <c r="L11" s="1198"/>
      <c r="M11" s="495" t="s">
        <v>21</v>
      </c>
      <c r="O11" s="685"/>
      <c r="P11" s="683"/>
      <c r="Q11" s="683"/>
      <c r="R11" s="683"/>
      <c r="S11" s="683"/>
      <c r="T11" s="683"/>
      <c r="U11" s="683"/>
      <c r="V11" s="683"/>
      <c r="W11" s="683"/>
      <c r="X11" s="684"/>
    </row>
    <row r="12" spans="2:24" ht="13.5" customHeight="1" x14ac:dyDescent="0.2">
      <c r="C12" s="1125" t="s">
        <v>502</v>
      </c>
      <c r="D12" s="1126"/>
      <c r="E12" s="476">
        <v>0</v>
      </c>
      <c r="F12" s="1088">
        <v>0</v>
      </c>
      <c r="G12" s="1088"/>
      <c r="H12" s="1129" t="s">
        <v>85</v>
      </c>
      <c r="I12" s="1129"/>
      <c r="J12" s="477">
        <v>0</v>
      </c>
      <c r="K12" s="491">
        <v>0</v>
      </c>
      <c r="L12" s="492">
        <v>0</v>
      </c>
      <c r="M12" s="493">
        <v>0</v>
      </c>
      <c r="O12" s="685"/>
      <c r="P12" s="683"/>
      <c r="Q12" s="683"/>
      <c r="R12" s="683"/>
      <c r="S12" s="683"/>
      <c r="T12" s="683"/>
      <c r="U12" s="683"/>
      <c r="V12" s="683"/>
      <c r="W12" s="683"/>
      <c r="X12" s="684"/>
    </row>
    <row r="13" spans="2:24" ht="13.5" customHeight="1" x14ac:dyDescent="0.2">
      <c r="C13" s="1127" t="s">
        <v>503</v>
      </c>
      <c r="D13" s="1128"/>
      <c r="E13" s="476">
        <v>0</v>
      </c>
      <c r="F13" s="1088">
        <v>0</v>
      </c>
      <c r="G13" s="1088"/>
      <c r="H13" s="1130" t="s">
        <v>84</v>
      </c>
      <c r="I13" s="1131"/>
      <c r="J13" s="476">
        <v>0</v>
      </c>
      <c r="K13" s="485">
        <v>0</v>
      </c>
      <c r="L13" s="486">
        <v>0</v>
      </c>
      <c r="M13" s="487">
        <v>0</v>
      </c>
      <c r="O13" s="685"/>
      <c r="P13" s="683"/>
      <c r="Q13" s="683"/>
      <c r="R13" s="683"/>
      <c r="S13" s="683"/>
      <c r="T13" s="683"/>
      <c r="U13" s="683"/>
      <c r="V13" s="683"/>
      <c r="W13" s="683"/>
      <c r="X13" s="684"/>
    </row>
    <row r="14" spans="2:24" ht="13.5" customHeight="1" x14ac:dyDescent="0.2">
      <c r="C14" s="1123" t="s">
        <v>189</v>
      </c>
      <c r="D14" s="1124"/>
      <c r="E14" s="481" t="s">
        <v>32</v>
      </c>
      <c r="F14" s="1027">
        <f>SUM(F15:F20)</f>
        <v>0</v>
      </c>
      <c r="G14" s="1027"/>
      <c r="H14" s="1129"/>
      <c r="I14" s="1129"/>
      <c r="J14" s="476">
        <v>0</v>
      </c>
      <c r="K14" s="485">
        <v>0</v>
      </c>
      <c r="L14" s="486">
        <v>0</v>
      </c>
      <c r="M14" s="487">
        <v>0</v>
      </c>
      <c r="O14" s="685"/>
      <c r="P14" s="683"/>
      <c r="Q14" s="683"/>
      <c r="R14" s="683"/>
      <c r="S14" s="683"/>
      <c r="T14" s="683"/>
      <c r="U14" s="683"/>
      <c r="V14" s="683"/>
      <c r="W14" s="683"/>
      <c r="X14" s="684"/>
    </row>
    <row r="15" spans="2:24" ht="13.5" customHeight="1" x14ac:dyDescent="0.2">
      <c r="C15" s="1135"/>
      <c r="D15" s="1136"/>
      <c r="E15" s="476">
        <v>0</v>
      </c>
      <c r="F15" s="1088">
        <v>0</v>
      </c>
      <c r="G15" s="1088"/>
      <c r="H15" s="1122" t="s">
        <v>194</v>
      </c>
      <c r="I15" s="1004"/>
      <c r="J15" s="476">
        <v>0</v>
      </c>
      <c r="K15" s="1134">
        <v>0</v>
      </c>
      <c r="L15" s="1134"/>
      <c r="M15" s="487">
        <v>0</v>
      </c>
      <c r="O15" s="685"/>
      <c r="P15" s="683"/>
      <c r="Q15" s="683"/>
      <c r="R15" s="683"/>
      <c r="S15" s="683"/>
      <c r="T15" s="683"/>
      <c r="U15" s="683"/>
      <c r="V15" s="683"/>
      <c r="W15" s="683"/>
      <c r="X15" s="684"/>
    </row>
    <row r="16" spans="2:24" ht="13.5" customHeight="1" x14ac:dyDescent="0.2">
      <c r="C16" s="1130"/>
      <c r="D16" s="1137"/>
      <c r="E16" s="476">
        <v>0</v>
      </c>
      <c r="F16" s="1088">
        <v>0</v>
      </c>
      <c r="G16" s="1088"/>
      <c r="H16" s="1122" t="s">
        <v>195</v>
      </c>
      <c r="I16" s="1004"/>
      <c r="J16" s="476">
        <v>0</v>
      </c>
      <c r="K16" s="1134">
        <v>0</v>
      </c>
      <c r="L16" s="1134"/>
      <c r="M16" s="487">
        <v>0</v>
      </c>
      <c r="O16" s="685"/>
      <c r="P16" s="683"/>
      <c r="Q16" s="683"/>
      <c r="R16" s="683"/>
      <c r="S16" s="683"/>
      <c r="T16" s="683"/>
      <c r="U16" s="683"/>
      <c r="V16" s="683"/>
      <c r="W16" s="683"/>
      <c r="X16" s="684"/>
    </row>
    <row r="17" spans="1:24" ht="13.5" customHeight="1" x14ac:dyDescent="0.2">
      <c r="C17" s="1217"/>
      <c r="D17" s="1218"/>
      <c r="E17" s="476">
        <v>0</v>
      </c>
      <c r="F17" s="1088">
        <v>0</v>
      </c>
      <c r="G17" s="1088"/>
      <c r="H17" s="1012" t="s">
        <v>196</v>
      </c>
      <c r="I17" s="1012"/>
      <c r="J17" s="1012"/>
      <c r="K17" s="1012"/>
      <c r="L17" s="1012"/>
      <c r="M17" s="488">
        <f>SUM(M18:M20)</f>
        <v>0</v>
      </c>
      <c r="O17" s="685"/>
      <c r="P17" s="683"/>
      <c r="Q17" s="683"/>
      <c r="R17" s="683"/>
      <c r="S17" s="683"/>
      <c r="T17" s="683"/>
      <c r="U17" s="683"/>
      <c r="V17" s="683"/>
      <c r="W17" s="683"/>
      <c r="X17" s="684"/>
    </row>
    <row r="18" spans="1:24" ht="13.5" customHeight="1" x14ac:dyDescent="0.2">
      <c r="C18" s="1181" t="s">
        <v>504</v>
      </c>
      <c r="D18" s="1182"/>
      <c r="E18" s="482">
        <v>0</v>
      </c>
      <c r="F18" s="1088">
        <v>0</v>
      </c>
      <c r="G18" s="1088"/>
      <c r="H18" s="1129" t="s">
        <v>440</v>
      </c>
      <c r="I18" s="1129"/>
      <c r="J18" s="1129"/>
      <c r="K18" s="1129"/>
      <c r="L18" s="1129"/>
      <c r="M18" s="489">
        <f>IF('4 AT Lainat ja avustukset alv'!E54&lt;0,0,'4 AT Lainat ja avustukset alv'!$E$54)</f>
        <v>0</v>
      </c>
      <c r="O18" s="685"/>
      <c r="P18" s="683"/>
      <c r="Q18" s="683"/>
      <c r="R18" s="683"/>
      <c r="S18" s="683"/>
      <c r="T18" s="683"/>
      <c r="U18" s="683"/>
      <c r="V18" s="683"/>
      <c r="W18" s="683"/>
      <c r="X18" s="684"/>
    </row>
    <row r="19" spans="1:24" ht="13.5" customHeight="1" x14ac:dyDescent="0.2">
      <c r="C19" s="1125" t="s">
        <v>505</v>
      </c>
      <c r="D19" s="1126"/>
      <c r="E19" s="482"/>
      <c r="F19" s="1088">
        <v>0</v>
      </c>
      <c r="G19" s="1088"/>
      <c r="H19" s="1228" t="s">
        <v>442</v>
      </c>
      <c r="I19" s="1100"/>
      <c r="J19" s="1100"/>
      <c r="K19" s="1100"/>
      <c r="L19" s="1101"/>
      <c r="M19" s="487">
        <v>0</v>
      </c>
      <c r="O19" s="685"/>
      <c r="P19" s="683"/>
      <c r="Q19" s="683"/>
      <c r="R19" s="683"/>
      <c r="S19" s="683"/>
      <c r="T19" s="683"/>
      <c r="U19" s="683"/>
      <c r="V19" s="683"/>
      <c r="W19" s="683"/>
      <c r="X19" s="684"/>
    </row>
    <row r="20" spans="1:24" ht="13.5" customHeight="1" x14ac:dyDescent="0.2">
      <c r="C20" s="1205" t="s">
        <v>509</v>
      </c>
      <c r="D20" s="1206"/>
      <c r="E20" s="483">
        <v>0</v>
      </c>
      <c r="F20" s="1210">
        <v>0</v>
      </c>
      <c r="G20" s="1210"/>
      <c r="H20" s="1199"/>
      <c r="I20" s="1199"/>
      <c r="J20" s="1199"/>
      <c r="K20" s="1199"/>
      <c r="L20" s="1199"/>
      <c r="M20" s="487">
        <v>0</v>
      </c>
      <c r="O20" s="685"/>
      <c r="P20" s="683"/>
      <c r="Q20" s="683"/>
      <c r="R20" s="683"/>
      <c r="S20" s="683"/>
      <c r="T20" s="683"/>
      <c r="U20" s="683"/>
      <c r="V20" s="683"/>
      <c r="W20" s="683"/>
      <c r="X20" s="684"/>
    </row>
    <row r="21" spans="1:24" ht="13.5" customHeight="1" x14ac:dyDescent="0.2">
      <c r="C21" s="1012" t="s">
        <v>190</v>
      </c>
      <c r="D21" s="1012"/>
      <c r="E21" s="1012"/>
      <c r="F21" s="1027">
        <f>F22+F23</f>
        <v>0</v>
      </c>
      <c r="G21" s="1027"/>
      <c r="H21" s="1203" t="s">
        <v>197</v>
      </c>
      <c r="I21" s="1203"/>
      <c r="J21" s="1203"/>
      <c r="K21" s="1203"/>
      <c r="L21" s="1204"/>
      <c r="M21" s="449">
        <f>IF((F13+F14+F21-F20-M15-F18)*0.20319&lt;0,0,(F13+F14+F21-F20-M15-F18)*0.20319)</f>
        <v>0</v>
      </c>
      <c r="O21" s="685"/>
      <c r="P21" s="683"/>
      <c r="Q21" s="683"/>
      <c r="R21" s="683"/>
      <c r="S21" s="683"/>
      <c r="T21" s="683"/>
      <c r="U21" s="683"/>
      <c r="V21" s="683"/>
      <c r="W21" s="683"/>
      <c r="X21" s="684"/>
    </row>
    <row r="22" spans="1:24" ht="13.5" customHeight="1" x14ac:dyDescent="0.2">
      <c r="C22" s="1135"/>
      <c r="D22" s="1136"/>
      <c r="E22" s="1227"/>
      <c r="F22" s="1187">
        <v>0</v>
      </c>
      <c r="G22" s="1188"/>
      <c r="H22" s="490" t="s">
        <v>198</v>
      </c>
      <c r="I22" s="490"/>
      <c r="J22" s="490"/>
      <c r="K22" s="1202"/>
      <c r="L22" s="1202"/>
      <c r="M22" s="449">
        <f>SUM(M23:M26)</f>
        <v>0</v>
      </c>
      <c r="O22" s="685"/>
      <c r="P22" s="683"/>
      <c r="Q22" s="683"/>
      <c r="R22" s="683"/>
      <c r="S22" s="683"/>
      <c r="T22" s="683"/>
      <c r="U22" s="683"/>
      <c r="V22" s="683"/>
      <c r="W22" s="683"/>
      <c r="X22" s="684"/>
    </row>
    <row r="23" spans="1:24" ht="13.5" customHeight="1" x14ac:dyDescent="0.2">
      <c r="C23" s="1217"/>
      <c r="D23" s="1218"/>
      <c r="E23" s="1219"/>
      <c r="F23" s="1187">
        <v>0</v>
      </c>
      <c r="G23" s="1188"/>
      <c r="H23" s="1225" t="s">
        <v>443</v>
      </c>
      <c r="I23" s="1225"/>
      <c r="J23" s="1225"/>
      <c r="K23" s="1225"/>
      <c r="L23" s="1226"/>
      <c r="M23" s="487">
        <v>0</v>
      </c>
      <c r="O23" s="685"/>
      <c r="P23" s="683"/>
      <c r="Q23" s="683"/>
      <c r="R23" s="683"/>
      <c r="S23" s="683"/>
      <c r="T23" s="683"/>
      <c r="U23" s="683"/>
      <c r="V23" s="683"/>
      <c r="W23" s="683"/>
      <c r="X23" s="684"/>
    </row>
    <row r="24" spans="1:24" ht="13.5" customHeight="1" x14ac:dyDescent="0.2">
      <c r="C24" s="1012" t="s">
        <v>191</v>
      </c>
      <c r="D24" s="1012"/>
      <c r="E24" s="1012"/>
      <c r="F24" s="1207">
        <v>0</v>
      </c>
      <c r="G24" s="1207"/>
      <c r="H24" s="1100" t="s">
        <v>444</v>
      </c>
      <c r="I24" s="1100"/>
      <c r="J24" s="1100"/>
      <c r="K24" s="1100"/>
      <c r="L24" s="1101"/>
      <c r="M24" s="487">
        <v>0</v>
      </c>
      <c r="O24" s="685"/>
      <c r="P24" s="683"/>
      <c r="Q24" s="683"/>
      <c r="R24" s="683"/>
      <c r="S24" s="683"/>
      <c r="T24" s="683"/>
      <c r="U24" s="683"/>
      <c r="V24" s="683"/>
      <c r="W24" s="683"/>
      <c r="X24" s="684"/>
    </row>
    <row r="25" spans="1:24" ht="13.5" customHeight="1" x14ac:dyDescent="0.2">
      <c r="A25" s="1001"/>
      <c r="B25" s="1001"/>
      <c r="C25" s="1012" t="s">
        <v>192</v>
      </c>
      <c r="D25" s="1012"/>
      <c r="E25" s="1012"/>
      <c r="F25" s="1110">
        <v>0</v>
      </c>
      <c r="G25" s="1110"/>
      <c r="H25" s="1100" t="s">
        <v>0</v>
      </c>
      <c r="I25" s="1100"/>
      <c r="J25" s="1100"/>
      <c r="K25" s="1100"/>
      <c r="L25" s="1101"/>
      <c r="M25" s="487">
        <v>0</v>
      </c>
      <c r="O25" s="685"/>
      <c r="P25" s="683"/>
      <c r="Q25" s="683"/>
      <c r="R25" s="683"/>
      <c r="S25" s="683"/>
      <c r="T25" s="683"/>
      <c r="U25" s="683"/>
      <c r="V25" s="683"/>
      <c r="W25" s="683"/>
      <c r="X25" s="684"/>
    </row>
    <row r="26" spans="1:24" ht="13.5" customHeight="1" x14ac:dyDescent="0.2">
      <c r="A26" s="1001"/>
      <c r="B26" s="1001"/>
      <c r="C26" s="1012" t="s">
        <v>199</v>
      </c>
      <c r="D26" s="1012"/>
      <c r="E26" s="1012"/>
      <c r="F26" s="1110">
        <v>0</v>
      </c>
      <c r="G26" s="1110"/>
      <c r="H26" s="1178"/>
      <c r="I26" s="1179"/>
      <c r="J26" s="1179"/>
      <c r="K26" s="1179"/>
      <c r="L26" s="1180"/>
      <c r="M26" s="487">
        <v>0</v>
      </c>
      <c r="O26" s="685"/>
      <c r="P26" s="683"/>
      <c r="Q26" s="683"/>
      <c r="R26" s="683"/>
      <c r="S26" s="683"/>
      <c r="T26" s="683"/>
      <c r="U26" s="683"/>
      <c r="V26" s="683"/>
      <c r="W26" s="683"/>
      <c r="X26" s="684"/>
    </row>
    <row r="27" spans="1:24" ht="17.25" customHeight="1" x14ac:dyDescent="0.2">
      <c r="A27" s="1001"/>
      <c r="B27" s="1001"/>
      <c r="C27" s="256"/>
      <c r="D27" s="1105" t="s">
        <v>13</v>
      </c>
      <c r="E27" s="1105"/>
      <c r="F27" s="1220">
        <f>F10+F14+F21+F25+F26+F24</f>
        <v>0</v>
      </c>
      <c r="G27" s="1221"/>
      <c r="H27" s="1111"/>
      <c r="I27" s="1111"/>
      <c r="J27" s="1111"/>
      <c r="K27" s="1105" t="s">
        <v>13</v>
      </c>
      <c r="L27" s="1105"/>
      <c r="M27" s="484">
        <f>M10+M15+M17+M21+M22+M16</f>
        <v>0</v>
      </c>
      <c r="O27" s="685"/>
      <c r="P27" s="683"/>
      <c r="Q27" s="683"/>
      <c r="R27" s="683"/>
      <c r="S27" s="683"/>
      <c r="T27" s="683"/>
      <c r="U27" s="683"/>
      <c r="V27" s="683"/>
      <c r="W27" s="683"/>
      <c r="X27" s="684"/>
    </row>
    <row r="28" spans="1:24" ht="3.75" customHeight="1" x14ac:dyDescent="0.2">
      <c r="A28" s="1001"/>
      <c r="B28" s="1001"/>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001"/>
      <c r="B29" s="1001"/>
      <c r="C29" s="1222" t="s">
        <v>166</v>
      </c>
      <c r="D29" s="1222"/>
      <c r="E29" s="1222"/>
      <c r="F29" s="1193">
        <f>ROUND(F27-M27,0)</f>
        <v>0</v>
      </c>
      <c r="G29" s="1194"/>
      <c r="H29" s="1222" t="s">
        <v>159</v>
      </c>
      <c r="I29" s="1222"/>
      <c r="J29" s="1222"/>
      <c r="K29" s="1222"/>
      <c r="L29" s="1222"/>
      <c r="M29" s="484">
        <f>M17+M21</f>
        <v>0</v>
      </c>
      <c r="N29" s="270"/>
      <c r="O29" s="685"/>
      <c r="P29" s="683"/>
      <c r="Q29" s="683"/>
      <c r="R29" s="683"/>
      <c r="S29" s="683"/>
      <c r="T29" s="683"/>
      <c r="U29" s="683"/>
      <c r="V29" s="683"/>
      <c r="W29" s="683"/>
      <c r="X29" s="684"/>
    </row>
    <row r="30" spans="1:24" ht="13.5" customHeight="1" x14ac:dyDescent="0.2">
      <c r="A30" s="1001"/>
      <c r="B30" s="1001"/>
      <c r="C30" s="421"/>
      <c r="D30" s="1147" t="str">
        <f>IF(F29&lt;&gt; 0,"Tarkista: Solut F27 Rahoitustarve ja M27 Rahoitussuunnitelma oltava yhtäsuuret!","")</f>
        <v/>
      </c>
      <c r="E30" s="1147"/>
      <c r="F30" s="1147"/>
      <c r="G30" s="1147"/>
      <c r="H30" s="1147"/>
      <c r="I30" s="1147"/>
      <c r="J30" s="1147"/>
      <c r="K30" s="1147"/>
      <c r="L30" s="1147"/>
      <c r="M30" s="1147"/>
      <c r="N30" s="270"/>
      <c r="O30" s="685"/>
      <c r="P30" s="683"/>
      <c r="Q30" s="683"/>
      <c r="R30" s="683"/>
      <c r="S30" s="683"/>
      <c r="T30" s="683"/>
      <c r="U30" s="683"/>
      <c r="V30" s="683"/>
      <c r="W30" s="683"/>
      <c r="X30" s="684"/>
    </row>
    <row r="31" spans="1:24" ht="18.600000000000001" customHeight="1" x14ac:dyDescent="0.2">
      <c r="C31" s="543" t="s">
        <v>0</v>
      </c>
      <c r="D31" s="1112" t="str">
        <f>IF(J33=12,"TOIMINTAKUSTANNUKSET TILIKAUDELLA ALV 0 %","TOIMINTAKUSTANNUKSET TILIKAUDELLA. HUOMIOI KUSTANNUKSISSA TILIKAUDEN PITUUS!")</f>
        <v>TOIMINTAKUSTANNUKSET TILIKAUDELLA ALV 0 %</v>
      </c>
      <c r="E31" s="1112"/>
      <c r="F31" s="1112"/>
      <c r="G31" s="1112"/>
      <c r="H31" s="1113"/>
      <c r="I31" s="1028" t="s">
        <v>134</v>
      </c>
      <c r="J31" s="1029"/>
      <c r="K31" s="1116" t="s">
        <v>135</v>
      </c>
      <c r="L31" s="1117"/>
      <c r="M31" s="625" t="s">
        <v>137</v>
      </c>
      <c r="N31" s="271"/>
      <c r="O31" s="685"/>
      <c r="P31" s="683"/>
      <c r="Q31" s="683"/>
      <c r="R31" s="683"/>
      <c r="S31" s="683"/>
      <c r="T31" s="683"/>
      <c r="U31" s="683"/>
      <c r="V31" s="683"/>
      <c r="W31" s="683"/>
      <c r="X31" s="684"/>
    </row>
    <row r="32" spans="1:24" ht="15.6" customHeight="1" x14ac:dyDescent="0.2">
      <c r="B32" s="287"/>
      <c r="C32" s="544" t="s">
        <v>0</v>
      </c>
      <c r="D32" s="1114"/>
      <c r="E32" s="1114"/>
      <c r="F32" s="1114"/>
      <c r="G32" s="1114"/>
      <c r="H32" s="1115"/>
      <c r="I32" s="705" t="s">
        <v>79</v>
      </c>
      <c r="J32" s="496">
        <v>2027</v>
      </c>
      <c r="K32" s="1223">
        <f>J32+1</f>
        <v>2028</v>
      </c>
      <c r="L32" s="1224"/>
      <c r="M32" s="496">
        <f>K32+1</f>
        <v>2029</v>
      </c>
      <c r="O32" s="685"/>
      <c r="P32" s="683"/>
      <c r="Q32" s="683"/>
      <c r="R32" s="683"/>
      <c r="S32" s="683"/>
      <c r="T32" s="683"/>
      <c r="U32" s="683"/>
      <c r="V32" s="683"/>
      <c r="W32" s="683"/>
      <c r="X32" s="684"/>
    </row>
    <row r="33" spans="2:27" ht="13.5" customHeight="1" x14ac:dyDescent="0.2">
      <c r="B33" s="254"/>
      <c r="C33" s="1056" t="s">
        <v>324</v>
      </c>
      <c r="D33" s="1057"/>
      <c r="E33" s="1057"/>
      <c r="F33" s="292"/>
      <c r="G33" s="292"/>
      <c r="H33" s="288"/>
      <c r="I33" s="556"/>
      <c r="J33" s="910">
        <v>12</v>
      </c>
      <c r="K33" s="1106">
        <v>12</v>
      </c>
      <c r="L33" s="1107"/>
      <c r="M33" s="910">
        <v>12</v>
      </c>
      <c r="O33" s="685"/>
      <c r="P33" s="683"/>
      <c r="Q33" s="683"/>
      <c r="R33" s="683"/>
      <c r="S33" s="683"/>
      <c r="T33" s="683"/>
      <c r="U33" s="683"/>
      <c r="V33" s="683"/>
      <c r="W33" s="683"/>
      <c r="X33" s="684"/>
    </row>
    <row r="34" spans="2:27" s="2" customFormat="1" ht="12.75" customHeight="1" x14ac:dyDescent="0.2">
      <c r="B34" s="90"/>
      <c r="C34" s="515" t="s">
        <v>139</v>
      </c>
      <c r="D34" s="1185" t="s">
        <v>335</v>
      </c>
      <c r="E34" s="1185"/>
      <c r="F34" s="1185"/>
      <c r="G34" s="1185"/>
      <c r="H34" s="1186"/>
      <c r="I34" s="497">
        <f>J34/J$33</f>
        <v>0</v>
      </c>
      <c r="J34" s="500">
        <f>'4 AT Lainat ja avustukset alv'!G30</f>
        <v>0</v>
      </c>
      <c r="K34" s="1098">
        <f>'4 AT Lainat ja avustukset alv'!H30</f>
        <v>0</v>
      </c>
      <c r="L34" s="1099">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94" t="s">
        <v>445</v>
      </c>
      <c r="E35" s="1094"/>
      <c r="F35" s="1094"/>
      <c r="G35" s="1094"/>
      <c r="H35" s="1095"/>
      <c r="I35" s="498">
        <f>J35/J$33</f>
        <v>0</v>
      </c>
      <c r="J35" s="501">
        <f>'4 AT Lainat ja avustukset alv'!G22</f>
        <v>0</v>
      </c>
      <c r="K35" s="1149">
        <f>'4 AT Lainat ja avustukset alv'!H22</f>
        <v>0</v>
      </c>
      <c r="L35" s="1150">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1119" t="s">
        <v>446</v>
      </c>
      <c r="E36" s="1119"/>
      <c r="F36" s="1119"/>
      <c r="G36" s="1119"/>
      <c r="H36" s="1120"/>
      <c r="I36" s="498">
        <v>0</v>
      </c>
      <c r="J36" s="501">
        <f>'4 AT Lainat ja avustukset alv'!G39</f>
        <v>0</v>
      </c>
      <c r="K36" s="1149">
        <f>'4 AT Lainat ja avustukset alv'!H39</f>
        <v>0</v>
      </c>
      <c r="L36" s="1150">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15">
        <f>IF($M16=0,0,-K33*PMT($J16/12,$K16*12,$M16)+K33*10)</f>
        <v>0</v>
      </c>
      <c r="L37" s="1016">
        <f>IF($M16=0,0,-L33*PMT($J16/12,$K16*12,$M16)+L33*10)</f>
        <v>0</v>
      </c>
      <c r="M37" s="449">
        <f>IF($M16=0,0,-M33*PMT($J16/12,$K16*12,$M16)+M33*10)</f>
        <v>0</v>
      </c>
      <c r="O37" s="1145" t="s">
        <v>168</v>
      </c>
      <c r="P37" s="1146"/>
      <c r="Q37" s="683"/>
      <c r="R37" s="683"/>
      <c r="S37" s="683"/>
      <c r="T37" s="683"/>
      <c r="U37" s="683"/>
      <c r="V37" s="683"/>
      <c r="W37" s="683"/>
      <c r="X37" s="684"/>
    </row>
    <row r="38" spans="2:27" s="2" customFormat="1" ht="12.75" customHeight="1" x14ac:dyDescent="0.2">
      <c r="B38" s="253" t="s">
        <v>61</v>
      </c>
      <c r="C38" s="466" t="s">
        <v>141</v>
      </c>
      <c r="D38" s="1003" t="s">
        <v>337</v>
      </c>
      <c r="E38" s="1003"/>
      <c r="F38" s="1003"/>
      <c r="G38" s="1003"/>
      <c r="H38" s="1004"/>
      <c r="I38" s="497">
        <f>J38/J$33</f>
        <v>0</v>
      </c>
      <c r="J38" s="502">
        <f>J39*J41</f>
        <v>0</v>
      </c>
      <c r="K38" s="1015">
        <f>K39*K41</f>
        <v>0</v>
      </c>
      <c r="L38" s="1016"/>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211" t="s">
        <v>447</v>
      </c>
      <c r="E39" s="1211"/>
      <c r="F39" s="1211"/>
      <c r="G39" s="1211"/>
      <c r="H39" s="1213"/>
      <c r="I39" s="498"/>
      <c r="J39" s="503">
        <v>0</v>
      </c>
      <c r="K39" s="1013">
        <f>J39+J39*O39</f>
        <v>0</v>
      </c>
      <c r="L39" s="1014">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94" t="s">
        <v>448</v>
      </c>
      <c r="E40" s="1094"/>
      <c r="F40" s="1094"/>
      <c r="G40" s="1094"/>
      <c r="H40" s="1095"/>
      <c r="I40" s="498"/>
      <c r="J40" s="503">
        <v>0</v>
      </c>
      <c r="K40" s="1161">
        <f>J40</f>
        <v>0</v>
      </c>
      <c r="L40" s="1162"/>
      <c r="M40" s="511">
        <f>K40</f>
        <v>0</v>
      </c>
      <c r="O40" s="656"/>
      <c r="P40" s="657"/>
      <c r="Q40" s="683"/>
      <c r="R40" s="683"/>
      <c r="S40" s="683"/>
      <c r="T40" s="683"/>
      <c r="U40" s="683"/>
      <c r="V40" s="683"/>
      <c r="W40" s="683"/>
      <c r="X40" s="684"/>
    </row>
    <row r="41" spans="2:27" s="2" customFormat="1" ht="12" customHeight="1" x14ac:dyDescent="0.2">
      <c r="B41" s="278"/>
      <c r="C41" s="517"/>
      <c r="D41" s="1119" t="s">
        <v>449</v>
      </c>
      <c r="E41" s="1119"/>
      <c r="F41" s="1119"/>
      <c r="G41" s="1119"/>
      <c r="H41" s="1120"/>
      <c r="I41" s="498">
        <v>0</v>
      </c>
      <c r="J41" s="504">
        <v>12</v>
      </c>
      <c r="K41" s="1096">
        <v>12.5</v>
      </c>
      <c r="L41" s="1097"/>
      <c r="M41" s="512">
        <f>K41</f>
        <v>12.5</v>
      </c>
      <c r="O41" s="658"/>
      <c r="P41" s="659"/>
      <c r="Q41" s="683"/>
      <c r="R41" s="683"/>
      <c r="S41" s="683"/>
      <c r="T41" s="683"/>
      <c r="U41" s="683"/>
      <c r="V41" s="683"/>
      <c r="W41" s="683"/>
      <c r="X41" s="684"/>
    </row>
    <row r="42" spans="2:27" s="2" customFormat="1" ht="12.75" customHeight="1" x14ac:dyDescent="0.2">
      <c r="B42" s="253" t="s">
        <v>61</v>
      </c>
      <c r="C42" s="466" t="s">
        <v>142</v>
      </c>
      <c r="D42" s="1003" t="s">
        <v>338</v>
      </c>
      <c r="E42" s="1003"/>
      <c r="F42" s="1003"/>
      <c r="G42" s="1003"/>
      <c r="H42" s="1004"/>
      <c r="I42" s="497">
        <f>J42/J$33</f>
        <v>0</v>
      </c>
      <c r="J42" s="502">
        <f>J43*J45</f>
        <v>0</v>
      </c>
      <c r="K42" s="1015">
        <f t="shared" ref="K42:L42" si="1">K43*K45+K44*K45*$Z45</f>
        <v>0</v>
      </c>
      <c r="L42" s="1016">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3">
        <f>J43+J43*O43</f>
        <v>0</v>
      </c>
      <c r="L43" s="1014">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61">
        <f>J44</f>
        <v>0</v>
      </c>
      <c r="L44" s="116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96">
        <v>12.5</v>
      </c>
      <c r="L45" s="1097"/>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4" t="s">
        <v>180</v>
      </c>
      <c r="E46" s="1012"/>
      <c r="F46" s="1238">
        <v>0.35</v>
      </c>
      <c r="G46" s="1238"/>
      <c r="H46" s="523" t="s">
        <v>58</v>
      </c>
      <c r="I46" s="497">
        <f>J46/J$33</f>
        <v>0</v>
      </c>
      <c r="J46" s="502">
        <f>$F46*(J42+J44*J45)</f>
        <v>0</v>
      </c>
      <c r="K46" s="1030">
        <f>$F46*(K42+K44*K33)</f>
        <v>0</v>
      </c>
      <c r="L46" s="1031"/>
      <c r="M46" s="494">
        <f>$F46*(M42+M44*M33)</f>
        <v>0</v>
      </c>
      <c r="O46" s="1143"/>
      <c r="P46" s="1144"/>
      <c r="Q46" s="683"/>
      <c r="R46" s="683"/>
      <c r="S46" s="683"/>
      <c r="T46" s="683"/>
      <c r="U46" s="683"/>
      <c r="V46" s="683"/>
      <c r="W46" s="683"/>
      <c r="X46" s="684"/>
    </row>
    <row r="47" spans="2:27" s="2" customFormat="1" ht="12.75" customHeight="1" x14ac:dyDescent="0.2">
      <c r="B47" s="253" t="s">
        <v>62</v>
      </c>
      <c r="C47" s="464" t="s">
        <v>144</v>
      </c>
      <c r="D47" s="1200" t="s">
        <v>340</v>
      </c>
      <c r="E47" s="1200"/>
      <c r="F47" s="1200"/>
      <c r="G47" s="1200"/>
      <c r="H47" s="1201"/>
      <c r="I47" s="497">
        <f>J47/J$33</f>
        <v>0</v>
      </c>
      <c r="J47" s="502">
        <f>J48*J49+J50+J51</f>
        <v>0</v>
      </c>
      <c r="K47" s="1015">
        <f t="shared" ref="K47:L47" si="3">K48*K49+K50+K51</f>
        <v>0</v>
      </c>
      <c r="L47" s="1016" t="e">
        <f t="shared" si="3"/>
        <v>#VALUE!</v>
      </c>
      <c r="M47" s="494">
        <f>M48*M49+M50+M51</f>
        <v>0</v>
      </c>
      <c r="O47" s="983"/>
      <c r="P47" s="984"/>
      <c r="Q47" s="683"/>
      <c r="R47" s="683"/>
      <c r="S47" s="683"/>
      <c r="T47" s="683"/>
      <c r="U47" s="683"/>
      <c r="V47" s="683"/>
      <c r="W47" s="683"/>
      <c r="X47" s="684"/>
    </row>
    <row r="48" spans="2:27" ht="12" customHeight="1" x14ac:dyDescent="0.2">
      <c r="B48" s="90" t="s">
        <v>0</v>
      </c>
      <c r="C48" s="515"/>
      <c r="D48" s="1211" t="s">
        <v>453</v>
      </c>
      <c r="E48" s="1211"/>
      <c r="F48" s="1211"/>
      <c r="G48" s="1211"/>
      <c r="H48" s="1213"/>
      <c r="I48" s="498">
        <v>0</v>
      </c>
      <c r="J48" s="505">
        <f>J38+J40*J41</f>
        <v>0</v>
      </c>
      <c r="K48" s="1017">
        <f>K38+K40*K41</f>
        <v>0</v>
      </c>
      <c r="L48" s="1018">
        <f>K48 +K48*O48</f>
        <v>0</v>
      </c>
      <c r="M48" s="513">
        <f>M38+M40*M41</f>
        <v>0</v>
      </c>
      <c r="O48" s="985"/>
      <c r="P48" s="986"/>
      <c r="Q48" s="683"/>
      <c r="R48" s="683"/>
      <c r="S48" s="683"/>
      <c r="T48" s="683"/>
      <c r="U48" s="683"/>
      <c r="V48" s="683"/>
      <c r="W48" s="683"/>
      <c r="X48" s="684"/>
    </row>
    <row r="49" spans="2:24" ht="12" customHeight="1" x14ac:dyDescent="0.2">
      <c r="B49" s="90"/>
      <c r="C49" s="516"/>
      <c r="D49" s="1094" t="s">
        <v>450</v>
      </c>
      <c r="E49" s="1094"/>
      <c r="F49" s="1094"/>
      <c r="G49" s="1094"/>
      <c r="H49" s="1095"/>
      <c r="I49" s="498">
        <v>0</v>
      </c>
      <c r="J49" s="506">
        <v>0.1903</v>
      </c>
      <c r="K49" s="1183">
        <f>J49</f>
        <v>0.1903</v>
      </c>
      <c r="L49" s="1184"/>
      <c r="M49" s="514">
        <f>K49</f>
        <v>0.1903</v>
      </c>
      <c r="O49" s="987"/>
      <c r="P49" s="665"/>
      <c r="Q49" s="683"/>
      <c r="R49" s="683"/>
      <c r="S49" s="683"/>
      <c r="T49" s="683"/>
      <c r="U49" s="683"/>
      <c r="V49" s="683"/>
      <c r="W49" s="683"/>
      <c r="X49" s="684"/>
    </row>
    <row r="50" spans="2:24" ht="12" customHeight="1" x14ac:dyDescent="0.2">
      <c r="B50" s="90"/>
      <c r="C50" s="517"/>
      <c r="D50" s="1119" t="s">
        <v>451</v>
      </c>
      <c r="E50" s="1119"/>
      <c r="F50" s="1119"/>
      <c r="G50" s="1119"/>
      <c r="H50" s="1120"/>
      <c r="I50" s="499">
        <v>0</v>
      </c>
      <c r="J50" s="503">
        <v>0</v>
      </c>
      <c r="K50" s="1013">
        <f>J50</f>
        <v>0</v>
      </c>
      <c r="L50" s="1014"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033">
        <f>K33*((1.7%*K48+1.91%*(K38+K40*12))+0.008*$M10)/12</f>
        <v>0</v>
      </c>
      <c r="L51" s="1034">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3" t="s">
        <v>339</v>
      </c>
      <c r="E52" s="1003"/>
      <c r="F52" s="1003"/>
      <c r="G52" s="1003"/>
      <c r="H52" s="1004"/>
      <c r="I52" s="488">
        <f>J52/J$33</f>
        <v>0</v>
      </c>
      <c r="J52" s="508">
        <f>J53+J54</f>
        <v>0</v>
      </c>
      <c r="K52" s="1108">
        <f>K53+K54</f>
        <v>0</v>
      </c>
      <c r="L52" s="1109"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211" t="s">
        <v>454</v>
      </c>
      <c r="E53" s="1211"/>
      <c r="F53" s="1211"/>
      <c r="G53" s="1211"/>
      <c r="H53" s="1213"/>
      <c r="I53" s="552">
        <v>0</v>
      </c>
      <c r="J53" s="553">
        <v>0</v>
      </c>
      <c r="K53" s="1035">
        <f>(J53+J53*O53)*12/J$33</f>
        <v>0</v>
      </c>
      <c r="L53" s="1036"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1119" t="s">
        <v>455</v>
      </c>
      <c r="E54" s="1119"/>
      <c r="F54" s="1119"/>
      <c r="G54" s="1119"/>
      <c r="H54" s="1120"/>
      <c r="I54" s="498">
        <v>0</v>
      </c>
      <c r="J54" s="503">
        <v>0</v>
      </c>
      <c r="K54" s="1013">
        <f>(J54+J54*O54)*12/J$33</f>
        <v>0</v>
      </c>
      <c r="L54" s="1014"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3" t="s">
        <v>341</v>
      </c>
      <c r="E55" s="1003"/>
      <c r="F55" s="1003"/>
      <c r="G55" s="1003"/>
      <c r="H55" s="1004"/>
      <c r="I55" s="497">
        <f t="shared" ref="I55" si="6">J55/J$33</f>
        <v>0</v>
      </c>
      <c r="J55" s="502">
        <f>J58+J57+J56</f>
        <v>0</v>
      </c>
      <c r="K55" s="1015">
        <f>SUM(K56:K58)</f>
        <v>0</v>
      </c>
      <c r="L55" s="1016"/>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211" t="s">
        <v>456</v>
      </c>
      <c r="E56" s="1211"/>
      <c r="F56" s="1211"/>
      <c r="G56" s="1211"/>
      <c r="H56" s="1213"/>
      <c r="I56" s="498">
        <v>0</v>
      </c>
      <c r="J56" s="503">
        <v>0</v>
      </c>
      <c r="K56" s="1013">
        <f>(J56+J56*O56)*12/J$33</f>
        <v>0</v>
      </c>
      <c r="L56" s="1014"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94" t="s">
        <v>457</v>
      </c>
      <c r="E57" s="1094"/>
      <c r="F57" s="1094"/>
      <c r="G57" s="1094"/>
      <c r="H57" s="1095"/>
      <c r="I57" s="498">
        <v>0</v>
      </c>
      <c r="J57" s="503">
        <v>0</v>
      </c>
      <c r="K57" s="1013">
        <f>(J57+J57*O57)*12/J$33</f>
        <v>0</v>
      </c>
      <c r="L57" s="1014"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1119" t="s">
        <v>458</v>
      </c>
      <c r="E58" s="1119"/>
      <c r="F58" s="1119"/>
      <c r="G58" s="1119"/>
      <c r="H58" s="1120"/>
      <c r="I58" s="498">
        <v>0</v>
      </c>
      <c r="J58" s="503">
        <v>0</v>
      </c>
      <c r="K58" s="1013">
        <f>(J58+J58*O58)*12/J$33</f>
        <v>0</v>
      </c>
      <c r="L58" s="1014"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3" t="s">
        <v>342</v>
      </c>
      <c r="E59" s="1003"/>
      <c r="F59" s="1003"/>
      <c r="G59" s="1003"/>
      <c r="H59" s="1004"/>
      <c r="I59" s="497">
        <f>J59/J$33</f>
        <v>0</v>
      </c>
      <c r="J59" s="502">
        <f>J60+J63+J64+J65+J66+J67+J68+J33*J69*0.003/12+J70</f>
        <v>0</v>
      </c>
      <c r="K59" s="1015">
        <f>K60+K63+K64+K65+K66+K67+K68+K33*K69*0.003/12+K70</f>
        <v>0</v>
      </c>
      <c r="L59" s="1016"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211" t="s">
        <v>459</v>
      </c>
      <c r="E60" s="1211"/>
      <c r="F60" s="1211"/>
      <c r="G60" s="1211"/>
      <c r="H60" s="1213"/>
      <c r="I60" s="498">
        <v>0</v>
      </c>
      <c r="J60" s="507">
        <f>J62*J61</f>
        <v>0</v>
      </c>
      <c r="K60" s="1149">
        <f t="shared" ref="K60:L60" si="7">K62*K61</f>
        <v>0</v>
      </c>
      <c r="L60" s="1150">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94" t="s">
        <v>460</v>
      </c>
      <c r="E61" s="1094"/>
      <c r="F61" s="1094"/>
      <c r="G61" s="1094"/>
      <c r="H61" s="1095"/>
      <c r="I61" s="498">
        <f>J61</f>
        <v>0</v>
      </c>
      <c r="J61" s="503">
        <v>0</v>
      </c>
      <c r="K61" s="1013">
        <f>I61+I61*O61</f>
        <v>0</v>
      </c>
      <c r="L61" s="1014">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94" t="s">
        <v>461</v>
      </c>
      <c r="E62" s="1094"/>
      <c r="F62" s="1094"/>
      <c r="G62" s="1094"/>
      <c r="H62" s="1095"/>
      <c r="I62" s="498">
        <v>0</v>
      </c>
      <c r="J62" s="503">
        <v>12</v>
      </c>
      <c r="K62" s="1013">
        <f>J62</f>
        <v>12</v>
      </c>
      <c r="L62" s="1014">
        <f>L33</f>
        <v>0</v>
      </c>
      <c r="M62" s="511">
        <f>K62</f>
        <v>12</v>
      </c>
      <c r="O62" s="668"/>
      <c r="P62" s="669"/>
      <c r="Q62" s="683"/>
      <c r="R62" s="683"/>
      <c r="S62" s="683"/>
      <c r="T62" s="683"/>
      <c r="U62" s="683"/>
      <c r="V62" s="683"/>
      <c r="W62" s="683"/>
      <c r="X62" s="684"/>
    </row>
    <row r="63" spans="2:24" s="22" customFormat="1" ht="12" customHeight="1" x14ac:dyDescent="0.2">
      <c r="B63" s="90"/>
      <c r="C63" s="548"/>
      <c r="D63" s="1094" t="s">
        <v>462</v>
      </c>
      <c r="E63" s="1094"/>
      <c r="F63" s="1094"/>
      <c r="G63" s="1094"/>
      <c r="H63" s="1095"/>
      <c r="I63" s="498">
        <f t="shared" ref="I63:I70" si="10">J63/J$33</f>
        <v>0</v>
      </c>
      <c r="J63" s="503">
        <v>0</v>
      </c>
      <c r="K63" s="1013">
        <f t="shared" ref="K63:K68" si="11">(J63+J63*O63)*12/J$33</f>
        <v>0</v>
      </c>
      <c r="L63" s="1014"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94" t="s">
        <v>463</v>
      </c>
      <c r="E64" s="1094"/>
      <c r="F64" s="1094"/>
      <c r="G64" s="1094"/>
      <c r="H64" s="1095"/>
      <c r="I64" s="498">
        <f t="shared" si="10"/>
        <v>0</v>
      </c>
      <c r="J64" s="503">
        <v>0</v>
      </c>
      <c r="K64" s="1013">
        <f t="shared" si="11"/>
        <v>0</v>
      </c>
      <c r="L64" s="1014"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94" t="s">
        <v>464</v>
      </c>
      <c r="E65" s="1094"/>
      <c r="F65" s="1094"/>
      <c r="G65" s="1094"/>
      <c r="H65" s="1095"/>
      <c r="I65" s="498">
        <f t="shared" si="10"/>
        <v>0</v>
      </c>
      <c r="J65" s="503">
        <v>0</v>
      </c>
      <c r="K65" s="1013">
        <f t="shared" si="11"/>
        <v>0</v>
      </c>
      <c r="L65" s="1014"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94" t="s">
        <v>465</v>
      </c>
      <c r="E66" s="1094"/>
      <c r="F66" s="1094"/>
      <c r="G66" s="1094"/>
      <c r="H66" s="1095"/>
      <c r="I66" s="498">
        <f t="shared" si="10"/>
        <v>0</v>
      </c>
      <c r="J66" s="503">
        <v>0</v>
      </c>
      <c r="K66" s="1013">
        <f t="shared" si="11"/>
        <v>0</v>
      </c>
      <c r="L66" s="1014"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94" t="s">
        <v>466</v>
      </c>
      <c r="E67" s="1094"/>
      <c r="F67" s="1094"/>
      <c r="G67" s="1094"/>
      <c r="H67" s="1095"/>
      <c r="I67" s="498">
        <f t="shared" si="10"/>
        <v>0</v>
      </c>
      <c r="J67" s="503">
        <v>0</v>
      </c>
      <c r="K67" s="1013">
        <f t="shared" si="11"/>
        <v>0</v>
      </c>
      <c r="L67" s="1014"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94" t="s">
        <v>467</v>
      </c>
      <c r="E68" s="1094"/>
      <c r="F68" s="1094"/>
      <c r="G68" s="1094"/>
      <c r="H68" s="1095"/>
      <c r="I68" s="498">
        <f t="shared" si="10"/>
        <v>0</v>
      </c>
      <c r="J68" s="503">
        <v>0</v>
      </c>
      <c r="K68" s="1013">
        <f t="shared" si="11"/>
        <v>0</v>
      </c>
      <c r="L68" s="1014"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94" t="s">
        <v>468</v>
      </c>
      <c r="E69" s="1094"/>
      <c r="F69" s="1094"/>
      <c r="G69" s="1094"/>
      <c r="H69" s="1095"/>
      <c r="I69" s="498"/>
      <c r="J69" s="503">
        <v>0</v>
      </c>
      <c r="K69" s="1013">
        <f t="shared" ref="K69" si="14">J69+J69*O69</f>
        <v>0</v>
      </c>
      <c r="L69" s="1014">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1119" t="s">
        <v>469</v>
      </c>
      <c r="E70" s="1119"/>
      <c r="F70" s="1119"/>
      <c r="G70" s="1119"/>
      <c r="H70" s="1120"/>
      <c r="I70" s="498">
        <f t="shared" si="10"/>
        <v>0</v>
      </c>
      <c r="J70" s="503"/>
      <c r="K70" s="1013">
        <f>(J70+J70*O70)*12/J$33</f>
        <v>0</v>
      </c>
      <c r="L70" s="1014" t="e">
        <f>K70*12/K$11</f>
        <v>#VALUE!</v>
      </c>
      <c r="M70" s="511">
        <f t="shared" si="13"/>
        <v>0</v>
      </c>
      <c r="O70" s="476">
        <v>0.03</v>
      </c>
      <c r="P70" s="476">
        <f>O70</f>
        <v>0.03</v>
      </c>
      <c r="Q70" s="686"/>
      <c r="R70" s="686"/>
      <c r="S70" s="686"/>
      <c r="T70" s="686"/>
      <c r="U70" s="686"/>
      <c r="V70" s="686"/>
      <c r="W70" s="686"/>
      <c r="X70" s="687"/>
    </row>
    <row r="71" spans="1:24" ht="12.75" customHeight="1" x14ac:dyDescent="0.2">
      <c r="B71" s="1002" t="s">
        <v>80</v>
      </c>
      <c r="C71" s="545" t="s">
        <v>0</v>
      </c>
      <c r="D71" s="1151" t="str">
        <f>D31</f>
        <v>TOIMINTAKUSTANNUKSET TILIKAUDELLA ALV 0 %</v>
      </c>
      <c r="E71" s="1151"/>
      <c r="F71" s="1151"/>
      <c r="G71" s="1151"/>
      <c r="H71" s="1152"/>
      <c r="I71" s="1155" t="s">
        <v>134</v>
      </c>
      <c r="J71" s="1062"/>
      <c r="K71" s="1156" t="s">
        <v>135</v>
      </c>
      <c r="L71" s="1157"/>
      <c r="M71" s="541" t="s">
        <v>137</v>
      </c>
      <c r="N71" s="271"/>
      <c r="O71" s="661"/>
      <c r="P71" s="660"/>
      <c r="Q71" s="702" t="s">
        <v>369</v>
      </c>
      <c r="R71" s="600"/>
      <c r="S71" s="600"/>
      <c r="T71" s="600"/>
      <c r="U71" s="600"/>
      <c r="V71" s="600"/>
      <c r="W71" s="600"/>
      <c r="X71" s="652"/>
    </row>
    <row r="72" spans="1:24" ht="12.75" customHeight="1" x14ac:dyDescent="0.2">
      <c r="B72" s="1002"/>
      <c r="C72" s="546" t="s">
        <v>0</v>
      </c>
      <c r="D72" s="1153"/>
      <c r="E72" s="1153"/>
      <c r="F72" s="1153"/>
      <c r="G72" s="1153"/>
      <c r="H72" s="1154"/>
      <c r="I72" s="704" t="s">
        <v>79</v>
      </c>
      <c r="J72" s="542">
        <f>J32</f>
        <v>2027</v>
      </c>
      <c r="K72" s="1158">
        <f>K32</f>
        <v>2028</v>
      </c>
      <c r="L72" s="1159"/>
      <c r="M72" s="542">
        <f>M32</f>
        <v>2029</v>
      </c>
      <c r="O72" s="656"/>
      <c r="P72" s="657"/>
      <c r="Q72" s="683"/>
      <c r="R72" s="683"/>
      <c r="S72" s="683"/>
      <c r="T72" s="683"/>
      <c r="U72" s="683"/>
      <c r="V72" s="683"/>
      <c r="W72" s="683"/>
      <c r="X72" s="684"/>
    </row>
    <row r="73" spans="1:24" ht="12.75" customHeight="1" x14ac:dyDescent="0.2">
      <c r="B73" s="254"/>
      <c r="C73" s="1056" t="s">
        <v>324</v>
      </c>
      <c r="D73" s="1057"/>
      <c r="E73" s="1057"/>
      <c r="F73" s="536"/>
      <c r="G73" s="536"/>
      <c r="H73" s="537"/>
      <c r="I73" s="526"/>
      <c r="J73" s="478">
        <f>J33</f>
        <v>12</v>
      </c>
      <c r="K73" s="1160">
        <f>K33</f>
        <v>12</v>
      </c>
      <c r="L73" s="1160"/>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3" t="s">
        <v>332</v>
      </c>
      <c r="E74" s="1003"/>
      <c r="F74" s="1003"/>
      <c r="G74" s="1004"/>
      <c r="H74" s="525">
        <v>0.3</v>
      </c>
      <c r="I74" s="449">
        <f t="shared" ref="I74:I86" si="16">J74/J$33</f>
        <v>0</v>
      </c>
      <c r="J74" s="449">
        <f>IF($M$15=0,0,J33*'4 AT Lainat ja avustukset alv'!$G$61/12)</f>
        <v>0</v>
      </c>
      <c r="K74" s="1027">
        <f>IF($M15=0,0,IF($K15&gt;1,'4 AT Lainat ja avustukset alv'!$G61,0))</f>
        <v>0</v>
      </c>
      <c r="L74" s="102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3" t="s">
        <v>343</v>
      </c>
      <c r="E75" s="1003"/>
      <c r="F75" s="1003"/>
      <c r="G75" s="1003"/>
      <c r="H75" s="1003"/>
      <c r="I75" s="488">
        <f t="shared" si="16"/>
        <v>0</v>
      </c>
      <c r="J75" s="449">
        <f>J76*J77*J78+J79+J80+J82+J81</f>
        <v>0</v>
      </c>
      <c r="K75" s="1027">
        <f t="shared" ref="K75:L75" si="17">K76*K77*K78+K79+K80+K82+K81</f>
        <v>0</v>
      </c>
      <c r="L75" s="102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211" t="s">
        <v>470</v>
      </c>
      <c r="E76" s="1211"/>
      <c r="F76" s="1211"/>
      <c r="G76" s="1211"/>
      <c r="H76" s="1213"/>
      <c r="I76" s="527">
        <f t="shared" si="16"/>
        <v>0</v>
      </c>
      <c r="J76" s="454">
        <v>0</v>
      </c>
      <c r="K76" s="1011">
        <f>(J76+J76*O76)*12/J$33</f>
        <v>0</v>
      </c>
      <c r="L76" s="101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94" t="s">
        <v>471</v>
      </c>
      <c r="E77" s="1094"/>
      <c r="F77" s="1094"/>
      <c r="G77" s="1094"/>
      <c r="H77" s="1095"/>
      <c r="I77" s="527">
        <v>0</v>
      </c>
      <c r="J77" s="451">
        <v>0</v>
      </c>
      <c r="K77" s="1037">
        <f>J77</f>
        <v>0</v>
      </c>
      <c r="L77" s="103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94" t="s">
        <v>472</v>
      </c>
      <c r="E78" s="1094"/>
      <c r="F78" s="1094"/>
      <c r="G78" s="1094"/>
      <c r="H78" s="1095"/>
      <c r="I78" s="527">
        <v>0</v>
      </c>
      <c r="J78" s="451">
        <v>0</v>
      </c>
      <c r="K78" s="1037">
        <f t="shared" ref="K78" si="18">J78+J78*O78</f>
        <v>0</v>
      </c>
      <c r="L78" s="103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94" t="s">
        <v>473</v>
      </c>
      <c r="E79" s="1094"/>
      <c r="F79" s="1094"/>
      <c r="G79" s="1094"/>
      <c r="H79" s="1095"/>
      <c r="I79" s="527">
        <f t="shared" si="16"/>
        <v>0</v>
      </c>
      <c r="J79" s="454">
        <v>0</v>
      </c>
      <c r="K79" s="1011">
        <f>(J79+J79*O79)*12/J$33</f>
        <v>0</v>
      </c>
      <c r="L79" s="101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94" t="s">
        <v>474</v>
      </c>
      <c r="E80" s="1094"/>
      <c r="F80" s="1094"/>
      <c r="G80" s="1094"/>
      <c r="H80" s="1095"/>
      <c r="I80" s="527">
        <f t="shared" si="16"/>
        <v>0</v>
      </c>
      <c r="J80" s="454">
        <v>0</v>
      </c>
      <c r="K80" s="1011">
        <f>(J80+J80*O80)*12/J$33</f>
        <v>0</v>
      </c>
      <c r="L80" s="101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94" t="s">
        <v>475</v>
      </c>
      <c r="E81" s="1094"/>
      <c r="F81" s="1094"/>
      <c r="G81" s="1094"/>
      <c r="H81" s="1095"/>
      <c r="I81" s="527"/>
      <c r="J81" s="454">
        <v>0</v>
      </c>
      <c r="K81" s="1011">
        <f>(J81+J81*O81)*12/J$33</f>
        <v>0</v>
      </c>
      <c r="L81" s="101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1119" t="s">
        <v>476</v>
      </c>
      <c r="E82" s="1119"/>
      <c r="F82" s="1119"/>
      <c r="G82" s="1119"/>
      <c r="H82" s="1120"/>
      <c r="I82" s="527">
        <f t="shared" si="16"/>
        <v>0</v>
      </c>
      <c r="J82" s="454">
        <v>0</v>
      </c>
      <c r="K82" s="1011">
        <f>(J82+J82*O82)*12/J$33</f>
        <v>0</v>
      </c>
      <c r="L82" s="101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200" t="s">
        <v>344</v>
      </c>
      <c r="E83" s="1200"/>
      <c r="F83" s="1200"/>
      <c r="G83" s="1200"/>
      <c r="H83" s="1200"/>
      <c r="I83" s="488">
        <f>J83/J$33</f>
        <v>0</v>
      </c>
      <c r="J83" s="528">
        <f>SUM(J84:J86)</f>
        <v>0</v>
      </c>
      <c r="K83" s="1148">
        <f t="shared" ref="K83:L83" si="20">SUM(K84:K86)</f>
        <v>0</v>
      </c>
      <c r="L83" s="1148"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211" t="s">
        <v>477</v>
      </c>
      <c r="E84" s="1211"/>
      <c r="F84" s="1211"/>
      <c r="G84" s="1211"/>
      <c r="H84" s="1211"/>
      <c r="I84" s="527">
        <f>J84/J$33</f>
        <v>0</v>
      </c>
      <c r="J84" s="454">
        <v>0</v>
      </c>
      <c r="K84" s="1011">
        <f>(J84+J84*O84)*12/J$33</f>
        <v>0</v>
      </c>
      <c r="L84" s="101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94" t="s">
        <v>478</v>
      </c>
      <c r="E85" s="1094"/>
      <c r="F85" s="1094"/>
      <c r="G85" s="1094"/>
      <c r="H85" s="1095"/>
      <c r="I85" s="527">
        <f t="shared" ref="I85" si="21">J85/J$33</f>
        <v>0</v>
      </c>
      <c r="J85" s="454">
        <v>0</v>
      </c>
      <c r="K85" s="1011">
        <f>(J85+J85*O85)*12/J$33</f>
        <v>0</v>
      </c>
      <c r="L85" s="101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1119" t="s">
        <v>479</v>
      </c>
      <c r="E86" s="1119"/>
      <c r="F86" s="1119"/>
      <c r="G86" s="1119"/>
      <c r="H86" s="1120"/>
      <c r="I86" s="527">
        <f t="shared" si="16"/>
        <v>0</v>
      </c>
      <c r="J86" s="454">
        <v>0</v>
      </c>
      <c r="K86" s="1011">
        <f>(J86+J86*O86)*12/J$33</f>
        <v>0</v>
      </c>
      <c r="L86" s="101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3" t="s">
        <v>345</v>
      </c>
      <c r="E87" s="1003"/>
      <c r="F87" s="1003"/>
      <c r="G87" s="1003"/>
      <c r="H87" s="1003"/>
      <c r="I87" s="488">
        <f>J87/J$33</f>
        <v>0</v>
      </c>
      <c r="J87" s="449">
        <f>J91+J90+J89+J88</f>
        <v>0</v>
      </c>
      <c r="K87" s="1027">
        <f>SUM(K88:K91)</f>
        <v>0</v>
      </c>
      <c r="L87" s="1027"/>
      <c r="M87" s="449">
        <f>M91+M90+M89+M88</f>
        <v>0</v>
      </c>
      <c r="O87" s="664"/>
      <c r="P87" s="665"/>
      <c r="Q87" s="683"/>
      <c r="R87" s="683"/>
      <c r="S87" s="683"/>
      <c r="T87" s="683"/>
      <c r="U87" s="683"/>
      <c r="V87" s="683"/>
      <c r="W87" s="683"/>
      <c r="X87" s="684"/>
    </row>
    <row r="88" spans="1:24" s="2" customFormat="1" ht="12" customHeight="1" x14ac:dyDescent="0.2">
      <c r="A88" s="22"/>
      <c r="B88" s="25"/>
      <c r="C88" s="520"/>
      <c r="D88" s="1214" t="s">
        <v>480</v>
      </c>
      <c r="E88" s="1214"/>
      <c r="F88" s="1214"/>
      <c r="G88" s="1214"/>
      <c r="H88" s="1214"/>
      <c r="I88" s="527">
        <f>J88/12</f>
        <v>0</v>
      </c>
      <c r="J88" s="454">
        <v>0</v>
      </c>
      <c r="K88" s="1011">
        <f>(J88+J88*O88)*12/J$33</f>
        <v>0</v>
      </c>
      <c r="L88" s="101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94" t="s">
        <v>481</v>
      </c>
      <c r="E89" s="1094"/>
      <c r="F89" s="1094"/>
      <c r="G89" s="1094"/>
      <c r="H89" s="1095"/>
      <c r="I89" s="527">
        <f>J89/12</f>
        <v>0</v>
      </c>
      <c r="J89" s="454">
        <v>0</v>
      </c>
      <c r="K89" s="1011">
        <f>(J89+J89*O89)*12/J$33</f>
        <v>0</v>
      </c>
      <c r="L89" s="101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94" t="s">
        <v>482</v>
      </c>
      <c r="E90" s="1094"/>
      <c r="F90" s="1094"/>
      <c r="G90" s="1094"/>
      <c r="H90" s="1095"/>
      <c r="I90" s="527">
        <f>J90/12</f>
        <v>0</v>
      </c>
      <c r="J90" s="454">
        <v>0</v>
      </c>
      <c r="K90" s="1011">
        <f>(J90+J90*O90)*12/J$33</f>
        <v>0</v>
      </c>
      <c r="L90" s="101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1119" t="s">
        <v>483</v>
      </c>
      <c r="E91" s="1119"/>
      <c r="F91" s="1119"/>
      <c r="G91" s="1119"/>
      <c r="H91" s="1120"/>
      <c r="I91" s="527">
        <f>J91/12</f>
        <v>0</v>
      </c>
      <c r="J91" s="454">
        <v>0</v>
      </c>
      <c r="K91" s="1011">
        <f>(J91+J91*O91)*12/J$33</f>
        <v>0</v>
      </c>
      <c r="L91" s="101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110">
        <f>(J92+J92*O92)*12/J$33</f>
        <v>0</v>
      </c>
      <c r="L92" s="111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27">
        <f t="shared" ref="K93:L93" si="24">K94*K95+K97*K96</f>
        <v>0</v>
      </c>
      <c r="L93" s="102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211" t="s">
        <v>484</v>
      </c>
      <c r="E94" s="1211"/>
      <c r="F94" s="1211"/>
      <c r="G94" s="1211"/>
      <c r="H94" s="1211"/>
      <c r="I94" s="530"/>
      <c r="J94" s="454">
        <v>0</v>
      </c>
      <c r="K94" s="1011">
        <f>J94*12/J$33</f>
        <v>0</v>
      </c>
      <c r="L94" s="1011"/>
      <c r="M94" s="454">
        <f>K94</f>
        <v>0</v>
      </c>
      <c r="O94" s="666"/>
      <c r="P94" s="667"/>
      <c r="Q94" s="683"/>
      <c r="R94" s="683"/>
      <c r="S94" s="683"/>
      <c r="T94" s="683"/>
      <c r="U94" s="683"/>
      <c r="V94" s="683"/>
      <c r="W94" s="683"/>
      <c r="X94" s="684"/>
    </row>
    <row r="95" spans="1:24" s="2" customFormat="1" ht="12" customHeight="1" x14ac:dyDescent="0.2">
      <c r="B95" s="25"/>
      <c r="C95" s="516"/>
      <c r="D95" s="1094" t="s">
        <v>485</v>
      </c>
      <c r="E95" s="1094"/>
      <c r="F95" s="1094"/>
      <c r="G95" s="1094"/>
      <c r="H95" s="1095"/>
      <c r="I95" s="527">
        <v>0</v>
      </c>
      <c r="J95" s="531">
        <v>0.55000000000000004</v>
      </c>
      <c r="K95" s="1118">
        <f>J95</f>
        <v>0.55000000000000004</v>
      </c>
      <c r="L95" s="1118"/>
      <c r="M95" s="531">
        <f>K95</f>
        <v>0.55000000000000004</v>
      </c>
      <c r="O95" s="666"/>
      <c r="P95" s="667"/>
      <c r="Q95" s="683"/>
      <c r="R95" s="683"/>
      <c r="S95" s="683"/>
      <c r="T95" s="683"/>
      <c r="U95" s="683"/>
      <c r="V95" s="683"/>
      <c r="W95" s="683"/>
      <c r="X95" s="684"/>
    </row>
    <row r="96" spans="1:24" s="2" customFormat="1" ht="12" customHeight="1" x14ac:dyDescent="0.2">
      <c r="B96" s="25"/>
      <c r="C96" s="518"/>
      <c r="D96" s="1094" t="s">
        <v>486</v>
      </c>
      <c r="E96" s="1094"/>
      <c r="F96" s="1094"/>
      <c r="G96" s="1094"/>
      <c r="H96" s="1095"/>
      <c r="I96" s="527">
        <v>0</v>
      </c>
      <c r="J96" s="454">
        <v>0</v>
      </c>
      <c r="K96" s="1011">
        <f>(J96*12/J$33)</f>
        <v>0</v>
      </c>
      <c r="L96" s="1011" t="e">
        <f>K96*12/K$10</f>
        <v>#DIV/0!</v>
      </c>
      <c r="M96" s="454">
        <f>K96</f>
        <v>0</v>
      </c>
      <c r="O96" s="666"/>
      <c r="P96" s="667"/>
      <c r="Q96" s="683"/>
      <c r="R96" s="683"/>
      <c r="S96" s="683"/>
      <c r="T96" s="683"/>
      <c r="U96" s="683"/>
      <c r="V96" s="683"/>
      <c r="W96" s="683"/>
      <c r="X96" s="684"/>
    </row>
    <row r="97" spans="1:26" s="2" customFormat="1" ht="12" customHeight="1" x14ac:dyDescent="0.2">
      <c r="B97" s="25"/>
      <c r="C97" s="524"/>
      <c r="D97" s="1119" t="s">
        <v>487</v>
      </c>
      <c r="E97" s="1119"/>
      <c r="F97" s="1119"/>
      <c r="G97" s="1119"/>
      <c r="H97" s="1120"/>
      <c r="I97" s="527">
        <v>0</v>
      </c>
      <c r="J97" s="451">
        <v>0</v>
      </c>
      <c r="K97" s="1037">
        <f>J97</f>
        <v>0</v>
      </c>
      <c r="L97" s="103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27">
        <f>K99+K100</f>
        <v>0</v>
      </c>
      <c r="L98" s="102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211" t="s">
        <v>488</v>
      </c>
      <c r="E99" s="1211"/>
      <c r="F99" s="1211"/>
      <c r="G99" s="1211"/>
      <c r="H99" s="1211"/>
      <c r="I99" s="527">
        <f t="shared" si="23"/>
        <v>0</v>
      </c>
      <c r="J99" s="454">
        <v>0</v>
      </c>
      <c r="K99" s="1011">
        <f>(J99+J99*O99)*12/J$33</f>
        <v>0</v>
      </c>
      <c r="L99" s="101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1119" t="s">
        <v>489</v>
      </c>
      <c r="E100" s="1119"/>
      <c r="F100" s="1119"/>
      <c r="G100" s="1119"/>
      <c r="H100" s="1120"/>
      <c r="I100" s="527">
        <f t="shared" si="23"/>
        <v>0</v>
      </c>
      <c r="J100" s="454">
        <v>0</v>
      </c>
      <c r="K100" s="1011">
        <f>(J100+J100*O100)*12/J$33</f>
        <v>0</v>
      </c>
      <c r="L100" s="101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3" t="s">
        <v>347</v>
      </c>
      <c r="E101" s="1003"/>
      <c r="F101" s="1003"/>
      <c r="G101" s="1003"/>
      <c r="H101" s="1004"/>
      <c r="I101" s="488">
        <f t="shared" si="23"/>
        <v>0</v>
      </c>
      <c r="J101" s="449">
        <f>SUM(J102:J103)</f>
        <v>0</v>
      </c>
      <c r="K101" s="1027">
        <f>SUM(K102:K103)</f>
        <v>0</v>
      </c>
      <c r="L101" s="102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233" t="s">
        <v>490</v>
      </c>
      <c r="E102" s="1233"/>
      <c r="F102" s="1233"/>
      <c r="G102" s="1233"/>
      <c r="H102" s="1233"/>
      <c r="I102" s="527">
        <f t="shared" si="23"/>
        <v>0</v>
      </c>
      <c r="J102" s="454">
        <v>0</v>
      </c>
      <c r="K102" s="1011">
        <f>(J102+J102*O102)*12/J$33</f>
        <v>0</v>
      </c>
      <c r="L102" s="101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1119" t="s">
        <v>491</v>
      </c>
      <c r="E103" s="1119"/>
      <c r="F103" s="1119"/>
      <c r="G103" s="1119"/>
      <c r="H103" s="1120"/>
      <c r="I103" s="527">
        <f t="shared" si="23"/>
        <v>0</v>
      </c>
      <c r="J103" s="454">
        <v>0</v>
      </c>
      <c r="K103" s="1011">
        <f>(J103+J103*O103)*12/J$33</f>
        <v>0</v>
      </c>
      <c r="L103" s="101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27">
        <f t="shared" ref="K104:L104" si="26">SUM(K105:K107)</f>
        <v>0</v>
      </c>
      <c r="L104" s="102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234" t="s">
        <v>492</v>
      </c>
      <c r="E105" s="1234"/>
      <c r="F105" s="1234"/>
      <c r="G105" s="1234"/>
      <c r="H105" s="1235"/>
      <c r="I105" s="488">
        <v>0</v>
      </c>
      <c r="J105" s="454">
        <v>0</v>
      </c>
      <c r="K105" s="1011">
        <f>(J105+J105*O105)*12/J$33</f>
        <v>0</v>
      </c>
      <c r="L105" s="101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236" t="s">
        <v>493</v>
      </c>
      <c r="E106" s="1236"/>
      <c r="F106" s="1236"/>
      <c r="G106" s="1236"/>
      <c r="H106" s="1237"/>
      <c r="I106" s="488"/>
      <c r="J106" s="454">
        <v>0</v>
      </c>
      <c r="K106" s="1011">
        <f>(J106+J106*O106)*12/J$33</f>
        <v>0</v>
      </c>
      <c r="L106" s="101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208" t="s">
        <v>506</v>
      </c>
      <c r="E107" s="1208"/>
      <c r="F107" s="1208"/>
      <c r="G107" s="1208"/>
      <c r="H107" s="1209"/>
      <c r="I107" s="488"/>
      <c r="J107" s="454">
        <v>0</v>
      </c>
      <c r="K107" s="1011">
        <f>(J107+J107*O107)*12/J$33</f>
        <v>0</v>
      </c>
      <c r="L107" s="101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27">
        <f>SUM(K109:K111)</f>
        <v>0</v>
      </c>
      <c r="L108" s="102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211" t="s">
        <v>494</v>
      </c>
      <c r="E109" s="1211"/>
      <c r="F109" s="1211"/>
      <c r="G109" s="1211"/>
      <c r="H109" s="1211"/>
      <c r="I109" s="530">
        <f t="shared" si="28"/>
        <v>0</v>
      </c>
      <c r="J109" s="454">
        <v>0</v>
      </c>
      <c r="K109" s="1011">
        <f t="shared" ref="K109:K110" si="29">(J109+J109*O109)*12/J$33</f>
        <v>0</v>
      </c>
      <c r="L109" s="101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94" t="s">
        <v>495</v>
      </c>
      <c r="E110" s="1094"/>
      <c r="F110" s="1094"/>
      <c r="G110" s="1094"/>
      <c r="H110" s="1095"/>
      <c r="I110" s="530">
        <f t="shared" si="28"/>
        <v>0</v>
      </c>
      <c r="J110" s="454">
        <v>0</v>
      </c>
      <c r="K110" s="1011">
        <f t="shared" si="29"/>
        <v>0</v>
      </c>
      <c r="L110" s="101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1119" t="s">
        <v>496</v>
      </c>
      <c r="E111" s="1119"/>
      <c r="F111" s="1119"/>
      <c r="G111" s="1119"/>
      <c r="H111" s="1120"/>
      <c r="I111" s="530">
        <f t="shared" si="28"/>
        <v>0</v>
      </c>
      <c r="J111" s="454">
        <v>0</v>
      </c>
      <c r="K111" s="1011">
        <f>(J111+J111*O111)*12/J$33</f>
        <v>0</v>
      </c>
      <c r="L111" s="101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3" t="s">
        <v>330</v>
      </c>
      <c r="E112" s="1003"/>
      <c r="F112" s="1003"/>
      <c r="G112" s="1003"/>
      <c r="H112" s="1003"/>
      <c r="I112" s="530">
        <f t="shared" si="28"/>
        <v>0</v>
      </c>
      <c r="J112" s="529">
        <v>0</v>
      </c>
      <c r="K112" s="1110">
        <f>(J112+J112*O112)*12/J$33</f>
        <v>0</v>
      </c>
      <c r="L112" s="111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3" t="s">
        <v>200</v>
      </c>
      <c r="E113" s="1003"/>
      <c r="F113" s="1003"/>
      <c r="G113" s="1003"/>
      <c r="H113" s="1003"/>
      <c r="I113" s="488">
        <f t="shared" si="28"/>
        <v>0</v>
      </c>
      <c r="J113" s="529">
        <v>0</v>
      </c>
      <c r="K113" s="1110">
        <f>(J113+J113*O113)*12/J$33</f>
        <v>0</v>
      </c>
      <c r="L113" s="111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110">
        <f>(J114+J114*O114)*12/J$33</f>
        <v>0</v>
      </c>
      <c r="L114" s="111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110">
        <f>(J115+J115*O115)*12/J$33</f>
        <v>0</v>
      </c>
      <c r="L115" s="111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3" t="s">
        <v>333</v>
      </c>
      <c r="E116" s="1003"/>
      <c r="F116" s="1003"/>
      <c r="G116" s="1003"/>
      <c r="H116" s="1004"/>
      <c r="I116" s="599"/>
      <c r="J116" s="979">
        <v>0</v>
      </c>
      <c r="K116" s="1170">
        <v>0</v>
      </c>
      <c r="L116" s="1170"/>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174" t="str">
        <f>IF(J33=12,"MYYNTIENNUSTE (hinnat sis. arvonlisäveron)","HUOMIOI MYYNTIENNUSTEESSA TILIKAUDEN PITUUS! (hinnat sis. arvonlisäveron)")</f>
        <v>MYYNTIENNUSTE (hinnat sis. arvonlisäveron)</v>
      </c>
      <c r="D119" s="1175"/>
      <c r="E119" s="1175"/>
      <c r="F119" s="1175"/>
      <c r="G119" s="1175"/>
      <c r="H119" s="1175"/>
      <c r="I119" s="1062" t="s">
        <v>134</v>
      </c>
      <c r="J119" s="1062"/>
      <c r="K119" s="1156" t="s">
        <v>135</v>
      </c>
      <c r="L119" s="1157"/>
      <c r="M119" s="541" t="s">
        <v>137</v>
      </c>
      <c r="O119" s="932"/>
      <c r="P119" s="650"/>
      <c r="Q119" s="683"/>
      <c r="R119" s="683"/>
      <c r="S119" s="683"/>
      <c r="T119" s="683"/>
      <c r="U119" s="683"/>
      <c r="V119" s="683"/>
      <c r="W119" s="683"/>
      <c r="X119" s="684"/>
    </row>
    <row r="120" spans="1:24" ht="15" customHeight="1" x14ac:dyDescent="0.2">
      <c r="C120" s="1176"/>
      <c r="D120" s="1177"/>
      <c r="E120" s="1177"/>
      <c r="F120" s="1177"/>
      <c r="G120" s="1177"/>
      <c r="H120" s="1177"/>
      <c r="I120" s="703" t="s">
        <v>79</v>
      </c>
      <c r="J120" s="542">
        <f>J32</f>
        <v>2027</v>
      </c>
      <c r="K120" s="1158">
        <f>J120+1</f>
        <v>2028</v>
      </c>
      <c r="L120" s="1159"/>
      <c r="M120" s="542">
        <f>K120+1</f>
        <v>2029</v>
      </c>
      <c r="O120" s="933"/>
      <c r="P120" s="934"/>
      <c r="Q120" s="683"/>
      <c r="R120" s="683"/>
      <c r="S120" s="683"/>
      <c r="T120" s="683"/>
      <c r="U120" s="683"/>
      <c r="V120" s="683"/>
      <c r="W120" s="683"/>
      <c r="X120" s="684"/>
    </row>
    <row r="121" spans="1:24" s="32" customFormat="1" ht="14.25" customHeight="1" x14ac:dyDescent="0.2">
      <c r="B121" s="610"/>
      <c r="C121" s="1056" t="s">
        <v>324</v>
      </c>
      <c r="D121" s="1057"/>
      <c r="E121" s="1057"/>
      <c r="F121" s="536"/>
      <c r="G121" s="536"/>
      <c r="H121" s="611"/>
      <c r="I121" s="569"/>
      <c r="J121" s="478">
        <f>J73</f>
        <v>12</v>
      </c>
      <c r="K121" s="1160">
        <f>K73</f>
        <v>12</v>
      </c>
      <c r="L121" s="1160"/>
      <c r="M121" s="575">
        <f>M73</f>
        <v>12</v>
      </c>
      <c r="O121" s="1167"/>
      <c r="P121" s="1168"/>
      <c r="Q121" s="683"/>
      <c r="R121" s="683"/>
      <c r="S121" s="683"/>
      <c r="T121" s="683"/>
      <c r="U121" s="683"/>
      <c r="V121" s="683"/>
      <c r="W121" s="683"/>
      <c r="X121" s="684"/>
    </row>
    <row r="122" spans="1:24" s="32" customFormat="1" ht="14.25" customHeight="1" x14ac:dyDescent="0.2">
      <c r="B122" s="610"/>
      <c r="C122" s="612"/>
      <c r="D122" s="538"/>
      <c r="E122" s="538"/>
      <c r="F122" s="1060" t="s">
        <v>311</v>
      </c>
      <c r="G122" s="1061"/>
      <c r="H122" s="613"/>
      <c r="I122" s="570"/>
      <c r="J122" s="460"/>
      <c r="K122" s="1169"/>
      <c r="L122" s="1169"/>
      <c r="M122" s="465"/>
      <c r="O122" s="1163" t="s">
        <v>168</v>
      </c>
      <c r="P122" s="1164"/>
      <c r="Q122" s="683"/>
      <c r="R122" s="683"/>
      <c r="S122" s="683"/>
      <c r="T122" s="683"/>
      <c r="U122" s="683"/>
      <c r="V122" s="683"/>
      <c r="W122" s="683"/>
      <c r="X122" s="684"/>
    </row>
    <row r="123" spans="1:24" s="32" customFormat="1" ht="12" customHeight="1" x14ac:dyDescent="0.2">
      <c r="B123" s="253" t="s">
        <v>327</v>
      </c>
      <c r="C123" s="1009" t="s">
        <v>373</v>
      </c>
      <c r="D123" s="1010"/>
      <c r="E123" s="1010"/>
      <c r="F123" s="1215">
        <v>0.255</v>
      </c>
      <c r="G123" s="1216"/>
      <c r="H123" s="614" t="s">
        <v>7</v>
      </c>
      <c r="I123" s="456">
        <f>J123/J$33</f>
        <v>0</v>
      </c>
      <c r="J123" s="449">
        <f>J125*J126</f>
        <v>0</v>
      </c>
      <c r="K123" s="1027">
        <f>K125*K126</f>
        <v>0</v>
      </c>
      <c r="L123" s="1027"/>
      <c r="M123" s="449">
        <f>M125*M126</f>
        <v>0</v>
      </c>
      <c r="O123" s="460">
        <f>K$32</f>
        <v>2028</v>
      </c>
      <c r="P123" s="460">
        <f>M$32</f>
        <v>2029</v>
      </c>
      <c r="Q123" s="683"/>
      <c r="R123" s="683"/>
      <c r="S123" s="683"/>
      <c r="T123" s="683"/>
      <c r="U123" s="683"/>
      <c r="V123" s="683"/>
      <c r="W123" s="683"/>
      <c r="X123" s="684"/>
    </row>
    <row r="124" spans="1:24" s="32" customFormat="1" ht="12" customHeight="1" x14ac:dyDescent="0.2">
      <c r="C124" s="1064" t="s">
        <v>370</v>
      </c>
      <c r="D124" s="1048"/>
      <c r="E124" s="1048"/>
      <c r="F124" s="1048"/>
      <c r="G124" s="1049"/>
      <c r="H124" s="1050"/>
      <c r="I124" s="450"/>
      <c r="J124" s="451">
        <v>0</v>
      </c>
      <c r="K124" s="1037">
        <f>J124+J124*O124</f>
        <v>0</v>
      </c>
      <c r="L124" s="103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21" t="s">
        <v>371</v>
      </c>
      <c r="D125" s="1022"/>
      <c r="E125" s="1022"/>
      <c r="F125" s="1022"/>
      <c r="G125" s="1023"/>
      <c r="H125" s="1024"/>
      <c r="I125" s="527">
        <v>0</v>
      </c>
      <c r="J125" s="452">
        <f>J124/(1+$F123)</f>
        <v>0</v>
      </c>
      <c r="K125" s="1032">
        <f>K124/(1+F123)</f>
        <v>0</v>
      </c>
      <c r="L125" s="1032"/>
      <c r="M125" s="453">
        <f>M124/(1+F123)</f>
        <v>0</v>
      </c>
      <c r="O125" s="656"/>
      <c r="P125" s="657"/>
      <c r="Q125" s="683"/>
      <c r="R125" s="683"/>
      <c r="S125" s="683"/>
      <c r="T125" s="683"/>
      <c r="U125" s="683"/>
      <c r="V125" s="683"/>
      <c r="W125" s="683"/>
      <c r="X125" s="684"/>
    </row>
    <row r="126" spans="1:24" s="32" customFormat="1" ht="12" customHeight="1" x14ac:dyDescent="0.2">
      <c r="C126" s="1005" t="s">
        <v>372</v>
      </c>
      <c r="D126" s="1006"/>
      <c r="E126" s="1006"/>
      <c r="F126" s="1006"/>
      <c r="G126" s="1007"/>
      <c r="H126" s="1008"/>
      <c r="I126" s="448">
        <f>J126/J$33</f>
        <v>0</v>
      </c>
      <c r="J126" s="454">
        <v>0</v>
      </c>
      <c r="K126" s="1011">
        <f>(J126+J126*O126)*12/J$33</f>
        <v>0</v>
      </c>
      <c r="L126" s="101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009">
        <v>0</v>
      </c>
      <c r="D128" s="1010"/>
      <c r="E128" s="1010"/>
      <c r="F128" s="1065">
        <v>0.255</v>
      </c>
      <c r="G128" s="1059"/>
      <c r="H128" s="614" t="s">
        <v>7</v>
      </c>
      <c r="I128" s="456">
        <f>J128/J$33</f>
        <v>0</v>
      </c>
      <c r="J128" s="449">
        <f>J130*J131</f>
        <v>0</v>
      </c>
      <c r="K128" s="1027">
        <f>K130*K131</f>
        <v>0</v>
      </c>
      <c r="L128" s="1027"/>
      <c r="M128" s="449">
        <f>M130*M131</f>
        <v>0</v>
      </c>
      <c r="O128" s="654"/>
      <c r="P128" s="655"/>
      <c r="Q128" s="683"/>
      <c r="R128" s="683"/>
      <c r="S128" s="683"/>
      <c r="T128" s="683"/>
      <c r="U128" s="683"/>
      <c r="V128" s="683"/>
      <c r="W128" s="683"/>
      <c r="X128" s="684"/>
    </row>
    <row r="129" spans="3:24" s="32" customFormat="1" ht="12" customHeight="1" x14ac:dyDescent="0.2">
      <c r="C129" s="1212" t="s">
        <v>370</v>
      </c>
      <c r="D129" s="1211"/>
      <c r="E129" s="1211"/>
      <c r="F129" s="1211"/>
      <c r="G129" s="1211"/>
      <c r="H129" s="1213"/>
      <c r="I129" s="450"/>
      <c r="J129" s="451">
        <v>0</v>
      </c>
      <c r="K129" s="1037">
        <f>J129+J129*O129</f>
        <v>0</v>
      </c>
      <c r="L129" s="103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21" t="s">
        <v>371</v>
      </c>
      <c r="D130" s="1022"/>
      <c r="E130" s="1022"/>
      <c r="F130" s="1022"/>
      <c r="G130" s="1023"/>
      <c r="H130" s="1024"/>
      <c r="I130" s="527">
        <v>0</v>
      </c>
      <c r="J130" s="452">
        <f>J129/(1+$F128)</f>
        <v>0</v>
      </c>
      <c r="K130" s="1032">
        <f>K129/(1+F128)</f>
        <v>0</v>
      </c>
      <c r="L130" s="1032"/>
      <c r="M130" s="453">
        <f>M129/(1+F128)</f>
        <v>0</v>
      </c>
      <c r="O130" s="656"/>
      <c r="P130" s="657"/>
      <c r="Q130" s="683"/>
      <c r="R130" s="683"/>
      <c r="S130" s="683"/>
      <c r="T130" s="683"/>
      <c r="U130" s="683"/>
      <c r="V130" s="683"/>
      <c r="W130" s="683"/>
      <c r="X130" s="684"/>
    </row>
    <row r="131" spans="3:24" s="32" customFormat="1" ht="12" customHeight="1" x14ac:dyDescent="0.2">
      <c r="C131" s="1005" t="s">
        <v>374</v>
      </c>
      <c r="D131" s="1006"/>
      <c r="E131" s="1006"/>
      <c r="F131" s="1006"/>
      <c r="G131" s="1007"/>
      <c r="H131" s="1008"/>
      <c r="I131" s="448">
        <f>J131/J$33</f>
        <v>0</v>
      </c>
      <c r="J131" s="454">
        <v>0</v>
      </c>
      <c r="K131" s="1011">
        <f>(J131+J131*O131)*12/J$33</f>
        <v>0</v>
      </c>
      <c r="L131" s="101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009">
        <v>0</v>
      </c>
      <c r="D133" s="1010"/>
      <c r="E133" s="1010"/>
      <c r="F133" s="1065">
        <v>0.255</v>
      </c>
      <c r="G133" s="1059"/>
      <c r="H133" s="614" t="s">
        <v>7</v>
      </c>
      <c r="I133" s="456">
        <f>J133/J$33</f>
        <v>0</v>
      </c>
      <c r="J133" s="449">
        <f>J135*J136</f>
        <v>0</v>
      </c>
      <c r="K133" s="1027">
        <f>K135*K136</f>
        <v>0</v>
      </c>
      <c r="L133" s="1027"/>
      <c r="M133" s="449">
        <f>M135*M136</f>
        <v>0</v>
      </c>
      <c r="O133" s="654"/>
      <c r="P133" s="655"/>
      <c r="Q133" s="683"/>
      <c r="R133" s="683"/>
      <c r="S133" s="683"/>
      <c r="T133" s="683"/>
      <c r="U133" s="683"/>
      <c r="V133" s="683"/>
      <c r="W133" s="683"/>
      <c r="X133" s="684"/>
    </row>
    <row r="134" spans="3:24" s="32" customFormat="1" ht="12" customHeight="1" x14ac:dyDescent="0.2">
      <c r="C134" s="1064" t="s">
        <v>370</v>
      </c>
      <c r="D134" s="1048"/>
      <c r="E134" s="1048"/>
      <c r="F134" s="1048"/>
      <c r="G134" s="1049"/>
      <c r="H134" s="1050"/>
      <c r="I134" s="450"/>
      <c r="J134" s="451">
        <v>0</v>
      </c>
      <c r="K134" s="1037">
        <f>J134+J134*O134</f>
        <v>0</v>
      </c>
      <c r="L134" s="103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21" t="s">
        <v>371</v>
      </c>
      <c r="D135" s="1022"/>
      <c r="E135" s="1022"/>
      <c r="F135" s="1022"/>
      <c r="G135" s="1023"/>
      <c r="H135" s="1024"/>
      <c r="I135" s="527">
        <v>0</v>
      </c>
      <c r="J135" s="452">
        <f>J134/(1+$F133)</f>
        <v>0</v>
      </c>
      <c r="K135" s="1032">
        <f>K134/(1+F133)</f>
        <v>0</v>
      </c>
      <c r="L135" s="1032"/>
      <c r="M135" s="453">
        <f>M134/(1+F133)</f>
        <v>0</v>
      </c>
      <c r="O135" s="670"/>
      <c r="P135" s="671"/>
      <c r="Q135" s="683"/>
      <c r="R135" s="683"/>
      <c r="S135" s="683"/>
      <c r="T135" s="683"/>
      <c r="U135" s="683"/>
      <c r="V135" s="683"/>
      <c r="W135" s="683"/>
      <c r="X135" s="684"/>
    </row>
    <row r="136" spans="3:24" s="32" customFormat="1" ht="12" customHeight="1" x14ac:dyDescent="0.2">
      <c r="C136" s="1005" t="s">
        <v>375</v>
      </c>
      <c r="D136" s="1006"/>
      <c r="E136" s="1006"/>
      <c r="F136" s="1006"/>
      <c r="G136" s="1007"/>
      <c r="H136" s="1008"/>
      <c r="I136" s="448">
        <f>J136/J$33</f>
        <v>0</v>
      </c>
      <c r="J136" s="454">
        <v>0</v>
      </c>
      <c r="K136" s="1011">
        <f>(J136+J136*O136)*12/J$33</f>
        <v>0</v>
      </c>
      <c r="L136" s="101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009">
        <v>0</v>
      </c>
      <c r="D138" s="1010"/>
      <c r="E138" s="1010"/>
      <c r="F138" s="1065">
        <v>0.255</v>
      </c>
      <c r="G138" s="1059"/>
      <c r="H138" s="614" t="s">
        <v>7</v>
      </c>
      <c r="I138" s="456">
        <f>J138/J$33</f>
        <v>0</v>
      </c>
      <c r="J138" s="449">
        <f>J140*J141</f>
        <v>0</v>
      </c>
      <c r="K138" s="1027">
        <f>K140*K141</f>
        <v>0</v>
      </c>
      <c r="L138" s="1027"/>
      <c r="M138" s="449">
        <f>M140*M141</f>
        <v>0</v>
      </c>
      <c r="O138" s="658"/>
      <c r="P138" s="659"/>
      <c r="Q138" s="683"/>
      <c r="R138" s="683"/>
      <c r="S138" s="683"/>
      <c r="T138" s="683"/>
      <c r="U138" s="683"/>
      <c r="V138" s="683"/>
      <c r="W138" s="683"/>
      <c r="X138" s="684"/>
    </row>
    <row r="139" spans="3:24" s="32" customFormat="1" ht="12" customHeight="1" x14ac:dyDescent="0.2">
      <c r="C139" s="1064" t="s">
        <v>370</v>
      </c>
      <c r="D139" s="1048"/>
      <c r="E139" s="1048"/>
      <c r="F139" s="1048"/>
      <c r="G139" s="1049"/>
      <c r="H139" s="1050"/>
      <c r="I139" s="450"/>
      <c r="J139" s="451">
        <v>0</v>
      </c>
      <c r="K139" s="1037">
        <f>J139+J139*O139</f>
        <v>0</v>
      </c>
      <c r="L139" s="103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21" t="s">
        <v>371</v>
      </c>
      <c r="D140" s="1022"/>
      <c r="E140" s="1022"/>
      <c r="F140" s="1022"/>
      <c r="G140" s="1023"/>
      <c r="H140" s="1024"/>
      <c r="I140" s="527">
        <v>0</v>
      </c>
      <c r="J140" s="452">
        <f>J139/(1+$F138)</f>
        <v>0</v>
      </c>
      <c r="K140" s="1032">
        <f>K139/(1+F138)</f>
        <v>0</v>
      </c>
      <c r="L140" s="1032"/>
      <c r="M140" s="453">
        <f>M139/(1+F138)</f>
        <v>0</v>
      </c>
      <c r="O140" s="656"/>
      <c r="P140" s="657"/>
      <c r="Q140" s="683"/>
      <c r="R140" s="683"/>
      <c r="S140" s="683"/>
      <c r="T140" s="683"/>
      <c r="U140" s="683"/>
      <c r="V140" s="683"/>
      <c r="W140" s="683"/>
      <c r="X140" s="684"/>
    </row>
    <row r="141" spans="3:24" s="32" customFormat="1" ht="12" customHeight="1" x14ac:dyDescent="0.2">
      <c r="C141" s="1005" t="s">
        <v>375</v>
      </c>
      <c r="D141" s="1006"/>
      <c r="E141" s="1006"/>
      <c r="F141" s="1006"/>
      <c r="G141" s="1007"/>
      <c r="H141" s="1008"/>
      <c r="I141" s="448">
        <f>J141/J$33</f>
        <v>0</v>
      </c>
      <c r="J141" s="454">
        <v>0</v>
      </c>
      <c r="K141" s="1011">
        <f>(J141+J141*O141)*12/J$33</f>
        <v>0</v>
      </c>
      <c r="L141" s="101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009">
        <v>0</v>
      </c>
      <c r="D143" s="1010"/>
      <c r="E143" s="1010"/>
      <c r="F143" s="1065">
        <v>0.255</v>
      </c>
      <c r="G143" s="1059"/>
      <c r="H143" s="614" t="s">
        <v>7</v>
      </c>
      <c r="I143" s="456">
        <f>J143/J$33</f>
        <v>0</v>
      </c>
      <c r="J143" s="449">
        <f>J145*J146</f>
        <v>0</v>
      </c>
      <c r="K143" s="1027">
        <f>K145*K146</f>
        <v>0</v>
      </c>
      <c r="L143" s="1027"/>
      <c r="M143" s="449">
        <f>M145*M146</f>
        <v>0</v>
      </c>
      <c r="O143" s="656"/>
      <c r="P143" s="657"/>
      <c r="Q143" s="683"/>
      <c r="R143" s="683"/>
      <c r="S143" s="683"/>
      <c r="T143" s="683"/>
      <c r="U143" s="683"/>
      <c r="V143" s="683"/>
      <c r="W143" s="683"/>
      <c r="X143" s="684"/>
    </row>
    <row r="144" spans="3:24" s="32" customFormat="1" ht="12" customHeight="1" x14ac:dyDescent="0.2">
      <c r="C144" s="1064" t="s">
        <v>370</v>
      </c>
      <c r="D144" s="1048"/>
      <c r="E144" s="1048"/>
      <c r="F144" s="1048"/>
      <c r="G144" s="1049"/>
      <c r="H144" s="1050"/>
      <c r="I144" s="450"/>
      <c r="J144" s="451">
        <v>0</v>
      </c>
      <c r="K144" s="1037">
        <f>J144+J144*O144</f>
        <v>0</v>
      </c>
      <c r="L144" s="103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21" t="s">
        <v>371</v>
      </c>
      <c r="D145" s="1022"/>
      <c r="E145" s="1022"/>
      <c r="F145" s="1022"/>
      <c r="G145" s="1023"/>
      <c r="H145" s="1024"/>
      <c r="I145" s="527">
        <v>0</v>
      </c>
      <c r="J145" s="452">
        <f>J144/(1+$F143)</f>
        <v>0</v>
      </c>
      <c r="K145" s="1032">
        <f>K144/(1+F143)</f>
        <v>0</v>
      </c>
      <c r="L145" s="1032"/>
      <c r="M145" s="453">
        <f>M144/(1+F143)</f>
        <v>0</v>
      </c>
      <c r="O145" s="656"/>
      <c r="P145" s="657"/>
      <c r="Q145" s="683"/>
      <c r="R145" s="683"/>
      <c r="S145" s="683"/>
      <c r="T145" s="683"/>
      <c r="U145" s="683"/>
      <c r="V145" s="683"/>
      <c r="W145" s="683"/>
      <c r="X145" s="684"/>
    </row>
    <row r="146" spans="2:24" s="32" customFormat="1" ht="12" customHeight="1" x14ac:dyDescent="0.2">
      <c r="C146" s="1005" t="s">
        <v>374</v>
      </c>
      <c r="D146" s="1006"/>
      <c r="E146" s="1006"/>
      <c r="F146" s="1006"/>
      <c r="G146" s="1007"/>
      <c r="H146" s="1008"/>
      <c r="I146" s="448">
        <f>J146/J$33</f>
        <v>0</v>
      </c>
      <c r="J146" s="454">
        <v>0</v>
      </c>
      <c r="K146" s="1011">
        <f>(J146+J146*O146)*12/J$33</f>
        <v>0</v>
      </c>
      <c r="L146" s="101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230">
        <v>0</v>
      </c>
      <c r="D148" s="1231"/>
      <c r="E148" s="1232"/>
      <c r="F148" s="1058">
        <v>0.255</v>
      </c>
      <c r="G148" s="1059"/>
      <c r="H148" s="614" t="s">
        <v>7</v>
      </c>
      <c r="I148" s="456">
        <f>J148/J$33</f>
        <v>0</v>
      </c>
      <c r="J148" s="449">
        <f>J150*J151</f>
        <v>0</v>
      </c>
      <c r="K148" s="1027">
        <f>K150*K151</f>
        <v>0</v>
      </c>
      <c r="L148" s="1027"/>
      <c r="M148" s="449">
        <f>M150*M151</f>
        <v>0</v>
      </c>
      <c r="O148" s="656"/>
      <c r="P148" s="657"/>
      <c r="Q148" s="683"/>
      <c r="R148" s="683"/>
      <c r="S148" s="683"/>
      <c r="T148" s="683"/>
      <c r="U148" s="683"/>
      <c r="V148" s="683"/>
      <c r="W148" s="683"/>
      <c r="X148" s="684"/>
    </row>
    <row r="149" spans="2:24" s="32" customFormat="1" ht="12" customHeight="1" x14ac:dyDescent="0.2">
      <c r="C149" s="1064" t="s">
        <v>370</v>
      </c>
      <c r="D149" s="1048"/>
      <c r="E149" s="1048"/>
      <c r="F149" s="1048"/>
      <c r="G149" s="1049"/>
      <c r="H149" s="1050"/>
      <c r="I149" s="450"/>
      <c r="J149" s="451">
        <v>0</v>
      </c>
      <c r="K149" s="1037">
        <f>J149+J149*O149</f>
        <v>0</v>
      </c>
      <c r="L149" s="103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21" t="s">
        <v>371</v>
      </c>
      <c r="D150" s="1022"/>
      <c r="E150" s="1022"/>
      <c r="F150" s="1022"/>
      <c r="G150" s="1023"/>
      <c r="H150" s="1024"/>
      <c r="I150" s="527">
        <v>0</v>
      </c>
      <c r="J150" s="452">
        <f>J149/(1+$F148)</f>
        <v>0</v>
      </c>
      <c r="K150" s="1032">
        <f>K149/(1+F148)</f>
        <v>0</v>
      </c>
      <c r="L150" s="1032"/>
      <c r="M150" s="453">
        <f>M149/(1+F148)</f>
        <v>0</v>
      </c>
      <c r="O150" s="656"/>
      <c r="P150" s="657"/>
      <c r="Q150" s="683"/>
      <c r="R150" s="683"/>
      <c r="S150" s="683"/>
      <c r="T150" s="683"/>
      <c r="U150" s="683"/>
      <c r="V150" s="683"/>
      <c r="W150" s="683"/>
      <c r="X150" s="684"/>
    </row>
    <row r="151" spans="2:24" s="32" customFormat="1" ht="12" customHeight="1" x14ac:dyDescent="0.2">
      <c r="C151" s="1005" t="s">
        <v>374</v>
      </c>
      <c r="D151" s="1006"/>
      <c r="E151" s="1006"/>
      <c r="F151" s="1006"/>
      <c r="G151" s="1007"/>
      <c r="H151" s="1008"/>
      <c r="I151" s="448">
        <f>J151/J$33</f>
        <v>0</v>
      </c>
      <c r="J151" s="454">
        <v>0</v>
      </c>
      <c r="K151" s="1011">
        <f>(J151+J151*O151)*12/J$33</f>
        <v>0</v>
      </c>
      <c r="L151" s="101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072" t="str">
        <f>IF(J33=12,"MYYNTIENNUSTE (hinnat sis. arvonlisäveron)","HUOMIOI MYYNTIENNUSTEESSA TILIKAUDEN PITUUS! (hinnat sis. arvonlisäveron)")</f>
        <v>MYYNTIENNUSTE (hinnat sis. arvonlisäveron)</v>
      </c>
      <c r="D153" s="1072"/>
      <c r="E153" s="1072"/>
      <c r="F153" s="1072"/>
      <c r="G153" s="1072"/>
      <c r="H153" s="1072"/>
      <c r="I153" s="1062" t="s">
        <v>134</v>
      </c>
      <c r="J153" s="1062"/>
      <c r="K153" s="1062" t="s">
        <v>135</v>
      </c>
      <c r="L153" s="1062"/>
      <c r="M153" s="541" t="s">
        <v>137</v>
      </c>
      <c r="O153" s="651"/>
      <c r="P153" s="650"/>
      <c r="Q153" s="683"/>
      <c r="R153" s="683"/>
      <c r="S153" s="683"/>
      <c r="T153" s="683"/>
      <c r="U153" s="692"/>
      <c r="V153" s="683"/>
      <c r="W153" s="683"/>
      <c r="X153" s="684"/>
    </row>
    <row r="154" spans="2:24" ht="15" customHeight="1" x14ac:dyDescent="0.2">
      <c r="C154" s="1073"/>
      <c r="D154" s="1073"/>
      <c r="E154" s="1073"/>
      <c r="F154" s="1073"/>
      <c r="G154" s="1073"/>
      <c r="H154" s="1073"/>
      <c r="I154" s="703" t="s">
        <v>79</v>
      </c>
      <c r="J154" s="542">
        <f>J120</f>
        <v>2027</v>
      </c>
      <c r="K154" s="1063">
        <f>K120</f>
        <v>2028</v>
      </c>
      <c r="L154" s="1063"/>
      <c r="M154" s="542">
        <f>M120</f>
        <v>2029</v>
      </c>
      <c r="O154" s="651"/>
      <c r="P154" s="650"/>
      <c r="Q154" s="683"/>
      <c r="R154" s="683"/>
      <c r="S154" s="683"/>
      <c r="T154" s="683"/>
      <c r="U154" s="683"/>
      <c r="V154" s="683"/>
      <c r="W154" s="683"/>
      <c r="X154" s="684"/>
    </row>
    <row r="155" spans="2:24" ht="12.75" customHeight="1" x14ac:dyDescent="0.2">
      <c r="B155" s="254"/>
      <c r="C155" s="1070" t="s">
        <v>324</v>
      </c>
      <c r="D155" s="1071"/>
      <c r="E155" s="576"/>
      <c r="F155" s="576"/>
      <c r="G155" s="576"/>
      <c r="H155" s="577"/>
      <c r="I155" s="462"/>
      <c r="J155" s="578">
        <f>J121</f>
        <v>12</v>
      </c>
      <c r="K155" s="1165">
        <f>K121</f>
        <v>12</v>
      </c>
      <c r="L155" s="1166"/>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066" t="s">
        <v>311</v>
      </c>
      <c r="G156" s="1067"/>
      <c r="H156" s="616"/>
      <c r="I156" s="463"/>
      <c r="J156" s="458"/>
      <c r="K156" s="1068"/>
      <c r="L156" s="106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046"/>
      <c r="L157" s="1047"/>
      <c r="M157" s="460"/>
      <c r="O157" s="651"/>
      <c r="P157" s="650"/>
      <c r="Q157" s="683"/>
      <c r="R157" s="683"/>
      <c r="S157" s="683"/>
      <c r="T157" s="683"/>
      <c r="U157" s="683"/>
      <c r="V157" s="683"/>
      <c r="W157" s="683"/>
      <c r="X157" s="684"/>
    </row>
    <row r="158" spans="2:24" s="32" customFormat="1" ht="12" customHeight="1" x14ac:dyDescent="0.2">
      <c r="C158" s="1039" t="s">
        <v>382</v>
      </c>
      <c r="D158" s="1040"/>
      <c r="E158" s="1040"/>
      <c r="F158" s="617">
        <v>0.255</v>
      </c>
      <c r="G158" s="617">
        <v>0.255</v>
      </c>
      <c r="H158" s="457" t="s">
        <v>7</v>
      </c>
      <c r="I158" s="456">
        <f>J158/J$33</f>
        <v>0</v>
      </c>
      <c r="J158" s="449">
        <f>J159/(1+$F158)*J160</f>
        <v>0</v>
      </c>
      <c r="K158" s="1027">
        <f>K159/(1+F158)*K160</f>
        <v>0</v>
      </c>
      <c r="L158" s="1027"/>
      <c r="M158" s="449">
        <f>M160*M159/(1+F158)</f>
        <v>0</v>
      </c>
      <c r="O158" s="1163" t="s">
        <v>168</v>
      </c>
      <c r="P158" s="1164"/>
      <c r="Q158" s="683"/>
      <c r="R158" s="683"/>
      <c r="S158" s="683"/>
      <c r="T158" s="683"/>
      <c r="U158" s="683"/>
      <c r="V158" s="683"/>
      <c r="W158" s="683"/>
      <c r="X158" s="684"/>
    </row>
    <row r="159" spans="2:24" s="32" customFormat="1" ht="12.75" customHeight="1" x14ac:dyDescent="0.2">
      <c r="C159" s="1048" t="s">
        <v>376</v>
      </c>
      <c r="D159" s="1048"/>
      <c r="E159" s="1048"/>
      <c r="F159" s="1048"/>
      <c r="G159" s="1049"/>
      <c r="H159" s="1050"/>
      <c r="I159" s="527">
        <v>0</v>
      </c>
      <c r="J159" s="451">
        <v>0</v>
      </c>
      <c r="K159" s="1037">
        <f>J159+J159*O159</f>
        <v>0</v>
      </c>
      <c r="L159" s="103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41" t="s">
        <v>377</v>
      </c>
      <c r="D160" s="1041"/>
      <c r="E160" s="1041"/>
      <c r="F160" s="1041"/>
      <c r="G160" s="1042"/>
      <c r="H160" s="1043"/>
      <c r="I160" s="448">
        <f>J160/J$33</f>
        <v>0</v>
      </c>
      <c r="J160" s="454">
        <v>0</v>
      </c>
      <c r="K160" s="1011">
        <f>(J160+J160*O160)*12/J$33</f>
        <v>0</v>
      </c>
      <c r="L160" s="101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41" t="s">
        <v>378</v>
      </c>
      <c r="D161" s="1041"/>
      <c r="E161" s="1041"/>
      <c r="F161" s="1041"/>
      <c r="G161" s="1042"/>
      <c r="H161" s="1043"/>
      <c r="I161" s="527">
        <v>0</v>
      </c>
      <c r="J161" s="451">
        <v>0</v>
      </c>
      <c r="K161" s="1037">
        <f>J161+J161*O161</f>
        <v>0</v>
      </c>
      <c r="L161" s="103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41" t="s">
        <v>379</v>
      </c>
      <c r="D162" s="1041"/>
      <c r="E162" s="1041"/>
      <c r="F162" s="1041"/>
      <c r="G162" s="1042"/>
      <c r="H162" s="1043"/>
      <c r="I162" s="527">
        <v>0</v>
      </c>
      <c r="J162" s="452">
        <f>J161/(1+$G158)</f>
        <v>0</v>
      </c>
      <c r="K162" s="1032">
        <f t="shared" ref="K162:L162" si="34">K161/(1+$G158)</f>
        <v>0</v>
      </c>
      <c r="L162" s="1032">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41" t="s">
        <v>380</v>
      </c>
      <c r="D163" s="1041"/>
      <c r="E163" s="1041"/>
      <c r="F163" s="1041"/>
      <c r="G163" s="1042"/>
      <c r="H163" s="1043"/>
      <c r="I163" s="527">
        <v>0</v>
      </c>
      <c r="J163" s="455">
        <f>IF(J159=0,0,(J159/(1+$F158)-J162)/(J159/(1+$F158)))</f>
        <v>0</v>
      </c>
      <c r="K163" s="1051">
        <f t="shared" ref="K163:L163" si="35">IF(K159=0,0,(K159/(1+$F158)-K162)/(K159/(1+$F158)))</f>
        <v>0</v>
      </c>
      <c r="L163" s="1051">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52" t="s">
        <v>381</v>
      </c>
      <c r="D164" s="1053"/>
      <c r="E164" s="1053"/>
      <c r="F164" s="1053"/>
      <c r="G164" s="1054"/>
      <c r="H164" s="1055"/>
      <c r="I164" s="527">
        <v>0</v>
      </c>
      <c r="J164" s="456">
        <f>J158*J163</f>
        <v>0</v>
      </c>
      <c r="K164" s="1038">
        <f>K158*K163</f>
        <v>0</v>
      </c>
      <c r="L164" s="103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040">
        <v>0</v>
      </c>
      <c r="D166" s="1040"/>
      <c r="E166" s="1040"/>
      <c r="F166" s="617">
        <v>0.255</v>
      </c>
      <c r="G166" s="617">
        <v>0.255</v>
      </c>
      <c r="H166" s="457" t="s">
        <v>7</v>
      </c>
      <c r="I166" s="456">
        <f>J166/J$33</f>
        <v>0</v>
      </c>
      <c r="J166" s="449">
        <f>J167/(1+$F166)*J168</f>
        <v>0</v>
      </c>
      <c r="K166" s="1027">
        <f>K167/(1+F166)*K168</f>
        <v>0</v>
      </c>
      <c r="L166" s="1027"/>
      <c r="M166" s="449">
        <f>M168*M167/(1+F166)</f>
        <v>0</v>
      </c>
      <c r="N166" s="619"/>
      <c r="O166" s="675"/>
      <c r="P166" s="677"/>
      <c r="Q166" s="693"/>
      <c r="R166" s="683"/>
      <c r="S166" s="683"/>
      <c r="T166" s="683"/>
      <c r="U166" s="683"/>
      <c r="V166" s="683"/>
      <c r="W166" s="683"/>
      <c r="X166" s="684"/>
    </row>
    <row r="167" spans="3:37" s="32" customFormat="1" ht="12.75" customHeight="1" x14ac:dyDescent="0.2">
      <c r="C167" s="1048" t="s">
        <v>376</v>
      </c>
      <c r="D167" s="1048"/>
      <c r="E167" s="1048"/>
      <c r="F167" s="1048"/>
      <c r="G167" s="1049"/>
      <c r="H167" s="1050"/>
      <c r="I167" s="527"/>
      <c r="J167" s="451">
        <v>0</v>
      </c>
      <c r="K167" s="1037">
        <f>J167+J167*O167</f>
        <v>0</v>
      </c>
      <c r="L167" s="103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41" t="s">
        <v>377</v>
      </c>
      <c r="D168" s="1041"/>
      <c r="E168" s="1041"/>
      <c r="F168" s="1041"/>
      <c r="G168" s="1042"/>
      <c r="H168" s="1043"/>
      <c r="I168" s="448">
        <f>J168/J$33</f>
        <v>0</v>
      </c>
      <c r="J168" s="454">
        <v>0</v>
      </c>
      <c r="K168" s="1011">
        <f>(J168+J168*O168)*12/J$33</f>
        <v>0</v>
      </c>
      <c r="L168" s="101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41" t="s">
        <v>378</v>
      </c>
      <c r="D169" s="1041"/>
      <c r="E169" s="1041"/>
      <c r="F169" s="1041"/>
      <c r="G169" s="1042"/>
      <c r="H169" s="1043"/>
      <c r="I169" s="527"/>
      <c r="J169" s="451">
        <v>0</v>
      </c>
      <c r="K169" s="1037">
        <f>J169+J169*O169</f>
        <v>0</v>
      </c>
      <c r="L169" s="103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41" t="s">
        <v>379</v>
      </c>
      <c r="D170" s="1041"/>
      <c r="E170" s="1041"/>
      <c r="F170" s="1041"/>
      <c r="G170" s="1042"/>
      <c r="H170" s="1043"/>
      <c r="I170" s="527"/>
      <c r="J170" s="452">
        <f>J169/(1+$G166)</f>
        <v>0</v>
      </c>
      <c r="K170" s="1032">
        <f>K169/(1+G166)</f>
        <v>0</v>
      </c>
      <c r="L170" s="1032"/>
      <c r="M170" s="452">
        <f>M169/(1+G166)</f>
        <v>0</v>
      </c>
      <c r="N170" s="620"/>
      <c r="O170" s="675"/>
      <c r="P170" s="677"/>
      <c r="Q170" s="693"/>
      <c r="R170" s="683"/>
      <c r="S170" s="683"/>
      <c r="T170" s="683"/>
      <c r="U170" s="683"/>
      <c r="V170" s="683"/>
      <c r="W170" s="683"/>
      <c r="X170" s="684"/>
    </row>
    <row r="171" spans="3:37" s="32" customFormat="1" ht="12.75" customHeight="1" x14ac:dyDescent="0.2">
      <c r="C171" s="1041" t="s">
        <v>380</v>
      </c>
      <c r="D171" s="1041"/>
      <c r="E171" s="1041"/>
      <c r="F171" s="1041"/>
      <c r="G171" s="1042"/>
      <c r="H171" s="1043"/>
      <c r="I171" s="527"/>
      <c r="J171" s="455">
        <f>IF(J167=0,0,(J167/(1+$F166)-J170)/(J167/(1+$F166)))</f>
        <v>0</v>
      </c>
      <c r="K171" s="1051">
        <f t="shared" ref="K171" si="36">IF(K167=0,0,(K167/(1+$F166)-K170)/(K167/(1+$F166)))</f>
        <v>0</v>
      </c>
      <c r="L171" s="1051">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52" t="s">
        <v>381</v>
      </c>
      <c r="D172" s="1053"/>
      <c r="E172" s="1053"/>
      <c r="F172" s="1053"/>
      <c r="G172" s="1054"/>
      <c r="H172" s="1055"/>
      <c r="I172" s="527"/>
      <c r="J172" s="456">
        <f>J166*J171</f>
        <v>0</v>
      </c>
      <c r="K172" s="1038">
        <f>K166*K171</f>
        <v>0</v>
      </c>
      <c r="L172" s="103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040">
        <v>0</v>
      </c>
      <c r="D174" s="1040"/>
      <c r="E174" s="1040"/>
      <c r="F174" s="617">
        <v>0.255</v>
      </c>
      <c r="G174" s="617">
        <v>0.255</v>
      </c>
      <c r="H174" s="457" t="s">
        <v>7</v>
      </c>
      <c r="I174" s="456">
        <f>J174/J$33</f>
        <v>0</v>
      </c>
      <c r="J174" s="449">
        <f>J175/(1+$F174)*J176</f>
        <v>0</v>
      </c>
      <c r="K174" s="1027">
        <f>K175/(1+F174)*K176</f>
        <v>0</v>
      </c>
      <c r="L174" s="1027"/>
      <c r="M174" s="449">
        <f>M176*M175/(1+F174)</f>
        <v>0</v>
      </c>
      <c r="O174" s="656"/>
      <c r="P174" s="657"/>
      <c r="Q174" s="683"/>
      <c r="R174" s="683"/>
      <c r="S174" s="683"/>
      <c r="T174" s="683"/>
      <c r="U174" s="683"/>
      <c r="V174" s="683"/>
      <c r="W174" s="683"/>
      <c r="X174" s="684"/>
    </row>
    <row r="175" spans="3:37" s="32" customFormat="1" ht="12.75" customHeight="1" x14ac:dyDescent="0.2">
      <c r="C175" s="1048" t="s">
        <v>376</v>
      </c>
      <c r="D175" s="1048"/>
      <c r="E175" s="1048"/>
      <c r="F175" s="1048"/>
      <c r="G175" s="1049"/>
      <c r="H175" s="1050"/>
      <c r="I175" s="527">
        <v>0</v>
      </c>
      <c r="J175" s="451">
        <v>0</v>
      </c>
      <c r="K175" s="1037">
        <f>J175+J175*O175</f>
        <v>0</v>
      </c>
      <c r="L175" s="103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41" t="s">
        <v>377</v>
      </c>
      <c r="D176" s="1041"/>
      <c r="E176" s="1041"/>
      <c r="F176" s="1041"/>
      <c r="G176" s="1042"/>
      <c r="H176" s="1043"/>
      <c r="I176" s="448">
        <f>J176/J$33</f>
        <v>0</v>
      </c>
      <c r="J176" s="454">
        <v>0</v>
      </c>
      <c r="K176" s="1011">
        <f>(J176+J176*O176)*12/J$33</f>
        <v>0</v>
      </c>
      <c r="L176" s="101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41" t="s">
        <v>378</v>
      </c>
      <c r="D177" s="1041"/>
      <c r="E177" s="1041"/>
      <c r="F177" s="1041"/>
      <c r="G177" s="1042"/>
      <c r="H177" s="1043"/>
      <c r="I177" s="527">
        <v>0</v>
      </c>
      <c r="J177" s="451">
        <v>0</v>
      </c>
      <c r="K177" s="1037">
        <f>J177+J177*O177</f>
        <v>0</v>
      </c>
      <c r="L177" s="103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41" t="s">
        <v>379</v>
      </c>
      <c r="D178" s="1041"/>
      <c r="E178" s="1041"/>
      <c r="F178" s="1041"/>
      <c r="G178" s="1042"/>
      <c r="H178" s="1043"/>
      <c r="I178" s="527">
        <v>0</v>
      </c>
      <c r="J178" s="452">
        <f>J177/(1+$G174)</f>
        <v>0</v>
      </c>
      <c r="K178" s="1032">
        <f>K177/(1+G174)</f>
        <v>0</v>
      </c>
      <c r="L178" s="1032"/>
      <c r="M178" s="452">
        <f>M177/(1+G174)</f>
        <v>0</v>
      </c>
      <c r="O178" s="656"/>
      <c r="P178" s="657"/>
      <c r="Q178" s="683"/>
      <c r="R178" s="683"/>
      <c r="S178" s="683"/>
      <c r="T178" s="683"/>
      <c r="U178" s="683"/>
      <c r="V178" s="683"/>
      <c r="W178" s="683"/>
      <c r="X178" s="684"/>
    </row>
    <row r="179" spans="3:37" s="32" customFormat="1" ht="12.75" customHeight="1" x14ac:dyDescent="0.2">
      <c r="C179" s="1041" t="s">
        <v>380</v>
      </c>
      <c r="D179" s="1041"/>
      <c r="E179" s="1041"/>
      <c r="F179" s="1041"/>
      <c r="G179" s="1042"/>
      <c r="H179" s="1043"/>
      <c r="I179" s="527">
        <v>0</v>
      </c>
      <c r="J179" s="455">
        <f>IF(J175=0,0,(J175/(1+$F174)-J178)/(J175/(1+$F174)))</f>
        <v>0</v>
      </c>
      <c r="K179" s="1051">
        <f t="shared" ref="K179" si="38">IF(K175=0,0,(K175/(1+$F174)-K178)/(K175/(1+$F174)))</f>
        <v>0</v>
      </c>
      <c r="L179" s="1051">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52" t="s">
        <v>381</v>
      </c>
      <c r="D180" s="1053"/>
      <c r="E180" s="1053"/>
      <c r="F180" s="1053"/>
      <c r="G180" s="1054"/>
      <c r="H180" s="1055"/>
      <c r="I180" s="527">
        <v>0</v>
      </c>
      <c r="J180" s="456">
        <f>J174*J179</f>
        <v>0</v>
      </c>
      <c r="K180" s="1038">
        <f>K174*K179</f>
        <v>0</v>
      </c>
      <c r="L180" s="103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040">
        <v>0</v>
      </c>
      <c r="D182" s="1040"/>
      <c r="E182" s="1040"/>
      <c r="F182" s="617">
        <v>0.255</v>
      </c>
      <c r="G182" s="617">
        <f>F182</f>
        <v>0.255</v>
      </c>
      <c r="H182" s="457" t="s">
        <v>7</v>
      </c>
      <c r="I182" s="706">
        <f>J182/J$33</f>
        <v>0</v>
      </c>
      <c r="J182" s="449">
        <f>J183/(1+$F182)*J184</f>
        <v>0</v>
      </c>
      <c r="K182" s="1027">
        <f>K183/(1+F182)*K184</f>
        <v>0</v>
      </c>
      <c r="L182" s="1027"/>
      <c r="M182" s="449">
        <f>M184*M183/(1+F182)</f>
        <v>0</v>
      </c>
      <c r="O182" s="656"/>
      <c r="P182" s="657"/>
      <c r="Q182" s="683"/>
      <c r="R182" s="683"/>
      <c r="S182" s="683"/>
      <c r="T182" s="683"/>
      <c r="U182" s="683"/>
      <c r="V182" s="683"/>
      <c r="W182" s="683"/>
      <c r="X182" s="684"/>
    </row>
    <row r="183" spans="3:37" s="32" customFormat="1" ht="12.75" customHeight="1" x14ac:dyDescent="0.2">
      <c r="C183" s="1048" t="s">
        <v>376</v>
      </c>
      <c r="D183" s="1048"/>
      <c r="E183" s="1048"/>
      <c r="F183" s="1048"/>
      <c r="G183" s="1049"/>
      <c r="H183" s="1050"/>
      <c r="I183" s="448">
        <v>0</v>
      </c>
      <c r="J183" s="451">
        <v>0</v>
      </c>
      <c r="K183" s="1037">
        <f>J183+J183*O183</f>
        <v>0</v>
      </c>
      <c r="L183" s="103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41" t="s">
        <v>377</v>
      </c>
      <c r="D184" s="1041"/>
      <c r="E184" s="1041"/>
      <c r="F184" s="1041"/>
      <c r="G184" s="1042"/>
      <c r="H184" s="1043"/>
      <c r="I184" s="450">
        <f>J184/J$33</f>
        <v>0</v>
      </c>
      <c r="J184" s="454">
        <v>0</v>
      </c>
      <c r="K184" s="1011">
        <f>(J184+J184*O184)*12/J$33</f>
        <v>0</v>
      </c>
      <c r="L184" s="101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41" t="s">
        <v>378</v>
      </c>
      <c r="D185" s="1041"/>
      <c r="E185" s="1041"/>
      <c r="F185" s="1041"/>
      <c r="G185" s="1042"/>
      <c r="H185" s="1043"/>
      <c r="I185" s="448">
        <v>0</v>
      </c>
      <c r="J185" s="451">
        <v>0</v>
      </c>
      <c r="K185" s="1037">
        <f>J185+J185*O185</f>
        <v>0</v>
      </c>
      <c r="L185" s="103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41" t="s">
        <v>379</v>
      </c>
      <c r="D186" s="1041"/>
      <c r="E186" s="1041"/>
      <c r="F186" s="1041"/>
      <c r="G186" s="1042"/>
      <c r="H186" s="1043"/>
      <c r="I186" s="527">
        <v>0</v>
      </c>
      <c r="J186" s="452">
        <f>J185/(1+$G182)</f>
        <v>0</v>
      </c>
      <c r="K186" s="1044">
        <f>K185/(1+G182)</f>
        <v>0</v>
      </c>
      <c r="L186" s="1045"/>
      <c r="M186" s="452">
        <f>M185/(1+G182)</f>
        <v>0</v>
      </c>
      <c r="N186" s="618"/>
      <c r="O186" s="656"/>
      <c r="P186" s="657"/>
      <c r="Q186" s="683"/>
      <c r="R186" s="683"/>
      <c r="S186" s="683"/>
      <c r="T186" s="683"/>
      <c r="U186" s="683"/>
      <c r="V186" s="683"/>
      <c r="W186" s="683"/>
      <c r="X186" s="684"/>
    </row>
    <row r="187" spans="3:37" s="32" customFormat="1" ht="12.75" customHeight="1" x14ac:dyDescent="0.2">
      <c r="C187" s="1041" t="s">
        <v>380</v>
      </c>
      <c r="D187" s="1041"/>
      <c r="E187" s="1041"/>
      <c r="F187" s="1041"/>
      <c r="G187" s="1042"/>
      <c r="H187" s="1043"/>
      <c r="I187" s="527">
        <v>0</v>
      </c>
      <c r="J187" s="455">
        <f>IF(J183=0,0,(J183/(1+$F182)-J186)/(J183/(1+$F182)))</f>
        <v>0</v>
      </c>
      <c r="K187" s="1051">
        <f t="shared" ref="K187" si="40">IF(K183=0,0,(K183/(1+$F182)-K186)/(K183/(1+$F182)))</f>
        <v>0</v>
      </c>
      <c r="L187" s="1051">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52" t="s">
        <v>381</v>
      </c>
      <c r="D188" s="1053"/>
      <c r="E188" s="1053"/>
      <c r="F188" s="1053"/>
      <c r="G188" s="1054"/>
      <c r="H188" s="1055"/>
      <c r="I188" s="527">
        <v>0</v>
      </c>
      <c r="J188" s="456">
        <f>J182*J187</f>
        <v>0</v>
      </c>
      <c r="K188" s="1038">
        <f>K182*K187</f>
        <v>0</v>
      </c>
      <c r="L188" s="103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040"/>
      <c r="D190" s="1040"/>
      <c r="E190" s="1040"/>
      <c r="F190" s="617">
        <v>0.255</v>
      </c>
      <c r="G190" s="617">
        <f>F190</f>
        <v>0.255</v>
      </c>
      <c r="H190" s="457" t="s">
        <v>7</v>
      </c>
      <c r="I190" s="456">
        <f>J190/J$33</f>
        <v>0</v>
      </c>
      <c r="J190" s="449">
        <f>J191/(1+$F190)*J192</f>
        <v>0</v>
      </c>
      <c r="K190" s="1027">
        <f>K191/(1+F190)*K192</f>
        <v>0</v>
      </c>
      <c r="L190" s="1027"/>
      <c r="M190" s="449">
        <f>M192*M191/(1+F190)</f>
        <v>0</v>
      </c>
      <c r="N190" s="619"/>
      <c r="O190" s="675"/>
      <c r="P190" s="677"/>
      <c r="Q190" s="693"/>
      <c r="R190" s="683"/>
      <c r="S190" s="683"/>
      <c r="T190" s="683"/>
      <c r="U190" s="683"/>
      <c r="V190" s="683"/>
      <c r="W190" s="683"/>
      <c r="X190" s="684"/>
    </row>
    <row r="191" spans="3:37" s="32" customFormat="1" ht="12.75" customHeight="1" x14ac:dyDescent="0.2">
      <c r="C191" s="1048" t="s">
        <v>376</v>
      </c>
      <c r="D191" s="1048"/>
      <c r="E191" s="1048"/>
      <c r="F191" s="1048"/>
      <c r="G191" s="1049"/>
      <c r="H191" s="1050"/>
      <c r="I191" s="527">
        <v>0</v>
      </c>
      <c r="J191" s="451">
        <v>0</v>
      </c>
      <c r="K191" s="1037">
        <f>J191+J191*O191</f>
        <v>0</v>
      </c>
      <c r="L191" s="103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41" t="s">
        <v>377</v>
      </c>
      <c r="D192" s="1041"/>
      <c r="E192" s="1041"/>
      <c r="F192" s="1041"/>
      <c r="G192" s="1042"/>
      <c r="H192" s="1043"/>
      <c r="I192" s="448">
        <f>J192/J$33</f>
        <v>0</v>
      </c>
      <c r="J192" s="454">
        <v>0</v>
      </c>
      <c r="K192" s="1011">
        <f>(J192+J192*O192)*12/J$33</f>
        <v>0</v>
      </c>
      <c r="L192" s="101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41" t="s">
        <v>378</v>
      </c>
      <c r="D193" s="1041"/>
      <c r="E193" s="1041"/>
      <c r="F193" s="1041"/>
      <c r="G193" s="1042"/>
      <c r="H193" s="1043"/>
      <c r="I193" s="527">
        <v>0</v>
      </c>
      <c r="J193" s="451">
        <v>0</v>
      </c>
      <c r="K193" s="1037">
        <f>J193+J193*O193</f>
        <v>0</v>
      </c>
      <c r="L193" s="103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41" t="s">
        <v>379</v>
      </c>
      <c r="D194" s="1041"/>
      <c r="E194" s="1041"/>
      <c r="F194" s="1041"/>
      <c r="G194" s="1042"/>
      <c r="H194" s="1043"/>
      <c r="I194" s="527">
        <v>0</v>
      </c>
      <c r="J194" s="452">
        <f>J193/(1+$G190)</f>
        <v>0</v>
      </c>
      <c r="K194" s="1032">
        <f>K193/(1+G190)</f>
        <v>0</v>
      </c>
      <c r="L194" s="1032"/>
      <c r="M194" s="452">
        <f>M193/(1+G190)</f>
        <v>0</v>
      </c>
      <c r="N194" s="620"/>
      <c r="O194" s="675"/>
      <c r="P194" s="677"/>
      <c r="Q194" s="693"/>
      <c r="R194" s="683"/>
      <c r="S194" s="683"/>
      <c r="T194" s="683"/>
      <c r="U194" s="683"/>
      <c r="V194" s="683"/>
      <c r="W194" s="683"/>
      <c r="X194" s="684"/>
    </row>
    <row r="195" spans="2:24" s="32" customFormat="1" ht="12.75" customHeight="1" x14ac:dyDescent="0.2">
      <c r="C195" s="1041" t="s">
        <v>380</v>
      </c>
      <c r="D195" s="1041"/>
      <c r="E195" s="1041"/>
      <c r="F195" s="1041"/>
      <c r="G195" s="1042"/>
      <c r="H195" s="1043"/>
      <c r="I195" s="527">
        <v>0</v>
      </c>
      <c r="J195" s="455">
        <f>IF(J191=0,0,(J191/(1+$F190)-J194)/(J191/(1+$F190)))</f>
        <v>0</v>
      </c>
      <c r="K195" s="1051">
        <f t="shared" ref="K195" si="42">IF(K191=0,0,(K191/(1+$F190)-K194)/(K191/(1+$F190)))</f>
        <v>0</v>
      </c>
      <c r="L195" s="1051">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52" t="s">
        <v>381</v>
      </c>
      <c r="D196" s="1053"/>
      <c r="E196" s="1053"/>
      <c r="F196" s="1053"/>
      <c r="G196" s="1054"/>
      <c r="H196" s="1055"/>
      <c r="I196" s="527">
        <v>0</v>
      </c>
      <c r="J196" s="456">
        <f>J190*J195</f>
        <v>0</v>
      </c>
      <c r="K196" s="1038">
        <f>K190*K195</f>
        <v>0</v>
      </c>
      <c r="L196" s="103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040" t="s">
        <v>386</v>
      </c>
      <c r="D198" s="1040"/>
      <c r="E198" s="1040"/>
      <c r="F198" s="1074">
        <v>0.255</v>
      </c>
      <c r="G198" s="1075"/>
      <c r="H198" s="457" t="s">
        <v>7</v>
      </c>
      <c r="I198" s="456">
        <f>J198/J$33</f>
        <v>0</v>
      </c>
      <c r="J198" s="449">
        <f>IF(J199=0,0,J199*J200)-'2 Myynnin ALV'!B18</f>
        <v>0</v>
      </c>
      <c r="K198" s="1027">
        <f>IF(K199=0,0,K199*K200)-'2 Myynnin ALV'!C18</f>
        <v>0</v>
      </c>
      <c r="L198" s="1027"/>
      <c r="M198" s="449">
        <f>IF(M199=0,0,M199*M200)-'2 Myynnin ALV'!D18</f>
        <v>0</v>
      </c>
      <c r="O198" s="656"/>
      <c r="P198" s="657"/>
      <c r="Q198" s="683"/>
      <c r="R198" s="683"/>
      <c r="S198" s="683"/>
      <c r="T198" s="683"/>
      <c r="U198" s="683"/>
      <c r="V198" s="683"/>
      <c r="W198" s="683"/>
      <c r="X198" s="684"/>
    </row>
    <row r="199" spans="2:24" s="32" customFormat="1" ht="12.75" customHeight="1" x14ac:dyDescent="0.2">
      <c r="C199" s="1077" t="s">
        <v>376</v>
      </c>
      <c r="D199" s="1078"/>
      <c r="E199" s="1078"/>
      <c r="F199" s="1078"/>
      <c r="G199" s="1079"/>
      <c r="H199" s="1080"/>
      <c r="I199" s="527">
        <v>0</v>
      </c>
      <c r="J199" s="451">
        <v>0</v>
      </c>
      <c r="K199" s="1037">
        <f>J199+J199*O199</f>
        <v>0</v>
      </c>
      <c r="L199" s="103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076" t="s">
        <v>377</v>
      </c>
      <c r="D200" s="1041"/>
      <c r="E200" s="1041"/>
      <c r="F200" s="1041"/>
      <c r="G200" s="1042"/>
      <c r="H200" s="1043"/>
      <c r="I200" s="448">
        <f>J200/J$33</f>
        <v>0</v>
      </c>
      <c r="J200" s="454">
        <v>0</v>
      </c>
      <c r="K200" s="1011">
        <f>(J200+J200*O200)*12/J$33</f>
        <v>0</v>
      </c>
      <c r="L200" s="101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076" t="s">
        <v>383</v>
      </c>
      <c r="D201" s="1041"/>
      <c r="E201" s="1041"/>
      <c r="F201" s="1041"/>
      <c r="G201" s="1042"/>
      <c r="H201" s="1043"/>
      <c r="I201" s="527">
        <v>0</v>
      </c>
      <c r="J201" s="451">
        <v>0</v>
      </c>
      <c r="K201" s="1037">
        <f>J201+J201*O201</f>
        <v>0</v>
      </c>
      <c r="L201" s="103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076" t="s">
        <v>384</v>
      </c>
      <c r="D202" s="1041"/>
      <c r="E202" s="1041"/>
      <c r="F202" s="1041"/>
      <c r="G202" s="1042"/>
      <c r="H202" s="1043"/>
      <c r="I202" s="527">
        <v>0</v>
      </c>
      <c r="J202" s="455">
        <f>IF(J201=0,0,(J198-J203)/J198)</f>
        <v>0</v>
      </c>
      <c r="K202" s="1051">
        <f t="shared" ref="K202:L202" si="44">IF(K201=0,0,(K198-K203)/K198)</f>
        <v>0</v>
      </c>
      <c r="L202" s="1051">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081" t="s">
        <v>385</v>
      </c>
      <c r="D203" s="1082"/>
      <c r="E203" s="1082"/>
      <c r="F203" s="1082"/>
      <c r="G203" s="1083"/>
      <c r="H203" s="1084"/>
      <c r="I203" s="527">
        <v>0</v>
      </c>
      <c r="J203" s="456">
        <f>J200*J201</f>
        <v>0</v>
      </c>
      <c r="K203" s="1038">
        <f t="shared" ref="K203:L203" si="45">K200*K201</f>
        <v>0</v>
      </c>
      <c r="L203" s="103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085">
        <f>K123+K128+K133+K164+K172+K180+K188+K196+K198*K202+K138+K143+K148</f>
        <v>0</v>
      </c>
      <c r="L205" s="1085">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085">
        <f>-(K34+K37+K42+K47+K52+K55+K59+K74+K75+K83+K87+K92+K93+K98+K101+K104+K108+K112+K113+K114+K115+K46+K38+K116)</f>
        <v>0</v>
      </c>
      <c r="L206" s="1085"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02">
        <f>K205+K206</f>
        <v>0</v>
      </c>
      <c r="L207" s="1103"/>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085">
        <f>-2*K206/K33</f>
        <v>0</v>
      </c>
      <c r="L208" s="1085"/>
      <c r="M208" s="469">
        <f>-2*M206/M33</f>
        <v>0</v>
      </c>
      <c r="O208" s="685"/>
      <c r="P208" s="683"/>
      <c r="Q208" s="683"/>
      <c r="R208" s="683"/>
      <c r="S208" s="683"/>
      <c r="T208" s="683"/>
      <c r="U208" s="683"/>
      <c r="V208" s="683"/>
      <c r="W208" s="683"/>
      <c r="X208" s="684"/>
    </row>
    <row r="209" spans="2:24" s="30" customFormat="1" ht="15" customHeight="1" x14ac:dyDescent="0.2">
      <c r="B209" s="90"/>
      <c r="C209" s="466"/>
      <c r="D209" s="1089" t="s">
        <v>507</v>
      </c>
      <c r="E209" s="1089"/>
      <c r="F209" s="1089"/>
      <c r="G209" s="1089"/>
      <c r="H209" s="1089"/>
      <c r="I209" s="1090"/>
      <c r="J209" s="474">
        <f>J38</f>
        <v>0</v>
      </c>
      <c r="K209" s="1085">
        <f>K38</f>
        <v>0</v>
      </c>
      <c r="L209" s="1085"/>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085">
        <f>-('4 AT Lainat ja avustukset alv'!G5+'4 AT Lainat ja avustukset alv'!G9+'4 AT Lainat ja avustukset alv'!G13)</f>
        <v>0</v>
      </c>
      <c r="L211" s="1085">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3" t="s">
        <v>352</v>
      </c>
      <c r="E212" s="1003"/>
      <c r="F212" s="1003"/>
      <c r="G212" s="1003"/>
      <c r="H212" s="1003"/>
      <c r="I212" s="1004"/>
      <c r="J212" s="475">
        <f>IF(J207=0,0,J207+'4 AT Lainat ja avustukset alv'!G30-'4 AT Lainat ja avustukset alv'!G22+J211+J38)</f>
        <v>0</v>
      </c>
      <c r="K212" s="1087">
        <f>IF(K207=0,0,K207+'4 AT Lainat ja avustukset alv'!H30-'4 AT Lainat ja avustukset alv'!H22+K211+K38)</f>
        <v>0</v>
      </c>
      <c r="L212" s="1087">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3" t="s">
        <v>353</v>
      </c>
      <c r="E213" s="1003"/>
      <c r="F213" s="1003"/>
      <c r="G213" s="1003"/>
      <c r="H213" s="1003"/>
      <c r="I213" s="1004"/>
      <c r="J213" s="475">
        <f>IF(J207=0,0,J207+'4 AT Lainat ja avustukset alv'!G30-'4 AT Lainat ja avustukset alv'!G22+J211)</f>
        <v>0</v>
      </c>
      <c r="K213" s="1087">
        <f>IF(K207=0,0,K207+'4 AT Lainat ja avustukset alv'!H30-'4 AT Lainat ja avustukset alv'!H22+K211)</f>
        <v>0</v>
      </c>
      <c r="L213" s="1087">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3" t="s">
        <v>355</v>
      </c>
      <c r="E214" s="1003"/>
      <c r="F214" s="1003"/>
      <c r="G214" s="1003"/>
      <c r="H214" s="1003"/>
      <c r="I214" s="1004"/>
      <c r="J214" s="475">
        <f>IF(J207=0,0,J207+'4 AT Lainat ja avustukset alv'!G30-'4 AT Lainat ja avustukset alv'!G22+J211)</f>
        <v>0</v>
      </c>
      <c r="K214" s="1087">
        <f>IF(K207=0,0,K207+'4 AT Lainat ja avustukset alv'!H30-'4 AT Lainat ja avustukset alv'!H22+K211)</f>
        <v>0</v>
      </c>
      <c r="L214" s="1087">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27">
        <f>K123+K128+K133+K158+K166+K174+K138+K143+K148+K182+K190+K198</f>
        <v>0</v>
      </c>
      <c r="L216" s="102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085">
        <f>'2 Myynnin ALV'!C19</f>
        <v>0</v>
      </c>
      <c r="L217" s="1085">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27">
        <f>SUM(K216:K217)</f>
        <v>0</v>
      </c>
      <c r="L218" s="1027"/>
      <c r="M218" s="494">
        <f>SUM(M216:M217)</f>
        <v>0</v>
      </c>
      <c r="O218" s="698"/>
      <c r="P218" s="699"/>
      <c r="Q218" s="692"/>
      <c r="R218" s="692"/>
      <c r="S218" s="692"/>
      <c r="T218" s="692"/>
      <c r="U218" s="692"/>
      <c r="V218" s="692"/>
      <c r="W218" s="692"/>
      <c r="X218" s="697"/>
    </row>
    <row r="219" spans="2:24" s="32" customFormat="1" ht="15" customHeight="1" x14ac:dyDescent="0.2">
      <c r="B219" s="256"/>
      <c r="C219" s="470"/>
      <c r="D219" s="1091" t="s">
        <v>508</v>
      </c>
      <c r="E219" s="1091"/>
      <c r="F219" s="1091"/>
      <c r="G219" s="1091"/>
      <c r="H219" s="1091"/>
      <c r="I219" s="1092"/>
      <c r="J219" s="565">
        <f>J199*J200</f>
        <v>0</v>
      </c>
      <c r="K219" s="1026">
        <f>K199*K200</f>
        <v>0</v>
      </c>
      <c r="L219" s="1026"/>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88">
        <f>J220</f>
        <v>1</v>
      </c>
      <c r="L220" s="1088"/>
      <c r="M220" s="568">
        <f>K220</f>
        <v>1</v>
      </c>
    </row>
    <row r="221" spans="2:24" ht="14.1" customHeight="1" x14ac:dyDescent="0.2">
      <c r="B221" s="7"/>
      <c r="C221" s="466"/>
      <c r="D221" s="467" t="s">
        <v>186</v>
      </c>
      <c r="E221" s="519"/>
      <c r="F221" s="567"/>
      <c r="G221" s="567"/>
      <c r="H221" s="567"/>
      <c r="I221" s="567"/>
      <c r="J221" s="487">
        <v>47</v>
      </c>
      <c r="K221" s="1088">
        <f>J221</f>
        <v>47</v>
      </c>
      <c r="L221" s="1088"/>
      <c r="M221" s="568">
        <f>K221</f>
        <v>47</v>
      </c>
    </row>
    <row r="222" spans="2:24" ht="14.1" customHeight="1" x14ac:dyDescent="0.2">
      <c r="B222" s="7"/>
      <c r="C222" s="466" t="s">
        <v>0</v>
      </c>
      <c r="D222" s="467" t="s">
        <v>187</v>
      </c>
      <c r="E222" s="519"/>
      <c r="F222" s="567"/>
      <c r="G222" s="567"/>
      <c r="H222" s="567"/>
      <c r="I222" s="567"/>
      <c r="J222" s="487">
        <v>5</v>
      </c>
      <c r="K222" s="1088">
        <f>J222</f>
        <v>5</v>
      </c>
      <c r="L222" s="1088"/>
      <c r="M222" s="568">
        <f>K222</f>
        <v>5</v>
      </c>
    </row>
    <row r="223" spans="2:24" ht="14.1" customHeight="1" x14ac:dyDescent="0.2">
      <c r="B223" s="7"/>
      <c r="C223" s="470"/>
      <c r="D223" s="471" t="s">
        <v>188</v>
      </c>
      <c r="E223" s="563"/>
      <c r="F223" s="564"/>
      <c r="G223" s="564"/>
      <c r="H223" s="564"/>
      <c r="I223" s="564"/>
      <c r="J223" s="565">
        <f>J218/(J221*J222)</f>
        <v>0</v>
      </c>
      <c r="K223" s="1026">
        <f>K218/(K221*K222)</f>
        <v>0</v>
      </c>
      <c r="L223" s="1026" t="e">
        <f>L218/(L221*L222)</f>
        <v>#DIV/0!</v>
      </c>
      <c r="M223" s="566">
        <f>M218/(M221*M222)</f>
        <v>0</v>
      </c>
    </row>
    <row r="225" spans="3:13" x14ac:dyDescent="0.2">
      <c r="C225" s="555" t="s">
        <v>0</v>
      </c>
      <c r="D225" s="1093" t="str">
        <f>Aloitussivu!E40</f>
        <v>Business Rauma, Eurajoki, Prizztech</v>
      </c>
      <c r="E225" s="1093"/>
      <c r="F225" s="1093"/>
      <c r="G225" s="1093"/>
      <c r="H225" s="1093"/>
      <c r="I225" s="1093"/>
    </row>
    <row r="227" spans="3:13" ht="18" customHeight="1" x14ac:dyDescent="0.2">
      <c r="D227" s="2"/>
    </row>
    <row r="228" spans="3:13" ht="19.350000000000001" customHeight="1" x14ac:dyDescent="0.2">
      <c r="D228" s="1093" t="s">
        <v>162</v>
      </c>
      <c r="E228" s="1093"/>
      <c r="F228" s="1093"/>
      <c r="G228" s="1093"/>
      <c r="H228" s="1093"/>
      <c r="I228" s="1093"/>
      <c r="J228" s="1093"/>
      <c r="K228" s="1093"/>
      <c r="L228" s="1093"/>
      <c r="M228" s="1093"/>
    </row>
    <row r="229" spans="3:13" x14ac:dyDescent="0.2">
      <c r="D229" s="1086" t="s">
        <v>164</v>
      </c>
      <c r="E229" s="1086"/>
      <c r="F229" s="1086"/>
      <c r="G229" s="1086"/>
      <c r="H229" s="1086"/>
      <c r="I229" s="1086"/>
      <c r="J229" s="1086"/>
      <c r="K229" s="1086"/>
      <c r="L229" s="1086"/>
      <c r="M229" s="1086"/>
    </row>
    <row r="230" spans="3:13" x14ac:dyDescent="0.2">
      <c r="D230" s="1086" t="s">
        <v>163</v>
      </c>
      <c r="E230" s="1086"/>
      <c r="F230" s="1086"/>
      <c r="G230" s="1086"/>
      <c r="H230" s="1086"/>
      <c r="I230" s="1086"/>
      <c r="J230" s="1086"/>
      <c r="K230" s="1086"/>
      <c r="L230" s="1086"/>
      <c r="M230" s="1086"/>
    </row>
    <row r="233" spans="3:13" hidden="1" x14ac:dyDescent="0.2">
      <c r="C233" s="12"/>
      <c r="D233" t="s">
        <v>314</v>
      </c>
      <c r="J233">
        <f>J159*J160+J167*J168+J175*J176+J183*J184+J191*J192</f>
        <v>0</v>
      </c>
      <c r="K233" s="1229">
        <f>K159*K160+K167*K168+K175*K176+K183*K184+K191*K192</f>
        <v>0</v>
      </c>
      <c r="L233" s="1229"/>
      <c r="M233">
        <f>M159*M160+M167*M168+M175*M176+M183*M184+M191*M192</f>
        <v>0</v>
      </c>
    </row>
    <row r="234" spans="3:13" hidden="1" x14ac:dyDescent="0.2">
      <c r="D234" s="445" t="s">
        <v>271</v>
      </c>
      <c r="E234" s="445"/>
      <c r="F234" s="445"/>
      <c r="G234" s="445"/>
      <c r="H234" s="445"/>
      <c r="I234" s="445"/>
      <c r="J234" s="9">
        <f>J158+J166+J174+J182+J190+J148+J143+J138+J133+J128+J123</f>
        <v>0</v>
      </c>
      <c r="K234" s="998">
        <f>K158+K166+K174+K182+K190+K148+K143+K138+K133+K128+K123</f>
        <v>0</v>
      </c>
      <c r="L234" s="998"/>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20">
        <f>K194*K192+K186*K184+K178*K176+K168*K170+K160*K162</f>
        <v>0</v>
      </c>
      <c r="L235" s="1020"/>
      <c r="M235" s="365">
        <f>M194*M192+M186*M184+M178*M176+M168*M170+M160*M162</f>
        <v>0</v>
      </c>
    </row>
    <row r="236" spans="3:13" hidden="1" x14ac:dyDescent="0.2">
      <c r="C236" s="12"/>
      <c r="D236" s="444" t="s">
        <v>250</v>
      </c>
      <c r="E236" s="444"/>
      <c r="F236" s="444"/>
      <c r="G236" s="444"/>
      <c r="H236" s="444"/>
      <c r="I236" s="444"/>
      <c r="J236" s="366">
        <f>IF(J234=0,0,J235/J234)</f>
        <v>0</v>
      </c>
      <c r="K236" s="999">
        <f t="shared" ref="K236:M236" si="46">IF(K234=0,0,K235/K234)</f>
        <v>0</v>
      </c>
      <c r="L236" s="999"/>
      <c r="M236" s="366">
        <f t="shared" si="46"/>
        <v>0</v>
      </c>
    </row>
    <row r="237" spans="3:13" hidden="1" x14ac:dyDescent="0.2">
      <c r="C237" s="12"/>
      <c r="D237" s="444" t="s">
        <v>267</v>
      </c>
      <c r="E237" s="444"/>
      <c r="F237" s="444"/>
      <c r="G237" s="444"/>
      <c r="H237" s="444"/>
      <c r="I237" s="444"/>
      <c r="J237" s="370">
        <f>J161*J160+J168*J169+J176*J177+J184*J185+J192*J193</f>
        <v>0</v>
      </c>
      <c r="K237" s="1019">
        <f>K161*K160+K168*K169+K176*K177+K184*K185+K192*K193</f>
        <v>0</v>
      </c>
      <c r="L237" s="1019"/>
      <c r="M237" s="370">
        <f>M161*M160+M168*M169+M176*M177+M184*M185+M192*M193</f>
        <v>0</v>
      </c>
    </row>
    <row r="238" spans="3:13" hidden="1" x14ac:dyDescent="0.2">
      <c r="C238" s="12"/>
      <c r="D238" s="447" t="s">
        <v>321</v>
      </c>
      <c r="E238" s="446"/>
      <c r="F238" s="446"/>
      <c r="G238" s="446"/>
      <c r="H238" s="446"/>
      <c r="I238" s="446"/>
      <c r="J238" s="365">
        <f>J203</f>
        <v>0</v>
      </c>
      <c r="K238" s="1020">
        <f>K203</f>
        <v>0</v>
      </c>
      <c r="L238" s="1020"/>
      <c r="M238" s="365">
        <f>M203</f>
        <v>0</v>
      </c>
    </row>
    <row r="239" spans="3:13" hidden="1" x14ac:dyDescent="0.2">
      <c r="C239" s="12"/>
      <c r="D239" s="444" t="s">
        <v>322</v>
      </c>
      <c r="E239" s="444"/>
      <c r="F239" s="444"/>
      <c r="G239" s="444"/>
      <c r="H239" s="444"/>
      <c r="I239" s="444"/>
      <c r="J239" s="9">
        <f>SUM(J237:J238)</f>
        <v>0</v>
      </c>
      <c r="K239" s="998">
        <f t="shared" ref="K239:M239" si="47">SUM(K237:K238)</f>
        <v>0</v>
      </c>
      <c r="L239" s="998"/>
      <c r="M239" s="9">
        <f t="shared" si="47"/>
        <v>0</v>
      </c>
    </row>
    <row r="240" spans="3:13" hidden="1" x14ac:dyDescent="0.2">
      <c r="C240" s="12"/>
      <c r="D240" s="444" t="s">
        <v>268</v>
      </c>
      <c r="E240" s="444"/>
      <c r="F240" s="444"/>
      <c r="G240" s="444"/>
      <c r="H240" s="444"/>
      <c r="I240" s="444"/>
      <c r="J240" s="358">
        <f>IF(J239=0,0,J239/J218)</f>
        <v>0</v>
      </c>
      <c r="K240" s="1000">
        <f>IF(K239=0,0,K239/K218)</f>
        <v>0</v>
      </c>
      <c r="L240" s="1000"/>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 ref="D80:H80"/>
    <mergeCell ref="D81:H81"/>
    <mergeCell ref="D63:H63"/>
    <mergeCell ref="D64:H64"/>
    <mergeCell ref="D65:H65"/>
    <mergeCell ref="D66:H66"/>
    <mergeCell ref="D67:H67"/>
    <mergeCell ref="D68:H68"/>
    <mergeCell ref="D69:H69"/>
    <mergeCell ref="D70:H70"/>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025" t="s">
        <v>80</v>
      </c>
    </row>
    <row r="4" spans="1:24" ht="11.65" customHeight="1" x14ac:dyDescent="0.2">
      <c r="A4" s="1025"/>
      <c r="B4" s="571"/>
    </row>
    <row r="5" spans="1:24" ht="17.100000000000001" customHeight="1" x14ac:dyDescent="0.25">
      <c r="B5" s="1266" t="str">
        <f>'1. Taloussuunnitelma'!$C$5</f>
        <v xml:space="preserve">  </v>
      </c>
      <c r="C5" s="1267"/>
      <c r="D5" s="1267"/>
      <c r="E5" s="1267"/>
      <c r="H5" s="1255" t="s">
        <v>326</v>
      </c>
      <c r="I5" s="1256"/>
      <c r="J5" s="1256"/>
      <c r="K5" s="1256"/>
      <c r="L5" s="1256"/>
      <c r="M5" s="1256"/>
      <c r="N5" s="1256"/>
      <c r="O5" s="1256"/>
      <c r="U5" s="1252" t="s">
        <v>229</v>
      </c>
    </row>
    <row r="6" spans="1:24" ht="10.15" customHeight="1" x14ac:dyDescent="0.2">
      <c r="B6" s="1267"/>
      <c r="C6" s="1267"/>
      <c r="D6" s="1267"/>
      <c r="E6" s="1267"/>
      <c r="U6" s="1252"/>
    </row>
    <row r="7" spans="1:24" ht="16.149999999999999" customHeight="1" x14ac:dyDescent="0.2">
      <c r="B7" s="637"/>
      <c r="C7" s="1241" t="s">
        <v>206</v>
      </c>
      <c r="D7" s="1241"/>
      <c r="E7" s="124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3"/>
      <c r="V7" s="583"/>
      <c r="W7" s="256"/>
      <c r="X7" s="256"/>
    </row>
    <row r="8" spans="1:24" ht="12.6" customHeight="1" x14ac:dyDescent="0.2">
      <c r="B8" s="638">
        <v>1</v>
      </c>
      <c r="C8" s="1242" t="s">
        <v>334</v>
      </c>
      <c r="D8" s="1242"/>
      <c r="E8" s="1242"/>
      <c r="F8" s="124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39" t="s">
        <v>275</v>
      </c>
      <c r="D9" s="1239"/>
      <c r="E9" s="124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39" t="s">
        <v>510</v>
      </c>
      <c r="E10" s="1239"/>
      <c r="F10" s="124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39" t="s">
        <v>276</v>
      </c>
      <c r="D11" s="1239"/>
      <c r="E11" s="1239"/>
      <c r="F11" s="124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39" t="s">
        <v>511</v>
      </c>
      <c r="E12" s="1239"/>
      <c r="F12" s="124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39" t="s">
        <v>210</v>
      </c>
      <c r="D14" s="1244"/>
      <c r="E14" s="1244"/>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5" t="s">
        <v>211</v>
      </c>
      <c r="D15" s="1246"/>
      <c r="E15" s="1246"/>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0" t="s">
        <v>212</v>
      </c>
      <c r="D16" s="1250"/>
      <c r="E16" s="1250"/>
      <c r="F16" s="1251"/>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4" t="s">
        <v>226</v>
      </c>
      <c r="V16" s="1254"/>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4"/>
      <c r="V17" s="1254"/>
      <c r="W17" s="314"/>
      <c r="X17" s="314" t="s">
        <v>299</v>
      </c>
    </row>
    <row r="18" spans="2:25" ht="16.149999999999999" customHeight="1" x14ac:dyDescent="0.2">
      <c r="B18" s="642"/>
      <c r="C18" s="1241" t="s">
        <v>213</v>
      </c>
      <c r="D18" s="1241"/>
      <c r="E18" s="1247"/>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60">
        <v>6</v>
      </c>
      <c r="C19" s="1248" t="s">
        <v>514</v>
      </c>
      <c r="D19" s="1249"/>
      <c r="E19" s="1249"/>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6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39" t="s">
        <v>295</v>
      </c>
      <c r="D21" s="1244"/>
      <c r="E21" s="1244"/>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39" t="s">
        <v>215</v>
      </c>
      <c r="D22" s="1244"/>
      <c r="E22" s="1244"/>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39" t="s">
        <v>216</v>
      </c>
      <c r="D23" s="1244"/>
      <c r="E23" s="1244"/>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39" t="s">
        <v>351</v>
      </c>
      <c r="D24" s="1244"/>
      <c r="E24" s="1244"/>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39" t="s">
        <v>217</v>
      </c>
      <c r="D25" s="1239"/>
      <c r="E25" s="123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39" t="s">
        <v>218</v>
      </c>
      <c r="D26" s="1244"/>
      <c r="E26" s="1244"/>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39" t="s">
        <v>349</v>
      </c>
      <c r="D29" s="1244"/>
      <c r="E29" s="1244"/>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39" t="s">
        <v>274</v>
      </c>
      <c r="D30" s="1239"/>
      <c r="E30" s="123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39" t="s">
        <v>221</v>
      </c>
      <c r="D31" s="1244"/>
      <c r="E31" s="1244"/>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39" t="s">
        <v>513</v>
      </c>
      <c r="D32" s="1244"/>
      <c r="E32" s="1244"/>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39" t="s">
        <v>223</v>
      </c>
      <c r="D33" s="1244"/>
      <c r="E33" s="1244"/>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7" t="s">
        <v>289</v>
      </c>
      <c r="D34" s="1257"/>
      <c r="E34" s="1258"/>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7" t="s">
        <v>291</v>
      </c>
      <c r="D36" s="1257"/>
      <c r="E36" s="1258"/>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39" t="s">
        <v>281</v>
      </c>
      <c r="D40" s="1239"/>
      <c r="E40" s="1239"/>
      <c r="F40" s="124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39" t="s">
        <v>288</v>
      </c>
      <c r="D41" s="1244"/>
      <c r="E41" s="1244"/>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39" t="s">
        <v>283</v>
      </c>
      <c r="D43" s="1244"/>
      <c r="E43" s="1244"/>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39" t="s">
        <v>284</v>
      </c>
      <c r="D44" s="1239"/>
      <c r="E44" s="1239"/>
      <c r="F44" s="124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39" t="s">
        <v>350</v>
      </c>
      <c r="D45" s="1239"/>
      <c r="E45" s="1239"/>
      <c r="F45" s="124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39" t="s">
        <v>297</v>
      </c>
      <c r="D46" s="1239"/>
      <c r="E46" s="1239"/>
      <c r="F46" s="124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39" t="s">
        <v>285</v>
      </c>
      <c r="D47" s="1239"/>
      <c r="E47" s="1239"/>
      <c r="F47" s="124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39" t="s">
        <v>310</v>
      </c>
      <c r="D48" s="1239"/>
      <c r="E48" s="1239"/>
      <c r="F48" s="124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39" t="s">
        <v>286</v>
      </c>
      <c r="D49" s="1239"/>
      <c r="E49" s="1239"/>
      <c r="F49" s="124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39" t="s">
        <v>302</v>
      </c>
      <c r="D50" s="1244"/>
      <c r="E50" s="1244"/>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39" t="s">
        <v>331</v>
      </c>
      <c r="D51" s="1239"/>
      <c r="E51" s="1239"/>
      <c r="F51" s="124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5" t="s">
        <v>287</v>
      </c>
      <c r="D52" s="1245"/>
      <c r="E52" s="1245"/>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9" t="s">
        <v>225</v>
      </c>
      <c r="D53" s="1259"/>
      <c r="E53" s="1259"/>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62" t="s">
        <v>224</v>
      </c>
      <c r="D55" s="1263"/>
      <c r="E55" s="1263"/>
      <c r="F55" s="126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64">
        <f>SUM(G55:R55)</f>
        <v>0</v>
      </c>
    </row>
    <row r="56" spans="2:24" ht="13.9" customHeight="1" x14ac:dyDescent="0.2">
      <c r="B56" s="645">
        <v>35</v>
      </c>
      <c r="C56" s="1262" t="s">
        <v>277</v>
      </c>
      <c r="D56" s="1263"/>
      <c r="E56" s="1263"/>
      <c r="F56" s="126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65"/>
    </row>
    <row r="57" spans="2:24" x14ac:dyDescent="0.2">
      <c r="S57" s="436"/>
    </row>
    <row r="58" spans="2:24" x14ac:dyDescent="0.2">
      <c r="C58" s="73" t="s">
        <v>294</v>
      </c>
      <c r="K58" s="1111" t="str">
        <f>Aloitussivu!E40</f>
        <v>Business Rauma, Eurajoki, Prizztech</v>
      </c>
      <c r="L58" s="1111"/>
      <c r="M58" s="1111"/>
      <c r="N58" s="1111"/>
      <c r="O58" s="1111"/>
      <c r="P58" s="1111"/>
      <c r="Q58" s="1111"/>
      <c r="R58" s="1111"/>
      <c r="S58" s="1111"/>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 ref="C49:F49"/>
    <mergeCell ref="C53:E53"/>
    <mergeCell ref="C45:F45"/>
    <mergeCell ref="C43:E43"/>
    <mergeCell ref="C44:F44"/>
    <mergeCell ref="C16:F16"/>
    <mergeCell ref="U5:U7"/>
    <mergeCell ref="U16:V17"/>
    <mergeCell ref="H5:O5"/>
    <mergeCell ref="C40:F40"/>
    <mergeCell ref="C25:E25"/>
    <mergeCell ref="C26:E26"/>
    <mergeCell ref="C29:E29"/>
    <mergeCell ref="C34:E34"/>
    <mergeCell ref="C36:E36"/>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171"/>
      <c r="L1" s="1171"/>
      <c r="M1" s="1171"/>
    </row>
    <row r="2" spans="2:24" ht="40.9" customHeight="1" x14ac:dyDescent="0.2">
      <c r="C2" s="255"/>
      <c r="D2" s="34"/>
      <c r="J2" s="1172"/>
      <c r="K2" s="1173"/>
      <c r="L2" s="1173"/>
      <c r="M2" s="1173"/>
    </row>
    <row r="3" spans="2:24" ht="12.75" customHeight="1" x14ac:dyDescent="0.2">
      <c r="C3" s="255"/>
      <c r="D3" s="34"/>
      <c r="J3" s="419"/>
      <c r="K3" s="435"/>
      <c r="L3" s="435"/>
      <c r="M3" s="435"/>
    </row>
    <row r="4" spans="2:24" ht="13.5" customHeight="1" x14ac:dyDescent="0.3">
      <c r="B4" s="1025" t="s">
        <v>80</v>
      </c>
      <c r="C4" s="277" t="s">
        <v>5</v>
      </c>
      <c r="D4" s="247"/>
      <c r="E4" s="248"/>
      <c r="H4" s="73" t="s">
        <v>167</v>
      </c>
      <c r="J4" s="1104" t="str">
        <f>Aloitussivu!E40</f>
        <v>Business Rauma, Eurajoki, Prizztech</v>
      </c>
      <c r="K4" s="1104"/>
      <c r="L4" s="1104"/>
      <c r="M4" s="1104"/>
      <c r="R4" s="249"/>
    </row>
    <row r="5" spans="2:24" ht="13.35" customHeight="1" x14ac:dyDescent="0.2">
      <c r="B5" s="1025"/>
      <c r="C5" s="1361"/>
      <c r="D5" s="1361"/>
      <c r="E5" s="1361"/>
      <c r="F5" s="282"/>
      <c r="G5" s="282"/>
      <c r="H5" s="764">
        <v>0</v>
      </c>
      <c r="J5" s="1104"/>
      <c r="K5" s="1104"/>
      <c r="L5" s="1104"/>
      <c r="M5" s="1104"/>
      <c r="O5" s="266"/>
      <c r="P5" s="266"/>
    </row>
    <row r="6" spans="2:24" ht="14.25" x14ac:dyDescent="0.2">
      <c r="C6" s="1093" t="s">
        <v>1</v>
      </c>
      <c r="D6" s="1093"/>
      <c r="E6" s="249"/>
      <c r="F6" s="250"/>
      <c r="G6" s="250"/>
      <c r="H6" s="251" t="s">
        <v>160</v>
      </c>
      <c r="I6" s="251"/>
      <c r="J6" s="252" t="s">
        <v>0</v>
      </c>
      <c r="K6" s="210"/>
      <c r="L6" s="251"/>
      <c r="M6" s="11" t="s">
        <v>0</v>
      </c>
    </row>
    <row r="7" spans="2:24" ht="13.35" customHeight="1" x14ac:dyDescent="0.2">
      <c r="C7" s="1360"/>
      <c r="D7" s="1360"/>
      <c r="E7" s="1360"/>
      <c r="F7" s="24"/>
      <c r="G7" s="24"/>
      <c r="H7" s="1360">
        <v>0</v>
      </c>
      <c r="I7" s="1360"/>
      <c r="J7" s="1360"/>
      <c r="K7" s="1360"/>
      <c r="L7" s="1360"/>
      <c r="M7" s="1360"/>
      <c r="O7" s="266"/>
    </row>
    <row r="8" spans="2:24" ht="12.75" customHeight="1" x14ac:dyDescent="0.2">
      <c r="C8" s="16"/>
      <c r="D8" s="262"/>
      <c r="E8" s="262"/>
      <c r="F8" s="262"/>
      <c r="G8" s="262"/>
      <c r="H8" s="262"/>
      <c r="I8" s="262"/>
      <c r="J8" s="262"/>
      <c r="K8" s="262"/>
      <c r="L8" s="263"/>
      <c r="M8" s="263"/>
    </row>
    <row r="9" spans="2:24" ht="23.25" customHeight="1" x14ac:dyDescent="0.2">
      <c r="B9" s="266"/>
      <c r="C9" s="1189" t="s">
        <v>179</v>
      </c>
      <c r="D9" s="1190"/>
      <c r="E9" s="1191"/>
      <c r="F9" s="1138" t="s">
        <v>12</v>
      </c>
      <c r="G9" s="1139"/>
      <c r="H9" s="1140" t="s">
        <v>161</v>
      </c>
      <c r="I9" s="1141"/>
      <c r="J9" s="1141"/>
      <c r="K9" s="1141"/>
      <c r="L9" s="1142"/>
      <c r="M9" s="547" t="s">
        <v>12</v>
      </c>
      <c r="O9" s="701" t="s">
        <v>369</v>
      </c>
      <c r="P9" s="608"/>
      <c r="Q9" s="608"/>
      <c r="R9" s="608"/>
      <c r="S9" s="608"/>
      <c r="T9" s="608"/>
      <c r="U9" s="608"/>
      <c r="V9" s="608"/>
      <c r="W9" s="608"/>
      <c r="X9" s="609"/>
    </row>
    <row r="10" spans="2:24" ht="13.5" customHeight="1" x14ac:dyDescent="0.2">
      <c r="C10" s="1122" t="s">
        <v>329</v>
      </c>
      <c r="D10" s="1004"/>
      <c r="E10" s="481" t="s">
        <v>32</v>
      </c>
      <c r="F10" s="1027">
        <f>F11+F12+F13</f>
        <v>0</v>
      </c>
      <c r="G10" s="1027"/>
      <c r="H10" s="1122" t="s">
        <v>193</v>
      </c>
      <c r="I10" s="1003"/>
      <c r="J10" s="1003"/>
      <c r="K10" s="1195"/>
      <c r="L10" s="1196"/>
      <c r="M10" s="494">
        <f>SUM(M12:M14)</f>
        <v>0</v>
      </c>
      <c r="O10" s="685"/>
      <c r="P10" s="683"/>
      <c r="Q10" s="683"/>
      <c r="R10" s="683"/>
      <c r="S10" s="683"/>
      <c r="T10" s="683"/>
      <c r="U10" s="683"/>
      <c r="V10" s="683"/>
      <c r="W10" s="683"/>
      <c r="X10" s="684"/>
    </row>
    <row r="11" spans="2:24" ht="13.5" customHeight="1" x14ac:dyDescent="0.2">
      <c r="C11" s="1181" t="s">
        <v>497</v>
      </c>
      <c r="D11" s="1182"/>
      <c r="E11" s="765">
        <v>0</v>
      </c>
      <c r="F11" s="1268">
        <v>0</v>
      </c>
      <c r="G11" s="1268"/>
      <c r="H11" s="1132" t="s">
        <v>165</v>
      </c>
      <c r="I11" s="1133"/>
      <c r="J11" s="559" t="s">
        <v>20</v>
      </c>
      <c r="K11" s="1197" t="s">
        <v>22</v>
      </c>
      <c r="L11" s="1198"/>
      <c r="M11" s="495" t="s">
        <v>21</v>
      </c>
      <c r="O11" s="685"/>
      <c r="P11" s="683"/>
      <c r="Q11" s="683"/>
      <c r="R11" s="683"/>
      <c r="S11" s="683"/>
      <c r="T11" s="683"/>
      <c r="U11" s="683"/>
      <c r="V11" s="683"/>
      <c r="W11" s="683"/>
      <c r="X11" s="684"/>
    </row>
    <row r="12" spans="2:24" ht="13.5" customHeight="1" x14ac:dyDescent="0.2">
      <c r="C12" s="1125" t="s">
        <v>498</v>
      </c>
      <c r="D12" s="1126"/>
      <c r="E12" s="765">
        <v>0</v>
      </c>
      <c r="F12" s="1268">
        <v>0</v>
      </c>
      <c r="G12" s="1268"/>
      <c r="H12" s="1355" t="s">
        <v>85</v>
      </c>
      <c r="I12" s="1355"/>
      <c r="J12" s="768">
        <v>0</v>
      </c>
      <c r="K12" s="769">
        <v>0</v>
      </c>
      <c r="L12" s="770">
        <v>0</v>
      </c>
      <c r="M12" s="771">
        <v>0</v>
      </c>
      <c r="O12" s="685"/>
      <c r="P12" s="683"/>
      <c r="Q12" s="683"/>
      <c r="R12" s="683"/>
      <c r="S12" s="683"/>
      <c r="T12" s="683"/>
      <c r="U12" s="683"/>
      <c r="V12" s="683"/>
      <c r="W12" s="683"/>
      <c r="X12" s="684"/>
    </row>
    <row r="13" spans="2:24" ht="13.5" customHeight="1" x14ac:dyDescent="0.2">
      <c r="C13" s="1356"/>
      <c r="D13" s="1357"/>
      <c r="E13" s="757">
        <v>0</v>
      </c>
      <c r="F13" s="1358">
        <v>0</v>
      </c>
      <c r="G13" s="1358"/>
      <c r="H13" s="1353" t="s">
        <v>84</v>
      </c>
      <c r="I13" s="1359"/>
      <c r="J13" s="765">
        <v>0</v>
      </c>
      <c r="K13" s="772">
        <v>0</v>
      </c>
      <c r="L13" s="773">
        <v>0</v>
      </c>
      <c r="M13" s="766">
        <v>0</v>
      </c>
      <c r="O13" s="685"/>
      <c r="P13" s="683"/>
      <c r="Q13" s="683"/>
      <c r="R13" s="683"/>
      <c r="S13" s="683"/>
      <c r="T13" s="683"/>
      <c r="U13" s="683"/>
      <c r="V13" s="683"/>
      <c r="W13" s="683"/>
      <c r="X13" s="684"/>
    </row>
    <row r="14" spans="2:24" ht="13.5" customHeight="1" x14ac:dyDescent="0.2">
      <c r="C14" s="1123" t="s">
        <v>189</v>
      </c>
      <c r="D14" s="1124"/>
      <c r="E14" s="481" t="s">
        <v>32</v>
      </c>
      <c r="F14" s="1027">
        <f>SUM(F15:F20)</f>
        <v>0</v>
      </c>
      <c r="G14" s="1027"/>
      <c r="H14" s="1355"/>
      <c r="I14" s="1355"/>
      <c r="J14" s="765">
        <v>0</v>
      </c>
      <c r="K14" s="772">
        <v>0</v>
      </c>
      <c r="L14" s="773">
        <v>0</v>
      </c>
      <c r="M14" s="766">
        <v>0</v>
      </c>
      <c r="O14" s="685"/>
      <c r="P14" s="683"/>
      <c r="Q14" s="683"/>
      <c r="R14" s="683"/>
      <c r="S14" s="683"/>
      <c r="T14" s="683"/>
      <c r="U14" s="683"/>
      <c r="V14" s="683"/>
      <c r="W14" s="683"/>
      <c r="X14" s="684"/>
    </row>
    <row r="15" spans="2:24" ht="13.5" customHeight="1" x14ac:dyDescent="0.2">
      <c r="C15" s="1335">
        <v>0</v>
      </c>
      <c r="D15" s="1336"/>
      <c r="E15" s="765">
        <v>0</v>
      </c>
      <c r="F15" s="1268">
        <v>0</v>
      </c>
      <c r="G15" s="1268"/>
      <c r="H15" s="1122" t="s">
        <v>194</v>
      </c>
      <c r="I15" s="1004"/>
      <c r="J15" s="765">
        <v>0</v>
      </c>
      <c r="K15" s="1352">
        <v>0</v>
      </c>
      <c r="L15" s="1352"/>
      <c r="M15" s="766">
        <v>0</v>
      </c>
      <c r="O15" s="685"/>
      <c r="P15" s="683"/>
      <c r="Q15" s="683"/>
      <c r="R15" s="683"/>
      <c r="S15" s="683"/>
      <c r="T15" s="683"/>
      <c r="U15" s="683"/>
      <c r="V15" s="683"/>
      <c r="W15" s="683"/>
      <c r="X15" s="684"/>
    </row>
    <row r="16" spans="2:24" ht="13.5" customHeight="1" x14ac:dyDescent="0.2">
      <c r="C16" s="1353">
        <v>0</v>
      </c>
      <c r="D16" s="1354"/>
      <c r="E16" s="765">
        <v>0</v>
      </c>
      <c r="F16" s="1268">
        <v>0</v>
      </c>
      <c r="G16" s="1268"/>
      <c r="H16" s="1122" t="s">
        <v>195</v>
      </c>
      <c r="I16" s="1004"/>
      <c r="J16" s="765">
        <v>0</v>
      </c>
      <c r="K16" s="1352">
        <v>0</v>
      </c>
      <c r="L16" s="1352"/>
      <c r="M16" s="766">
        <v>0</v>
      </c>
      <c r="O16" s="685"/>
      <c r="P16" s="683"/>
      <c r="Q16" s="683"/>
      <c r="R16" s="683"/>
      <c r="S16" s="683"/>
      <c r="T16" s="683"/>
      <c r="U16" s="683"/>
      <c r="V16" s="683"/>
      <c r="W16" s="683"/>
      <c r="X16" s="684"/>
    </row>
    <row r="17" spans="1:24" ht="13.5" customHeight="1" x14ac:dyDescent="0.2">
      <c r="C17" s="1340">
        <v>0</v>
      </c>
      <c r="D17" s="1341"/>
      <c r="E17" s="765">
        <v>0</v>
      </c>
      <c r="F17" s="1268">
        <v>0</v>
      </c>
      <c r="G17" s="1268"/>
      <c r="H17" s="1012" t="s">
        <v>196</v>
      </c>
      <c r="I17" s="1012"/>
      <c r="J17" s="1012"/>
      <c r="K17" s="1012"/>
      <c r="L17" s="1012"/>
      <c r="M17" s="488">
        <f>SUM(M18:M20)</f>
        <v>0</v>
      </c>
      <c r="O17" s="685"/>
      <c r="P17" s="683"/>
      <c r="Q17" s="683"/>
      <c r="R17" s="683"/>
      <c r="S17" s="683"/>
      <c r="T17" s="683"/>
      <c r="U17" s="683"/>
      <c r="V17" s="683"/>
      <c r="W17" s="683"/>
      <c r="X17" s="684"/>
    </row>
    <row r="18" spans="1:24" ht="13.5" customHeight="1" x14ac:dyDescent="0.2">
      <c r="C18" s="1181" t="s">
        <v>499</v>
      </c>
      <c r="D18" s="1182"/>
      <c r="E18" s="482">
        <v>0</v>
      </c>
      <c r="F18" s="1268">
        <v>0</v>
      </c>
      <c r="G18" s="1268"/>
      <c r="H18" s="1347" t="s">
        <v>440</v>
      </c>
      <c r="I18" s="1347"/>
      <c r="J18" s="1347"/>
      <c r="K18" s="1347"/>
      <c r="L18" s="1347"/>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348"/>
      <c r="D19" s="1349"/>
      <c r="E19" s="844"/>
      <c r="F19" s="1350"/>
      <c r="G19" s="1350"/>
      <c r="H19" s="1351"/>
      <c r="I19" s="1330"/>
      <c r="J19" s="1330"/>
      <c r="K19" s="1330"/>
      <c r="L19" s="1331"/>
      <c r="M19" s="766">
        <v>0</v>
      </c>
      <c r="O19" s="685"/>
      <c r="P19" s="683"/>
      <c r="Q19" s="683"/>
      <c r="R19" s="683"/>
      <c r="S19" s="683"/>
      <c r="T19" s="683"/>
      <c r="U19" s="683"/>
      <c r="V19" s="683"/>
      <c r="W19" s="683"/>
      <c r="X19" s="684"/>
    </row>
    <row r="20" spans="1:24" ht="13.5" customHeight="1" x14ac:dyDescent="0.2">
      <c r="C20" s="1205" t="s">
        <v>500</v>
      </c>
      <c r="D20" s="1206"/>
      <c r="E20" s="765">
        <v>0</v>
      </c>
      <c r="F20" s="1343">
        <v>0</v>
      </c>
      <c r="G20" s="1343"/>
      <c r="H20" s="1344"/>
      <c r="I20" s="1344"/>
      <c r="J20" s="1344"/>
      <c r="K20" s="1344"/>
      <c r="L20" s="1344"/>
      <c r="M20" s="766">
        <v>0</v>
      </c>
      <c r="O20" s="685"/>
      <c r="P20" s="683"/>
      <c r="Q20" s="683"/>
      <c r="R20" s="683"/>
      <c r="S20" s="683"/>
      <c r="T20" s="683"/>
      <c r="U20" s="683"/>
      <c r="V20" s="683"/>
      <c r="W20" s="683"/>
      <c r="X20" s="684"/>
    </row>
    <row r="21" spans="1:24" ht="13.5" customHeight="1" x14ac:dyDescent="0.2">
      <c r="C21" s="1012" t="s">
        <v>190</v>
      </c>
      <c r="D21" s="1012"/>
      <c r="E21" s="1012"/>
      <c r="F21" s="1027">
        <f>F22+F23</f>
        <v>0</v>
      </c>
      <c r="G21" s="1027"/>
      <c r="H21" s="1345" t="s">
        <v>197</v>
      </c>
      <c r="I21" s="1345"/>
      <c r="J21" s="1345"/>
      <c r="K21" s="1345"/>
      <c r="L21" s="1346"/>
      <c r="M21" s="843"/>
      <c r="O21" s="685"/>
      <c r="P21" s="683"/>
      <c r="Q21" s="683"/>
      <c r="R21" s="683"/>
      <c r="S21" s="683"/>
      <c r="T21" s="683"/>
      <c r="U21" s="683"/>
      <c r="V21" s="683"/>
      <c r="W21" s="683"/>
      <c r="X21" s="684"/>
    </row>
    <row r="22" spans="1:24" ht="13.5" customHeight="1" x14ac:dyDescent="0.2">
      <c r="C22" s="1335"/>
      <c r="D22" s="1336"/>
      <c r="E22" s="1337"/>
      <c r="F22" s="1338">
        <v>0</v>
      </c>
      <c r="G22" s="1339"/>
      <c r="H22" s="490" t="s">
        <v>198</v>
      </c>
      <c r="I22" s="490"/>
      <c r="J22" s="490"/>
      <c r="K22" s="1202"/>
      <c r="L22" s="1202"/>
      <c r="M22" s="449">
        <f>SUM(M23:M26)</f>
        <v>0</v>
      </c>
      <c r="O22" s="685"/>
      <c r="P22" s="683"/>
      <c r="Q22" s="683"/>
      <c r="R22" s="683"/>
      <c r="S22" s="683"/>
      <c r="T22" s="683"/>
      <c r="U22" s="683"/>
      <c r="V22" s="683"/>
      <c r="W22" s="683"/>
      <c r="X22" s="684"/>
    </row>
    <row r="23" spans="1:24" ht="13.5" customHeight="1" x14ac:dyDescent="0.2">
      <c r="C23" s="1340"/>
      <c r="D23" s="1341"/>
      <c r="E23" s="1342"/>
      <c r="F23" s="1338">
        <v>0</v>
      </c>
      <c r="G23" s="1339"/>
      <c r="H23" s="1225" t="s">
        <v>443</v>
      </c>
      <c r="I23" s="1225"/>
      <c r="J23" s="1225"/>
      <c r="K23" s="1225"/>
      <c r="L23" s="1226"/>
      <c r="M23" s="766">
        <v>0</v>
      </c>
      <c r="O23" s="685"/>
      <c r="P23" s="683"/>
      <c r="Q23" s="683"/>
      <c r="R23" s="683"/>
      <c r="S23" s="683"/>
      <c r="T23" s="683"/>
      <c r="U23" s="683"/>
      <c r="V23" s="683"/>
      <c r="W23" s="683"/>
      <c r="X23" s="684"/>
    </row>
    <row r="24" spans="1:24" ht="13.5" customHeight="1" x14ac:dyDescent="0.2">
      <c r="C24" s="1328"/>
      <c r="D24" s="1328"/>
      <c r="E24" s="1328"/>
      <c r="F24" s="1329">
        <v>0</v>
      </c>
      <c r="G24" s="1329"/>
      <c r="H24" s="1330"/>
      <c r="I24" s="1330"/>
      <c r="J24" s="1330"/>
      <c r="K24" s="1330"/>
      <c r="L24" s="1331"/>
      <c r="M24" s="766">
        <v>0</v>
      </c>
      <c r="O24" s="685"/>
      <c r="P24" s="683"/>
      <c r="Q24" s="683"/>
      <c r="R24" s="683"/>
      <c r="S24" s="683"/>
      <c r="T24" s="683"/>
      <c r="U24" s="683"/>
      <c r="V24" s="683"/>
      <c r="W24" s="683"/>
      <c r="X24" s="684"/>
    </row>
    <row r="25" spans="1:24" ht="13.5" customHeight="1" x14ac:dyDescent="0.2">
      <c r="A25" s="1001"/>
      <c r="B25" s="1001"/>
      <c r="C25" s="1012" t="s">
        <v>413</v>
      </c>
      <c r="D25" s="1012"/>
      <c r="E25" s="1012"/>
      <c r="F25" s="1299">
        <v>0</v>
      </c>
      <c r="G25" s="1299"/>
      <c r="H25" s="1330" t="s">
        <v>0</v>
      </c>
      <c r="I25" s="1330"/>
      <c r="J25" s="1330"/>
      <c r="K25" s="1330"/>
      <c r="L25" s="1331"/>
      <c r="M25" s="766">
        <v>0</v>
      </c>
      <c r="O25" s="685"/>
      <c r="P25" s="683"/>
      <c r="Q25" s="683"/>
      <c r="R25" s="683"/>
      <c r="S25" s="683"/>
      <c r="T25" s="683"/>
      <c r="U25" s="683"/>
      <c r="V25" s="683"/>
      <c r="W25" s="683"/>
      <c r="X25" s="684"/>
    </row>
    <row r="26" spans="1:24" ht="13.5" customHeight="1" x14ac:dyDescent="0.2">
      <c r="A26" s="1001"/>
      <c r="B26" s="1001"/>
      <c r="C26" s="1012" t="s">
        <v>199</v>
      </c>
      <c r="D26" s="1012"/>
      <c r="E26" s="1012"/>
      <c r="F26" s="1299">
        <v>0</v>
      </c>
      <c r="G26" s="1299"/>
      <c r="H26" s="1332"/>
      <c r="I26" s="1333"/>
      <c r="J26" s="1333"/>
      <c r="K26" s="1333"/>
      <c r="L26" s="1334"/>
      <c r="M26" s="766">
        <v>0</v>
      </c>
      <c r="O26" s="685"/>
      <c r="P26" s="683"/>
      <c r="Q26" s="683"/>
      <c r="R26" s="683"/>
      <c r="S26" s="683"/>
      <c r="T26" s="683"/>
      <c r="U26" s="683"/>
      <c r="V26" s="683"/>
      <c r="W26" s="683"/>
      <c r="X26" s="684"/>
    </row>
    <row r="27" spans="1:24" ht="17.25" customHeight="1" x14ac:dyDescent="0.2">
      <c r="A27" s="1001"/>
      <c r="B27" s="1001"/>
      <c r="C27" s="256"/>
      <c r="D27" s="1105" t="s">
        <v>13</v>
      </c>
      <c r="E27" s="1105"/>
      <c r="F27" s="1220">
        <f>F10+F14+F21+F25+F26+F24</f>
        <v>0</v>
      </c>
      <c r="G27" s="1221"/>
      <c r="H27" s="1111"/>
      <c r="I27" s="1111"/>
      <c r="J27" s="1111"/>
      <c r="K27" s="1105" t="s">
        <v>13</v>
      </c>
      <c r="L27" s="1105"/>
      <c r="M27" s="484">
        <f>M10+M15+M17+M21+M22+M16</f>
        <v>0</v>
      </c>
      <c r="O27" s="685"/>
      <c r="P27" s="683"/>
      <c r="Q27" s="683"/>
      <c r="R27" s="683"/>
      <c r="S27" s="683"/>
      <c r="T27" s="683"/>
      <c r="U27" s="683"/>
      <c r="V27" s="683"/>
      <c r="W27" s="683"/>
      <c r="X27" s="684"/>
    </row>
    <row r="28" spans="1:24" ht="3.75" customHeight="1" x14ac:dyDescent="0.2">
      <c r="A28" s="1001"/>
      <c r="B28" s="1001"/>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001"/>
      <c r="B29" s="1001"/>
      <c r="C29" s="1222" t="s">
        <v>166</v>
      </c>
      <c r="D29" s="1222"/>
      <c r="E29" s="1222"/>
      <c r="F29" s="1193">
        <f>ROUND(F27-M27,0)</f>
        <v>0</v>
      </c>
      <c r="G29" s="1194"/>
      <c r="H29" s="1222" t="s">
        <v>410</v>
      </c>
      <c r="I29" s="1222"/>
      <c r="J29" s="1222"/>
      <c r="K29" s="1222"/>
      <c r="L29" s="1222"/>
      <c r="M29" s="484">
        <f>M17</f>
        <v>0</v>
      </c>
      <c r="N29" s="270"/>
      <c r="O29" s="685"/>
      <c r="P29" s="683"/>
      <c r="Q29" s="683"/>
      <c r="R29" s="683"/>
      <c r="S29" s="683"/>
      <c r="T29" s="683"/>
      <c r="U29" s="683"/>
      <c r="V29" s="683"/>
      <c r="W29" s="683"/>
      <c r="X29" s="684"/>
    </row>
    <row r="30" spans="1:24" ht="13.5" customHeight="1" x14ac:dyDescent="0.2">
      <c r="A30" s="1001"/>
      <c r="B30" s="1001"/>
      <c r="C30" s="421"/>
      <c r="D30" s="1147" t="str">
        <f>IF(F29&lt;&gt; 0,"Tarkista: Solut F27 Rahoitustarve ja M27 Rahoitussuunnitelma oltava yhtäsuuret!","")</f>
        <v/>
      </c>
      <c r="E30" s="1147"/>
      <c r="F30" s="1147"/>
      <c r="G30" s="1147"/>
      <c r="H30" s="1147"/>
      <c r="I30" s="1147"/>
      <c r="J30" s="1147"/>
      <c r="K30" s="1147"/>
      <c r="L30" s="1147"/>
      <c r="M30" s="1147"/>
      <c r="N30" s="270"/>
      <c r="O30" s="685"/>
      <c r="P30" s="683"/>
      <c r="Q30" s="683"/>
      <c r="R30" s="683"/>
      <c r="S30" s="683"/>
      <c r="T30" s="683"/>
      <c r="U30" s="683"/>
      <c r="V30" s="683"/>
      <c r="W30" s="683"/>
      <c r="X30" s="684"/>
    </row>
    <row r="31" spans="1:24" ht="18.600000000000001" customHeight="1" x14ac:dyDescent="0.2">
      <c r="C31" s="543" t="s">
        <v>0</v>
      </c>
      <c r="D31" s="1112" t="s">
        <v>401</v>
      </c>
      <c r="E31" s="1112"/>
      <c r="F31" s="1112"/>
      <c r="G31" s="1112"/>
      <c r="H31" s="1113"/>
      <c r="I31" s="1028" t="s">
        <v>134</v>
      </c>
      <c r="J31" s="1029"/>
      <c r="K31" s="1116" t="s">
        <v>135</v>
      </c>
      <c r="L31" s="1117"/>
      <c r="M31" s="625" t="s">
        <v>137</v>
      </c>
      <c r="N31" s="271"/>
      <c r="O31" s="685"/>
      <c r="P31" s="683"/>
      <c r="Q31" s="683"/>
      <c r="R31" s="683"/>
      <c r="S31" s="683"/>
      <c r="T31" s="683"/>
      <c r="U31" s="683"/>
      <c r="V31" s="683"/>
      <c r="W31" s="683"/>
      <c r="X31" s="684"/>
    </row>
    <row r="32" spans="1:24" ht="15.6" customHeight="1" x14ac:dyDescent="0.2">
      <c r="B32" s="287"/>
      <c r="C32" s="544" t="s">
        <v>0</v>
      </c>
      <c r="D32" s="1114"/>
      <c r="E32" s="1114"/>
      <c r="F32" s="1114"/>
      <c r="G32" s="1114"/>
      <c r="H32" s="1115"/>
      <c r="I32" s="705" t="s">
        <v>79</v>
      </c>
      <c r="J32" s="774">
        <v>2027</v>
      </c>
      <c r="K32" s="1326">
        <f>J32+1</f>
        <v>2028</v>
      </c>
      <c r="L32" s="1327"/>
      <c r="M32" s="774">
        <f>K32+1</f>
        <v>2029</v>
      </c>
      <c r="O32" s="685"/>
      <c r="P32" s="683"/>
      <c r="Q32" s="683"/>
      <c r="R32" s="683"/>
      <c r="S32" s="683"/>
      <c r="T32" s="683"/>
      <c r="U32" s="683"/>
      <c r="V32" s="683"/>
      <c r="W32" s="683"/>
      <c r="X32" s="684"/>
    </row>
    <row r="33" spans="2:27" ht="13.5" customHeight="1" x14ac:dyDescent="0.2">
      <c r="B33" s="254"/>
      <c r="C33" s="1056" t="s">
        <v>324</v>
      </c>
      <c r="D33" s="1057"/>
      <c r="E33" s="1057"/>
      <c r="F33" s="292"/>
      <c r="G33" s="292"/>
      <c r="H33" s="288"/>
      <c r="I33" s="556"/>
      <c r="J33" s="910">
        <v>12</v>
      </c>
      <c r="K33" s="1106">
        <v>12</v>
      </c>
      <c r="L33" s="1107"/>
      <c r="M33" s="509">
        <v>12</v>
      </c>
      <c r="O33" s="685"/>
      <c r="P33" s="683"/>
      <c r="Q33" s="683"/>
      <c r="R33" s="683"/>
      <c r="S33" s="683"/>
      <c r="T33" s="683"/>
      <c r="U33" s="683"/>
      <c r="V33" s="683"/>
      <c r="W33" s="683"/>
      <c r="X33" s="684"/>
    </row>
    <row r="34" spans="2:27" s="2" customFormat="1" ht="12.75" customHeight="1" x14ac:dyDescent="0.2">
      <c r="B34" s="90"/>
      <c r="C34" s="515" t="s">
        <v>139</v>
      </c>
      <c r="D34" s="1185" t="s">
        <v>335</v>
      </c>
      <c r="E34" s="1185"/>
      <c r="F34" s="1185"/>
      <c r="G34" s="1185"/>
      <c r="H34" s="1186"/>
      <c r="I34" s="497">
        <f>J34/J$33</f>
        <v>0</v>
      </c>
      <c r="J34" s="500">
        <f>'5 AT Lainat, avustukset ei alv '!G27</f>
        <v>0</v>
      </c>
      <c r="K34" s="1322">
        <f>'5 AT Lainat, avustukset ei alv '!H27</f>
        <v>0</v>
      </c>
      <c r="L34" s="1323">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94" t="s">
        <v>445</v>
      </c>
      <c r="E35" s="1094"/>
      <c r="F35" s="1094"/>
      <c r="G35" s="1094"/>
      <c r="H35" s="1095"/>
      <c r="I35" s="498">
        <f>J35/J$33</f>
        <v>0</v>
      </c>
      <c r="J35" s="507">
        <f>'5 AT Lainat, avustukset ei alv '!G19</f>
        <v>0</v>
      </c>
      <c r="K35" s="1033">
        <f>'5 AT Lainat, avustukset ei alv '!H19</f>
        <v>0</v>
      </c>
      <c r="L35" s="1034">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1119" t="s">
        <v>446</v>
      </c>
      <c r="E36" s="1119"/>
      <c r="F36" s="1119"/>
      <c r="G36" s="1119"/>
      <c r="H36" s="1120"/>
      <c r="I36" s="498">
        <v>0</v>
      </c>
      <c r="J36" s="507">
        <f>'5 AT Lainat, avustukset ei alv '!S21</f>
        <v>0</v>
      </c>
      <c r="K36" s="1149">
        <f>'5 AT Lainat, avustukset ei alv '!Y21</f>
        <v>0</v>
      </c>
      <c r="L36" s="1150">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15">
        <f>IF($M16=0,0,-K33*PMT($J16/12,$K16*12,$M16)+K33*10)</f>
        <v>0</v>
      </c>
      <c r="L37" s="1016">
        <f>IF($M16=0,0,-L33*PMT($J16/12,$K16*12,$M16)+L33*10)</f>
        <v>0</v>
      </c>
      <c r="M37" s="494">
        <f>IF($M16=0,0,-M33*PMT($J16/12,$K16*12,$M16)+M33*10)</f>
        <v>0</v>
      </c>
      <c r="O37" s="1324" t="s">
        <v>168</v>
      </c>
      <c r="P37" s="1325"/>
      <c r="Q37" s="683"/>
      <c r="R37" s="683"/>
      <c r="S37" s="683"/>
      <c r="T37" s="683"/>
      <c r="U37" s="683"/>
      <c r="V37" s="683"/>
      <c r="W37" s="683"/>
      <c r="X37" s="684"/>
    </row>
    <row r="38" spans="2:27" s="2" customFormat="1" ht="12.75" hidden="1" customHeight="1" x14ac:dyDescent="0.2">
      <c r="B38" s="253" t="s">
        <v>61</v>
      </c>
      <c r="C38" s="466" t="s">
        <v>141</v>
      </c>
      <c r="D38" s="1003" t="s">
        <v>0</v>
      </c>
      <c r="E38" s="1003"/>
      <c r="F38" s="1003"/>
      <c r="G38" s="1003"/>
      <c r="H38" s="1004"/>
      <c r="I38" s="497">
        <f>J38/J$33</f>
        <v>0</v>
      </c>
      <c r="J38" s="502">
        <f>J39*J41</f>
        <v>0</v>
      </c>
      <c r="K38" s="1015">
        <f>K39*K41</f>
        <v>0</v>
      </c>
      <c r="L38" s="1016"/>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16"/>
      <c r="L39" s="1317"/>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8"/>
      <c r="L40" s="1319"/>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20"/>
      <c r="L41" s="1321"/>
      <c r="M41" s="848"/>
      <c r="N41" s="6"/>
      <c r="O41" s="855"/>
      <c r="P41" s="856"/>
      <c r="Q41" s="683"/>
      <c r="R41" s="683"/>
      <c r="S41" s="683"/>
      <c r="T41" s="683"/>
      <c r="U41" s="683"/>
      <c r="V41" s="683"/>
      <c r="W41" s="683"/>
      <c r="X41" s="684"/>
    </row>
    <row r="42" spans="2:27" s="2" customFormat="1" ht="12.75" customHeight="1" x14ac:dyDescent="0.2">
      <c r="B42" s="253" t="s">
        <v>61</v>
      </c>
      <c r="C42" s="466" t="s">
        <v>142</v>
      </c>
      <c r="D42" s="1003" t="s">
        <v>407</v>
      </c>
      <c r="E42" s="1003"/>
      <c r="F42" s="1003"/>
      <c r="G42" s="1003"/>
      <c r="H42" s="1004"/>
      <c r="I42" s="497">
        <f>J42/J$33</f>
        <v>0</v>
      </c>
      <c r="J42" s="502">
        <f>J43*J45</f>
        <v>0</v>
      </c>
      <c r="K42" s="1015">
        <f t="shared" ref="K42:L42" si="0">K43*K45+K44*K45*$Z45</f>
        <v>0</v>
      </c>
      <c r="L42" s="1016">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211" t="s">
        <v>447</v>
      </c>
      <c r="E43" s="1211"/>
      <c r="F43" s="1211"/>
      <c r="G43" s="1211"/>
      <c r="H43" s="1213"/>
      <c r="I43" s="498">
        <v>0</v>
      </c>
      <c r="J43" s="775">
        <v>0</v>
      </c>
      <c r="K43" s="1301">
        <f>J43*O43+J43</f>
        <v>0</v>
      </c>
      <c r="L43" s="1302">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94" t="s">
        <v>448</v>
      </c>
      <c r="E44" s="1094"/>
      <c r="F44" s="1094"/>
      <c r="G44" s="1094"/>
      <c r="H44" s="1095"/>
      <c r="I44" s="498"/>
      <c r="J44" s="775">
        <v>0</v>
      </c>
      <c r="K44" s="1311">
        <f>J44</f>
        <v>0</v>
      </c>
      <c r="L44" s="1312"/>
      <c r="M44" s="776">
        <f>K44</f>
        <v>0</v>
      </c>
      <c r="O44" s="948"/>
      <c r="P44" s="949"/>
      <c r="Q44" s="683"/>
      <c r="R44" s="683"/>
      <c r="S44" s="683"/>
      <c r="T44" s="683"/>
      <c r="U44" s="683"/>
      <c r="V44" s="683"/>
      <c r="W44" s="683"/>
      <c r="X44" s="684"/>
      <c r="Z44" s="293"/>
      <c r="AA44" s="29"/>
    </row>
    <row r="45" spans="2:27" s="22" customFormat="1" ht="12" customHeight="1" x14ac:dyDescent="0.2">
      <c r="B45" s="90"/>
      <c r="C45" s="518"/>
      <c r="D45" s="1119" t="s">
        <v>449</v>
      </c>
      <c r="E45" s="1119"/>
      <c r="F45" s="1119"/>
      <c r="G45" s="1119"/>
      <c r="H45" s="1120"/>
      <c r="I45" s="498">
        <v>0</v>
      </c>
      <c r="J45" s="777">
        <v>0</v>
      </c>
      <c r="K45" s="1313">
        <f>J45</f>
        <v>0</v>
      </c>
      <c r="L45" s="1314"/>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4" t="s">
        <v>180</v>
      </c>
      <c r="E46" s="1012"/>
      <c r="F46" s="1315">
        <v>0.35</v>
      </c>
      <c r="G46" s="1315"/>
      <c r="H46" s="523" t="s">
        <v>58</v>
      </c>
      <c r="I46" s="497">
        <f>J46/J$33</f>
        <v>0</v>
      </c>
      <c r="J46" s="502">
        <f>$F46*(J42+J44*J45)</f>
        <v>0</v>
      </c>
      <c r="K46" s="1030">
        <f>$F46*(K42+K44*K33)</f>
        <v>0</v>
      </c>
      <c r="L46" s="1031"/>
      <c r="M46" s="494">
        <f>$F46*(M42+M44*M33)</f>
        <v>0</v>
      </c>
      <c r="O46" s="1297"/>
      <c r="P46" s="1298"/>
      <c r="Q46" s="683"/>
      <c r="R46" s="683"/>
      <c r="S46" s="683"/>
      <c r="T46" s="683"/>
      <c r="U46" s="683"/>
      <c r="V46" s="683"/>
      <c r="W46" s="683"/>
      <c r="X46" s="684"/>
    </row>
    <row r="47" spans="2:27" s="2" customFormat="1" ht="12.75" customHeight="1" x14ac:dyDescent="0.2">
      <c r="B47" s="253" t="s">
        <v>62</v>
      </c>
      <c r="C47" s="464" t="s">
        <v>144</v>
      </c>
      <c r="D47" s="1200" t="s">
        <v>340</v>
      </c>
      <c r="E47" s="1200"/>
      <c r="F47" s="1200"/>
      <c r="G47" s="1200"/>
      <c r="H47" s="1201"/>
      <c r="I47" s="497">
        <f>J47/J$33</f>
        <v>0</v>
      </c>
      <c r="J47" s="502">
        <f>J48*J49+J50+J51</f>
        <v>0</v>
      </c>
      <c r="K47" s="1015">
        <f t="shared" ref="K47:L47" si="1">K48*K49+K50+K51</f>
        <v>0</v>
      </c>
      <c r="L47" s="1016"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211" t="s">
        <v>453</v>
      </c>
      <c r="E48" s="1211"/>
      <c r="F48" s="1211"/>
      <c r="G48" s="1211"/>
      <c r="H48" s="1213"/>
      <c r="I48" s="498">
        <v>0</v>
      </c>
      <c r="J48" s="779">
        <v>0</v>
      </c>
      <c r="K48" s="1307">
        <f>J48+J48*O48</f>
        <v>0</v>
      </c>
      <c r="L48" s="1308">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94" t="s">
        <v>450</v>
      </c>
      <c r="E49" s="1094"/>
      <c r="F49" s="1094"/>
      <c r="G49" s="1094"/>
      <c r="H49" s="1095"/>
      <c r="I49" s="498">
        <v>0</v>
      </c>
      <c r="J49" s="781">
        <v>0.1903</v>
      </c>
      <c r="K49" s="1309">
        <f>J49</f>
        <v>0.1903</v>
      </c>
      <c r="L49" s="1310"/>
      <c r="M49" s="782">
        <f>K49</f>
        <v>0.1903</v>
      </c>
      <c r="O49" s="952"/>
      <c r="P49" s="953"/>
      <c r="Q49" s="683"/>
      <c r="R49" s="683"/>
      <c r="S49" s="683"/>
      <c r="T49" s="683"/>
      <c r="U49" s="683"/>
      <c r="V49" s="683"/>
      <c r="W49" s="683"/>
      <c r="X49" s="684"/>
    </row>
    <row r="50" spans="2:24" ht="12" customHeight="1" x14ac:dyDescent="0.2">
      <c r="B50" s="90"/>
      <c r="C50" s="517"/>
      <c r="D50" s="1119" t="s">
        <v>451</v>
      </c>
      <c r="E50" s="1119"/>
      <c r="F50" s="1119"/>
      <c r="G50" s="1119"/>
      <c r="H50" s="1120"/>
      <c r="I50" s="499">
        <v>0</v>
      </c>
      <c r="J50" s="775">
        <v>0</v>
      </c>
      <c r="K50" s="1301">
        <f>J50</f>
        <v>0</v>
      </c>
      <c r="L50" s="1302" t="e">
        <f>K50*12/K$11</f>
        <v>#VALUE!</v>
      </c>
      <c r="M50" s="776">
        <f>K50</f>
        <v>0</v>
      </c>
      <c r="O50" s="954"/>
      <c r="P50" s="955"/>
      <c r="Q50" s="683"/>
      <c r="R50" s="683"/>
      <c r="S50" s="683"/>
      <c r="T50" s="683"/>
      <c r="U50" s="683"/>
      <c r="V50" s="683"/>
      <c r="W50" s="683"/>
      <c r="X50" s="684"/>
    </row>
    <row r="51" spans="2:24" s="22" customFormat="1" ht="12" customHeight="1" x14ac:dyDescent="0.2">
      <c r="B51" s="90"/>
      <c r="C51" s="515"/>
      <c r="D51" s="1305" t="s">
        <v>452</v>
      </c>
      <c r="E51" s="1305"/>
      <c r="F51" s="1305"/>
      <c r="G51" s="1305"/>
      <c r="H51" s="1306"/>
      <c r="I51" s="498">
        <v>0</v>
      </c>
      <c r="J51" s="507">
        <f>J33*((1.7%*J48+1.91%*(J38+J40*12))+0.008*$M10)/12</f>
        <v>0</v>
      </c>
      <c r="K51" s="1033">
        <f>K33*((1.7%*K48+1.91%*(K38+K40*12))+0.008*$M10)/12</f>
        <v>0</v>
      </c>
      <c r="L51" s="1034">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3" t="s">
        <v>339</v>
      </c>
      <c r="E52" s="1003"/>
      <c r="F52" s="1003"/>
      <c r="G52" s="1003"/>
      <c r="H52" s="1004"/>
      <c r="I52" s="488">
        <f>J52/J$33</f>
        <v>0</v>
      </c>
      <c r="J52" s="508">
        <f>J53+J54</f>
        <v>0</v>
      </c>
      <c r="K52" s="1108">
        <f>K53+K54</f>
        <v>0</v>
      </c>
      <c r="L52" s="1109"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211" t="s">
        <v>454</v>
      </c>
      <c r="E53" s="1211"/>
      <c r="F53" s="1211"/>
      <c r="G53" s="1211"/>
      <c r="H53" s="1213"/>
      <c r="I53" s="552">
        <v>0</v>
      </c>
      <c r="J53" s="783">
        <v>0</v>
      </c>
      <c r="K53" s="1303">
        <f>(J53+J53*O53)*12/J$33</f>
        <v>0</v>
      </c>
      <c r="L53" s="1304"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1119" t="s">
        <v>455</v>
      </c>
      <c r="E54" s="1119"/>
      <c r="F54" s="1119"/>
      <c r="G54" s="1119"/>
      <c r="H54" s="1120"/>
      <c r="I54" s="498">
        <v>0</v>
      </c>
      <c r="J54" s="775">
        <v>0</v>
      </c>
      <c r="K54" s="1301">
        <f>(J54+J54*O54)*12/J$33</f>
        <v>0</v>
      </c>
      <c r="L54" s="1302"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3" t="s">
        <v>341</v>
      </c>
      <c r="E55" s="1003"/>
      <c r="F55" s="1003"/>
      <c r="G55" s="1003"/>
      <c r="H55" s="1004"/>
      <c r="I55" s="497">
        <f t="shared" ref="I55" si="3">J55/J$33</f>
        <v>0</v>
      </c>
      <c r="J55" s="502">
        <f>J58+J57+J56</f>
        <v>0</v>
      </c>
      <c r="K55" s="1015">
        <f>SUM(K56:K58)</f>
        <v>0</v>
      </c>
      <c r="L55" s="1016"/>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211" t="s">
        <v>456</v>
      </c>
      <c r="E56" s="1211"/>
      <c r="F56" s="1211"/>
      <c r="G56" s="1211"/>
      <c r="H56" s="1213"/>
      <c r="I56" s="498">
        <v>0</v>
      </c>
      <c r="J56" s="775">
        <v>0</v>
      </c>
      <c r="K56" s="1301">
        <f>(J56+J56*O56)*12/J$33</f>
        <v>0</v>
      </c>
      <c r="L56" s="1302"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94" t="s">
        <v>501</v>
      </c>
      <c r="E57" s="1094"/>
      <c r="F57" s="1094"/>
      <c r="G57" s="1094"/>
      <c r="H57" s="1095"/>
      <c r="I57" s="498">
        <v>0</v>
      </c>
      <c r="J57" s="775">
        <v>0</v>
      </c>
      <c r="K57" s="1301">
        <f>(J57+J57*O57)*12/J$33</f>
        <v>0</v>
      </c>
      <c r="L57" s="1302"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1119" t="s">
        <v>458</v>
      </c>
      <c r="E58" s="1119"/>
      <c r="F58" s="1119"/>
      <c r="G58" s="1119"/>
      <c r="H58" s="1120"/>
      <c r="I58" s="498">
        <v>0</v>
      </c>
      <c r="J58" s="775">
        <v>0</v>
      </c>
      <c r="K58" s="1301">
        <f>(J58+J58*O58)*12/J$33</f>
        <v>0</v>
      </c>
      <c r="L58" s="1302"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3" t="s">
        <v>342</v>
      </c>
      <c r="E59" s="1003"/>
      <c r="F59" s="1003"/>
      <c r="G59" s="1003"/>
      <c r="H59" s="1004"/>
      <c r="I59" s="497">
        <f>J59/J$33</f>
        <v>0</v>
      </c>
      <c r="J59" s="502">
        <f>J60+J63+J64+J65+J66+J67+J68+J33*J69*0.003/12+J70</f>
        <v>0</v>
      </c>
      <c r="K59" s="1015">
        <f>K60+K63+K64+K65+K66+K67+K68+K33*K69*0.003/12+K70</f>
        <v>0</v>
      </c>
      <c r="L59" s="1016"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211" t="s">
        <v>459</v>
      </c>
      <c r="E60" s="1211"/>
      <c r="F60" s="1211"/>
      <c r="G60" s="1211"/>
      <c r="H60" s="1213"/>
      <c r="I60" s="498">
        <v>0</v>
      </c>
      <c r="J60" s="507">
        <f>J62*J61</f>
        <v>0</v>
      </c>
      <c r="K60" s="1149">
        <f t="shared" ref="K60:L60" si="4">K62*K61</f>
        <v>0</v>
      </c>
      <c r="L60" s="1150">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94" t="s">
        <v>460</v>
      </c>
      <c r="E61" s="1094"/>
      <c r="F61" s="1094"/>
      <c r="G61" s="1094"/>
      <c r="H61" s="1095"/>
      <c r="I61" s="498">
        <f>J61</f>
        <v>0</v>
      </c>
      <c r="J61" s="775">
        <v>0</v>
      </c>
      <c r="K61" s="1301">
        <f>I61+I61*O61</f>
        <v>0</v>
      </c>
      <c r="L61" s="1302">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94" t="s">
        <v>461</v>
      </c>
      <c r="E62" s="1094"/>
      <c r="F62" s="1094"/>
      <c r="G62" s="1094"/>
      <c r="H62" s="1095"/>
      <c r="I62" s="498">
        <v>0</v>
      </c>
      <c r="J62" s="775">
        <v>0</v>
      </c>
      <c r="K62" s="1301">
        <f>J62</f>
        <v>0</v>
      </c>
      <c r="L62" s="1302">
        <f>L33</f>
        <v>0</v>
      </c>
      <c r="M62" s="776">
        <f>K62</f>
        <v>0</v>
      </c>
      <c r="O62" s="668"/>
      <c r="P62" s="669"/>
      <c r="Q62" s="683"/>
      <c r="R62" s="683"/>
      <c r="S62" s="683"/>
      <c r="T62" s="683"/>
      <c r="U62" s="683"/>
      <c r="V62" s="683"/>
      <c r="W62" s="683"/>
      <c r="X62" s="684"/>
    </row>
    <row r="63" spans="2:24" s="22" customFormat="1" ht="12" customHeight="1" x14ac:dyDescent="0.2">
      <c r="B63" s="90"/>
      <c r="C63" s="548"/>
      <c r="D63" s="1094" t="s">
        <v>462</v>
      </c>
      <c r="E63" s="1094"/>
      <c r="F63" s="1094"/>
      <c r="G63" s="1094"/>
      <c r="H63" s="1095"/>
      <c r="I63" s="498">
        <f t="shared" ref="I63:I70" si="7">J63/J$33</f>
        <v>0</v>
      </c>
      <c r="J63" s="775">
        <v>0</v>
      </c>
      <c r="K63" s="1301">
        <f t="shared" ref="K63:K68" si="8">(J63+J63*O63)*12/J$33</f>
        <v>0</v>
      </c>
      <c r="L63" s="1302"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94" t="s">
        <v>463</v>
      </c>
      <c r="E64" s="1094"/>
      <c r="F64" s="1094"/>
      <c r="G64" s="1094"/>
      <c r="H64" s="1095"/>
      <c r="I64" s="498">
        <f t="shared" si="7"/>
        <v>0</v>
      </c>
      <c r="J64" s="775">
        <v>0</v>
      </c>
      <c r="K64" s="1301">
        <f t="shared" si="8"/>
        <v>0</v>
      </c>
      <c r="L64" s="1302"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94" t="s">
        <v>464</v>
      </c>
      <c r="E65" s="1094"/>
      <c r="F65" s="1094"/>
      <c r="G65" s="1094"/>
      <c r="H65" s="1095"/>
      <c r="I65" s="498">
        <f t="shared" si="7"/>
        <v>0</v>
      </c>
      <c r="J65" s="775">
        <v>0</v>
      </c>
      <c r="K65" s="1301">
        <f t="shared" si="8"/>
        <v>0</v>
      </c>
      <c r="L65" s="1302"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94" t="s">
        <v>465</v>
      </c>
      <c r="E66" s="1094"/>
      <c r="F66" s="1094"/>
      <c r="G66" s="1094"/>
      <c r="H66" s="1095"/>
      <c r="I66" s="498">
        <f t="shared" si="7"/>
        <v>0</v>
      </c>
      <c r="J66" s="775">
        <v>0</v>
      </c>
      <c r="K66" s="1301">
        <f t="shared" si="8"/>
        <v>0</v>
      </c>
      <c r="L66" s="1302"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94" t="s">
        <v>466</v>
      </c>
      <c r="E67" s="1094"/>
      <c r="F67" s="1094"/>
      <c r="G67" s="1094"/>
      <c r="H67" s="1095"/>
      <c r="I67" s="498">
        <f t="shared" si="7"/>
        <v>0</v>
      </c>
      <c r="J67" s="775">
        <v>0</v>
      </c>
      <c r="K67" s="1301">
        <f t="shared" si="8"/>
        <v>0</v>
      </c>
      <c r="L67" s="1302"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94" t="s">
        <v>467</v>
      </c>
      <c r="E68" s="1094"/>
      <c r="F68" s="1094"/>
      <c r="G68" s="1094"/>
      <c r="H68" s="1095"/>
      <c r="I68" s="498">
        <f t="shared" si="7"/>
        <v>0</v>
      </c>
      <c r="J68" s="775">
        <v>0</v>
      </c>
      <c r="K68" s="1301">
        <f t="shared" si="8"/>
        <v>0</v>
      </c>
      <c r="L68" s="1302"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94" t="s">
        <v>468</v>
      </c>
      <c r="E69" s="1094"/>
      <c r="F69" s="1094"/>
      <c r="G69" s="1094"/>
      <c r="H69" s="1095"/>
      <c r="I69" s="498"/>
      <c r="J69" s="775">
        <v>0</v>
      </c>
      <c r="K69" s="1301">
        <f t="shared" ref="K69" si="11">J69+J69*O69</f>
        <v>0</v>
      </c>
      <c r="L69" s="1302">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1119" t="s">
        <v>469</v>
      </c>
      <c r="E70" s="1119"/>
      <c r="F70" s="1119"/>
      <c r="G70" s="1119"/>
      <c r="H70" s="1120"/>
      <c r="I70" s="498">
        <f t="shared" si="7"/>
        <v>0</v>
      </c>
      <c r="J70" s="775">
        <v>0</v>
      </c>
      <c r="K70" s="1301">
        <f>(J70+J70*O70)*12/J$33</f>
        <v>0</v>
      </c>
      <c r="L70" s="1302" t="e">
        <f>K70*12/K$11</f>
        <v>#VALUE!</v>
      </c>
      <c r="M70" s="776">
        <f t="shared" si="10"/>
        <v>0</v>
      </c>
      <c r="O70" s="765">
        <v>0.03</v>
      </c>
      <c r="P70" s="765">
        <f>O70</f>
        <v>0.03</v>
      </c>
      <c r="Q70" s="686"/>
      <c r="R70" s="686"/>
      <c r="S70" s="686"/>
      <c r="T70" s="686"/>
      <c r="U70" s="686"/>
      <c r="V70" s="686"/>
      <c r="W70" s="686"/>
      <c r="X70" s="687"/>
    </row>
    <row r="71" spans="1:24" ht="12.75" customHeight="1" x14ac:dyDescent="0.2">
      <c r="B71" s="1002" t="s">
        <v>80</v>
      </c>
      <c r="C71" s="545" t="s">
        <v>0</v>
      </c>
      <c r="D71" s="1151" t="str">
        <f>D31</f>
        <v>TOIMINTAKUSTANNUKSET TILIKAUDELLA SIS. ARVONLISÄVERON</v>
      </c>
      <c r="E71" s="1151"/>
      <c r="F71" s="1151"/>
      <c r="G71" s="1151"/>
      <c r="H71" s="1152"/>
      <c r="I71" s="1155" t="s">
        <v>134</v>
      </c>
      <c r="J71" s="1062"/>
      <c r="K71" s="1156" t="s">
        <v>135</v>
      </c>
      <c r="L71" s="1157"/>
      <c r="M71" s="541" t="s">
        <v>137</v>
      </c>
      <c r="N71" s="271"/>
      <c r="O71" s="958"/>
      <c r="P71" s="953"/>
      <c r="Q71" s="702" t="s">
        <v>369</v>
      </c>
      <c r="R71" s="600"/>
      <c r="S71" s="600"/>
      <c r="T71" s="600"/>
      <c r="U71" s="600"/>
      <c r="V71" s="600"/>
      <c r="W71" s="600"/>
      <c r="X71" s="652"/>
    </row>
    <row r="72" spans="1:24" ht="12.75" customHeight="1" x14ac:dyDescent="0.2">
      <c r="B72" s="1002"/>
      <c r="C72" s="546" t="s">
        <v>0</v>
      </c>
      <c r="D72" s="1153"/>
      <c r="E72" s="1153"/>
      <c r="F72" s="1153"/>
      <c r="G72" s="1153"/>
      <c r="H72" s="1154"/>
      <c r="I72" s="704" t="s">
        <v>79</v>
      </c>
      <c r="J72" s="542">
        <f>J32</f>
        <v>2027</v>
      </c>
      <c r="K72" s="1158">
        <f>K32</f>
        <v>2028</v>
      </c>
      <c r="L72" s="1159"/>
      <c r="M72" s="542">
        <f>M32</f>
        <v>2029</v>
      </c>
      <c r="O72" s="948"/>
      <c r="P72" s="949"/>
      <c r="Q72" s="683"/>
      <c r="R72" s="683"/>
      <c r="S72" s="683"/>
      <c r="T72" s="683"/>
      <c r="U72" s="683"/>
      <c r="V72" s="683"/>
      <c r="W72" s="683"/>
      <c r="X72" s="684"/>
    </row>
    <row r="73" spans="1:24" ht="12.75" customHeight="1" x14ac:dyDescent="0.2">
      <c r="B73" s="254"/>
      <c r="C73" s="1056" t="s">
        <v>324</v>
      </c>
      <c r="D73" s="1057"/>
      <c r="E73" s="1057"/>
      <c r="F73" s="536"/>
      <c r="G73" s="536"/>
      <c r="H73" s="537"/>
      <c r="I73" s="526"/>
      <c r="J73" s="478">
        <f>J33</f>
        <v>12</v>
      </c>
      <c r="K73" s="1160">
        <f>K33</f>
        <v>12</v>
      </c>
      <c r="L73" s="1160"/>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3" t="s">
        <v>332</v>
      </c>
      <c r="E74" s="1003"/>
      <c r="F74" s="1003"/>
      <c r="G74" s="1004"/>
      <c r="H74" s="784">
        <v>0.3</v>
      </c>
      <c r="I74" s="449">
        <f t="shared" ref="I74:I86" si="13">J74/J$33</f>
        <v>0</v>
      </c>
      <c r="J74" s="449">
        <f>IF($M$15=0,0,'5 AT Lainat, avustukset ei alv '!G58)</f>
        <v>0</v>
      </c>
      <c r="K74" s="1027">
        <f>IF($M$15=0,0,'5 AT Lainat, avustukset ei alv '!G58)</f>
        <v>0</v>
      </c>
      <c r="L74" s="102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3" t="s">
        <v>343</v>
      </c>
      <c r="E75" s="1003"/>
      <c r="F75" s="1003"/>
      <c r="G75" s="1003"/>
      <c r="H75" s="1003"/>
      <c r="I75" s="488">
        <f t="shared" si="13"/>
        <v>0</v>
      </c>
      <c r="J75" s="449">
        <f>J76*J77*J78+J79+J80+J82+J81</f>
        <v>0</v>
      </c>
      <c r="K75" s="1027">
        <f t="shared" ref="K75:L75" si="14">K76*K77*K78+K79+K80+K82+K81</f>
        <v>0</v>
      </c>
      <c r="L75" s="102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211" t="s">
        <v>470</v>
      </c>
      <c r="E76" s="1211"/>
      <c r="F76" s="1211"/>
      <c r="G76" s="1211"/>
      <c r="H76" s="1213"/>
      <c r="I76" s="527">
        <f t="shared" si="13"/>
        <v>0</v>
      </c>
      <c r="J76" s="785">
        <v>0</v>
      </c>
      <c r="K76" s="1275">
        <f>(J76+J76*O76)*12/J$33</f>
        <v>0</v>
      </c>
      <c r="L76" s="1275"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94" t="s">
        <v>471</v>
      </c>
      <c r="E77" s="1094"/>
      <c r="F77" s="1094"/>
      <c r="G77" s="1094"/>
      <c r="H77" s="1095"/>
      <c r="I77" s="527">
        <v>0</v>
      </c>
      <c r="J77" s="786">
        <v>0</v>
      </c>
      <c r="K77" s="1276">
        <f>J77</f>
        <v>0</v>
      </c>
      <c r="L77" s="1276"/>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94" t="s">
        <v>472</v>
      </c>
      <c r="E78" s="1094"/>
      <c r="F78" s="1094"/>
      <c r="G78" s="1094"/>
      <c r="H78" s="1095"/>
      <c r="I78" s="527">
        <v>0</v>
      </c>
      <c r="J78" s="786">
        <v>0</v>
      </c>
      <c r="K78" s="1276">
        <f t="shared" ref="K78" si="15">J78+J78*O78</f>
        <v>0</v>
      </c>
      <c r="L78" s="1276">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94" t="s">
        <v>473</v>
      </c>
      <c r="E79" s="1094"/>
      <c r="F79" s="1094"/>
      <c r="G79" s="1094"/>
      <c r="H79" s="1095"/>
      <c r="I79" s="527">
        <f t="shared" si="13"/>
        <v>0</v>
      </c>
      <c r="J79" s="785">
        <v>0</v>
      </c>
      <c r="K79" s="1275">
        <f>(J79+J79*O79)*12/J$33</f>
        <v>0</v>
      </c>
      <c r="L79" s="1275"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94" t="s">
        <v>474</v>
      </c>
      <c r="E80" s="1094"/>
      <c r="F80" s="1094"/>
      <c r="G80" s="1094"/>
      <c r="H80" s="1095"/>
      <c r="I80" s="527">
        <f t="shared" si="13"/>
        <v>0</v>
      </c>
      <c r="J80" s="785">
        <v>0</v>
      </c>
      <c r="K80" s="1275">
        <f>(J80+J80*O80)*12/J$33</f>
        <v>0</v>
      </c>
      <c r="L80" s="1275"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94" t="s">
        <v>475</v>
      </c>
      <c r="E81" s="1094"/>
      <c r="F81" s="1094"/>
      <c r="G81" s="1094"/>
      <c r="H81" s="1095"/>
      <c r="I81" s="527"/>
      <c r="J81" s="785">
        <v>0</v>
      </c>
      <c r="K81" s="1275">
        <f>(J81+J81*O81)*12/J$33</f>
        <v>0</v>
      </c>
      <c r="L81" s="1275"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1119" t="s">
        <v>476</v>
      </c>
      <c r="E82" s="1119"/>
      <c r="F82" s="1119"/>
      <c r="G82" s="1119"/>
      <c r="H82" s="1120"/>
      <c r="I82" s="527">
        <f t="shared" si="13"/>
        <v>0</v>
      </c>
      <c r="J82" s="785">
        <v>0</v>
      </c>
      <c r="K82" s="1275">
        <f>(J82+J82*O82)*12/J$33</f>
        <v>0</v>
      </c>
      <c r="L82" s="1275"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200" t="s">
        <v>344</v>
      </c>
      <c r="E83" s="1200"/>
      <c r="F83" s="1200"/>
      <c r="G83" s="1200"/>
      <c r="H83" s="1200"/>
      <c r="I83" s="488">
        <f>J83/J$33</f>
        <v>0</v>
      </c>
      <c r="J83" s="528">
        <f>SUM(J84:J86)</f>
        <v>0</v>
      </c>
      <c r="K83" s="1148">
        <f t="shared" ref="K83:L83" si="17">SUM(K84:K86)</f>
        <v>0</v>
      </c>
      <c r="L83" s="1148"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211" t="s">
        <v>477</v>
      </c>
      <c r="E84" s="1211"/>
      <c r="F84" s="1211"/>
      <c r="G84" s="1211"/>
      <c r="H84" s="1211"/>
      <c r="I84" s="527">
        <f>J84/J$33</f>
        <v>0</v>
      </c>
      <c r="J84" s="785">
        <v>0</v>
      </c>
      <c r="K84" s="1275">
        <f>(J84+J84*O84)*12/J$33</f>
        <v>0</v>
      </c>
      <c r="L84" s="1275"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94" t="s">
        <v>478</v>
      </c>
      <c r="E85" s="1094"/>
      <c r="F85" s="1094"/>
      <c r="G85" s="1094"/>
      <c r="H85" s="1095"/>
      <c r="I85" s="527">
        <f t="shared" ref="I85" si="18">J85/J$33</f>
        <v>0</v>
      </c>
      <c r="J85" s="785">
        <v>0</v>
      </c>
      <c r="K85" s="1275">
        <f>(J85+J85*O85)*12/J$33</f>
        <v>0</v>
      </c>
      <c r="L85" s="1275"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1119" t="s">
        <v>479</v>
      </c>
      <c r="E86" s="1119"/>
      <c r="F86" s="1119"/>
      <c r="G86" s="1119"/>
      <c r="H86" s="1120"/>
      <c r="I86" s="527">
        <f t="shared" si="13"/>
        <v>0</v>
      </c>
      <c r="J86" s="785">
        <v>0</v>
      </c>
      <c r="K86" s="1275">
        <f>(J86+J86*O86)*12/J$33</f>
        <v>0</v>
      </c>
      <c r="L86" s="1275"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3" t="s">
        <v>345</v>
      </c>
      <c r="E87" s="1003"/>
      <c r="F87" s="1003"/>
      <c r="G87" s="1003"/>
      <c r="H87" s="1003"/>
      <c r="I87" s="488">
        <f>J87/J$33</f>
        <v>0</v>
      </c>
      <c r="J87" s="449">
        <f>J91+J90+J89+J88</f>
        <v>0</v>
      </c>
      <c r="K87" s="1027">
        <f>SUM(K88:K91)</f>
        <v>0</v>
      </c>
      <c r="L87" s="1027"/>
      <c r="M87" s="449">
        <f>M91+M90+M89+M88</f>
        <v>0</v>
      </c>
      <c r="O87" s="954"/>
      <c r="P87" s="955"/>
      <c r="Q87" s="683"/>
      <c r="R87" s="683"/>
      <c r="S87" s="683"/>
      <c r="T87" s="683"/>
      <c r="U87" s="683"/>
      <c r="V87" s="683"/>
      <c r="W87" s="683"/>
      <c r="X87" s="684"/>
    </row>
    <row r="88" spans="1:24" s="2" customFormat="1" ht="12" customHeight="1" x14ac:dyDescent="0.2">
      <c r="A88" s="22"/>
      <c r="B88" s="25"/>
      <c r="C88" s="520"/>
      <c r="D88" s="1214" t="s">
        <v>480</v>
      </c>
      <c r="E88" s="1214"/>
      <c r="F88" s="1214"/>
      <c r="G88" s="1214"/>
      <c r="H88" s="1214"/>
      <c r="I88" s="527">
        <f>J88/12</f>
        <v>0</v>
      </c>
      <c r="J88" s="785">
        <v>0</v>
      </c>
      <c r="K88" s="1275">
        <f>(J88+J88*O88)*12/J$33</f>
        <v>0</v>
      </c>
      <c r="L88" s="1275"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94" t="s">
        <v>481</v>
      </c>
      <c r="E89" s="1094"/>
      <c r="F89" s="1094"/>
      <c r="G89" s="1094"/>
      <c r="H89" s="1095"/>
      <c r="I89" s="527">
        <f>J89/12</f>
        <v>0</v>
      </c>
      <c r="J89" s="785">
        <v>0</v>
      </c>
      <c r="K89" s="1275">
        <f>(J89+J89*O89)*12/J$33</f>
        <v>0</v>
      </c>
      <c r="L89" s="1275"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94" t="s">
        <v>482</v>
      </c>
      <c r="E90" s="1094"/>
      <c r="F90" s="1094"/>
      <c r="G90" s="1094"/>
      <c r="H90" s="1095"/>
      <c r="I90" s="527">
        <f>J90/12</f>
        <v>0</v>
      </c>
      <c r="J90" s="785">
        <v>0</v>
      </c>
      <c r="K90" s="1275">
        <f>(J90+J90*O90)*12/J$33</f>
        <v>0</v>
      </c>
      <c r="L90" s="1275"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1119" t="s">
        <v>483</v>
      </c>
      <c r="E91" s="1119"/>
      <c r="F91" s="1119"/>
      <c r="G91" s="1119"/>
      <c r="H91" s="1120"/>
      <c r="I91" s="527">
        <f>J91/12</f>
        <v>0</v>
      </c>
      <c r="J91" s="785">
        <v>0</v>
      </c>
      <c r="K91" s="1275">
        <f>(J91+J91*O91)*12/J$33</f>
        <v>0</v>
      </c>
      <c r="L91" s="1275"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299">
        <f>(J92+J92*O92)*12/J$33</f>
        <v>0</v>
      </c>
      <c r="L92" s="1299"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27">
        <f t="shared" ref="K93:L93" si="21">K94*K95+K97*K96</f>
        <v>0</v>
      </c>
      <c r="L93" s="102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211" t="s">
        <v>484</v>
      </c>
      <c r="E94" s="1211"/>
      <c r="F94" s="1211"/>
      <c r="G94" s="1211"/>
      <c r="H94" s="1211"/>
      <c r="I94" s="530"/>
      <c r="J94" s="785">
        <v>0</v>
      </c>
      <c r="K94" s="1275">
        <f>J94*12/J$33</f>
        <v>0</v>
      </c>
      <c r="L94" s="1275"/>
      <c r="M94" s="785">
        <f>K94</f>
        <v>0</v>
      </c>
      <c r="O94" s="961"/>
      <c r="P94" s="962"/>
      <c r="Q94" s="683"/>
      <c r="R94" s="683"/>
      <c r="S94" s="683"/>
      <c r="T94" s="683"/>
      <c r="U94" s="683"/>
      <c r="V94" s="683"/>
      <c r="W94" s="683"/>
      <c r="X94" s="684"/>
    </row>
    <row r="95" spans="1:24" s="2" customFormat="1" ht="12" customHeight="1" x14ac:dyDescent="0.2">
      <c r="B95" s="25"/>
      <c r="C95" s="516"/>
      <c r="D95" s="1094" t="s">
        <v>485</v>
      </c>
      <c r="E95" s="1094"/>
      <c r="F95" s="1094"/>
      <c r="G95" s="1094"/>
      <c r="H95" s="1095"/>
      <c r="I95" s="527">
        <v>0</v>
      </c>
      <c r="J95" s="787">
        <v>0.55000000000000004</v>
      </c>
      <c r="K95" s="1300">
        <f>J95</f>
        <v>0.55000000000000004</v>
      </c>
      <c r="L95" s="1300"/>
      <c r="M95" s="787">
        <f>K95</f>
        <v>0.55000000000000004</v>
      </c>
      <c r="O95" s="961"/>
      <c r="P95" s="962"/>
      <c r="Q95" s="683"/>
      <c r="R95" s="683"/>
      <c r="S95" s="683"/>
      <c r="T95" s="683"/>
      <c r="U95" s="683"/>
      <c r="V95" s="683"/>
      <c r="W95" s="683"/>
      <c r="X95" s="684"/>
    </row>
    <row r="96" spans="1:24" s="2" customFormat="1" ht="12" customHeight="1" x14ac:dyDescent="0.2">
      <c r="B96" s="25"/>
      <c r="C96" s="518"/>
      <c r="D96" s="1094" t="s">
        <v>486</v>
      </c>
      <c r="E96" s="1094"/>
      <c r="F96" s="1094"/>
      <c r="G96" s="1094"/>
      <c r="H96" s="1095"/>
      <c r="I96" s="527">
        <v>0</v>
      </c>
      <c r="J96" s="785">
        <v>0</v>
      </c>
      <c r="K96" s="1275">
        <f>(J96*12/J$33)</f>
        <v>0</v>
      </c>
      <c r="L96" s="1275" t="e">
        <f>K96*12/K$10</f>
        <v>#DIV/0!</v>
      </c>
      <c r="M96" s="785">
        <f>K96</f>
        <v>0</v>
      </c>
      <c r="O96" s="961"/>
      <c r="P96" s="962"/>
      <c r="Q96" s="683"/>
      <c r="R96" s="683"/>
      <c r="S96" s="683"/>
      <c r="T96" s="683"/>
      <c r="U96" s="683"/>
      <c r="V96" s="683"/>
      <c r="W96" s="683"/>
      <c r="X96" s="684"/>
    </row>
    <row r="97" spans="1:26" s="2" customFormat="1" ht="12" customHeight="1" x14ac:dyDescent="0.2">
      <c r="B97" s="25"/>
      <c r="C97" s="524"/>
      <c r="D97" s="1119" t="s">
        <v>487</v>
      </c>
      <c r="E97" s="1119"/>
      <c r="F97" s="1119"/>
      <c r="G97" s="1119"/>
      <c r="H97" s="1120"/>
      <c r="I97" s="527">
        <v>0</v>
      </c>
      <c r="J97" s="786">
        <v>53</v>
      </c>
      <c r="K97" s="1276">
        <f>J97</f>
        <v>53</v>
      </c>
      <c r="L97" s="1276"/>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27">
        <f>K99+K100</f>
        <v>0</v>
      </c>
      <c r="L98" s="102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211" t="s">
        <v>488</v>
      </c>
      <c r="E99" s="1211"/>
      <c r="F99" s="1211"/>
      <c r="G99" s="1211"/>
      <c r="H99" s="1211"/>
      <c r="I99" s="527">
        <f t="shared" si="20"/>
        <v>0</v>
      </c>
      <c r="J99" s="785">
        <v>0</v>
      </c>
      <c r="K99" s="1275">
        <f>(J99+J99*O99)*12/J$33</f>
        <v>0</v>
      </c>
      <c r="L99" s="1275"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1119" t="s">
        <v>489</v>
      </c>
      <c r="E100" s="1119"/>
      <c r="F100" s="1119"/>
      <c r="G100" s="1119"/>
      <c r="H100" s="1120"/>
      <c r="I100" s="527">
        <f t="shared" si="20"/>
        <v>0</v>
      </c>
      <c r="J100" s="785">
        <v>0</v>
      </c>
      <c r="K100" s="1275">
        <f>(J100+J100*O100)*12/J$33</f>
        <v>0</v>
      </c>
      <c r="L100" s="1275"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3" t="s">
        <v>347</v>
      </c>
      <c r="E101" s="1003"/>
      <c r="F101" s="1003"/>
      <c r="G101" s="1003"/>
      <c r="H101" s="1004"/>
      <c r="I101" s="488">
        <f t="shared" si="20"/>
        <v>0</v>
      </c>
      <c r="J101" s="449">
        <f>SUM(J102:J103)</f>
        <v>0</v>
      </c>
      <c r="K101" s="1027">
        <f>SUM(K102:K103)</f>
        <v>0</v>
      </c>
      <c r="L101" s="102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233" t="s">
        <v>490</v>
      </c>
      <c r="E102" s="1233"/>
      <c r="F102" s="1233"/>
      <c r="G102" s="1233"/>
      <c r="H102" s="1233"/>
      <c r="I102" s="527">
        <f t="shared" si="20"/>
        <v>0</v>
      </c>
      <c r="J102" s="785">
        <v>0</v>
      </c>
      <c r="K102" s="1275">
        <f>(J102+J102*O102)*12/J$33</f>
        <v>0</v>
      </c>
      <c r="L102" s="1275"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1119" t="s">
        <v>491</v>
      </c>
      <c r="E103" s="1119"/>
      <c r="F103" s="1119"/>
      <c r="G103" s="1119"/>
      <c r="H103" s="1120"/>
      <c r="I103" s="527">
        <f t="shared" si="20"/>
        <v>0</v>
      </c>
      <c r="J103" s="785">
        <v>0</v>
      </c>
      <c r="K103" s="1275">
        <f>(J103+J103*O103)*12/J$33</f>
        <v>0</v>
      </c>
      <c r="L103" s="1275"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27">
        <f t="shared" ref="K104:L104" si="22">SUM(K105:K107)</f>
        <v>0</v>
      </c>
      <c r="L104" s="102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234" t="s">
        <v>492</v>
      </c>
      <c r="E105" s="1234"/>
      <c r="F105" s="1234"/>
      <c r="G105" s="1234"/>
      <c r="H105" s="1235"/>
      <c r="I105" s="488"/>
      <c r="J105" s="785">
        <v>0</v>
      </c>
      <c r="K105" s="1275">
        <f>(J105+J105*O105)*12/J$33</f>
        <v>0</v>
      </c>
      <c r="L105" s="1275"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236" t="s">
        <v>493</v>
      </c>
      <c r="E106" s="1236"/>
      <c r="F106" s="1236"/>
      <c r="G106" s="1236"/>
      <c r="H106" s="1237"/>
      <c r="I106" s="488"/>
      <c r="J106" s="785">
        <v>0</v>
      </c>
      <c r="K106" s="1275">
        <f>(J106+J106*O106)*12/J$33</f>
        <v>0</v>
      </c>
      <c r="L106" s="1275"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208" t="s">
        <v>506</v>
      </c>
      <c r="E107" s="1208"/>
      <c r="F107" s="1208"/>
      <c r="G107" s="1208"/>
      <c r="H107" s="1209"/>
      <c r="I107" s="488"/>
      <c r="J107" s="785">
        <v>0</v>
      </c>
      <c r="K107" s="1275">
        <f>(J107+J107*O107)*12/J$33</f>
        <v>0</v>
      </c>
      <c r="L107" s="1275"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27">
        <f>SUM(K109:K111)</f>
        <v>0</v>
      </c>
      <c r="L108" s="102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211" t="s">
        <v>494</v>
      </c>
      <c r="E109" s="1211"/>
      <c r="F109" s="1211"/>
      <c r="G109" s="1211"/>
      <c r="H109" s="1211"/>
      <c r="I109" s="530">
        <f t="shared" si="24"/>
        <v>0</v>
      </c>
      <c r="J109" s="785">
        <v>0</v>
      </c>
      <c r="K109" s="1275">
        <f t="shared" ref="K109:K110" si="25">(J109+J109*O109)*12/J$33</f>
        <v>0</v>
      </c>
      <c r="L109" s="1275"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94" t="s">
        <v>495</v>
      </c>
      <c r="E110" s="1094"/>
      <c r="F110" s="1094"/>
      <c r="G110" s="1094"/>
      <c r="H110" s="1095"/>
      <c r="I110" s="530">
        <f t="shared" si="24"/>
        <v>0</v>
      </c>
      <c r="J110" s="785">
        <v>0</v>
      </c>
      <c r="K110" s="1275">
        <f t="shared" si="25"/>
        <v>0</v>
      </c>
      <c r="L110" s="1275"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1119" t="s">
        <v>496</v>
      </c>
      <c r="E111" s="1119"/>
      <c r="F111" s="1119"/>
      <c r="G111" s="1119"/>
      <c r="H111" s="1120"/>
      <c r="I111" s="530">
        <f t="shared" si="24"/>
        <v>0</v>
      </c>
      <c r="J111" s="785">
        <v>0</v>
      </c>
      <c r="K111" s="1275">
        <f>(J111+J111*O111)*12/J$33</f>
        <v>0</v>
      </c>
      <c r="L111" s="1275"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3" t="s">
        <v>330</v>
      </c>
      <c r="E112" s="1003"/>
      <c r="F112" s="1003"/>
      <c r="G112" s="1003"/>
      <c r="H112" s="1003"/>
      <c r="I112" s="530">
        <f t="shared" si="24"/>
        <v>0</v>
      </c>
      <c r="J112" s="767">
        <v>0</v>
      </c>
      <c r="K112" s="1299">
        <f>(J112+J112*O112)*12/J$33</f>
        <v>0</v>
      </c>
      <c r="L112" s="1299"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3" t="s">
        <v>200</v>
      </c>
      <c r="E113" s="1003"/>
      <c r="F113" s="1003"/>
      <c r="G113" s="1003"/>
      <c r="H113" s="1003"/>
      <c r="I113" s="488">
        <f t="shared" si="24"/>
        <v>0</v>
      </c>
      <c r="J113" s="767">
        <v>0</v>
      </c>
      <c r="K113" s="1299">
        <f>(J113+J113*O113)*12/J$33</f>
        <v>0</v>
      </c>
      <c r="L113" s="1299"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299">
        <f>(J114+J114*O114)*12/J$33</f>
        <v>0</v>
      </c>
      <c r="L114" s="1299"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299">
        <f>(J115+J115*O115)*12/J$33</f>
        <v>0</v>
      </c>
      <c r="L115" s="1299"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3" t="s">
        <v>333</v>
      </c>
      <c r="E116" s="1003"/>
      <c r="F116" s="1003"/>
      <c r="G116" s="1003"/>
      <c r="H116" s="1004"/>
      <c r="I116" s="599"/>
      <c r="J116" s="947">
        <v>0</v>
      </c>
      <c r="K116" s="1170">
        <v>0</v>
      </c>
      <c r="L116" s="1170"/>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174" t="s">
        <v>402</v>
      </c>
      <c r="D119" s="1175"/>
      <c r="E119" s="1175"/>
      <c r="F119" s="1175"/>
      <c r="G119" s="1175"/>
      <c r="H119" s="1175"/>
      <c r="I119" s="1062" t="s">
        <v>134</v>
      </c>
      <c r="J119" s="1062"/>
      <c r="K119" s="1156" t="s">
        <v>135</v>
      </c>
      <c r="L119" s="1157"/>
      <c r="M119" s="541" t="s">
        <v>137</v>
      </c>
      <c r="O119" s="950"/>
      <c r="P119" s="949"/>
      <c r="Q119" s="683"/>
      <c r="R119" s="683"/>
      <c r="S119" s="683"/>
      <c r="T119" s="683"/>
      <c r="U119" s="683"/>
      <c r="V119" s="683"/>
      <c r="W119" s="683"/>
      <c r="X119" s="684"/>
    </row>
    <row r="120" spans="1:24" ht="15" customHeight="1" x14ac:dyDescent="0.2">
      <c r="C120" s="1176"/>
      <c r="D120" s="1177"/>
      <c r="E120" s="1177"/>
      <c r="F120" s="1177"/>
      <c r="G120" s="1177"/>
      <c r="H120" s="1177"/>
      <c r="I120" s="703" t="s">
        <v>79</v>
      </c>
      <c r="J120" s="542">
        <f>J32</f>
        <v>2027</v>
      </c>
      <c r="K120" s="1158">
        <f>J120+1</f>
        <v>2028</v>
      </c>
      <c r="L120" s="1159"/>
      <c r="M120" s="542">
        <f>K120+1</f>
        <v>2029</v>
      </c>
      <c r="O120" s="965"/>
      <c r="P120" s="966"/>
      <c r="Q120" s="683"/>
      <c r="R120" s="683"/>
      <c r="S120" s="683"/>
      <c r="T120" s="683"/>
      <c r="U120" s="683"/>
      <c r="V120" s="683"/>
      <c r="W120" s="683"/>
      <c r="X120" s="684"/>
    </row>
    <row r="121" spans="1:24" s="32" customFormat="1" ht="14.25" customHeight="1" x14ac:dyDescent="0.2">
      <c r="B121" s="610"/>
      <c r="C121" s="1056" t="s">
        <v>324</v>
      </c>
      <c r="D121" s="1057"/>
      <c r="E121" s="1057"/>
      <c r="F121" s="536"/>
      <c r="G121" s="536"/>
      <c r="H121" s="611"/>
      <c r="I121" s="569"/>
      <c r="J121" s="478">
        <f>J73</f>
        <v>12</v>
      </c>
      <c r="K121" s="1160">
        <f>K73</f>
        <v>12</v>
      </c>
      <c r="L121" s="1160"/>
      <c r="M121" s="575">
        <f>M73</f>
        <v>12</v>
      </c>
      <c r="O121" s="1297"/>
      <c r="P121" s="1298"/>
      <c r="Q121" s="683"/>
      <c r="R121" s="683"/>
      <c r="S121" s="683"/>
      <c r="T121" s="683"/>
      <c r="U121" s="683"/>
      <c r="V121" s="683"/>
      <c r="W121" s="683"/>
      <c r="X121" s="684"/>
    </row>
    <row r="122" spans="1:24" s="32" customFormat="1" ht="14.25" customHeight="1" x14ac:dyDescent="0.2">
      <c r="B122" s="610"/>
      <c r="C122" s="612"/>
      <c r="D122" s="538"/>
      <c r="E122" s="538"/>
      <c r="F122" s="1060"/>
      <c r="G122" s="1061"/>
      <c r="H122" s="613"/>
      <c r="I122" s="570"/>
      <c r="J122" s="460"/>
      <c r="K122" s="1169"/>
      <c r="L122" s="1169"/>
      <c r="M122" s="465"/>
      <c r="O122" s="1283" t="s">
        <v>168</v>
      </c>
      <c r="P122" s="1284"/>
      <c r="Q122" s="683"/>
      <c r="R122" s="683"/>
      <c r="S122" s="683"/>
      <c r="T122" s="683"/>
      <c r="U122" s="683"/>
      <c r="V122" s="683"/>
      <c r="W122" s="683"/>
      <c r="X122" s="684"/>
    </row>
    <row r="123" spans="1:24" s="32" customFormat="1" ht="12" customHeight="1" x14ac:dyDescent="0.2">
      <c r="B123" s="253" t="s">
        <v>327</v>
      </c>
      <c r="C123" s="1294" t="s">
        <v>373</v>
      </c>
      <c r="D123" s="1295"/>
      <c r="E123" s="1295"/>
      <c r="F123" s="1296">
        <v>0</v>
      </c>
      <c r="G123" s="1293"/>
      <c r="H123" s="614" t="s">
        <v>7</v>
      </c>
      <c r="I123" s="456">
        <f>J123/J$33</f>
        <v>0</v>
      </c>
      <c r="J123" s="449">
        <f>J125*J126</f>
        <v>0</v>
      </c>
      <c r="K123" s="1027">
        <f>K125*K126</f>
        <v>0</v>
      </c>
      <c r="L123" s="1027"/>
      <c r="M123" s="449">
        <f>M125*M126</f>
        <v>0</v>
      </c>
      <c r="O123" s="460">
        <f>K$32</f>
        <v>2028</v>
      </c>
      <c r="P123" s="460">
        <f>M$32</f>
        <v>2029</v>
      </c>
      <c r="Q123" s="683"/>
      <c r="R123" s="683"/>
      <c r="S123" s="683"/>
      <c r="T123" s="683"/>
      <c r="U123" s="683"/>
      <c r="V123" s="683"/>
      <c r="W123" s="683"/>
      <c r="X123" s="684"/>
    </row>
    <row r="124" spans="1:24" s="32" customFormat="1" ht="12" customHeight="1" x14ac:dyDescent="0.2">
      <c r="C124" s="1064" t="s">
        <v>403</v>
      </c>
      <c r="D124" s="1048"/>
      <c r="E124" s="1048"/>
      <c r="F124" s="1048"/>
      <c r="G124" s="1049"/>
      <c r="H124" s="1050"/>
      <c r="I124" s="450"/>
      <c r="J124" s="786">
        <v>0</v>
      </c>
      <c r="K124" s="1276">
        <f>J124+J124*O124</f>
        <v>0</v>
      </c>
      <c r="L124" s="1276">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21"/>
      <c r="D125" s="1022"/>
      <c r="E125" s="1022"/>
      <c r="F125" s="1022"/>
      <c r="G125" s="1023"/>
      <c r="H125" s="1024"/>
      <c r="I125" s="527">
        <v>0</v>
      </c>
      <c r="J125" s="758">
        <f>J124/(1+$F123)</f>
        <v>0</v>
      </c>
      <c r="K125" s="1280">
        <f>K124/(1+F123)</f>
        <v>0</v>
      </c>
      <c r="L125" s="1280"/>
      <c r="M125" s="759">
        <f>M124/(1+F123)</f>
        <v>0</v>
      </c>
      <c r="O125" s="948"/>
      <c r="P125" s="949"/>
      <c r="Q125" s="683"/>
      <c r="R125" s="683"/>
      <c r="S125" s="683"/>
      <c r="T125" s="683"/>
      <c r="U125" s="683"/>
      <c r="V125" s="683"/>
      <c r="W125" s="683"/>
      <c r="X125" s="684"/>
    </row>
    <row r="126" spans="1:24" s="32" customFormat="1" ht="12" customHeight="1" x14ac:dyDescent="0.2">
      <c r="C126" s="1285" t="s">
        <v>372</v>
      </c>
      <c r="D126" s="1286"/>
      <c r="E126" s="1286"/>
      <c r="F126" s="1286"/>
      <c r="G126" s="1287"/>
      <c r="H126" s="1288"/>
      <c r="I126" s="448">
        <f>J126/J$33</f>
        <v>0</v>
      </c>
      <c r="J126" s="785">
        <v>0</v>
      </c>
      <c r="K126" s="1275">
        <f>(J126+J126*O126)*12/J$33</f>
        <v>0</v>
      </c>
      <c r="L126" s="1275"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294">
        <v>0</v>
      </c>
      <c r="D128" s="1295"/>
      <c r="E128" s="1295"/>
      <c r="F128" s="1296">
        <v>0</v>
      </c>
      <c r="G128" s="1293"/>
      <c r="H128" s="614" t="s">
        <v>7</v>
      </c>
      <c r="I128" s="456">
        <f>J128/J$33</f>
        <v>0</v>
      </c>
      <c r="J128" s="449">
        <f>J130*J131</f>
        <v>0</v>
      </c>
      <c r="K128" s="1027">
        <f>K130*K131</f>
        <v>0</v>
      </c>
      <c r="L128" s="1027"/>
      <c r="M128" s="449">
        <f>M130*M131</f>
        <v>0</v>
      </c>
      <c r="O128" s="967"/>
      <c r="P128" s="968"/>
      <c r="Q128" s="683"/>
      <c r="R128" s="683"/>
      <c r="S128" s="683"/>
      <c r="T128" s="683"/>
      <c r="U128" s="683"/>
      <c r="V128" s="683"/>
      <c r="W128" s="683"/>
      <c r="X128" s="684"/>
    </row>
    <row r="129" spans="3:24" s="32" customFormat="1" ht="12" customHeight="1" x14ac:dyDescent="0.2">
      <c r="C129" s="1212" t="s">
        <v>403</v>
      </c>
      <c r="D129" s="1211"/>
      <c r="E129" s="1211"/>
      <c r="F129" s="1211"/>
      <c r="G129" s="1211"/>
      <c r="H129" s="1213"/>
      <c r="I129" s="450"/>
      <c r="J129" s="786">
        <v>0</v>
      </c>
      <c r="K129" s="1276">
        <f>J129+J129*O129</f>
        <v>0</v>
      </c>
      <c r="L129" s="1276">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21"/>
      <c r="D130" s="1022"/>
      <c r="E130" s="1022"/>
      <c r="F130" s="1022"/>
      <c r="G130" s="1023"/>
      <c r="H130" s="1024"/>
      <c r="I130" s="527">
        <v>0</v>
      </c>
      <c r="J130" s="758">
        <f>J129/(1+$F128)</f>
        <v>0</v>
      </c>
      <c r="K130" s="1280">
        <f>K129/(1+F128)</f>
        <v>0</v>
      </c>
      <c r="L130" s="1280"/>
      <c r="M130" s="759">
        <f>M129/(1+F128)</f>
        <v>0</v>
      </c>
      <c r="O130" s="948"/>
      <c r="P130" s="949"/>
      <c r="Q130" s="683"/>
      <c r="R130" s="683"/>
      <c r="S130" s="683"/>
      <c r="T130" s="683"/>
      <c r="U130" s="683"/>
      <c r="V130" s="683"/>
      <c r="W130" s="683"/>
      <c r="X130" s="684"/>
    </row>
    <row r="131" spans="3:24" s="32" customFormat="1" ht="12" customHeight="1" x14ac:dyDescent="0.2">
      <c r="C131" s="1285" t="s">
        <v>374</v>
      </c>
      <c r="D131" s="1286"/>
      <c r="E131" s="1286"/>
      <c r="F131" s="1286"/>
      <c r="G131" s="1287"/>
      <c r="H131" s="1288"/>
      <c r="I131" s="448">
        <f>J131/J$33</f>
        <v>0</v>
      </c>
      <c r="J131" s="785">
        <v>0</v>
      </c>
      <c r="K131" s="1275">
        <f>(J131+J131*O131)*12/J$33</f>
        <v>0</v>
      </c>
      <c r="L131" s="1275"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294">
        <v>0</v>
      </c>
      <c r="D133" s="1295"/>
      <c r="E133" s="1295"/>
      <c r="F133" s="1296">
        <v>0</v>
      </c>
      <c r="G133" s="1293"/>
      <c r="H133" s="614" t="s">
        <v>7</v>
      </c>
      <c r="I133" s="456">
        <f>J133/J$33</f>
        <v>0</v>
      </c>
      <c r="J133" s="449">
        <f>J135*J136</f>
        <v>0</v>
      </c>
      <c r="K133" s="1027">
        <f>K135*K136</f>
        <v>0</v>
      </c>
      <c r="L133" s="1027"/>
      <c r="M133" s="449">
        <f>M135*M136</f>
        <v>0</v>
      </c>
      <c r="O133" s="967"/>
      <c r="P133" s="968"/>
      <c r="Q133" s="683"/>
      <c r="R133" s="683"/>
      <c r="S133" s="683"/>
      <c r="T133" s="683"/>
      <c r="U133" s="683"/>
      <c r="V133" s="683"/>
      <c r="W133" s="683"/>
      <c r="X133" s="684"/>
    </row>
    <row r="134" spans="3:24" s="32" customFormat="1" ht="12" customHeight="1" x14ac:dyDescent="0.2">
      <c r="C134" s="1064" t="s">
        <v>403</v>
      </c>
      <c r="D134" s="1048"/>
      <c r="E134" s="1048"/>
      <c r="F134" s="1048"/>
      <c r="G134" s="1049"/>
      <c r="H134" s="1050"/>
      <c r="I134" s="450"/>
      <c r="J134" s="786">
        <v>0</v>
      </c>
      <c r="K134" s="1276">
        <f>J134+J134*O134</f>
        <v>0</v>
      </c>
      <c r="L134" s="1276">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21"/>
      <c r="D135" s="1022"/>
      <c r="E135" s="1022"/>
      <c r="F135" s="1022"/>
      <c r="G135" s="1023"/>
      <c r="H135" s="1024"/>
      <c r="I135" s="527">
        <v>0</v>
      </c>
      <c r="J135" s="758">
        <f>J134/(1+$F133)</f>
        <v>0</v>
      </c>
      <c r="K135" s="1280">
        <f>K134/(1+F133)</f>
        <v>0</v>
      </c>
      <c r="L135" s="1280"/>
      <c r="M135" s="759">
        <f>M134/(1+F133)</f>
        <v>0</v>
      </c>
      <c r="O135" s="963"/>
      <c r="P135" s="964"/>
      <c r="Q135" s="683"/>
      <c r="R135" s="683"/>
      <c r="S135" s="683"/>
      <c r="T135" s="683"/>
      <c r="U135" s="683"/>
      <c r="V135" s="683"/>
      <c r="W135" s="683"/>
      <c r="X135" s="684"/>
    </row>
    <row r="136" spans="3:24" s="32" customFormat="1" ht="12" customHeight="1" x14ac:dyDescent="0.2">
      <c r="C136" s="1285" t="s">
        <v>375</v>
      </c>
      <c r="D136" s="1286"/>
      <c r="E136" s="1286"/>
      <c r="F136" s="1286"/>
      <c r="G136" s="1287"/>
      <c r="H136" s="1288"/>
      <c r="I136" s="448">
        <f>J136/J$33</f>
        <v>0</v>
      </c>
      <c r="J136" s="785">
        <v>0</v>
      </c>
      <c r="K136" s="1275">
        <f>(J136+J136*O136)*12/J$33</f>
        <v>0</v>
      </c>
      <c r="L136" s="1275"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294">
        <v>0</v>
      </c>
      <c r="D138" s="1295"/>
      <c r="E138" s="1295"/>
      <c r="F138" s="1296">
        <v>0</v>
      </c>
      <c r="G138" s="1293"/>
      <c r="H138" s="614" t="s">
        <v>7</v>
      </c>
      <c r="I138" s="456">
        <f>J138/J$33</f>
        <v>0</v>
      </c>
      <c r="J138" s="449">
        <f>J140*J141</f>
        <v>0</v>
      </c>
      <c r="K138" s="1027">
        <f>K140*K141</f>
        <v>0</v>
      </c>
      <c r="L138" s="1027"/>
      <c r="M138" s="449">
        <f>M140*M141</f>
        <v>0</v>
      </c>
      <c r="O138" s="950"/>
      <c r="P138" s="951"/>
      <c r="Q138" s="683"/>
      <c r="R138" s="683"/>
      <c r="S138" s="683"/>
      <c r="T138" s="683"/>
      <c r="U138" s="683"/>
      <c r="V138" s="683"/>
      <c r="W138" s="683"/>
      <c r="X138" s="684"/>
    </row>
    <row r="139" spans="3:24" s="32" customFormat="1" ht="12" customHeight="1" x14ac:dyDescent="0.2">
      <c r="C139" s="1064" t="s">
        <v>370</v>
      </c>
      <c r="D139" s="1048"/>
      <c r="E139" s="1048"/>
      <c r="F139" s="1048"/>
      <c r="G139" s="1049"/>
      <c r="H139" s="1050"/>
      <c r="I139" s="450"/>
      <c r="J139" s="786">
        <v>0</v>
      </c>
      <c r="K139" s="1276">
        <f>J139+J139*O139</f>
        <v>0</v>
      </c>
      <c r="L139" s="1276">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21"/>
      <c r="D140" s="1022"/>
      <c r="E140" s="1022"/>
      <c r="F140" s="1022"/>
      <c r="G140" s="1023"/>
      <c r="H140" s="1024"/>
      <c r="I140" s="527">
        <v>0</v>
      </c>
      <c r="J140" s="758">
        <f>J139/(1+$F138)</f>
        <v>0</v>
      </c>
      <c r="K140" s="1280">
        <f>K139/(1+F138)</f>
        <v>0</v>
      </c>
      <c r="L140" s="1280"/>
      <c r="M140" s="759">
        <f>M139/(1+F138)</f>
        <v>0</v>
      </c>
      <c r="O140" s="948"/>
      <c r="P140" s="949"/>
      <c r="Q140" s="683"/>
      <c r="R140" s="683"/>
      <c r="S140" s="683"/>
      <c r="T140" s="683"/>
      <c r="U140" s="683"/>
      <c r="V140" s="683"/>
      <c r="W140" s="683"/>
      <c r="X140" s="684"/>
    </row>
    <row r="141" spans="3:24" s="32" customFormat="1" ht="12" customHeight="1" x14ac:dyDescent="0.2">
      <c r="C141" s="1285" t="s">
        <v>375</v>
      </c>
      <c r="D141" s="1286"/>
      <c r="E141" s="1286"/>
      <c r="F141" s="1286"/>
      <c r="G141" s="1287"/>
      <c r="H141" s="1288"/>
      <c r="I141" s="448">
        <f>J141/J$33</f>
        <v>0</v>
      </c>
      <c r="J141" s="785">
        <v>0</v>
      </c>
      <c r="K141" s="1275">
        <f>(J141+J141*O141)*12/J$33</f>
        <v>0</v>
      </c>
      <c r="L141" s="1275"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294">
        <v>0</v>
      </c>
      <c r="D143" s="1295"/>
      <c r="E143" s="1295"/>
      <c r="F143" s="1296">
        <v>0</v>
      </c>
      <c r="G143" s="1293"/>
      <c r="H143" s="614" t="s">
        <v>7</v>
      </c>
      <c r="I143" s="456">
        <f>J143/J$33</f>
        <v>0</v>
      </c>
      <c r="J143" s="449">
        <f>J145*J146</f>
        <v>0</v>
      </c>
      <c r="K143" s="1027">
        <f>K145*K146</f>
        <v>0</v>
      </c>
      <c r="L143" s="1027"/>
      <c r="M143" s="449">
        <f>M145*M146</f>
        <v>0</v>
      </c>
      <c r="O143" s="948"/>
      <c r="P143" s="949"/>
      <c r="Q143" s="683"/>
      <c r="R143" s="683"/>
      <c r="S143" s="683"/>
      <c r="T143" s="683"/>
      <c r="U143" s="683"/>
      <c r="V143" s="683"/>
      <c r="W143" s="683"/>
      <c r="X143" s="684"/>
    </row>
    <row r="144" spans="3:24" s="32" customFormat="1" ht="12" customHeight="1" x14ac:dyDescent="0.2">
      <c r="C144" s="1064" t="s">
        <v>370</v>
      </c>
      <c r="D144" s="1048"/>
      <c r="E144" s="1048"/>
      <c r="F144" s="1048"/>
      <c r="G144" s="1049"/>
      <c r="H144" s="1050"/>
      <c r="I144" s="450"/>
      <c r="J144" s="786">
        <v>0</v>
      </c>
      <c r="K144" s="1276">
        <f>J144+J144*O144</f>
        <v>0</v>
      </c>
      <c r="L144" s="1276">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21"/>
      <c r="D145" s="1022"/>
      <c r="E145" s="1022"/>
      <c r="F145" s="1022"/>
      <c r="G145" s="1023"/>
      <c r="H145" s="1024"/>
      <c r="I145" s="527">
        <v>0</v>
      </c>
      <c r="J145" s="758">
        <f>J144/(1+$F143)</f>
        <v>0</v>
      </c>
      <c r="K145" s="1280">
        <f>K144/(1+F143)</f>
        <v>0</v>
      </c>
      <c r="L145" s="1280"/>
      <c r="M145" s="759">
        <f>M144/(1+F143)</f>
        <v>0</v>
      </c>
      <c r="O145" s="948"/>
      <c r="P145" s="949"/>
      <c r="Q145" s="683"/>
      <c r="R145" s="683"/>
      <c r="S145" s="683"/>
      <c r="T145" s="683"/>
      <c r="U145" s="683"/>
      <c r="V145" s="683"/>
      <c r="W145" s="683"/>
      <c r="X145" s="684"/>
    </row>
    <row r="146" spans="2:24" s="32" customFormat="1" ht="12" customHeight="1" x14ac:dyDescent="0.2">
      <c r="C146" s="1285" t="s">
        <v>374</v>
      </c>
      <c r="D146" s="1286"/>
      <c r="E146" s="1286"/>
      <c r="F146" s="1286"/>
      <c r="G146" s="1287"/>
      <c r="H146" s="1288"/>
      <c r="I146" s="448">
        <f>J146/J$33</f>
        <v>0</v>
      </c>
      <c r="J146" s="785">
        <v>0</v>
      </c>
      <c r="K146" s="1275">
        <f>(J146+J146*O146)*12/J$33</f>
        <v>0</v>
      </c>
      <c r="L146" s="1275"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289">
        <v>0</v>
      </c>
      <c r="D148" s="1290"/>
      <c r="E148" s="1291"/>
      <c r="F148" s="1292">
        <v>0</v>
      </c>
      <c r="G148" s="1293"/>
      <c r="H148" s="614" t="s">
        <v>7</v>
      </c>
      <c r="I148" s="456">
        <f>J148/J$33</f>
        <v>0</v>
      </c>
      <c r="J148" s="449">
        <f>J150*J151</f>
        <v>0</v>
      </c>
      <c r="K148" s="1027">
        <f>K150*K151</f>
        <v>0</v>
      </c>
      <c r="L148" s="1027"/>
      <c r="M148" s="449">
        <f>M150*M151</f>
        <v>0</v>
      </c>
      <c r="O148" s="948"/>
      <c r="P148" s="949"/>
      <c r="Q148" s="683"/>
      <c r="R148" s="683"/>
      <c r="S148" s="683"/>
      <c r="T148" s="683"/>
      <c r="U148" s="683"/>
      <c r="V148" s="683"/>
      <c r="W148" s="683"/>
      <c r="X148" s="684"/>
    </row>
    <row r="149" spans="2:24" s="32" customFormat="1" ht="12" customHeight="1" x14ac:dyDescent="0.2">
      <c r="C149" s="1064" t="s">
        <v>370</v>
      </c>
      <c r="D149" s="1048"/>
      <c r="E149" s="1048"/>
      <c r="F149" s="1048"/>
      <c r="G149" s="1049"/>
      <c r="H149" s="1050"/>
      <c r="I149" s="450"/>
      <c r="J149" s="786">
        <v>0</v>
      </c>
      <c r="K149" s="1276">
        <f>J149+J149*O149</f>
        <v>0</v>
      </c>
      <c r="L149" s="1276">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21"/>
      <c r="D150" s="1022"/>
      <c r="E150" s="1022"/>
      <c r="F150" s="1022"/>
      <c r="G150" s="1023"/>
      <c r="H150" s="1024"/>
      <c r="I150" s="527">
        <v>0</v>
      </c>
      <c r="J150" s="758">
        <f>J149/(1+$F148)</f>
        <v>0</v>
      </c>
      <c r="K150" s="1280">
        <f>K149/(1+F148)</f>
        <v>0</v>
      </c>
      <c r="L150" s="1280"/>
      <c r="M150" s="759">
        <f>M149/(1+F148)</f>
        <v>0</v>
      </c>
      <c r="O150" s="948"/>
      <c r="P150" s="949"/>
      <c r="Q150" s="683"/>
      <c r="R150" s="683"/>
      <c r="S150" s="683"/>
      <c r="T150" s="683"/>
      <c r="U150" s="683"/>
      <c r="V150" s="683"/>
      <c r="W150" s="683"/>
      <c r="X150" s="684"/>
    </row>
    <row r="151" spans="2:24" s="32" customFormat="1" ht="12" customHeight="1" x14ac:dyDescent="0.2">
      <c r="C151" s="1285" t="s">
        <v>374</v>
      </c>
      <c r="D151" s="1286"/>
      <c r="E151" s="1286"/>
      <c r="F151" s="1286"/>
      <c r="G151" s="1287"/>
      <c r="H151" s="1288"/>
      <c r="I151" s="448">
        <f>J151/J$33</f>
        <v>0</v>
      </c>
      <c r="J151" s="785">
        <v>0</v>
      </c>
      <c r="K151" s="1275">
        <f>(J151+J151*O151)*12/J$33</f>
        <v>0</v>
      </c>
      <c r="L151" s="1275"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072" t="s">
        <v>402</v>
      </c>
      <c r="D153" s="1072"/>
      <c r="E153" s="1072"/>
      <c r="F153" s="1072"/>
      <c r="G153" s="1072"/>
      <c r="H153" s="1072"/>
      <c r="I153" s="1062" t="s">
        <v>134</v>
      </c>
      <c r="J153" s="1062"/>
      <c r="K153" s="1062" t="s">
        <v>135</v>
      </c>
      <c r="L153" s="1062"/>
      <c r="M153" s="541" t="s">
        <v>137</v>
      </c>
      <c r="O153" s="973"/>
      <c r="P153" s="968"/>
      <c r="Q153" s="683"/>
      <c r="R153" s="683"/>
      <c r="S153" s="683"/>
      <c r="T153" s="683"/>
      <c r="U153" s="692"/>
      <c r="V153" s="683"/>
      <c r="W153" s="683"/>
      <c r="X153" s="684"/>
    </row>
    <row r="154" spans="2:24" ht="15" customHeight="1" x14ac:dyDescent="0.2">
      <c r="C154" s="1073"/>
      <c r="D154" s="1073"/>
      <c r="E154" s="1073"/>
      <c r="F154" s="1073"/>
      <c r="G154" s="1073"/>
      <c r="H154" s="1073"/>
      <c r="I154" s="703" t="s">
        <v>79</v>
      </c>
      <c r="J154" s="542">
        <f>J120</f>
        <v>2027</v>
      </c>
      <c r="K154" s="1063">
        <f>K120</f>
        <v>2028</v>
      </c>
      <c r="L154" s="1063"/>
      <c r="M154" s="542">
        <f>M120</f>
        <v>2029</v>
      </c>
      <c r="O154" s="973"/>
      <c r="P154" s="968"/>
      <c r="Q154" s="683"/>
      <c r="R154" s="683"/>
      <c r="S154" s="683"/>
      <c r="T154" s="683"/>
      <c r="U154" s="683"/>
      <c r="V154" s="683"/>
      <c r="W154" s="683"/>
      <c r="X154" s="684"/>
    </row>
    <row r="155" spans="2:24" ht="12.75" customHeight="1" x14ac:dyDescent="0.2">
      <c r="B155" s="254"/>
      <c r="C155" s="1070" t="s">
        <v>324</v>
      </c>
      <c r="D155" s="1071"/>
      <c r="E155" s="576"/>
      <c r="F155" s="576"/>
      <c r="G155" s="576"/>
      <c r="H155" s="577"/>
      <c r="I155" s="462"/>
      <c r="J155" s="578">
        <f>J121</f>
        <v>12</v>
      </c>
      <c r="K155" s="1165">
        <f>K121</f>
        <v>12</v>
      </c>
      <c r="L155" s="1166"/>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281"/>
      <c r="G156" s="1281"/>
      <c r="H156" s="616"/>
      <c r="I156" s="463"/>
      <c r="J156" s="458"/>
      <c r="K156" s="1068"/>
      <c r="L156" s="106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046"/>
      <c r="L157" s="1047"/>
      <c r="M157" s="460"/>
      <c r="O157" s="973"/>
      <c r="P157" s="968"/>
      <c r="Q157" s="683"/>
      <c r="R157" s="683"/>
      <c r="S157" s="683"/>
      <c r="T157" s="683"/>
      <c r="U157" s="683"/>
      <c r="V157" s="683"/>
      <c r="W157" s="683"/>
      <c r="X157" s="684"/>
    </row>
    <row r="158" spans="2:24" s="32" customFormat="1" ht="12" customHeight="1" x14ac:dyDescent="0.2">
      <c r="C158" s="1282" t="s">
        <v>382</v>
      </c>
      <c r="D158" s="1277"/>
      <c r="E158" s="1277"/>
      <c r="F158" s="760">
        <v>0</v>
      </c>
      <c r="G158" s="760">
        <v>0</v>
      </c>
      <c r="H158" s="457" t="s">
        <v>7</v>
      </c>
      <c r="I158" s="456">
        <f>J158/J$33</f>
        <v>0</v>
      </c>
      <c r="J158" s="449">
        <f>J159/(1+$F158)*J160</f>
        <v>0</v>
      </c>
      <c r="K158" s="1027">
        <f>K159/(1+F158)*K160</f>
        <v>0</v>
      </c>
      <c r="L158" s="1027"/>
      <c r="M158" s="449">
        <f>M160*M159/(1+F158)</f>
        <v>0</v>
      </c>
      <c r="O158" s="1283" t="s">
        <v>168</v>
      </c>
      <c r="P158" s="1284"/>
      <c r="Q158" s="683"/>
      <c r="R158" s="683"/>
      <c r="S158" s="683"/>
      <c r="T158" s="683"/>
      <c r="U158" s="683"/>
      <c r="V158" s="683"/>
      <c r="W158" s="683"/>
      <c r="X158" s="684"/>
    </row>
    <row r="159" spans="2:24" s="32" customFormat="1" ht="12.75" customHeight="1" x14ac:dyDescent="0.2">
      <c r="C159" s="1048" t="s">
        <v>406</v>
      </c>
      <c r="D159" s="1048"/>
      <c r="E159" s="1048"/>
      <c r="F159" s="1048"/>
      <c r="G159" s="1049"/>
      <c r="H159" s="1050"/>
      <c r="I159" s="527">
        <v>0</v>
      </c>
      <c r="J159" s="786">
        <v>0</v>
      </c>
      <c r="K159" s="1276">
        <f>J159+J159*O159</f>
        <v>0</v>
      </c>
      <c r="L159" s="1276">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41" t="s">
        <v>377</v>
      </c>
      <c r="D160" s="1041"/>
      <c r="E160" s="1041"/>
      <c r="F160" s="1041"/>
      <c r="G160" s="1042"/>
      <c r="H160" s="1043"/>
      <c r="I160" s="448">
        <f>J160/J$33</f>
        <v>0</v>
      </c>
      <c r="J160" s="785">
        <v>0</v>
      </c>
      <c r="K160" s="1275">
        <f>(J160+J160*O160)*12/J$33</f>
        <v>0</v>
      </c>
      <c r="L160" s="1275"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41" t="s">
        <v>404</v>
      </c>
      <c r="D161" s="1041"/>
      <c r="E161" s="1041"/>
      <c r="F161" s="1041"/>
      <c r="G161" s="1042"/>
      <c r="H161" s="1043"/>
      <c r="I161" s="527">
        <v>0</v>
      </c>
      <c r="J161" s="786">
        <v>0</v>
      </c>
      <c r="K161" s="1276">
        <f>J161+J161*O161</f>
        <v>0</v>
      </c>
      <c r="L161" s="1276">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41"/>
      <c r="D162" s="1041"/>
      <c r="E162" s="1041"/>
      <c r="F162" s="1041"/>
      <c r="G162" s="1042"/>
      <c r="H162" s="1043"/>
      <c r="I162" s="527">
        <v>0</v>
      </c>
      <c r="J162" s="758">
        <f>J161/(1+$G158)</f>
        <v>0</v>
      </c>
      <c r="K162" s="1280">
        <f t="shared" ref="K162:L162" si="29">K161/(1+$G158)</f>
        <v>0</v>
      </c>
      <c r="L162" s="1280">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41" t="s">
        <v>380</v>
      </c>
      <c r="D163" s="1041"/>
      <c r="E163" s="1041"/>
      <c r="F163" s="1041"/>
      <c r="G163" s="1042"/>
      <c r="H163" s="1043"/>
      <c r="I163" s="527">
        <v>0</v>
      </c>
      <c r="J163" s="455">
        <f>IF(J159=0,0,(J159/(1+$F158)-J162)/(J159/(1+$F158)))</f>
        <v>0</v>
      </c>
      <c r="K163" s="1051">
        <f t="shared" ref="K163:L163" si="30">IF(K159=0,0,(K159/(1+$F158)-K162)/(K159/(1+$F158)))</f>
        <v>0</v>
      </c>
      <c r="L163" s="1051">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52" t="s">
        <v>381</v>
      </c>
      <c r="D164" s="1053"/>
      <c r="E164" s="1053"/>
      <c r="F164" s="1053"/>
      <c r="G164" s="1054"/>
      <c r="H164" s="1055"/>
      <c r="I164" s="527">
        <v>0</v>
      </c>
      <c r="J164" s="456">
        <f>J158*J163</f>
        <v>0</v>
      </c>
      <c r="K164" s="1038">
        <f>K158*K163</f>
        <v>0</v>
      </c>
      <c r="L164" s="103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277">
        <v>0</v>
      </c>
      <c r="D166" s="1277"/>
      <c r="E166" s="1277"/>
      <c r="F166" s="760">
        <v>0</v>
      </c>
      <c r="G166" s="760">
        <v>0</v>
      </c>
      <c r="H166" s="457" t="s">
        <v>7</v>
      </c>
      <c r="I166" s="456">
        <f>J166/J$33</f>
        <v>0</v>
      </c>
      <c r="J166" s="449">
        <f>J167/(1+$F166)*J168</f>
        <v>0</v>
      </c>
      <c r="K166" s="1027">
        <f>K167/(1+F166)*K168</f>
        <v>0</v>
      </c>
      <c r="L166" s="1027"/>
      <c r="M166" s="449">
        <f>M168*M167/(1+F166)</f>
        <v>0</v>
      </c>
      <c r="N166" s="619"/>
      <c r="O166" s="974"/>
      <c r="P166" s="977"/>
      <c r="Q166" s="693"/>
      <c r="R166" s="683"/>
      <c r="S166" s="683"/>
      <c r="T166" s="683"/>
      <c r="U166" s="683"/>
      <c r="V166" s="683"/>
      <c r="W166" s="683"/>
      <c r="X166" s="684"/>
    </row>
    <row r="167" spans="3:37" s="32" customFormat="1" ht="12.75" customHeight="1" x14ac:dyDescent="0.2">
      <c r="C167" s="1048" t="s">
        <v>406</v>
      </c>
      <c r="D167" s="1048"/>
      <c r="E167" s="1048"/>
      <c r="F167" s="1048"/>
      <c r="G167" s="1049"/>
      <c r="H167" s="1050"/>
      <c r="I167" s="527"/>
      <c r="J167" s="786">
        <v>0</v>
      </c>
      <c r="K167" s="1276">
        <f>J167+J167*O167</f>
        <v>0</v>
      </c>
      <c r="L167" s="1276"/>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41" t="s">
        <v>377</v>
      </c>
      <c r="D168" s="1041"/>
      <c r="E168" s="1041"/>
      <c r="F168" s="1041"/>
      <c r="G168" s="1042"/>
      <c r="H168" s="1043"/>
      <c r="I168" s="448">
        <f>J168/J$33</f>
        <v>0</v>
      </c>
      <c r="J168" s="785">
        <v>0</v>
      </c>
      <c r="K168" s="1275">
        <f>(J168+J168*O168)*12/J$33</f>
        <v>0</v>
      </c>
      <c r="L168" s="1275"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41" t="s">
        <v>404</v>
      </c>
      <c r="D169" s="1041"/>
      <c r="E169" s="1041"/>
      <c r="F169" s="1041"/>
      <c r="G169" s="1042"/>
      <c r="H169" s="1043"/>
      <c r="I169" s="527"/>
      <c r="J169" s="786">
        <v>0</v>
      </c>
      <c r="K169" s="1276">
        <f>J169+J169*O169</f>
        <v>0</v>
      </c>
      <c r="L169" s="1276">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41"/>
      <c r="D170" s="1041"/>
      <c r="E170" s="1041"/>
      <c r="F170" s="1041"/>
      <c r="G170" s="1042"/>
      <c r="H170" s="1043"/>
      <c r="I170" s="527"/>
      <c r="J170" s="758">
        <f>J169/(1+$G166)</f>
        <v>0</v>
      </c>
      <c r="K170" s="1280">
        <f>K169/(1+G166)</f>
        <v>0</v>
      </c>
      <c r="L170" s="1280"/>
      <c r="M170" s="758">
        <f>M169/(1+G166)</f>
        <v>0</v>
      </c>
      <c r="N170" s="620"/>
      <c r="O170" s="974"/>
      <c r="P170" s="977"/>
      <c r="Q170" s="693"/>
      <c r="R170" s="683"/>
      <c r="S170" s="683"/>
      <c r="T170" s="683"/>
      <c r="U170" s="683"/>
      <c r="V170" s="683"/>
      <c r="W170" s="683"/>
      <c r="X170" s="684"/>
    </row>
    <row r="171" spans="3:37" s="32" customFormat="1" ht="12.75" customHeight="1" x14ac:dyDescent="0.2">
      <c r="C171" s="1041" t="s">
        <v>380</v>
      </c>
      <c r="D171" s="1041"/>
      <c r="E171" s="1041"/>
      <c r="F171" s="1041"/>
      <c r="G171" s="1042"/>
      <c r="H171" s="1043"/>
      <c r="I171" s="527"/>
      <c r="J171" s="455">
        <f>IF(J167=0,0,(J167/(1+$F166)-J170)/(J167/(1+$F166)))</f>
        <v>0</v>
      </c>
      <c r="K171" s="1051">
        <f t="shared" ref="K171:L171" si="31">IF(K167=0,0,(K167/(1+$F166)-K170)/(K167/(1+$F166)))</f>
        <v>0</v>
      </c>
      <c r="L171" s="1051">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52" t="s">
        <v>381</v>
      </c>
      <c r="D172" s="1053"/>
      <c r="E172" s="1053"/>
      <c r="F172" s="1053"/>
      <c r="G172" s="1054"/>
      <c r="H172" s="1055"/>
      <c r="I172" s="527"/>
      <c r="J172" s="456">
        <f>J166*J171</f>
        <v>0</v>
      </c>
      <c r="K172" s="1038">
        <f>K166*K171</f>
        <v>0</v>
      </c>
      <c r="L172" s="103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277">
        <v>0</v>
      </c>
      <c r="D174" s="1277"/>
      <c r="E174" s="1277"/>
      <c r="F174" s="760">
        <v>0</v>
      </c>
      <c r="G174" s="760">
        <v>0</v>
      </c>
      <c r="H174" s="457" t="s">
        <v>7</v>
      </c>
      <c r="I174" s="456">
        <f>J174/J$33</f>
        <v>0</v>
      </c>
      <c r="J174" s="449">
        <f>J175/(1+$F174)*J176</f>
        <v>0</v>
      </c>
      <c r="K174" s="1027">
        <f>K175/(1+F174)*K176</f>
        <v>0</v>
      </c>
      <c r="L174" s="1027"/>
      <c r="M174" s="449">
        <f>M176*M175/(1+F174)</f>
        <v>0</v>
      </c>
      <c r="O174" s="948"/>
      <c r="P174" s="949"/>
      <c r="Q174" s="683"/>
      <c r="R174" s="683"/>
      <c r="S174" s="683"/>
      <c r="T174" s="683"/>
      <c r="U174" s="683"/>
      <c r="V174" s="683"/>
      <c r="W174" s="683"/>
      <c r="X174" s="684"/>
    </row>
    <row r="175" spans="3:37" s="32" customFormat="1" ht="12.75" customHeight="1" x14ac:dyDescent="0.2">
      <c r="C175" s="1048" t="s">
        <v>406</v>
      </c>
      <c r="D175" s="1048"/>
      <c r="E175" s="1048"/>
      <c r="F175" s="1048"/>
      <c r="G175" s="1049"/>
      <c r="H175" s="1050"/>
      <c r="I175" s="527">
        <v>0</v>
      </c>
      <c r="J175" s="786">
        <v>0</v>
      </c>
      <c r="K175" s="1276">
        <f>J175+J175*O175</f>
        <v>0</v>
      </c>
      <c r="L175" s="1276">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41" t="s">
        <v>377</v>
      </c>
      <c r="D176" s="1041"/>
      <c r="E176" s="1041"/>
      <c r="F176" s="1041"/>
      <c r="G176" s="1042"/>
      <c r="H176" s="1043"/>
      <c r="I176" s="448">
        <f>J176/J$33</f>
        <v>0</v>
      </c>
      <c r="J176" s="785">
        <v>0</v>
      </c>
      <c r="K176" s="1275">
        <f>(J176+J176*O176)*12/J$33</f>
        <v>0</v>
      </c>
      <c r="L176" s="1275"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41" t="s">
        <v>404</v>
      </c>
      <c r="D177" s="1041"/>
      <c r="E177" s="1041"/>
      <c r="F177" s="1041"/>
      <c r="G177" s="1042"/>
      <c r="H177" s="1043"/>
      <c r="I177" s="527">
        <v>0</v>
      </c>
      <c r="J177" s="786">
        <v>0</v>
      </c>
      <c r="K177" s="1276">
        <f>J177+J177*O177</f>
        <v>0</v>
      </c>
      <c r="L177" s="1276">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41"/>
      <c r="D178" s="1041"/>
      <c r="E178" s="1041"/>
      <c r="F178" s="1041"/>
      <c r="G178" s="1042"/>
      <c r="H178" s="1043"/>
      <c r="I178" s="527">
        <v>0</v>
      </c>
      <c r="J178" s="452">
        <f>J177/(1+$G174)</f>
        <v>0</v>
      </c>
      <c r="K178" s="1032">
        <f>K177/(1+G174)</f>
        <v>0</v>
      </c>
      <c r="L178" s="1032"/>
      <c r="M178" s="452">
        <f>M177/(1+G174)</f>
        <v>0</v>
      </c>
      <c r="O178" s="948"/>
      <c r="P178" s="949"/>
      <c r="Q178" s="683"/>
      <c r="R178" s="683"/>
      <c r="S178" s="683"/>
      <c r="T178" s="683"/>
      <c r="U178" s="683"/>
      <c r="V178" s="683"/>
      <c r="W178" s="683"/>
      <c r="X178" s="684"/>
    </row>
    <row r="179" spans="3:37" s="32" customFormat="1" ht="12.75" customHeight="1" x14ac:dyDescent="0.2">
      <c r="C179" s="1041" t="s">
        <v>380</v>
      </c>
      <c r="D179" s="1041"/>
      <c r="E179" s="1041"/>
      <c r="F179" s="1041"/>
      <c r="G179" s="1042"/>
      <c r="H179" s="1043"/>
      <c r="I179" s="527">
        <v>0</v>
      </c>
      <c r="J179" s="455">
        <f>IF(J175=0,0,(J175/(1+$F174)-J178)/(J175/(1+$F174)))</f>
        <v>0</v>
      </c>
      <c r="K179" s="1051">
        <f t="shared" ref="K179:L179" si="32">IF(K175=0,0,(K175/(1+$F174)-K178)/(K175/(1+$F174)))</f>
        <v>0</v>
      </c>
      <c r="L179" s="1051">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52" t="s">
        <v>381</v>
      </c>
      <c r="D180" s="1053"/>
      <c r="E180" s="1053"/>
      <c r="F180" s="1053"/>
      <c r="G180" s="1054"/>
      <c r="H180" s="1055"/>
      <c r="I180" s="527">
        <v>0</v>
      </c>
      <c r="J180" s="456">
        <f>J174*J179</f>
        <v>0</v>
      </c>
      <c r="K180" s="1038">
        <f>K174*K179</f>
        <v>0</v>
      </c>
      <c r="L180" s="103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277">
        <v>0</v>
      </c>
      <c r="D182" s="1277"/>
      <c r="E182" s="1277"/>
      <c r="F182" s="760">
        <v>0</v>
      </c>
      <c r="G182" s="760">
        <v>0</v>
      </c>
      <c r="H182" s="457" t="s">
        <v>7</v>
      </c>
      <c r="I182" s="706">
        <f>J182/J$33</f>
        <v>0</v>
      </c>
      <c r="J182" s="449">
        <f>J183/(1+$F182)*J184</f>
        <v>0</v>
      </c>
      <c r="K182" s="1027">
        <f>K183/(1+F182)*K184</f>
        <v>0</v>
      </c>
      <c r="L182" s="1027"/>
      <c r="M182" s="449">
        <f>M184*M183/(1+F182)</f>
        <v>0</v>
      </c>
      <c r="O182" s="948"/>
      <c r="P182" s="949"/>
      <c r="Q182" s="683"/>
      <c r="R182" s="683"/>
      <c r="S182" s="683"/>
      <c r="T182" s="683"/>
      <c r="U182" s="683"/>
      <c r="V182" s="683"/>
      <c r="W182" s="683"/>
      <c r="X182" s="684"/>
    </row>
    <row r="183" spans="3:37" s="32" customFormat="1" ht="12.75" customHeight="1" x14ac:dyDescent="0.2">
      <c r="C183" s="1048" t="s">
        <v>406</v>
      </c>
      <c r="D183" s="1048"/>
      <c r="E183" s="1048"/>
      <c r="F183" s="1048"/>
      <c r="G183" s="1049"/>
      <c r="H183" s="1050"/>
      <c r="I183" s="448">
        <v>0</v>
      </c>
      <c r="J183" s="786">
        <v>0</v>
      </c>
      <c r="K183" s="1276">
        <f>J183+J183*O183</f>
        <v>0</v>
      </c>
      <c r="L183" s="1276">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41" t="s">
        <v>377</v>
      </c>
      <c r="D184" s="1041"/>
      <c r="E184" s="1041"/>
      <c r="F184" s="1041"/>
      <c r="G184" s="1042"/>
      <c r="H184" s="1043"/>
      <c r="I184" s="450">
        <f>J184/J$33</f>
        <v>0</v>
      </c>
      <c r="J184" s="785">
        <v>0</v>
      </c>
      <c r="K184" s="1275">
        <f>(J184+J184*O184)*12/J$33</f>
        <v>0</v>
      </c>
      <c r="L184" s="1275"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41" t="s">
        <v>405</v>
      </c>
      <c r="D185" s="1041"/>
      <c r="E185" s="1041"/>
      <c r="F185" s="1041"/>
      <c r="G185" s="1042"/>
      <c r="H185" s="1043"/>
      <c r="I185" s="448">
        <v>0</v>
      </c>
      <c r="J185" s="786">
        <v>0</v>
      </c>
      <c r="K185" s="1276">
        <f>J185+J185*O185</f>
        <v>0</v>
      </c>
      <c r="L185" s="1276">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41"/>
      <c r="D186" s="1041"/>
      <c r="E186" s="1041"/>
      <c r="F186" s="1041"/>
      <c r="G186" s="1042"/>
      <c r="H186" s="1043"/>
      <c r="I186" s="527">
        <v>0</v>
      </c>
      <c r="J186" s="452">
        <f>J185/(1+$G182)</f>
        <v>0</v>
      </c>
      <c r="K186" s="1044">
        <f>K185/(1+G182)</f>
        <v>0</v>
      </c>
      <c r="L186" s="1045"/>
      <c r="M186" s="452">
        <f>M185/(1+G182)</f>
        <v>0</v>
      </c>
      <c r="N186" s="618"/>
      <c r="O186" s="948"/>
      <c r="P186" s="949"/>
      <c r="Q186" s="683"/>
      <c r="R186" s="683"/>
      <c r="S186" s="683"/>
      <c r="T186" s="683"/>
      <c r="U186" s="683"/>
      <c r="V186" s="683"/>
      <c r="W186" s="683"/>
      <c r="X186" s="684"/>
    </row>
    <row r="187" spans="3:37" s="32" customFormat="1" ht="12.75" customHeight="1" x14ac:dyDescent="0.2">
      <c r="C187" s="1041" t="s">
        <v>380</v>
      </c>
      <c r="D187" s="1041"/>
      <c r="E187" s="1041"/>
      <c r="F187" s="1041"/>
      <c r="G187" s="1042"/>
      <c r="H187" s="1043"/>
      <c r="I187" s="527">
        <v>0</v>
      </c>
      <c r="J187" s="455">
        <f>IF(J183=0,0,(J183/(1+$F182)-J186)/(J183/(1+$F182)))</f>
        <v>0</v>
      </c>
      <c r="K187" s="1051">
        <f t="shared" ref="K187:L187" si="33">IF(K183=0,0,(K183/(1+$F182)-K186)/(K183/(1+$F182)))</f>
        <v>0</v>
      </c>
      <c r="L187" s="1051">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52" t="s">
        <v>381</v>
      </c>
      <c r="D188" s="1053"/>
      <c r="E188" s="1053"/>
      <c r="F188" s="1053"/>
      <c r="G188" s="1054"/>
      <c r="H188" s="1055"/>
      <c r="I188" s="527">
        <v>0</v>
      </c>
      <c r="J188" s="456">
        <f>J182*J187</f>
        <v>0</v>
      </c>
      <c r="K188" s="1038">
        <f>K182*K187</f>
        <v>0</v>
      </c>
      <c r="L188" s="103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277"/>
      <c r="D190" s="1277"/>
      <c r="E190" s="1277"/>
      <c r="F190" s="760">
        <v>0</v>
      </c>
      <c r="G190" s="760">
        <v>0</v>
      </c>
      <c r="H190" s="457" t="s">
        <v>7</v>
      </c>
      <c r="I190" s="456">
        <f>J190/J$33</f>
        <v>0</v>
      </c>
      <c r="J190" s="449">
        <f>J191/(1+$F190)*J192</f>
        <v>0</v>
      </c>
      <c r="K190" s="1027">
        <f>K191/(1+F190)*K192</f>
        <v>0</v>
      </c>
      <c r="L190" s="1027"/>
      <c r="M190" s="449">
        <f>M192*M191/(1+F190)</f>
        <v>0</v>
      </c>
      <c r="N190" s="619"/>
      <c r="O190" s="974"/>
      <c r="P190" s="977"/>
      <c r="Q190" s="693"/>
      <c r="R190" s="683"/>
      <c r="S190" s="683"/>
      <c r="T190" s="683"/>
      <c r="U190" s="683"/>
      <c r="V190" s="683"/>
      <c r="W190" s="683"/>
      <c r="X190" s="684"/>
    </row>
    <row r="191" spans="3:37" s="32" customFormat="1" ht="12.75" customHeight="1" x14ac:dyDescent="0.2">
      <c r="C191" s="1048" t="s">
        <v>406</v>
      </c>
      <c r="D191" s="1048"/>
      <c r="E191" s="1048"/>
      <c r="F191" s="1048"/>
      <c r="G191" s="1049"/>
      <c r="H191" s="1050"/>
      <c r="I191" s="527">
        <v>0</v>
      </c>
      <c r="J191" s="786">
        <v>0</v>
      </c>
      <c r="K191" s="1276">
        <f>J191+J191*O191</f>
        <v>0</v>
      </c>
      <c r="L191" s="1276">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41" t="s">
        <v>377</v>
      </c>
      <c r="D192" s="1041"/>
      <c r="E192" s="1041"/>
      <c r="F192" s="1041"/>
      <c r="G192" s="1042"/>
      <c r="H192" s="1043"/>
      <c r="I192" s="448">
        <f>J192/J$33</f>
        <v>0</v>
      </c>
      <c r="J192" s="785">
        <v>0</v>
      </c>
      <c r="K192" s="1275">
        <f>(J192+J192*O192)*12/J$33</f>
        <v>0</v>
      </c>
      <c r="L192" s="1275"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41" t="s">
        <v>405</v>
      </c>
      <c r="D193" s="1041"/>
      <c r="E193" s="1041"/>
      <c r="F193" s="1041"/>
      <c r="G193" s="1042"/>
      <c r="H193" s="1043"/>
      <c r="I193" s="527">
        <v>0</v>
      </c>
      <c r="J193" s="786">
        <v>0</v>
      </c>
      <c r="K193" s="1276">
        <f>J193+J193*O193</f>
        <v>0</v>
      </c>
      <c r="L193" s="1276">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41"/>
      <c r="D194" s="1041"/>
      <c r="E194" s="1041"/>
      <c r="F194" s="1041"/>
      <c r="G194" s="1042"/>
      <c r="H194" s="1043"/>
      <c r="I194" s="527">
        <v>0</v>
      </c>
      <c r="J194" s="452">
        <f>J193/(1+$G190)</f>
        <v>0</v>
      </c>
      <c r="K194" s="1032">
        <f>K193/(1+G190)</f>
        <v>0</v>
      </c>
      <c r="L194" s="1032"/>
      <c r="M194" s="452">
        <f>M193/(1+G190)</f>
        <v>0</v>
      </c>
      <c r="N194" s="620"/>
      <c r="O194" s="974"/>
      <c r="P194" s="977"/>
      <c r="Q194" s="693"/>
      <c r="R194" s="683"/>
      <c r="S194" s="683"/>
      <c r="T194" s="683"/>
      <c r="U194" s="683"/>
      <c r="V194" s="683"/>
      <c r="W194" s="683"/>
      <c r="X194" s="684"/>
    </row>
    <row r="195" spans="2:24" s="32" customFormat="1" ht="12.75" customHeight="1" x14ac:dyDescent="0.2">
      <c r="C195" s="1041" t="s">
        <v>380</v>
      </c>
      <c r="D195" s="1041"/>
      <c r="E195" s="1041"/>
      <c r="F195" s="1041"/>
      <c r="G195" s="1042"/>
      <c r="H195" s="1043"/>
      <c r="I195" s="527">
        <v>0</v>
      </c>
      <c r="J195" s="455">
        <f>IF(J191=0,0,(J191/(1+$F190)-J194)/(J191/(1+$F190)))</f>
        <v>0</v>
      </c>
      <c r="K195" s="1051">
        <f t="shared" ref="K195:L195" si="34">IF(K191=0,0,(K191/(1+$F190)-K194)/(K191/(1+$F190)))</f>
        <v>0</v>
      </c>
      <c r="L195" s="1051">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52" t="s">
        <v>381</v>
      </c>
      <c r="D196" s="1053"/>
      <c r="E196" s="1053"/>
      <c r="F196" s="1053"/>
      <c r="G196" s="1054"/>
      <c r="H196" s="1055"/>
      <c r="I196" s="527">
        <v>0</v>
      </c>
      <c r="J196" s="456">
        <f>J190*J195</f>
        <v>0</v>
      </c>
      <c r="K196" s="1038">
        <f>K190*K195</f>
        <v>0</v>
      </c>
      <c r="L196" s="103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277" t="s">
        <v>386</v>
      </c>
      <c r="D198" s="1277"/>
      <c r="E198" s="1277"/>
      <c r="F198" s="1278">
        <v>0</v>
      </c>
      <c r="G198" s="1279"/>
      <c r="H198" s="457" t="s">
        <v>7</v>
      </c>
      <c r="I198" s="456">
        <f>J198/J$33</f>
        <v>0</v>
      </c>
      <c r="J198" s="449">
        <f>IF(J199=0,0,J199*J200)</f>
        <v>0</v>
      </c>
      <c r="K198" s="1027">
        <f>IF(K199=0,0,K199*K200)</f>
        <v>0</v>
      </c>
      <c r="L198" s="1027"/>
      <c r="M198" s="449">
        <f>IF(M199=0,0,M199*M200)</f>
        <v>0</v>
      </c>
      <c r="O198" s="948"/>
      <c r="P198" s="949"/>
      <c r="Q198" s="683"/>
      <c r="R198" s="683"/>
      <c r="S198" s="683"/>
      <c r="T198" s="683"/>
      <c r="U198" s="683"/>
      <c r="V198" s="683"/>
      <c r="W198" s="683"/>
      <c r="X198" s="684"/>
    </row>
    <row r="199" spans="2:24" s="32" customFormat="1" ht="12.75" customHeight="1" x14ac:dyDescent="0.2">
      <c r="C199" s="1077" t="s">
        <v>406</v>
      </c>
      <c r="D199" s="1078"/>
      <c r="E199" s="1078"/>
      <c r="F199" s="1078"/>
      <c r="G199" s="1079"/>
      <c r="H199" s="1080"/>
      <c r="I199" s="527">
        <v>0</v>
      </c>
      <c r="J199" s="786">
        <v>0</v>
      </c>
      <c r="K199" s="1276">
        <f>J199+J199*O199</f>
        <v>0</v>
      </c>
      <c r="L199" s="1276">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076" t="s">
        <v>377</v>
      </c>
      <c r="D200" s="1041"/>
      <c r="E200" s="1041"/>
      <c r="F200" s="1041"/>
      <c r="G200" s="1042"/>
      <c r="H200" s="1043"/>
      <c r="I200" s="448">
        <f>J200/J$33</f>
        <v>0</v>
      </c>
      <c r="J200" s="785">
        <v>0</v>
      </c>
      <c r="K200" s="1275">
        <f>(J200+J200*O200)*12/J$33</f>
        <v>0</v>
      </c>
      <c r="L200" s="1275"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076" t="s">
        <v>383</v>
      </c>
      <c r="D201" s="1041"/>
      <c r="E201" s="1041"/>
      <c r="F201" s="1041"/>
      <c r="G201" s="1042"/>
      <c r="H201" s="1043"/>
      <c r="I201" s="527">
        <v>0</v>
      </c>
      <c r="J201" s="786">
        <v>0</v>
      </c>
      <c r="K201" s="1276">
        <f>J201+J201*O201</f>
        <v>0</v>
      </c>
      <c r="L201" s="1276">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076" t="s">
        <v>384</v>
      </c>
      <c r="D202" s="1041"/>
      <c r="E202" s="1041"/>
      <c r="F202" s="1041"/>
      <c r="G202" s="1042"/>
      <c r="H202" s="1043"/>
      <c r="I202" s="527">
        <v>0</v>
      </c>
      <c r="J202" s="455">
        <f>IF(J201=0,0,(J198-J203)/J198)</f>
        <v>0</v>
      </c>
      <c r="K202" s="1051">
        <f t="shared" ref="K202:L202" si="35">IF(K201=0,0,(K198-K203)/K198)</f>
        <v>0</v>
      </c>
      <c r="L202" s="1051">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081" t="s">
        <v>408</v>
      </c>
      <c r="D203" s="1082"/>
      <c r="E203" s="1082"/>
      <c r="F203" s="1082"/>
      <c r="G203" s="1083"/>
      <c r="H203" s="1084"/>
      <c r="I203" s="527">
        <v>0</v>
      </c>
      <c r="J203" s="456">
        <f>J200*J201</f>
        <v>0</v>
      </c>
      <c r="K203" s="1038">
        <f t="shared" ref="K203:L203" si="36">K200*K201</f>
        <v>0</v>
      </c>
      <c r="L203" s="103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085">
        <f>K123+K128+K133+K164+K172+K180+K188+K196+K198*K202+K138+K143+K148</f>
        <v>0</v>
      </c>
      <c r="L205" s="1085">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085">
        <f>-(K34+K37+K42+K47+K52+K55+K59+K74+K75+K83+K87+K92+K93+K98+K101+K104+K108+K112+K113+K114+K115+K46+K38+K116)</f>
        <v>0</v>
      </c>
      <c r="L206" s="1085"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273">
        <f>K205+K206</f>
        <v>0</v>
      </c>
      <c r="L207" s="1274"/>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085">
        <f>-2*K206/K33</f>
        <v>0</v>
      </c>
      <c r="L208" s="1085"/>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085">
        <f>K38</f>
        <v>0</v>
      </c>
      <c r="L209" s="1085"/>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085">
        <f>-'5 AT Lainat, avustukset ei alv '!G9-'5 AT Lainat, avustukset ei alv '!G5</f>
        <v>0</v>
      </c>
      <c r="L211" s="1085"/>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3" t="s">
        <v>441</v>
      </c>
      <c r="E212" s="1003"/>
      <c r="F212" s="1003"/>
      <c r="G212" s="1003"/>
      <c r="H212" s="1003"/>
      <c r="I212" s="1004"/>
      <c r="J212" s="980">
        <f>IF(J207=0,0,J207+'3. Taloussuunnitelma ei alv'!G27-'3. Taloussuunnitelma ei alv'!G19+J211)</f>
        <v>0</v>
      </c>
      <c r="K212" s="1271">
        <f>IF(K207=0,0,K207+'4 AT Lainat ja avustukset alv'!H37-'4 AT Lainat ja avustukset alv'!H19+K211)</f>
        <v>0</v>
      </c>
      <c r="L212" s="1272"/>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3" t="s">
        <v>353</v>
      </c>
      <c r="E213" s="1003"/>
      <c r="F213" s="1003"/>
      <c r="G213" s="1003"/>
      <c r="H213" s="1003"/>
      <c r="I213" s="1004"/>
      <c r="J213" s="761">
        <f>IF(J207=0,0,J207+'4 AT Lainat ja avustukset alv'!G30-'4 AT Lainat ja avustukset alv'!G22+J211)</f>
        <v>0</v>
      </c>
      <c r="K213" s="1270">
        <f>IF(K207=0,0,K207+'4 AT Lainat ja avustukset alv'!H30-'4 AT Lainat ja avustukset alv'!H22+K211)</f>
        <v>0</v>
      </c>
      <c r="L213" s="1270">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3" t="s">
        <v>355</v>
      </c>
      <c r="E214" s="1003"/>
      <c r="F214" s="1003"/>
      <c r="G214" s="1003"/>
      <c r="H214" s="1003"/>
      <c r="I214" s="1004"/>
      <c r="J214" s="761">
        <f>IF(J207=0,0,J207+'4 AT Lainat ja avustukset alv'!G30-'4 AT Lainat ja avustukset alv'!G22+J211)</f>
        <v>0</v>
      </c>
      <c r="K214" s="1270">
        <f>IF(K207=0,0,K207+'4 AT Lainat ja avustukset alv'!H30-'4 AT Lainat ja avustukset alv'!H22+K211)</f>
        <v>0</v>
      </c>
      <c r="L214" s="1270">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27">
        <f>K123+K128+K133+K158+K166+K174+K138+K143+K148+K182+K190+K198</f>
        <v>0</v>
      </c>
      <c r="L216" s="102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085"/>
      <c r="L217" s="1085"/>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27">
        <f>SUM(K216:K217)</f>
        <v>0</v>
      </c>
      <c r="L218" s="102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269">
        <f>K199*K200</f>
        <v>0</v>
      </c>
      <c r="L219" s="1269"/>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8">
        <f>J220</f>
        <v>1</v>
      </c>
      <c r="L220" s="1268"/>
      <c r="M220" s="789">
        <f>K220</f>
        <v>1</v>
      </c>
    </row>
    <row r="221" spans="2:24" ht="14.1" customHeight="1" x14ac:dyDescent="0.2">
      <c r="B221" s="7"/>
      <c r="C221" s="466"/>
      <c r="D221" s="467" t="s">
        <v>186</v>
      </c>
      <c r="E221" s="519"/>
      <c r="F221" s="567"/>
      <c r="G221" s="567"/>
      <c r="H221" s="567"/>
      <c r="I221" s="567"/>
      <c r="J221" s="766">
        <v>52</v>
      </c>
      <c r="K221" s="1268">
        <f>J221</f>
        <v>52</v>
      </c>
      <c r="L221" s="1268"/>
      <c r="M221" s="789">
        <f>K221</f>
        <v>52</v>
      </c>
    </row>
    <row r="222" spans="2:24" ht="14.1" customHeight="1" x14ac:dyDescent="0.2">
      <c r="B222" s="7"/>
      <c r="C222" s="466" t="s">
        <v>0</v>
      </c>
      <c r="D222" s="467" t="s">
        <v>187</v>
      </c>
      <c r="E222" s="519"/>
      <c r="F222" s="567"/>
      <c r="G222" s="567"/>
      <c r="H222" s="567"/>
      <c r="I222" s="567"/>
      <c r="J222" s="766">
        <v>5</v>
      </c>
      <c r="K222" s="1268">
        <f>J222</f>
        <v>5</v>
      </c>
      <c r="L222" s="1268"/>
      <c r="M222" s="789">
        <f>K222</f>
        <v>5</v>
      </c>
    </row>
    <row r="223" spans="2:24" ht="14.1" customHeight="1" x14ac:dyDescent="0.2">
      <c r="B223" s="7"/>
      <c r="C223" s="466"/>
      <c r="D223" s="521" t="s">
        <v>188</v>
      </c>
      <c r="E223" s="942"/>
      <c r="F223" s="943"/>
      <c r="G223" s="943"/>
      <c r="H223" s="943"/>
      <c r="I223" s="943"/>
      <c r="J223" s="944">
        <f>J218/(J221*J222)</f>
        <v>0</v>
      </c>
      <c r="K223" s="1269">
        <f>K218/(K221*K222)</f>
        <v>0</v>
      </c>
      <c r="L223" s="1269" t="e">
        <f>L218/(L221*L222)</f>
        <v>#DIV/0!</v>
      </c>
      <c r="M223" s="945">
        <f>M218/(M221*M222)</f>
        <v>0</v>
      </c>
    </row>
    <row r="225" spans="3:13" x14ac:dyDescent="0.2">
      <c r="C225" s="555" t="s">
        <v>0</v>
      </c>
      <c r="D225" s="1093" t="str">
        <f>Aloitussivu!E40</f>
        <v>Business Rauma, Eurajoki, Prizztech</v>
      </c>
      <c r="E225" s="1093"/>
      <c r="F225" s="1093"/>
      <c r="G225" s="1093"/>
      <c r="H225" s="1093"/>
      <c r="I225" s="1093"/>
    </row>
    <row r="227" spans="3:13" ht="18" customHeight="1" x14ac:dyDescent="0.2">
      <c r="D227" s="2">
        <f>'1. Taloussuunnitelma'!D227</f>
        <v>0</v>
      </c>
    </row>
    <row r="228" spans="3:13" ht="19.350000000000001" customHeight="1" x14ac:dyDescent="0.2">
      <c r="D228" s="1093" t="s">
        <v>162</v>
      </c>
      <c r="E228" s="1093"/>
      <c r="F228" s="1093"/>
      <c r="G228" s="1093"/>
      <c r="H228" s="1093"/>
      <c r="I228" s="1093"/>
      <c r="J228" s="1093"/>
      <c r="K228" s="1093"/>
      <c r="L228" s="1093"/>
      <c r="M228" s="1093"/>
    </row>
    <row r="229" spans="3:13" x14ac:dyDescent="0.2">
      <c r="D229" s="1086" t="s">
        <v>164</v>
      </c>
      <c r="E229" s="1086"/>
      <c r="F229" s="1086"/>
      <c r="G229" s="1086"/>
      <c r="H229" s="1086"/>
      <c r="I229" s="1086"/>
      <c r="J229" s="1086"/>
      <c r="K229" s="1086"/>
      <c r="L229" s="1086"/>
      <c r="M229" s="1086"/>
    </row>
    <row r="230" spans="3:13" x14ac:dyDescent="0.2">
      <c r="D230" s="1086" t="s">
        <v>163</v>
      </c>
      <c r="E230" s="1086"/>
      <c r="F230" s="1086"/>
      <c r="G230" s="1086"/>
      <c r="H230" s="1086"/>
      <c r="I230" s="1086"/>
      <c r="J230" s="1086"/>
      <c r="K230" s="1086"/>
      <c r="L230" s="1086"/>
      <c r="M230" s="1086"/>
    </row>
    <row r="233" spans="3:13" hidden="1" x14ac:dyDescent="0.2">
      <c r="C233" s="12"/>
      <c r="D233" t="s">
        <v>314</v>
      </c>
      <c r="J233">
        <f>J159*J160+J167*J168+J175*J176+J183*J184+J191*J192</f>
        <v>0</v>
      </c>
      <c r="K233" s="1229">
        <f>K159*K160+K167*K168+K175*K176+K183*K184+K191*K192</f>
        <v>0</v>
      </c>
      <c r="L233" s="1229"/>
      <c r="M233">
        <f>M159*M160+M167*M168+M175*M176+M183*M184+M191*M192</f>
        <v>0</v>
      </c>
    </row>
    <row r="234" spans="3:13" hidden="1" x14ac:dyDescent="0.2">
      <c r="D234" s="445" t="s">
        <v>271</v>
      </c>
      <c r="E234" s="445"/>
      <c r="F234" s="445"/>
      <c r="G234" s="445"/>
      <c r="H234" s="445"/>
      <c r="I234" s="445"/>
      <c r="J234" s="9">
        <f>J158+J166+J174+J182+J190+J148+J143+J138+J133+J128+J123</f>
        <v>0</v>
      </c>
      <c r="K234" s="998">
        <f>K158+K166+K174+K182+K190+K148+K143+K138+K133+K128+K123</f>
        <v>0</v>
      </c>
      <c r="L234" s="998"/>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20">
        <f>K194*K192+K186*K184+K178*K176+K168*K170+K160*K162</f>
        <v>0</v>
      </c>
      <c r="L235" s="1020"/>
      <c r="M235" s="365">
        <f>M194*M192+M186*M184+M178*M176+M168*M170+M160*M162</f>
        <v>0</v>
      </c>
    </row>
    <row r="236" spans="3:13" hidden="1" x14ac:dyDescent="0.2">
      <c r="C236" s="12"/>
      <c r="D236" s="444" t="s">
        <v>250</v>
      </c>
      <c r="E236" s="444"/>
      <c r="F236" s="444"/>
      <c r="G236" s="444"/>
      <c r="H236" s="444"/>
      <c r="I236" s="444"/>
      <c r="J236" s="366">
        <f>IF(J234=0,0,J235/J234)</f>
        <v>0</v>
      </c>
      <c r="K236" s="999">
        <f t="shared" ref="K236:M236" si="37">IF(K234=0,0,K235/K234)</f>
        <v>0</v>
      </c>
      <c r="L236" s="999"/>
      <c r="M236" s="366">
        <f t="shared" si="37"/>
        <v>0</v>
      </c>
    </row>
    <row r="237" spans="3:13" hidden="1" x14ac:dyDescent="0.2">
      <c r="C237" s="12"/>
      <c r="D237" s="444" t="s">
        <v>267</v>
      </c>
      <c r="E237" s="444"/>
      <c r="F237" s="444"/>
      <c r="G237" s="444"/>
      <c r="H237" s="444"/>
      <c r="I237" s="444"/>
      <c r="J237" s="370">
        <f>J161*J160+J168*J169+J176*J177+J184*J185+J192*J193</f>
        <v>0</v>
      </c>
      <c r="K237" s="1019">
        <f>K161*K160+K168*K169+K176*K177+K184*K185+K192*K193</f>
        <v>0</v>
      </c>
      <c r="L237" s="1019"/>
      <c r="M237" s="370">
        <f>M161*M160+M168*M169+M176*M177+M184*M185+M192*M193</f>
        <v>0</v>
      </c>
    </row>
    <row r="238" spans="3:13" hidden="1" x14ac:dyDescent="0.2">
      <c r="C238" s="12"/>
      <c r="D238" s="447" t="s">
        <v>420</v>
      </c>
      <c r="E238" s="446"/>
      <c r="F238" s="446"/>
      <c r="G238" s="446"/>
      <c r="H238" s="446"/>
      <c r="I238" s="446"/>
      <c r="J238" s="365">
        <f>J203</f>
        <v>0</v>
      </c>
      <c r="K238" s="1020">
        <f>K203</f>
        <v>0</v>
      </c>
      <c r="L238" s="1020"/>
      <c r="M238" s="365">
        <f>M203</f>
        <v>0</v>
      </c>
    </row>
    <row r="239" spans="3:13" hidden="1" x14ac:dyDescent="0.2">
      <c r="C239" s="12"/>
      <c r="D239" s="444" t="s">
        <v>322</v>
      </c>
      <c r="E239" s="444"/>
      <c r="F239" s="444"/>
      <c r="G239" s="444"/>
      <c r="H239" s="444"/>
      <c r="I239" s="444"/>
      <c r="J239" s="9">
        <f>SUM(J237:J238)</f>
        <v>0</v>
      </c>
      <c r="K239" s="998">
        <f t="shared" ref="K239:M239" si="38">SUM(K237:K238)</f>
        <v>0</v>
      </c>
      <c r="L239" s="998"/>
      <c r="M239" s="9">
        <f t="shared" si="38"/>
        <v>0</v>
      </c>
    </row>
    <row r="240" spans="3:13" hidden="1" x14ac:dyDescent="0.2">
      <c r="C240" s="12"/>
      <c r="D240" s="444" t="s">
        <v>268</v>
      </c>
      <c r="E240" s="444"/>
      <c r="F240" s="444"/>
      <c r="G240" s="444"/>
      <c r="H240" s="444"/>
      <c r="I240" s="444"/>
      <c r="J240" s="358">
        <f>IF(J239=0,0,J239/J218)</f>
        <v>0</v>
      </c>
      <c r="K240" s="1000">
        <f>IF(K239=0,0,K239/K218)</f>
        <v>0</v>
      </c>
      <c r="L240" s="1000"/>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1:M1"/>
    <mergeCell ref="J2:M2"/>
    <mergeCell ref="B4:B5"/>
    <mergeCell ref="C5:E5"/>
    <mergeCell ref="J4:M5"/>
    <mergeCell ref="C10:D10"/>
    <mergeCell ref="F10:G10"/>
    <mergeCell ref="H10:J10"/>
    <mergeCell ref="K10:L10"/>
    <mergeCell ref="C11:D11"/>
    <mergeCell ref="F11:G11"/>
    <mergeCell ref="H11:I11"/>
    <mergeCell ref="K11:L11"/>
    <mergeCell ref="C6:D6"/>
    <mergeCell ref="C7:E7"/>
    <mergeCell ref="H7:M7"/>
    <mergeCell ref="C9:E9"/>
    <mergeCell ref="F9:G9"/>
    <mergeCell ref="H9:L9"/>
    <mergeCell ref="C14:D14"/>
    <mergeCell ref="F14:G14"/>
    <mergeCell ref="H14:I14"/>
    <mergeCell ref="C15:D15"/>
    <mergeCell ref="F15:G15"/>
    <mergeCell ref="H15:I15"/>
    <mergeCell ref="C12:D12"/>
    <mergeCell ref="F12:G12"/>
    <mergeCell ref="H12:I12"/>
    <mergeCell ref="C13:D13"/>
    <mergeCell ref="F13:G13"/>
    <mergeCell ref="H13:I13"/>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22:E22"/>
    <mergeCell ref="F22:G22"/>
    <mergeCell ref="K22:L22"/>
    <mergeCell ref="C23:E23"/>
    <mergeCell ref="F23:G23"/>
    <mergeCell ref="H23:L23"/>
    <mergeCell ref="C20:D20"/>
    <mergeCell ref="F20:G20"/>
    <mergeCell ref="H20:L20"/>
    <mergeCell ref="C21:E21"/>
    <mergeCell ref="F21:G21"/>
    <mergeCell ref="H21:L21"/>
    <mergeCell ref="C24:E24"/>
    <mergeCell ref="F24:G24"/>
    <mergeCell ref="H24:L24"/>
    <mergeCell ref="A25:B30"/>
    <mergeCell ref="C25:E25"/>
    <mergeCell ref="F25:G25"/>
    <mergeCell ref="H25:L25"/>
    <mergeCell ref="C26:E26"/>
    <mergeCell ref="F26:G26"/>
    <mergeCell ref="H26:L26"/>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D38:H38"/>
    <mergeCell ref="K38:L38"/>
    <mergeCell ref="K39:L39"/>
    <mergeCell ref="K40:L40"/>
    <mergeCell ref="K41:L41"/>
    <mergeCell ref="D42:H42"/>
    <mergeCell ref="K42:L42"/>
    <mergeCell ref="D34:H34"/>
    <mergeCell ref="K34:L34"/>
    <mergeCell ref="K35:L35"/>
    <mergeCell ref="K36:L36"/>
    <mergeCell ref="K37:L37"/>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C73:E73"/>
    <mergeCell ref="K73:L73"/>
    <mergeCell ref="D74:G74"/>
    <mergeCell ref="K74:L74"/>
    <mergeCell ref="D75:H75"/>
    <mergeCell ref="K75:L75"/>
    <mergeCell ref="K67:L67"/>
    <mergeCell ref="K68:L68"/>
    <mergeCell ref="K69:L69"/>
    <mergeCell ref="K70:L7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O121:P121"/>
    <mergeCell ref="F122:G122"/>
    <mergeCell ref="K122:L122"/>
    <mergeCell ref="O122:P122"/>
    <mergeCell ref="K114:L114"/>
    <mergeCell ref="K115:L115"/>
    <mergeCell ref="D116:H116"/>
    <mergeCell ref="K116:L116"/>
    <mergeCell ref="C119:H120"/>
    <mergeCell ref="I119:J119"/>
    <mergeCell ref="K119:L119"/>
    <mergeCell ref="K120:L120"/>
    <mergeCell ref="C123:E123"/>
    <mergeCell ref="F123:G123"/>
    <mergeCell ref="K123:L123"/>
    <mergeCell ref="C124:H124"/>
    <mergeCell ref="K124:L124"/>
    <mergeCell ref="C125:H125"/>
    <mergeCell ref="K125:L125"/>
    <mergeCell ref="C121:E121"/>
    <mergeCell ref="K121:L121"/>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59:H159"/>
    <mergeCell ref="K159:L159"/>
    <mergeCell ref="C160:H160"/>
    <mergeCell ref="K160:L160"/>
    <mergeCell ref="C161:H161"/>
    <mergeCell ref="K161:L161"/>
    <mergeCell ref="F156:G156"/>
    <mergeCell ref="K156:L156"/>
    <mergeCell ref="K157:L157"/>
    <mergeCell ref="C158:E158"/>
    <mergeCell ref="K158:L158"/>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93:H193"/>
    <mergeCell ref="K193:L193"/>
    <mergeCell ref="C194:H194"/>
    <mergeCell ref="K194:L194"/>
    <mergeCell ref="C195:H195"/>
    <mergeCell ref="K195:L195"/>
    <mergeCell ref="C190:E190"/>
    <mergeCell ref="K190:L190"/>
    <mergeCell ref="C191:H191"/>
    <mergeCell ref="K191:L191"/>
    <mergeCell ref="C192:H192"/>
    <mergeCell ref="K192:L192"/>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K209:L209"/>
    <mergeCell ref="K211:L211"/>
    <mergeCell ref="D212:I212"/>
    <mergeCell ref="K212:L212"/>
    <mergeCell ref="D213:I213"/>
    <mergeCell ref="K213:L213"/>
    <mergeCell ref="C203:H203"/>
    <mergeCell ref="K203:L203"/>
    <mergeCell ref="K205:L205"/>
    <mergeCell ref="K206:L206"/>
    <mergeCell ref="K208:L208"/>
    <mergeCell ref="K207:L207"/>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37:L237"/>
    <mergeCell ref="K238:L238"/>
    <mergeCell ref="K239:L239"/>
    <mergeCell ref="K240:L240"/>
    <mergeCell ref="D229:M229"/>
    <mergeCell ref="D230:M230"/>
    <mergeCell ref="K233:L233"/>
    <mergeCell ref="K234:L234"/>
    <mergeCell ref="K235:L235"/>
    <mergeCell ref="K236:L236"/>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025" t="s">
        <v>80</v>
      </c>
    </row>
    <row r="4" spans="1:24" ht="11.65" customHeight="1" x14ac:dyDescent="0.2">
      <c r="A4" s="1025"/>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2" t="s">
        <v>229</v>
      </c>
    </row>
    <row r="6" spans="1:24" ht="10.15" customHeight="1" x14ac:dyDescent="0.2">
      <c r="B6" s="908"/>
      <c r="C6" s="908"/>
      <c r="D6" s="908"/>
      <c r="E6" s="908"/>
      <c r="U6" s="1252"/>
    </row>
    <row r="7" spans="1:24" ht="16.149999999999999" customHeight="1" x14ac:dyDescent="0.2">
      <c r="B7" s="637"/>
      <c r="C7" s="1241" t="s">
        <v>206</v>
      </c>
      <c r="D7" s="1241"/>
      <c r="E7" s="124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3"/>
      <c r="V7" s="583"/>
      <c r="W7" s="256"/>
      <c r="X7" s="256"/>
    </row>
    <row r="8" spans="1:24" ht="12.6" customHeight="1" x14ac:dyDescent="0.2">
      <c r="B8" s="638">
        <v>1</v>
      </c>
      <c r="C8" s="1242" t="s">
        <v>334</v>
      </c>
      <c r="D8" s="1242"/>
      <c r="E8" s="1242"/>
      <c r="F8" s="124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39" t="s">
        <v>275</v>
      </c>
      <c r="D9" s="1239"/>
      <c r="E9" s="124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39" t="s">
        <v>510</v>
      </c>
      <c r="E10" s="1239"/>
      <c r="F10" s="124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39" t="s">
        <v>276</v>
      </c>
      <c r="D11" s="1239"/>
      <c r="E11" s="1239"/>
      <c r="F11" s="124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39" t="s">
        <v>511</v>
      </c>
      <c r="E12" s="1239"/>
      <c r="F12" s="124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39" t="s">
        <v>210</v>
      </c>
      <c r="D14" s="1244"/>
      <c r="E14" s="1244"/>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5" t="s">
        <v>211</v>
      </c>
      <c r="D15" s="1246"/>
      <c r="E15" s="1246"/>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0" t="s">
        <v>212</v>
      </c>
      <c r="D16" s="1250"/>
      <c r="E16" s="1250"/>
      <c r="F16" s="1251"/>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4" t="s">
        <v>226</v>
      </c>
      <c r="V16" s="1254"/>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4"/>
      <c r="V17" s="1254"/>
      <c r="W17" s="314"/>
      <c r="X17" s="314"/>
    </row>
    <row r="18" spans="2:25" ht="16.149999999999999" customHeight="1" x14ac:dyDescent="0.2">
      <c r="B18" s="642"/>
      <c r="C18" s="1241" t="s">
        <v>213</v>
      </c>
      <c r="D18" s="1241"/>
      <c r="E18" s="124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60">
        <v>6</v>
      </c>
      <c r="C19" s="1248" t="s">
        <v>214</v>
      </c>
      <c r="D19" s="1249"/>
      <c r="E19" s="1249"/>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6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39" t="s">
        <v>295</v>
      </c>
      <c r="D21" s="1244"/>
      <c r="E21" s="1244"/>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39" t="s">
        <v>215</v>
      </c>
      <c r="D22" s="1244"/>
      <c r="E22" s="1244"/>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39" t="s">
        <v>216</v>
      </c>
      <c r="D23" s="1244"/>
      <c r="E23" s="1244"/>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39" t="s">
        <v>351</v>
      </c>
      <c r="D24" s="1244"/>
      <c r="E24" s="1244"/>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39" t="s">
        <v>217</v>
      </c>
      <c r="D25" s="1239"/>
      <c r="E25" s="123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39" t="s">
        <v>218</v>
      </c>
      <c r="D26" s="1244"/>
      <c r="E26" s="1244"/>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39" t="s">
        <v>349</v>
      </c>
      <c r="D29" s="1244"/>
      <c r="E29" s="1244"/>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39" t="s">
        <v>274</v>
      </c>
      <c r="D30" s="1239"/>
      <c r="E30" s="123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39" t="s">
        <v>438</v>
      </c>
      <c r="D31" s="1244"/>
      <c r="E31" s="1244"/>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39" t="s">
        <v>222</v>
      </c>
      <c r="D32" s="1244"/>
      <c r="E32" s="1244"/>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39" t="s">
        <v>223</v>
      </c>
      <c r="D33" s="1244"/>
      <c r="E33" s="1244"/>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7" t="s">
        <v>289</v>
      </c>
      <c r="D34" s="1257"/>
      <c r="E34" s="1258"/>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7" t="s">
        <v>291</v>
      </c>
      <c r="D36" s="1257"/>
      <c r="E36" s="1258"/>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39" t="s">
        <v>281</v>
      </c>
      <c r="D40" s="1239"/>
      <c r="E40" s="1239"/>
      <c r="F40" s="124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39" t="s">
        <v>288</v>
      </c>
      <c r="D41" s="1244"/>
      <c r="E41" s="1244"/>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39" t="s">
        <v>283</v>
      </c>
      <c r="D43" s="1244"/>
      <c r="E43" s="1244"/>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39" t="s">
        <v>284</v>
      </c>
      <c r="D44" s="1239"/>
      <c r="E44" s="1239"/>
      <c r="F44" s="124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39" t="s">
        <v>350</v>
      </c>
      <c r="D45" s="1239"/>
      <c r="E45" s="1239"/>
      <c r="F45" s="124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39" t="s">
        <v>297</v>
      </c>
      <c r="D46" s="1239"/>
      <c r="E46" s="1239"/>
      <c r="F46" s="124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39" t="s">
        <v>285</v>
      </c>
      <c r="D47" s="1239"/>
      <c r="E47" s="1239"/>
      <c r="F47" s="124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39" t="s">
        <v>310</v>
      </c>
      <c r="D48" s="1239"/>
      <c r="E48" s="1239"/>
      <c r="F48" s="124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39" t="s">
        <v>286</v>
      </c>
      <c r="D49" s="1239"/>
      <c r="E49" s="1239"/>
      <c r="F49" s="124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39" t="s">
        <v>302</v>
      </c>
      <c r="D50" s="1244"/>
      <c r="E50" s="1244"/>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39" t="s">
        <v>331</v>
      </c>
      <c r="D51" s="1239"/>
      <c r="E51" s="1239"/>
      <c r="F51" s="124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5" t="s">
        <v>287</v>
      </c>
      <c r="D52" s="1245"/>
      <c r="E52" s="1245"/>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9" t="s">
        <v>225</v>
      </c>
      <c r="D53" s="1259"/>
      <c r="E53" s="1259"/>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62" t="s">
        <v>224</v>
      </c>
      <c r="D55" s="1263"/>
      <c r="E55" s="1263"/>
      <c r="F55" s="126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64">
        <f>SUM(G55:R55)</f>
        <v>0</v>
      </c>
    </row>
    <row r="56" spans="2:24" ht="13.9" customHeight="1" x14ac:dyDescent="0.2">
      <c r="B56" s="645">
        <v>34</v>
      </c>
      <c r="C56" s="1262" t="s">
        <v>277</v>
      </c>
      <c r="D56" s="1263"/>
      <c r="E56" s="1263"/>
      <c r="F56" s="126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65"/>
    </row>
    <row r="57" spans="2:24" x14ac:dyDescent="0.2">
      <c r="S57" s="436"/>
    </row>
    <row r="58" spans="2:24" x14ac:dyDescent="0.2">
      <c r="C58" s="73" t="s">
        <v>294</v>
      </c>
      <c r="K58" s="1111" t="str">
        <f>Aloitussivu!E40</f>
        <v>Business Rauma, Eurajoki, Prizztech</v>
      </c>
      <c r="L58" s="1111"/>
      <c r="M58" s="1111"/>
      <c r="N58" s="1111"/>
      <c r="O58" s="1111"/>
      <c r="P58" s="1111"/>
      <c r="Q58" s="1111"/>
      <c r="R58" s="1111"/>
      <c r="S58" s="1111"/>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zX9cFe7MLGGIx/RbsQlLJpgENaLQc6v3W8+VeXKf1NdJErifzlJ5fXk2bMauvI7i+XyspjhvJrXlSEimm4loBA==" saltValue="bvUE5ilfg6f4S7EVQbVyxg==" spinCount="100000" sheet="1" objects="1" scenarios="1" selectLockedCells="1"/>
  <mergeCells count="45">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52:E52"/>
    <mergeCell ref="C40:F40"/>
    <mergeCell ref="C41:E41"/>
    <mergeCell ref="C43:E43"/>
    <mergeCell ref="C44:F44"/>
    <mergeCell ref="C45:F45"/>
    <mergeCell ref="C46:F46"/>
    <mergeCell ref="C47:F47"/>
    <mergeCell ref="C48:F48"/>
    <mergeCell ref="C49:F49"/>
    <mergeCell ref="C50:E50"/>
    <mergeCell ref="C51:F51"/>
    <mergeCell ref="C53:E53"/>
    <mergeCell ref="C55:F55"/>
    <mergeCell ref="S55:S56"/>
    <mergeCell ref="C56:F56"/>
    <mergeCell ref="K58:S5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12" t="s">
        <v>415</v>
      </c>
      <c r="D11" s="1012"/>
      <c r="E11" s="101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2026-03-10T07:51:45Z</dcterms:modified>
</cp:coreProperties>
</file>