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ämäTyökirja"/>
  <mc:AlternateContent xmlns:mc="http://schemas.openxmlformats.org/markup-compatibility/2006">
    <mc:Choice Requires="x15">
      <x15ac:absPath xmlns:x15ac="http://schemas.microsoft.com/office/spreadsheetml/2010/11/ac" url="C:\Users\Henri\Dropbox\Företagstolken\Utbytte 2026\FT22 Touko2 260527\"/>
    </mc:Choice>
  </mc:AlternateContent>
  <xr:revisionPtr revIDLastSave="0" documentId="13_ncr:1_{F0DD999D-B96A-467E-8523-F92CD9879648}" xr6:coauthVersionLast="47" xr6:coauthVersionMax="47" xr10:uidLastSave="{00000000-0000-0000-0000-000000000000}"/>
  <workbookProtection workbookAlgorithmName="SHA-512" workbookHashValue="S8a9qsxzwcJuslsHyseCpXUslU9BPW4AyXYphNnmT6iZIJACpAxZeEZk2e+rXR9b2840catU5Ew8ASW9/6RZ8Q==" workbookSaltValue="HCU8ZbAxWrBy66Sb7afMKg==" workbookSpinCount="100000" lockStructure="1"/>
  <bookViews>
    <workbookView xWindow="17895" yWindow="0" windowWidth="34605" windowHeight="20985" xr2:uid="{805E700B-AB92-4DC3-B2BF-64BD0F2276A9}"/>
  </bookViews>
  <sheets>
    <sheet name="STARTSIDAN" sheetId="31" r:id="rId1"/>
    <sheet name="1. T1 INVESTERINGSP." sheetId="26" r:id="rId2"/>
    <sheet name="2. &amp; 7. T2 RESULTATB." sheetId="20" r:id="rId3"/>
    <sheet name="Kaavio" sheetId="34" state="hidden" r:id="rId4"/>
    <sheet name="3. T3 BALANS" sheetId="32" r:id="rId5"/>
    <sheet name="4. T7 LÅN " sheetId="28" r:id="rId6"/>
    <sheet name="5. E1 VERKSAMHETSKOSTN." sheetId="1" r:id="rId7"/>
    <sheet name="6. E2 OMSÄTTNING" sheetId="2" r:id="rId8"/>
    <sheet name="8. T4 FINANSIERINGSB." sheetId="27" r:id="rId9"/>
    <sheet name="9. T5 KASSABUDGET" sheetId="30" r:id="rId10"/>
    <sheet name="AT T5 Kassa" sheetId="33" state="hidden" r:id="rId11"/>
    <sheet name="UTSKRIVNING" sheetId="35" r:id="rId12"/>
    <sheet name="Päiväkirja" sheetId="36" state="hidden" r:id="rId13"/>
    <sheet name="AT1 Avustus, alv-laskenta " sheetId="22" state="hidden" r:id="rId14"/>
    <sheet name="AT2 Lainat,sotum., alv-osto" sheetId="29" state="hidden" r:id="rId15"/>
  </sheets>
  <definedNames>
    <definedName name="_3_2010">'5. E1 VERKSAMHETSKOSTN.'!$D$8</definedName>
    <definedName name="_3_2012">'5. E1 VERKSAMHETSKOSTN.'!$H$8</definedName>
    <definedName name="Rahapalkat__TyEL_työntekijät">'5. E1 VERKSAMHETSKOSTN.'!#REF!</definedName>
    <definedName name="Teksti37" localSheetId="6">'5. E1 VERKSAMHETSKOSTN.'!$F$6</definedName>
    <definedName name="Teksti38" localSheetId="6">'5. E1 VERKSAMHETSKOSTN.'!$F$8</definedName>
    <definedName name="Teksti39" localSheetId="6">'5. E1 VERKSAMHETSKOSTN.'!$H$8</definedName>
    <definedName name="Teksti39">#REF!</definedName>
    <definedName name="_xlnm.Print_Area" localSheetId="1">'1. T1 INVESTERINGSP.'!$B$3:$T$67</definedName>
    <definedName name="_xlnm.Print_Area" localSheetId="2">'2. &amp; 7. T2 RESULTATB.'!$B$2:$AF$36</definedName>
    <definedName name="_xlnm.Print_Area" localSheetId="4">'3. T3 BALANS'!$B$2:$U$101</definedName>
    <definedName name="_xlnm.Print_Area" localSheetId="5">'4. T7 LÅN '!$B$2:$Q$52</definedName>
    <definedName name="_xlnm.Print_Area" localSheetId="6">'5. E1 VERKSAMHETSKOSTN.'!$B$2:$AB$128</definedName>
    <definedName name="_xlnm.Print_Area" localSheetId="7">'6. E2 OMSÄTTNING'!$B$2:$V$87</definedName>
    <definedName name="_xlnm.Print_Area" localSheetId="8">'8. T4 FINANSIERINGSB.'!$B$2:$U$64</definedName>
    <definedName name="_xlnm.Print_Area" localSheetId="9">'9. T5 KASSABUDGET'!$B$5:$AL$117</definedName>
    <definedName name="_xlnm.Print_Area" localSheetId="0">STARTSIDAN!$A$1:$G$23</definedName>
    <definedName name="_xlnm.Print_Area" localSheetId="11">UTSKRIVNING!$B$2:$AY$81</definedName>
    <definedName name="_xlnm.Print_Titles" localSheetId="4">'3. T3 BALANS'!$2:$9</definedName>
    <definedName name="_xlnm.Print_Titles" localSheetId="6">'5. E1 VERKSAMHETSKOSTN.'!$2:$10</definedName>
    <definedName name="Yritystulkki" localSheetId="6">'5. E1 VERKSAMHETSKOSTN.'!$2:$9</definedName>
    <definedName name="YT" localSheetId="1">'1. T1 INVESTERINGSP.'!$B$3:$T$68</definedName>
    <definedName name="YT" localSheetId="2">'2. &amp; 7. T2 RESULTATB.'!$B$1:$AF$37</definedName>
    <definedName name="YT" localSheetId="4">'3. T3 BALANS'!$B$2:$U$102</definedName>
    <definedName name="YT" localSheetId="5">'4. T7 LÅN '!$B$2:$Q$52</definedName>
    <definedName name="YT" localSheetId="6">'5. E1 VERKSAMHETSKOSTN.'!$B$2:$AB$128</definedName>
    <definedName name="YT" localSheetId="7">'6. E2 OMSÄTTNING'!$B$2:$V$87</definedName>
    <definedName name="YT" localSheetId="8">'8. T4 FINANSIERINGSB.'!$B$2:$U$65</definedName>
    <definedName name="YT" localSheetId="9">'9. T5 KASSABUDGET'!$B$5:$AL$102</definedName>
    <definedName name="YT" localSheetId="11">UTSKRIVNING!$B$2:$AY$81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2" i="30" l="1"/>
  <c r="M89" i="30"/>
  <c r="M88" i="30"/>
  <c r="N32" i="30"/>
  <c r="H32" i="30"/>
  <c r="S32" i="30" s="1"/>
  <c r="I32" i="30"/>
  <c r="J32" i="30"/>
  <c r="K32" i="30"/>
  <c r="L32" i="30"/>
  <c r="O32" i="30"/>
  <c r="P32" i="30"/>
  <c r="Q32" i="30"/>
  <c r="R32" i="30"/>
  <c r="G32" i="30"/>
  <c r="R89" i="30"/>
  <c r="H89" i="30"/>
  <c r="I89" i="30"/>
  <c r="J89" i="30"/>
  <c r="K89" i="30"/>
  <c r="L89" i="30"/>
  <c r="N89" i="30"/>
  <c r="O89" i="30"/>
  <c r="P89" i="30"/>
  <c r="Q89" i="30"/>
  <c r="G89" i="30"/>
  <c r="S47" i="32"/>
  <c r="P38" i="28"/>
  <c r="P37" i="28"/>
  <c r="P36" i="28"/>
  <c r="M34" i="28"/>
  <c r="M33" i="28"/>
  <c r="M32" i="28"/>
  <c r="P30" i="28"/>
  <c r="P29" i="28"/>
  <c r="P28" i="28"/>
  <c r="J30" i="28"/>
  <c r="J29" i="28"/>
  <c r="J28" i="28"/>
  <c r="P26" i="28"/>
  <c r="P25" i="28"/>
  <c r="M26" i="28"/>
  <c r="M25" i="28"/>
  <c r="G26" i="28"/>
  <c r="G25" i="28"/>
  <c r="G24" i="28"/>
  <c r="U36" i="30"/>
  <c r="S91" i="30"/>
  <c r="S34" i="30"/>
  <c r="F24" i="1"/>
  <c r="F17" i="1"/>
  <c r="U33" i="30" s="1"/>
  <c r="G33" i="30" s="1"/>
  <c r="F12" i="1"/>
  <c r="U31" i="30" s="1"/>
  <c r="G31" i="30" s="1"/>
  <c r="E69" i="30"/>
  <c r="H70" i="30"/>
  <c r="H72" i="30" s="1"/>
  <c r="I70" i="30"/>
  <c r="I72" i="30" s="1"/>
  <c r="J70" i="30"/>
  <c r="J72" i="30" s="1"/>
  <c r="K70" i="30"/>
  <c r="K72" i="30" s="1"/>
  <c r="L70" i="30"/>
  <c r="L72" i="30" s="1"/>
  <c r="M70" i="30"/>
  <c r="M72" i="30" s="1"/>
  <c r="N70" i="30"/>
  <c r="N72" i="30" s="1"/>
  <c r="O70" i="30"/>
  <c r="O72" i="30" s="1"/>
  <c r="P70" i="30"/>
  <c r="P72" i="30" s="1"/>
  <c r="Q70" i="30"/>
  <c r="Q72" i="30" s="1"/>
  <c r="R70" i="30"/>
  <c r="R72" i="30" s="1"/>
  <c r="G70" i="30"/>
  <c r="G72" i="30" s="1"/>
  <c r="H15" i="30"/>
  <c r="I15" i="30"/>
  <c r="J15" i="30"/>
  <c r="K15" i="30"/>
  <c r="L15" i="30"/>
  <c r="M15" i="30"/>
  <c r="N15" i="30"/>
  <c r="O15" i="30"/>
  <c r="P15" i="30"/>
  <c r="Q15" i="30"/>
  <c r="R15" i="30"/>
  <c r="G15" i="30"/>
  <c r="U71" i="27"/>
  <c r="Q27" i="27"/>
  <c r="P27" i="27"/>
  <c r="Q22" i="27"/>
  <c r="Q21" i="27"/>
  <c r="P22" i="27"/>
  <c r="Q38" i="27"/>
  <c r="P38" i="27"/>
  <c r="P45" i="27" a="1"/>
  <c r="P45" i="27" s="1"/>
  <c r="P40" i="27"/>
  <c r="P32" i="27"/>
  <c r="P30" i="27"/>
  <c r="G26" i="30"/>
  <c r="G41" i="30"/>
  <c r="AP42" i="35"/>
  <c r="AN42" i="35"/>
  <c r="AM42" i="35"/>
  <c r="AK42" i="35"/>
  <c r="AJ42" i="35"/>
  <c r="AH42" i="35"/>
  <c r="C45" i="35"/>
  <c r="C44" i="35"/>
  <c r="C43" i="35"/>
  <c r="S89" i="30" l="1"/>
  <c r="G35" i="30"/>
  <c r="H33" i="30"/>
  <c r="H31" i="30"/>
  <c r="O2" i="1"/>
  <c r="H44" i="26"/>
  <c r="F44" i="26"/>
  <c r="G44" i="26"/>
  <c r="E44" i="26"/>
  <c r="Q10" i="28"/>
  <c r="N10" i="28"/>
  <c r="K10" i="28"/>
  <c r="O10" i="28"/>
  <c r="L10" i="28"/>
  <c r="I10" i="28"/>
  <c r="O20" i="28"/>
  <c r="AS20" i="35"/>
  <c r="AS18" i="35"/>
  <c r="AS15" i="35"/>
  <c r="AS12" i="35"/>
  <c r="AF62" i="35"/>
  <c r="AG62" i="35"/>
  <c r="AH62" i="35"/>
  <c r="AI62" i="35"/>
  <c r="AJ62" i="35"/>
  <c r="AK62" i="35"/>
  <c r="AL62" i="35"/>
  <c r="AM62" i="35"/>
  <c r="AN62" i="35"/>
  <c r="AO62" i="35"/>
  <c r="AP62" i="35"/>
  <c r="AE62" i="35"/>
  <c r="AC61" i="35"/>
  <c r="AD61" i="35"/>
  <c r="AB61" i="35"/>
  <c r="AP28" i="35"/>
  <c r="AM28" i="35"/>
  <c r="AJ28" i="35"/>
  <c r="U5" i="35"/>
  <c r="T5" i="35"/>
  <c r="I33" i="35"/>
  <c r="H33" i="35"/>
  <c r="E33" i="35"/>
  <c r="F33" i="35"/>
  <c r="G33" i="35"/>
  <c r="D33" i="35"/>
  <c r="T104" i="30"/>
  <c r="T47" i="30"/>
  <c r="T78" i="30"/>
  <c r="S66" i="30"/>
  <c r="AC65" i="30"/>
  <c r="AB5" i="30"/>
  <c r="W5" i="30"/>
  <c r="U74" i="30"/>
  <c r="U102" i="30"/>
  <c r="F66" i="30"/>
  <c r="C111" i="30"/>
  <c r="C102" i="30"/>
  <c r="B104" i="30"/>
  <c r="B78" i="30"/>
  <c r="B66" i="30"/>
  <c r="H66" i="30"/>
  <c r="I66" i="30"/>
  <c r="J66" i="30"/>
  <c r="K66" i="30"/>
  <c r="L66" i="30"/>
  <c r="M66" i="30"/>
  <c r="N66" i="30"/>
  <c r="O66" i="30"/>
  <c r="P66" i="30"/>
  <c r="Q66" i="30"/>
  <c r="R66" i="30"/>
  <c r="G66" i="30"/>
  <c r="H35" i="30" l="1"/>
  <c r="I33" i="30"/>
  <c r="I31" i="30"/>
  <c r="J31" i="30" s="1"/>
  <c r="K31" i="30" s="1"/>
  <c r="L31" i="30" s="1"/>
  <c r="S31" i="30"/>
  <c r="T31" i="30" s="1"/>
  <c r="N31" i="30"/>
  <c r="O31" i="30" s="1"/>
  <c r="P31" i="30" s="1"/>
  <c r="Q31" i="30" s="1"/>
  <c r="R31" i="30" s="1"/>
  <c r="M31" i="30"/>
  <c r="F21" i="30"/>
  <c r="B9" i="2"/>
  <c r="K10" i="27"/>
  <c r="L7" i="1"/>
  <c r="J7" i="1"/>
  <c r="H7" i="1"/>
  <c r="I35" i="30" l="1"/>
  <c r="J33" i="30"/>
  <c r="H26" i="1"/>
  <c r="F24" i="28"/>
  <c r="F18" i="2"/>
  <c r="J35" i="30" l="1"/>
  <c r="K33" i="30"/>
  <c r="U109" i="30"/>
  <c r="U52" i="30"/>
  <c r="E20" i="2"/>
  <c r="F20" i="2" s="1"/>
  <c r="F21" i="2" s="1"/>
  <c r="E27" i="2"/>
  <c r="E34" i="2"/>
  <c r="E41" i="2"/>
  <c r="E48" i="2"/>
  <c r="E55" i="2"/>
  <c r="E62" i="2"/>
  <c r="E69" i="2"/>
  <c r="E76" i="2"/>
  <c r="E83" i="2"/>
  <c r="K35" i="30" l="1"/>
  <c r="L33" i="30"/>
  <c r="F47" i="1"/>
  <c r="N33" i="30" l="1"/>
  <c r="M33" i="30"/>
  <c r="L35" i="30"/>
  <c r="F48" i="1"/>
  <c r="F66" i="1"/>
  <c r="L32" i="2"/>
  <c r="L25" i="2"/>
  <c r="M25" i="2" s="1"/>
  <c r="N25" i="2" s="1"/>
  <c r="L26" i="2"/>
  <c r="M26" i="2" s="1"/>
  <c r="N26" i="2" s="1"/>
  <c r="L33" i="2"/>
  <c r="M33" i="2" s="1"/>
  <c r="N33" i="2" s="1"/>
  <c r="F50" i="1"/>
  <c r="F57" i="1"/>
  <c r="F60" i="1"/>
  <c r="F58" i="1"/>
  <c r="F61" i="1"/>
  <c r="F65" i="1"/>
  <c r="F67" i="1"/>
  <c r="F75" i="1"/>
  <c r="F77" i="1"/>
  <c r="F80" i="1"/>
  <c r="F84" i="1"/>
  <c r="F109" i="1"/>
  <c r="N35" i="30" l="1"/>
  <c r="O33" i="30"/>
  <c r="M35" i="30"/>
  <c r="H75" i="1"/>
  <c r="F51" i="1"/>
  <c r="F49" i="1"/>
  <c r="O35" i="30" l="1"/>
  <c r="P33" i="30"/>
  <c r="U42" i="30"/>
  <c r="F120" i="1"/>
  <c r="P35" i="30" l="1"/>
  <c r="Q33" i="30"/>
  <c r="D104" i="1"/>
  <c r="P106" i="1"/>
  <c r="F106" i="1"/>
  <c r="D77" i="29" s="1"/>
  <c r="D78" i="29" s="1"/>
  <c r="P105" i="1"/>
  <c r="Q105" i="1" s="1"/>
  <c r="R105" i="1" s="1"/>
  <c r="F105" i="1"/>
  <c r="D75" i="29" s="1"/>
  <c r="D76" i="29" s="1"/>
  <c r="Q35" i="30" l="1"/>
  <c r="R33" i="30"/>
  <c r="H106" i="1"/>
  <c r="F77" i="29" s="1"/>
  <c r="F78" i="29" s="1"/>
  <c r="H105" i="1"/>
  <c r="F75" i="29" s="1"/>
  <c r="F76" i="29" s="1"/>
  <c r="Q106" i="1"/>
  <c r="R106" i="1" s="1"/>
  <c r="S33" i="30" l="1"/>
  <c r="T33" i="30" s="1"/>
  <c r="R35" i="30"/>
  <c r="S35" i="30" s="1"/>
  <c r="J105" i="1"/>
  <c r="J106" i="1"/>
  <c r="H77" i="29" s="1"/>
  <c r="H78" i="29" s="1"/>
  <c r="L105" i="1" l="1"/>
  <c r="J75" i="29" s="1"/>
  <c r="J76" i="29" s="1"/>
  <c r="H75" i="29"/>
  <c r="H76" i="29" s="1"/>
  <c r="L106" i="1"/>
  <c r="J77" i="29" s="1"/>
  <c r="J78" i="29" s="1"/>
  <c r="L6" i="35"/>
  <c r="I8" i="35"/>
  <c r="L5" i="35"/>
  <c r="I6" i="35"/>
  <c r="H75" i="30" l="1"/>
  <c r="I75" i="30"/>
  <c r="J75" i="30"/>
  <c r="K75" i="30"/>
  <c r="L75" i="30"/>
  <c r="N75" i="30"/>
  <c r="O75" i="30"/>
  <c r="P75" i="30"/>
  <c r="Q75" i="30"/>
  <c r="R75" i="30"/>
  <c r="G75" i="30"/>
  <c r="G18" i="30"/>
  <c r="H18" i="30"/>
  <c r="I18" i="30"/>
  <c r="J18" i="30"/>
  <c r="K18" i="30"/>
  <c r="L18" i="30"/>
  <c r="N18" i="30"/>
  <c r="O18" i="30"/>
  <c r="P18" i="30"/>
  <c r="Q18" i="30"/>
  <c r="R18" i="30"/>
  <c r="H17" i="30"/>
  <c r="I17" i="30"/>
  <c r="J17" i="30"/>
  <c r="K17" i="30"/>
  <c r="L17" i="30"/>
  <c r="M17" i="30"/>
  <c r="N17" i="30"/>
  <c r="O17" i="30"/>
  <c r="P17" i="30"/>
  <c r="Q17" i="30"/>
  <c r="R17" i="30"/>
  <c r="G17" i="30"/>
  <c r="P124" i="1" l="1"/>
  <c r="Q124" i="1" s="1"/>
  <c r="R124" i="1" s="1"/>
  <c r="P123" i="1"/>
  <c r="Q123" i="1" s="1"/>
  <c r="R123" i="1" s="1"/>
  <c r="P122" i="1"/>
  <c r="Q122" i="1" s="1"/>
  <c r="R122" i="1" s="1"/>
  <c r="P121" i="1"/>
  <c r="Q121" i="1" s="1"/>
  <c r="R121" i="1" s="1"/>
  <c r="P115" i="1"/>
  <c r="P114" i="1"/>
  <c r="P110" i="1"/>
  <c r="P109" i="1"/>
  <c r="H109" i="1" s="1"/>
  <c r="P107" i="1"/>
  <c r="P103" i="1"/>
  <c r="P102" i="1"/>
  <c r="P101" i="1"/>
  <c r="P100" i="1"/>
  <c r="P98" i="1"/>
  <c r="P97" i="1"/>
  <c r="P96" i="1"/>
  <c r="P95" i="1"/>
  <c r="P93" i="1"/>
  <c r="P92" i="1"/>
  <c r="P91" i="1"/>
  <c r="P90" i="1"/>
  <c r="P89" i="1"/>
  <c r="P87" i="1"/>
  <c r="P86" i="1"/>
  <c r="P85" i="1"/>
  <c r="P84" i="1"/>
  <c r="H84" i="1" s="1"/>
  <c r="P82" i="1"/>
  <c r="P81" i="1"/>
  <c r="P80" i="1"/>
  <c r="H80" i="1" s="1"/>
  <c r="P78" i="1"/>
  <c r="P77" i="1"/>
  <c r="H77" i="1" s="1"/>
  <c r="P76" i="1"/>
  <c r="P75" i="1"/>
  <c r="P73" i="1"/>
  <c r="P72" i="1"/>
  <c r="P71" i="1"/>
  <c r="P70" i="1"/>
  <c r="P68" i="1"/>
  <c r="P67" i="1"/>
  <c r="H67" i="1" s="1"/>
  <c r="P66" i="1"/>
  <c r="H66" i="1" s="1"/>
  <c r="P65" i="1"/>
  <c r="H65" i="1" s="1"/>
  <c r="P64" i="1"/>
  <c r="P62" i="1"/>
  <c r="P61" i="1"/>
  <c r="P60" i="1"/>
  <c r="H60" i="1" s="1"/>
  <c r="P59" i="1"/>
  <c r="P58" i="1"/>
  <c r="P57" i="1"/>
  <c r="H57" i="1" s="1"/>
  <c r="P56" i="1"/>
  <c r="P55" i="1"/>
  <c r="P54" i="1"/>
  <c r="P53" i="1"/>
  <c r="P51" i="1"/>
  <c r="P50" i="1"/>
  <c r="H50" i="1" s="1"/>
  <c r="P49" i="1"/>
  <c r="P48" i="1"/>
  <c r="P47" i="1"/>
  <c r="R85" i="27" l="1"/>
  <c r="W65" i="30"/>
  <c r="S117" i="30"/>
  <c r="S116" i="30"/>
  <c r="F53" i="2"/>
  <c r="F46" i="2"/>
  <c r="F39" i="2"/>
  <c r="F32" i="2"/>
  <c r="G32" i="2" s="1"/>
  <c r="F25" i="2"/>
  <c r="G25" i="2" s="1"/>
  <c r="AL65" i="29" l="1"/>
  <c r="AM64" i="29"/>
  <c r="AI64" i="29"/>
  <c r="AK64" i="29" s="1"/>
  <c r="Z64" i="29"/>
  <c r="T64" i="29"/>
  <c r="Q64" i="29"/>
  <c r="S64" i="29" s="1"/>
  <c r="N64" i="29"/>
  <c r="AM63" i="29"/>
  <c r="AI63" i="29"/>
  <c r="AK63" i="29" s="1"/>
  <c r="AC63" i="29"/>
  <c r="AE63" i="29" s="1"/>
  <c r="Z63" i="29"/>
  <c r="T63" i="29"/>
  <c r="Q63" i="29"/>
  <c r="S63" i="29" s="1"/>
  <c r="N63" i="29"/>
  <c r="AM62" i="29"/>
  <c r="AI62" i="29"/>
  <c r="AK62" i="29" s="1"/>
  <c r="AC62" i="29"/>
  <c r="AE62" i="29" s="1"/>
  <c r="W62" i="29"/>
  <c r="Y62" i="29" s="1"/>
  <c r="T62" i="29"/>
  <c r="N62" i="29"/>
  <c r="AM61" i="29"/>
  <c r="AI61" i="29"/>
  <c r="AK61" i="29" s="1"/>
  <c r="AC61" i="29"/>
  <c r="AE61" i="29" s="1"/>
  <c r="W61" i="29"/>
  <c r="Y61" i="29" s="1"/>
  <c r="Q61" i="29"/>
  <c r="S61" i="29" s="1"/>
  <c r="F57" i="29"/>
  <c r="AI56" i="29"/>
  <c r="W53" i="29"/>
  <c r="W64" i="29" s="1"/>
  <c r="Y64" i="29" s="1"/>
  <c r="E53" i="29"/>
  <c r="AB53" i="29" s="1"/>
  <c r="D53" i="29"/>
  <c r="AE53" i="29" s="1"/>
  <c r="C53" i="29"/>
  <c r="E50" i="29"/>
  <c r="D50" i="29"/>
  <c r="AH50" i="29" s="1"/>
  <c r="Q43" i="28" s="1"/>
  <c r="AP65" i="35" s="1"/>
  <c r="C50" i="29"/>
  <c r="K47" i="29"/>
  <c r="E47" i="29"/>
  <c r="M47" i="29" s="1"/>
  <c r="D47" i="29"/>
  <c r="S47" i="29" s="1"/>
  <c r="J42" i="28" s="1"/>
  <c r="AI64" i="35" s="1"/>
  <c r="C47" i="29"/>
  <c r="E44" i="29"/>
  <c r="M44" i="29" s="1"/>
  <c r="M61" i="29" s="1"/>
  <c r="M65" i="29" s="1"/>
  <c r="D44" i="29"/>
  <c r="S44" i="29" s="1"/>
  <c r="C44" i="29"/>
  <c r="E40" i="29"/>
  <c r="D40" i="29"/>
  <c r="AK40" i="29" s="1"/>
  <c r="F39" i="29"/>
  <c r="F38" i="29"/>
  <c r="AM37" i="29"/>
  <c r="AI36" i="29"/>
  <c r="AK36" i="29" s="1"/>
  <c r="Z36" i="29"/>
  <c r="W36" i="29"/>
  <c r="Y36" i="29" s="1"/>
  <c r="T36" i="29"/>
  <c r="Q36" i="29"/>
  <c r="S36" i="29" s="1"/>
  <c r="O36" i="29"/>
  <c r="N36" i="29"/>
  <c r="AI35" i="29"/>
  <c r="AK35" i="29" s="1"/>
  <c r="AI34" i="29"/>
  <c r="AK34" i="29" s="1"/>
  <c r="AI33" i="29"/>
  <c r="AK33" i="29" s="1"/>
  <c r="AI28" i="29"/>
  <c r="AE27" i="29"/>
  <c r="AD27" i="29"/>
  <c r="AJ27" i="29" s="1"/>
  <c r="Z27" i="29"/>
  <c r="K27" i="29"/>
  <c r="K36" i="29" s="1"/>
  <c r="M36" i="29" s="1"/>
  <c r="E27" i="29"/>
  <c r="D27" i="29"/>
  <c r="L27" i="29" s="1"/>
  <c r="C27" i="29"/>
  <c r="B27" i="29"/>
  <c r="B36" i="29" s="1"/>
  <c r="AE26" i="29"/>
  <c r="Y26" i="29"/>
  <c r="W26" i="29"/>
  <c r="W35" i="29" s="1"/>
  <c r="Y35" i="29" s="1"/>
  <c r="S26" i="29"/>
  <c r="Q26" i="29"/>
  <c r="Q35" i="29" s="1"/>
  <c r="S35" i="29" s="1"/>
  <c r="M26" i="29"/>
  <c r="K26" i="29"/>
  <c r="E26" i="29"/>
  <c r="D26" i="29"/>
  <c r="L26" i="29" s="1"/>
  <c r="C26" i="29"/>
  <c r="B26" i="29"/>
  <c r="B35" i="29" s="1"/>
  <c r="AE25" i="29"/>
  <c r="Y25" i="29"/>
  <c r="W25" i="29"/>
  <c r="S25" i="29"/>
  <c r="Q25" i="29"/>
  <c r="M25" i="29"/>
  <c r="K25" i="29"/>
  <c r="E25" i="29"/>
  <c r="D25" i="29"/>
  <c r="L25" i="29" s="1"/>
  <c r="C25" i="29"/>
  <c r="B25" i="29"/>
  <c r="AC24" i="29"/>
  <c r="AC34" i="29" s="1"/>
  <c r="AE34" i="29" s="1"/>
  <c r="Y24" i="29"/>
  <c r="S24" i="29"/>
  <c r="Q24" i="29"/>
  <c r="Q34" i="29" s="1"/>
  <c r="S34" i="29" s="1"/>
  <c r="M24" i="29"/>
  <c r="K24" i="29"/>
  <c r="K34" i="29" s="1"/>
  <c r="M34" i="29" s="1"/>
  <c r="E24" i="29"/>
  <c r="D24" i="29"/>
  <c r="AK24" i="29" s="1"/>
  <c r="C24" i="29"/>
  <c r="B24" i="29"/>
  <c r="B34" i="29" s="1"/>
  <c r="AC23" i="29"/>
  <c r="Y23" i="29"/>
  <c r="S23" i="29"/>
  <c r="R23" i="29"/>
  <c r="X23" i="29" s="1"/>
  <c r="AD23" i="29" s="1"/>
  <c r="AJ23" i="29" s="1"/>
  <c r="Q23" i="29"/>
  <c r="E23" i="29"/>
  <c r="D23" i="29"/>
  <c r="C23" i="29"/>
  <c r="B23" i="29"/>
  <c r="AC22" i="29"/>
  <c r="Y22" i="29"/>
  <c r="S22" i="29"/>
  <c r="R22" i="29"/>
  <c r="X22" i="29" s="1"/>
  <c r="AD22" i="29" s="1"/>
  <c r="AJ22" i="29" s="1"/>
  <c r="Q22" i="29"/>
  <c r="E22" i="29"/>
  <c r="D22" i="29"/>
  <c r="C22" i="29"/>
  <c r="B22" i="29"/>
  <c r="AC21" i="29"/>
  <c r="W21" i="29"/>
  <c r="S21" i="29"/>
  <c r="R21" i="29"/>
  <c r="X21" i="29" s="1"/>
  <c r="AD21" i="29" s="1"/>
  <c r="AJ21" i="29" s="1"/>
  <c r="E21" i="29"/>
  <c r="D21" i="29"/>
  <c r="C21" i="29"/>
  <c r="B21" i="29"/>
  <c r="AC20" i="29"/>
  <c r="W20" i="29"/>
  <c r="S20" i="29"/>
  <c r="R20" i="29"/>
  <c r="X20" i="29" s="1"/>
  <c r="AD20" i="29" s="1"/>
  <c r="AJ20" i="29" s="1"/>
  <c r="E20" i="29"/>
  <c r="D20" i="29"/>
  <c r="C20" i="29"/>
  <c r="B20" i="29"/>
  <c r="AC19" i="29"/>
  <c r="W19" i="29"/>
  <c r="S19" i="29"/>
  <c r="R19" i="29"/>
  <c r="X19" i="29" s="1"/>
  <c r="AD19" i="29" s="1"/>
  <c r="AJ19" i="29" s="1"/>
  <c r="E19" i="29"/>
  <c r="D19" i="29"/>
  <c r="C19" i="29"/>
  <c r="B19" i="29"/>
  <c r="AC18" i="29"/>
  <c r="W18" i="29"/>
  <c r="Q18" i="29"/>
  <c r="M18" i="29"/>
  <c r="E18" i="29"/>
  <c r="D18" i="29"/>
  <c r="L18" i="29" s="1"/>
  <c r="C18" i="29"/>
  <c r="B18" i="29"/>
  <c r="AC17" i="29"/>
  <c r="W17" i="29"/>
  <c r="Q17" i="29"/>
  <c r="M17" i="29"/>
  <c r="E17" i="29"/>
  <c r="D17" i="29"/>
  <c r="AK17" i="29" s="1"/>
  <c r="C17" i="29"/>
  <c r="B17" i="29"/>
  <c r="AC16" i="29"/>
  <c r="AC33" i="29" s="1"/>
  <c r="AE33" i="29" s="1"/>
  <c r="W16" i="29"/>
  <c r="W33" i="29" s="1"/>
  <c r="Y33" i="29" s="1"/>
  <c r="Q16" i="29"/>
  <c r="Q33" i="29" s="1"/>
  <c r="M16" i="29"/>
  <c r="E16" i="29"/>
  <c r="D16" i="29"/>
  <c r="L16" i="29" s="1"/>
  <c r="C16" i="29"/>
  <c r="B16" i="29"/>
  <c r="B33" i="29" s="1"/>
  <c r="AN14" i="29"/>
  <c r="AJ14" i="29"/>
  <c r="AI14" i="29"/>
  <c r="AD14" i="29"/>
  <c r="AC14" i="29"/>
  <c r="W14" i="29"/>
  <c r="Q14" i="29"/>
  <c r="I14" i="29"/>
  <c r="G14" i="29"/>
  <c r="G28" i="29" s="1"/>
  <c r="M13" i="29"/>
  <c r="E13" i="29"/>
  <c r="D13" i="29"/>
  <c r="C13" i="29"/>
  <c r="O13" i="29" s="1"/>
  <c r="B13" i="29"/>
  <c r="M12" i="29"/>
  <c r="E12" i="29"/>
  <c r="D12" i="29"/>
  <c r="C12" i="29"/>
  <c r="O12" i="29" s="1"/>
  <c r="B12" i="29"/>
  <c r="M11" i="29"/>
  <c r="E11" i="29"/>
  <c r="D11" i="29"/>
  <c r="C11" i="29"/>
  <c r="O11" i="29" s="1"/>
  <c r="B11" i="29"/>
  <c r="M10" i="29"/>
  <c r="E10" i="29"/>
  <c r="D10" i="29"/>
  <c r="C10" i="29"/>
  <c r="O10" i="29" s="1"/>
  <c r="B10" i="29"/>
  <c r="M9" i="29"/>
  <c r="E9" i="29"/>
  <c r="D9" i="29"/>
  <c r="C9" i="29"/>
  <c r="B9" i="29"/>
  <c r="M8" i="29"/>
  <c r="E8" i="29"/>
  <c r="D8" i="29"/>
  <c r="C8" i="29"/>
  <c r="O8" i="29" s="1"/>
  <c r="B8" i="29"/>
  <c r="M7" i="29"/>
  <c r="E7" i="29"/>
  <c r="D7" i="29"/>
  <c r="C7" i="29"/>
  <c r="B7" i="29"/>
  <c r="J61" i="22"/>
  <c r="I61" i="22"/>
  <c r="H61" i="22"/>
  <c r="J52" i="22"/>
  <c r="W51" i="22"/>
  <c r="J49" i="22"/>
  <c r="V47" i="22"/>
  <c r="U47" i="22"/>
  <c r="T47" i="22"/>
  <c r="S47" i="22"/>
  <c r="R47" i="22"/>
  <c r="Q47" i="22"/>
  <c r="P47" i="22"/>
  <c r="O47" i="22"/>
  <c r="N47" i="22"/>
  <c r="M47" i="22"/>
  <c r="M48" i="22" s="1"/>
  <c r="L47" i="22"/>
  <c r="J47" i="22"/>
  <c r="J45" i="22"/>
  <c r="F45" i="22"/>
  <c r="E45" i="22"/>
  <c r="D45" i="22"/>
  <c r="C45" i="22"/>
  <c r="W44" i="22"/>
  <c r="W43" i="22"/>
  <c r="C42" i="22"/>
  <c r="B42" i="22"/>
  <c r="J41" i="22"/>
  <c r="F41" i="22"/>
  <c r="E41" i="22"/>
  <c r="D41" i="22"/>
  <c r="C41" i="22"/>
  <c r="B41" i="22"/>
  <c r="A41" i="22"/>
  <c r="J38" i="22"/>
  <c r="F38" i="22"/>
  <c r="E38" i="22"/>
  <c r="D38" i="22"/>
  <c r="C38" i="22"/>
  <c r="B38" i="22"/>
  <c r="J36" i="22"/>
  <c r="C35" i="22"/>
  <c r="B35" i="22"/>
  <c r="J34" i="22"/>
  <c r="F34" i="22"/>
  <c r="E34" i="22"/>
  <c r="D34" i="22"/>
  <c r="C34" i="22"/>
  <c r="C36" i="22" s="1"/>
  <c r="B34" i="22"/>
  <c r="A34" i="22"/>
  <c r="F31" i="22"/>
  <c r="E31" i="22"/>
  <c r="D31" i="22"/>
  <c r="C31" i="22"/>
  <c r="B31" i="22"/>
  <c r="J30" i="22"/>
  <c r="I30" i="22"/>
  <c r="F29" i="22"/>
  <c r="E29" i="22"/>
  <c r="D29" i="22"/>
  <c r="C29" i="22"/>
  <c r="F28" i="22"/>
  <c r="F30" i="22" s="1"/>
  <c r="E28" i="22"/>
  <c r="E30" i="22" s="1"/>
  <c r="D28" i="22"/>
  <c r="D30" i="22" s="1"/>
  <c r="C28" i="22"/>
  <c r="B28" i="22"/>
  <c r="A28" i="22"/>
  <c r="F25" i="22"/>
  <c r="E25" i="22"/>
  <c r="D25" i="22"/>
  <c r="C25" i="22"/>
  <c r="I23" i="22"/>
  <c r="H23" i="22"/>
  <c r="C22" i="22"/>
  <c r="B22" i="22"/>
  <c r="J21" i="22"/>
  <c r="I21" i="22"/>
  <c r="H21" i="22"/>
  <c r="F20" i="22"/>
  <c r="E20" i="22"/>
  <c r="D20" i="22"/>
  <c r="D21" i="22" s="1"/>
  <c r="C20" i="22"/>
  <c r="F19" i="22"/>
  <c r="F21" i="22" s="1"/>
  <c r="E19" i="22"/>
  <c r="E21" i="22" s="1"/>
  <c r="D19" i="22"/>
  <c r="C19" i="22"/>
  <c r="B19" i="22"/>
  <c r="A19" i="22"/>
  <c r="J18" i="22"/>
  <c r="I18" i="22"/>
  <c r="H18" i="22"/>
  <c r="V16" i="22"/>
  <c r="U16" i="22"/>
  <c r="T16" i="22"/>
  <c r="S16" i="22"/>
  <c r="R16" i="22"/>
  <c r="Q16" i="22"/>
  <c r="P16" i="22"/>
  <c r="O16" i="22"/>
  <c r="N16" i="22"/>
  <c r="M16" i="22"/>
  <c r="L16" i="22"/>
  <c r="J16" i="22"/>
  <c r="P17" i="22" s="1"/>
  <c r="I16" i="22"/>
  <c r="H16" i="22"/>
  <c r="F16" i="22"/>
  <c r="F17" i="22" s="1"/>
  <c r="E16" i="22"/>
  <c r="D16" i="22"/>
  <c r="C16" i="22"/>
  <c r="F15" i="22"/>
  <c r="E15" i="22"/>
  <c r="D15" i="22"/>
  <c r="C15" i="22"/>
  <c r="B15" i="22"/>
  <c r="A15" i="22"/>
  <c r="J14" i="22"/>
  <c r="I14" i="22"/>
  <c r="H14" i="22"/>
  <c r="H12" i="22"/>
  <c r="F12" i="22"/>
  <c r="E12" i="22"/>
  <c r="D12" i="22"/>
  <c r="C12" i="22"/>
  <c r="B12" i="22"/>
  <c r="J10" i="22"/>
  <c r="I10" i="22"/>
  <c r="H10" i="22"/>
  <c r="F9" i="22"/>
  <c r="E9" i="22"/>
  <c r="D9" i="22"/>
  <c r="C9" i="22"/>
  <c r="B9" i="22"/>
  <c r="F8" i="22"/>
  <c r="F10" i="22" s="1"/>
  <c r="E8" i="22"/>
  <c r="D8" i="22"/>
  <c r="D10" i="22" s="1"/>
  <c r="C8" i="22"/>
  <c r="B8" i="22"/>
  <c r="A8" i="22"/>
  <c r="J7" i="22"/>
  <c r="I7" i="22"/>
  <c r="H7" i="22"/>
  <c r="F6" i="22"/>
  <c r="E6" i="22"/>
  <c r="J5" i="22"/>
  <c r="I5" i="22"/>
  <c r="H5" i="22"/>
  <c r="F5" i="22"/>
  <c r="E5" i="22"/>
  <c r="D5" i="22"/>
  <c r="C5" i="22"/>
  <c r="B5" i="22"/>
  <c r="F4" i="22"/>
  <c r="F7" i="22" s="1"/>
  <c r="K20" i="32" s="1"/>
  <c r="E4" i="22"/>
  <c r="E7" i="22" s="1"/>
  <c r="J20" i="32" s="1"/>
  <c r="D4" i="22"/>
  <c r="C4" i="22"/>
  <c r="B4" i="22"/>
  <c r="A4" i="22"/>
  <c r="J3" i="22"/>
  <c r="I3" i="22"/>
  <c r="H3" i="22"/>
  <c r="C3" i="22"/>
  <c r="K2" i="22"/>
  <c r="J2" i="22"/>
  <c r="R199" i="35"/>
  <c r="AT112" i="35"/>
  <c r="AY82" i="35"/>
  <c r="AW81" i="35"/>
  <c r="AR81" i="35"/>
  <c r="AK81" i="35"/>
  <c r="AA81" i="35"/>
  <c r="W81" i="35"/>
  <c r="R81" i="35"/>
  <c r="J81" i="35"/>
  <c r="B81" i="35"/>
  <c r="AR80" i="35"/>
  <c r="AA80" i="35"/>
  <c r="R80" i="35"/>
  <c r="B80" i="35"/>
  <c r="R77" i="35"/>
  <c r="D76" i="35"/>
  <c r="F74" i="35"/>
  <c r="D74" i="35"/>
  <c r="O73" i="35"/>
  <c r="N73" i="35"/>
  <c r="M73" i="35"/>
  <c r="L73" i="35"/>
  <c r="K73" i="35"/>
  <c r="J73" i="35"/>
  <c r="I73" i="35"/>
  <c r="H73" i="35"/>
  <c r="G73" i="35"/>
  <c r="F73" i="35"/>
  <c r="E73" i="35"/>
  <c r="D73" i="35"/>
  <c r="AA72" i="35"/>
  <c r="F72" i="35"/>
  <c r="D72" i="35"/>
  <c r="AA70" i="35"/>
  <c r="AA69" i="35"/>
  <c r="F69" i="35"/>
  <c r="D69" i="35"/>
  <c r="AD68" i="35"/>
  <c r="AA68" i="35"/>
  <c r="Y68" i="35"/>
  <c r="X68" i="35"/>
  <c r="W68" i="35"/>
  <c r="V68" i="35"/>
  <c r="N68" i="35"/>
  <c r="L68" i="35"/>
  <c r="J68" i="35"/>
  <c r="H68" i="35"/>
  <c r="F68" i="35"/>
  <c r="D68" i="35"/>
  <c r="AA67" i="35"/>
  <c r="N67" i="35"/>
  <c r="L67" i="35"/>
  <c r="J67" i="35"/>
  <c r="H67" i="35"/>
  <c r="F67" i="35"/>
  <c r="D67" i="35"/>
  <c r="AD66" i="35"/>
  <c r="AC66" i="35"/>
  <c r="AB66" i="35"/>
  <c r="AA66" i="35"/>
  <c r="AD65" i="35"/>
  <c r="AC65" i="35"/>
  <c r="AB65" i="35"/>
  <c r="AA65" i="35"/>
  <c r="F65" i="35"/>
  <c r="D65" i="35"/>
  <c r="AD64" i="35"/>
  <c r="AC64" i="35"/>
  <c r="AB64" i="35"/>
  <c r="AA64" i="35"/>
  <c r="AD63" i="35"/>
  <c r="AC63" i="35"/>
  <c r="AB63" i="35"/>
  <c r="AA63" i="35"/>
  <c r="F63" i="35"/>
  <c r="D63" i="35"/>
  <c r="F62" i="35"/>
  <c r="D62" i="35"/>
  <c r="AA61" i="35"/>
  <c r="F61" i="35"/>
  <c r="D61" i="35"/>
  <c r="F60" i="35"/>
  <c r="D60" i="35"/>
  <c r="AA59" i="35"/>
  <c r="F59" i="35"/>
  <c r="D59" i="35"/>
  <c r="AO58" i="35"/>
  <c r="AD58" i="35"/>
  <c r="AC58" i="35"/>
  <c r="AB58" i="35"/>
  <c r="AA58" i="35"/>
  <c r="AO57" i="35"/>
  <c r="AD57" i="35"/>
  <c r="AC57" i="35"/>
  <c r="AB57" i="35"/>
  <c r="AA57" i="35"/>
  <c r="N57" i="35"/>
  <c r="L57" i="35"/>
  <c r="J57" i="35"/>
  <c r="H57" i="35"/>
  <c r="F57" i="35"/>
  <c r="D57" i="35"/>
  <c r="AO56" i="35"/>
  <c r="AD56" i="35"/>
  <c r="AC56" i="35"/>
  <c r="AB56" i="35"/>
  <c r="AA56" i="35"/>
  <c r="H56" i="35"/>
  <c r="F56" i="35"/>
  <c r="D56" i="35"/>
  <c r="AA55" i="35"/>
  <c r="F55" i="35"/>
  <c r="D55" i="35"/>
  <c r="AL54" i="35"/>
  <c r="AD54" i="35"/>
  <c r="AC54" i="35"/>
  <c r="AB54" i="35"/>
  <c r="AA54" i="35"/>
  <c r="N54" i="35"/>
  <c r="L54" i="35"/>
  <c r="J54" i="35"/>
  <c r="H54" i="35"/>
  <c r="F54" i="35"/>
  <c r="D54" i="35"/>
  <c r="AL53" i="35"/>
  <c r="AD53" i="35"/>
  <c r="AC53" i="35"/>
  <c r="AB53" i="35"/>
  <c r="AA53" i="35"/>
  <c r="AL52" i="35"/>
  <c r="AD52" i="35"/>
  <c r="AC52" i="35"/>
  <c r="AB52" i="35"/>
  <c r="AA52" i="35"/>
  <c r="F52" i="35"/>
  <c r="D52" i="35"/>
  <c r="AA51" i="35"/>
  <c r="Y51" i="35"/>
  <c r="X51" i="35"/>
  <c r="W51" i="35"/>
  <c r="V51" i="35"/>
  <c r="AI50" i="35"/>
  <c r="AD50" i="35"/>
  <c r="AC50" i="35"/>
  <c r="AB50" i="35"/>
  <c r="AA50" i="35"/>
  <c r="AI49" i="35"/>
  <c r="AD49" i="35"/>
  <c r="AC49" i="35"/>
  <c r="AB49" i="35"/>
  <c r="AA49" i="35"/>
  <c r="AI48" i="35"/>
  <c r="AD48" i="35"/>
  <c r="AC48" i="35"/>
  <c r="AB48" i="35"/>
  <c r="AA48" i="35"/>
  <c r="U48" i="35"/>
  <c r="T48" i="35"/>
  <c r="AA47" i="35"/>
  <c r="AF46" i="35"/>
  <c r="AD46" i="35"/>
  <c r="AC46" i="35"/>
  <c r="AB46" i="35"/>
  <c r="AA46" i="35"/>
  <c r="AF45" i="35"/>
  <c r="AD45" i="35"/>
  <c r="AC45" i="35"/>
  <c r="AB45" i="35"/>
  <c r="AA45" i="35"/>
  <c r="G45" i="35"/>
  <c r="F45" i="35"/>
  <c r="E45" i="35"/>
  <c r="D45" i="35"/>
  <c r="AF44" i="35"/>
  <c r="AD44" i="35"/>
  <c r="AC44" i="35"/>
  <c r="AB44" i="35"/>
  <c r="AA44" i="35"/>
  <c r="U44" i="35"/>
  <c r="T44" i="35"/>
  <c r="G44" i="35"/>
  <c r="F44" i="35"/>
  <c r="E44" i="35"/>
  <c r="D44" i="35"/>
  <c r="AA43" i="35"/>
  <c r="G43" i="35"/>
  <c r="F43" i="35"/>
  <c r="E43" i="35"/>
  <c r="D43" i="35"/>
  <c r="AG42" i="35"/>
  <c r="AE42" i="35"/>
  <c r="AA42" i="35"/>
  <c r="U41" i="35"/>
  <c r="T41" i="35"/>
  <c r="G41" i="35"/>
  <c r="F41" i="35"/>
  <c r="E41" i="35"/>
  <c r="D41" i="35"/>
  <c r="AN40" i="35"/>
  <c r="G40" i="35"/>
  <c r="F40" i="35"/>
  <c r="E40" i="35"/>
  <c r="D40" i="35"/>
  <c r="Y39" i="35"/>
  <c r="X39" i="35"/>
  <c r="W39" i="35"/>
  <c r="V39" i="35"/>
  <c r="AD38" i="35"/>
  <c r="AC38" i="35"/>
  <c r="AA38" i="35"/>
  <c r="U38" i="35"/>
  <c r="T38" i="35"/>
  <c r="G38" i="35"/>
  <c r="F38" i="35"/>
  <c r="E38" i="35"/>
  <c r="D38" i="35"/>
  <c r="U37" i="35"/>
  <c r="T37" i="35"/>
  <c r="G37" i="35"/>
  <c r="F37" i="35"/>
  <c r="E37" i="35"/>
  <c r="D37" i="35"/>
  <c r="AA36" i="35"/>
  <c r="AE35" i="35"/>
  <c r="AD35" i="35"/>
  <c r="AC35" i="35"/>
  <c r="AB35" i="35"/>
  <c r="AA35" i="35"/>
  <c r="Y35" i="35"/>
  <c r="X35" i="35"/>
  <c r="W35" i="35"/>
  <c r="V35" i="35"/>
  <c r="U35" i="35"/>
  <c r="T35" i="35"/>
  <c r="AE34" i="35"/>
  <c r="AD34" i="35"/>
  <c r="AC34" i="35"/>
  <c r="AB34" i="35"/>
  <c r="AA34" i="35"/>
  <c r="U34" i="35"/>
  <c r="AE33" i="35"/>
  <c r="AD33" i="35"/>
  <c r="AC33" i="35"/>
  <c r="AB33" i="35"/>
  <c r="AA33" i="35"/>
  <c r="U33" i="35"/>
  <c r="T33" i="35"/>
  <c r="AE32" i="35"/>
  <c r="AD32" i="35"/>
  <c r="AC32" i="35"/>
  <c r="AB32" i="35"/>
  <c r="AA32" i="35"/>
  <c r="AE31" i="35"/>
  <c r="AD31" i="35"/>
  <c r="AC31" i="35"/>
  <c r="AB31" i="35"/>
  <c r="AA31" i="35"/>
  <c r="U31" i="35"/>
  <c r="T31" i="35"/>
  <c r="I30" i="35"/>
  <c r="AE30" i="35"/>
  <c r="AD30" i="35"/>
  <c r="AC30" i="35"/>
  <c r="AB30" i="35"/>
  <c r="AA30" i="35"/>
  <c r="U30" i="35"/>
  <c r="T30" i="35"/>
  <c r="AE29" i="35"/>
  <c r="AD29" i="35"/>
  <c r="AC29" i="35"/>
  <c r="AB29" i="35"/>
  <c r="AA29" i="35"/>
  <c r="U29" i="35"/>
  <c r="T29" i="35"/>
  <c r="I29" i="35"/>
  <c r="G29" i="35"/>
  <c r="F29" i="35"/>
  <c r="E29" i="35"/>
  <c r="D29" i="35"/>
  <c r="H29" i="35" s="1"/>
  <c r="AH28" i="35"/>
  <c r="AK28" i="35" s="1"/>
  <c r="AN28" i="35" s="1"/>
  <c r="AA28" i="35"/>
  <c r="I28" i="35"/>
  <c r="G28" i="35"/>
  <c r="F28" i="35"/>
  <c r="E28" i="35"/>
  <c r="D28" i="35"/>
  <c r="H28" i="35" s="1"/>
  <c r="G27" i="35"/>
  <c r="F27" i="35"/>
  <c r="E27" i="35"/>
  <c r="D27" i="35"/>
  <c r="AN26" i="35"/>
  <c r="AK26" i="35"/>
  <c r="AH26" i="35"/>
  <c r="AE26" i="35"/>
  <c r="Y26" i="35"/>
  <c r="X26" i="35"/>
  <c r="W26" i="35"/>
  <c r="V26" i="35"/>
  <c r="U26" i="35"/>
  <c r="T26" i="35"/>
  <c r="I26" i="35"/>
  <c r="G26" i="35"/>
  <c r="F26" i="35"/>
  <c r="E26" i="35"/>
  <c r="D26" i="35"/>
  <c r="U25" i="35"/>
  <c r="G25" i="35"/>
  <c r="F25" i="35"/>
  <c r="E25" i="35"/>
  <c r="D25" i="35"/>
  <c r="I24" i="35"/>
  <c r="G24" i="35"/>
  <c r="F24" i="35"/>
  <c r="E24" i="35"/>
  <c r="D24" i="35"/>
  <c r="U23" i="35"/>
  <c r="T23" i="35"/>
  <c r="I23" i="35"/>
  <c r="G23" i="35"/>
  <c r="F23" i="35"/>
  <c r="E23" i="35"/>
  <c r="D23" i="35"/>
  <c r="U22" i="35"/>
  <c r="T22" i="35"/>
  <c r="G22" i="35"/>
  <c r="F22" i="35"/>
  <c r="E22" i="35"/>
  <c r="D22" i="35"/>
  <c r="U21" i="35"/>
  <c r="T21" i="35"/>
  <c r="I21" i="35"/>
  <c r="G21" i="35"/>
  <c r="F21" i="35"/>
  <c r="E21" i="35"/>
  <c r="D21" i="35"/>
  <c r="Y20" i="35"/>
  <c r="X20" i="35"/>
  <c r="W20" i="35"/>
  <c r="V20" i="35"/>
  <c r="U20" i="35"/>
  <c r="T20" i="35"/>
  <c r="I20" i="35"/>
  <c r="G20" i="35"/>
  <c r="F20" i="35"/>
  <c r="H20" i="35" s="1"/>
  <c r="E20" i="35"/>
  <c r="D20" i="35"/>
  <c r="AR19" i="35"/>
  <c r="U19" i="35"/>
  <c r="T19" i="35"/>
  <c r="G19" i="35"/>
  <c r="F19" i="35"/>
  <c r="E19" i="35"/>
  <c r="D19" i="35"/>
  <c r="U18" i="35"/>
  <c r="T18" i="35"/>
  <c r="I18" i="35"/>
  <c r="G18" i="35"/>
  <c r="F18" i="35"/>
  <c r="E18" i="35"/>
  <c r="D18" i="35"/>
  <c r="G17" i="35"/>
  <c r="F17" i="35"/>
  <c r="E17" i="35"/>
  <c r="D17" i="35"/>
  <c r="U16" i="35"/>
  <c r="T16" i="35"/>
  <c r="I16" i="35"/>
  <c r="G16" i="35"/>
  <c r="F16" i="35"/>
  <c r="E16" i="35"/>
  <c r="D16" i="35"/>
  <c r="U14" i="35"/>
  <c r="T14" i="35"/>
  <c r="U13" i="35"/>
  <c r="T13" i="35"/>
  <c r="U12" i="35"/>
  <c r="T12" i="35"/>
  <c r="I12" i="35"/>
  <c r="U11" i="35"/>
  <c r="T11" i="35"/>
  <c r="U10" i="35"/>
  <c r="T10" i="35"/>
  <c r="I10" i="35"/>
  <c r="B10" i="35"/>
  <c r="I9" i="35"/>
  <c r="AR8" i="35"/>
  <c r="U8" i="35"/>
  <c r="T8" i="35"/>
  <c r="B8" i="35"/>
  <c r="U6" i="35"/>
  <c r="T6" i="35"/>
  <c r="AU5" i="35"/>
  <c r="AT5" i="35" s="1"/>
  <c r="AO5" i="35"/>
  <c r="AY5" i="35" s="1"/>
  <c r="AM5" i="35"/>
  <c r="AX5" i="35" s="1"/>
  <c r="AK5" i="35"/>
  <c r="AW5" i="35" s="1"/>
  <c r="AI5" i="35"/>
  <c r="AV5" i="35" s="1"/>
  <c r="AE5" i="35"/>
  <c r="AG5" i="35"/>
  <c r="U110" i="30"/>
  <c r="G109" i="30"/>
  <c r="S101" i="30"/>
  <c r="G100" i="30"/>
  <c r="S100" i="30" s="1"/>
  <c r="S81" i="30"/>
  <c r="S78" i="30"/>
  <c r="S104" i="30" s="1"/>
  <c r="B64" i="30"/>
  <c r="M60" i="30"/>
  <c r="AF46" i="30" s="1"/>
  <c r="B60" i="30"/>
  <c r="O59" i="30"/>
  <c r="U53" i="30"/>
  <c r="G52" i="30"/>
  <c r="AJ45" i="30"/>
  <c r="S44" i="30"/>
  <c r="G43" i="30"/>
  <c r="S43" i="30" s="1"/>
  <c r="Z41" i="30"/>
  <c r="G30" i="30"/>
  <c r="H30" i="30" s="1"/>
  <c r="K16" i="22"/>
  <c r="BI26" i="30"/>
  <c r="BG26" i="30"/>
  <c r="BB26" i="30"/>
  <c r="AZ26" i="30"/>
  <c r="AU26" i="30"/>
  <c r="AS26" i="30"/>
  <c r="BK25" i="30"/>
  <c r="BN25" i="30" s="1"/>
  <c r="BJ25" i="30"/>
  <c r="BC25" i="30"/>
  <c r="S21" i="30"/>
  <c r="S47" i="30" s="1"/>
  <c r="H21" i="30"/>
  <c r="H47" i="30" s="1"/>
  <c r="G21" i="30"/>
  <c r="G47" i="30" s="1"/>
  <c r="G10" i="30"/>
  <c r="AA41" i="30"/>
  <c r="W7" i="30"/>
  <c r="B7" i="30"/>
  <c r="W8" i="30" s="1"/>
  <c r="D2" i="33"/>
  <c r="R2" i="33" s="1"/>
  <c r="C2" i="33"/>
  <c r="Q2" i="33" s="1"/>
  <c r="Q94" i="27"/>
  <c r="P94" i="27"/>
  <c r="R64" i="27"/>
  <c r="G64" i="27"/>
  <c r="B64" i="27"/>
  <c r="I63" i="27"/>
  <c r="G59" i="27"/>
  <c r="F59" i="27"/>
  <c r="AE17" i="35" s="1"/>
  <c r="G58" i="27"/>
  <c r="AG16" i="35" s="1"/>
  <c r="F58" i="27"/>
  <c r="AE16" i="35" s="1"/>
  <c r="G56" i="27"/>
  <c r="AG14" i="35" s="1"/>
  <c r="F56" i="27"/>
  <c r="AE14" i="35" s="1"/>
  <c r="G55" i="27"/>
  <c r="AG13" i="35" s="1"/>
  <c r="F55" i="27"/>
  <c r="AE13" i="35" s="1"/>
  <c r="G54" i="27"/>
  <c r="F54" i="27"/>
  <c r="G53" i="27"/>
  <c r="AG11" i="35" s="1"/>
  <c r="F53" i="27"/>
  <c r="AE11" i="35" s="1"/>
  <c r="G51" i="27"/>
  <c r="AG9" i="35" s="1"/>
  <c r="F51" i="27"/>
  <c r="AE9" i="35" s="1"/>
  <c r="G50" i="27"/>
  <c r="F50" i="27"/>
  <c r="AE8" i="35" s="1"/>
  <c r="G49" i="27"/>
  <c r="F49" i="27"/>
  <c r="AE7" i="35" s="1"/>
  <c r="H48" i="27"/>
  <c r="I48" i="27" s="1"/>
  <c r="J48" i="27" s="1"/>
  <c r="K48" i="27" s="1"/>
  <c r="K46" i="27"/>
  <c r="G43" i="27"/>
  <c r="F43" i="27"/>
  <c r="K24" i="27"/>
  <c r="J24" i="27"/>
  <c r="I24" i="27"/>
  <c r="H24" i="27"/>
  <c r="K16" i="27"/>
  <c r="Y55" i="35" s="1"/>
  <c r="J16" i="27"/>
  <c r="X55" i="35" s="1"/>
  <c r="I16" i="27"/>
  <c r="W55" i="35" s="1"/>
  <c r="H16" i="27"/>
  <c r="V55" i="35" s="1"/>
  <c r="P15" i="27"/>
  <c r="Q13" i="27"/>
  <c r="D3" i="34" s="1"/>
  <c r="P13" i="27"/>
  <c r="P14" i="27" s="1"/>
  <c r="D77" i="35" s="1"/>
  <c r="H12" i="27"/>
  <c r="I12" i="27" s="1"/>
  <c r="J12" i="27" s="1"/>
  <c r="K12" i="27" s="1"/>
  <c r="F11" i="27"/>
  <c r="F47" i="27" s="1"/>
  <c r="J10" i="27"/>
  <c r="T10" i="27" s="1"/>
  <c r="I10" i="27"/>
  <c r="I46" i="27" s="1"/>
  <c r="H10" i="27"/>
  <c r="H46" i="27" s="1"/>
  <c r="G46" i="27"/>
  <c r="T8" i="27"/>
  <c r="J8" i="27"/>
  <c r="B8" i="27"/>
  <c r="M8" i="27" s="1"/>
  <c r="F87" i="2"/>
  <c r="G86" i="2"/>
  <c r="F83" i="2"/>
  <c r="L82" i="2"/>
  <c r="M82" i="2" s="1"/>
  <c r="N82" i="2" s="1"/>
  <c r="E82" i="2"/>
  <c r="F82" i="2" s="1"/>
  <c r="F80" i="2" s="1"/>
  <c r="L81" i="2"/>
  <c r="M81" i="2" s="1"/>
  <c r="N81" i="2" s="1"/>
  <c r="F81" i="2"/>
  <c r="G79" i="2"/>
  <c r="H79" i="2" s="1"/>
  <c r="I79" i="2" s="1"/>
  <c r="F76" i="2"/>
  <c r="L75" i="2"/>
  <c r="M75" i="2" s="1"/>
  <c r="N75" i="2" s="1"/>
  <c r="E75" i="2"/>
  <c r="F75" i="2" s="1"/>
  <c r="F73" i="2" s="1"/>
  <c r="L74" i="2"/>
  <c r="M74" i="2" s="1"/>
  <c r="N74" i="2" s="1"/>
  <c r="F74" i="2"/>
  <c r="G72" i="2"/>
  <c r="H72" i="2" s="1"/>
  <c r="I72" i="2" s="1"/>
  <c r="F69" i="2"/>
  <c r="L68" i="2"/>
  <c r="M68" i="2" s="1"/>
  <c r="N68" i="2" s="1"/>
  <c r="E68" i="2"/>
  <c r="F68" i="2" s="1"/>
  <c r="F66" i="2" s="1"/>
  <c r="L67" i="2"/>
  <c r="M67" i="2" s="1"/>
  <c r="N67" i="2" s="1"/>
  <c r="F67" i="2"/>
  <c r="G67" i="2" s="1"/>
  <c r="G65" i="2"/>
  <c r="H65" i="2" s="1"/>
  <c r="I65" i="2" s="1"/>
  <c r="F62" i="2"/>
  <c r="L61" i="2"/>
  <c r="M61" i="2" s="1"/>
  <c r="N61" i="2" s="1"/>
  <c r="E61" i="2"/>
  <c r="F61" i="2" s="1"/>
  <c r="F59" i="2" s="1"/>
  <c r="L60" i="2"/>
  <c r="M60" i="2" s="1"/>
  <c r="N60" i="2" s="1"/>
  <c r="F60" i="2"/>
  <c r="G58" i="2"/>
  <c r="H58" i="2" s="1"/>
  <c r="I58" i="2" s="1"/>
  <c r="F55" i="2"/>
  <c r="G55" i="2" s="1"/>
  <c r="H55" i="2" s="1"/>
  <c r="I55" i="2" s="1"/>
  <c r="L54" i="2"/>
  <c r="M54" i="2" s="1"/>
  <c r="N54" i="2" s="1"/>
  <c r="E54" i="2"/>
  <c r="F54" i="2" s="1"/>
  <c r="L53" i="2"/>
  <c r="G53" i="2" s="1"/>
  <c r="G51" i="2"/>
  <c r="H51" i="2" s="1"/>
  <c r="I51" i="2" s="1"/>
  <c r="F48" i="2"/>
  <c r="G48" i="2" s="1"/>
  <c r="H48" i="2" s="1"/>
  <c r="I48" i="2" s="1"/>
  <c r="L47" i="2"/>
  <c r="M47" i="2" s="1"/>
  <c r="N47" i="2" s="1"/>
  <c r="E47" i="2"/>
  <c r="F47" i="2" s="1"/>
  <c r="F45" i="2" s="1"/>
  <c r="L46" i="2"/>
  <c r="M46" i="2" s="1"/>
  <c r="N46" i="2" s="1"/>
  <c r="I44" i="2"/>
  <c r="H44" i="2"/>
  <c r="G44" i="2"/>
  <c r="F41" i="2"/>
  <c r="G41" i="2" s="1"/>
  <c r="H41" i="2" s="1"/>
  <c r="I41" i="2" s="1"/>
  <c r="M40" i="2"/>
  <c r="N40" i="2" s="1"/>
  <c r="L40" i="2"/>
  <c r="E40" i="2"/>
  <c r="F40" i="2" s="1"/>
  <c r="F38" i="2" s="1"/>
  <c r="L39" i="2"/>
  <c r="G39" i="2" s="1"/>
  <c r="G37" i="2"/>
  <c r="H37" i="2" s="1"/>
  <c r="I37" i="2" s="1"/>
  <c r="F34" i="2"/>
  <c r="G34" i="2" s="1"/>
  <c r="H34" i="2" s="1"/>
  <c r="I34" i="2" s="1"/>
  <c r="E33" i="2"/>
  <c r="F33" i="2" s="1"/>
  <c r="M32" i="2"/>
  <c r="H32" i="2" s="1"/>
  <c r="G30" i="2"/>
  <c r="H30" i="2" s="1"/>
  <c r="I30" i="2" s="1"/>
  <c r="F27" i="2"/>
  <c r="E26" i="2"/>
  <c r="F26" i="2" s="1"/>
  <c r="G23" i="2"/>
  <c r="H23" i="2" s="1"/>
  <c r="I23" i="2" s="1"/>
  <c r="G20" i="2"/>
  <c r="L19" i="2"/>
  <c r="M19" i="2" s="1"/>
  <c r="N19" i="2" s="1"/>
  <c r="E19" i="2"/>
  <c r="F19" i="2" s="1"/>
  <c r="F17" i="2" s="1"/>
  <c r="L18" i="2"/>
  <c r="G18" i="2" s="1"/>
  <c r="G16" i="2"/>
  <c r="H16" i="2" s="1"/>
  <c r="I16" i="2" s="1"/>
  <c r="E11" i="2"/>
  <c r="E10" i="2"/>
  <c r="F5" i="2"/>
  <c r="B3" i="2"/>
  <c r="K2" i="2"/>
  <c r="F128" i="1"/>
  <c r="B128" i="1"/>
  <c r="B87" i="2" s="1"/>
  <c r="I127" i="1"/>
  <c r="F124" i="1"/>
  <c r="F123" i="1"/>
  <c r="H123" i="1" s="1"/>
  <c r="J123" i="1" s="1"/>
  <c r="L123" i="1" s="1"/>
  <c r="F122" i="1"/>
  <c r="U37" i="30" s="1"/>
  <c r="F121" i="1"/>
  <c r="H121" i="1" s="1"/>
  <c r="J121" i="1" s="1"/>
  <c r="L121" i="1" s="1"/>
  <c r="P119" i="1"/>
  <c r="Q119" i="1" s="1"/>
  <c r="R119" i="1" s="1"/>
  <c r="F119" i="1"/>
  <c r="P118" i="1"/>
  <c r="Q118" i="1" s="1"/>
  <c r="R118" i="1" s="1"/>
  <c r="F118" i="1"/>
  <c r="P117" i="1"/>
  <c r="Q117" i="1" s="1"/>
  <c r="R117" i="1" s="1"/>
  <c r="F117" i="1"/>
  <c r="H117" i="1" s="1"/>
  <c r="P116" i="1"/>
  <c r="Q116" i="1" s="1"/>
  <c r="R116" i="1" s="1"/>
  <c r="F116" i="1"/>
  <c r="H116" i="1" s="1"/>
  <c r="J116" i="1" s="1"/>
  <c r="L116" i="1" s="1"/>
  <c r="Q115" i="1"/>
  <c r="R115" i="1" s="1"/>
  <c r="F115" i="1"/>
  <c r="Q114" i="1"/>
  <c r="R114" i="1" s="1"/>
  <c r="F114" i="1"/>
  <c r="H114" i="1" s="1"/>
  <c r="D113" i="1"/>
  <c r="P112" i="1"/>
  <c r="Q112" i="1" s="1"/>
  <c r="R112" i="1" s="1"/>
  <c r="F112" i="1"/>
  <c r="H112" i="1" s="1"/>
  <c r="P111" i="1"/>
  <c r="Q111" i="1" s="1"/>
  <c r="R111" i="1" s="1"/>
  <c r="F111" i="1"/>
  <c r="Q110" i="1"/>
  <c r="R110" i="1" s="1"/>
  <c r="F110" i="1"/>
  <c r="H110" i="1" s="1"/>
  <c r="Q109" i="1"/>
  <c r="R109" i="1" s="1"/>
  <c r="D108" i="1"/>
  <c r="Q107" i="1"/>
  <c r="R107" i="1" s="1"/>
  <c r="F107" i="1"/>
  <c r="H107" i="1" s="1"/>
  <c r="Q103" i="1"/>
  <c r="R103" i="1" s="1"/>
  <c r="F103" i="1"/>
  <c r="H103" i="1" s="1"/>
  <c r="Q102" i="1"/>
  <c r="R102" i="1" s="1"/>
  <c r="F102" i="1"/>
  <c r="H102" i="1" s="1"/>
  <c r="Q101" i="1"/>
  <c r="R101" i="1" s="1"/>
  <c r="F101" i="1"/>
  <c r="H101" i="1" s="1"/>
  <c r="Q100" i="1"/>
  <c r="R100" i="1" s="1"/>
  <c r="F100" i="1"/>
  <c r="D99" i="1"/>
  <c r="Q98" i="1"/>
  <c r="R98" i="1" s="1"/>
  <c r="F98" i="1"/>
  <c r="H98" i="1" s="1"/>
  <c r="Q97" i="1"/>
  <c r="R97" i="1" s="1"/>
  <c r="F97" i="1"/>
  <c r="H97" i="1" s="1"/>
  <c r="Q96" i="1"/>
  <c r="R96" i="1" s="1"/>
  <c r="F96" i="1"/>
  <c r="Q95" i="1"/>
  <c r="R95" i="1" s="1"/>
  <c r="F95" i="1"/>
  <c r="H95" i="1" s="1"/>
  <c r="D94" i="1"/>
  <c r="Q93" i="1"/>
  <c r="R93" i="1" s="1"/>
  <c r="F93" i="1"/>
  <c r="H93" i="1" s="1"/>
  <c r="Q92" i="1"/>
  <c r="R92" i="1" s="1"/>
  <c r="F92" i="1"/>
  <c r="H92" i="1" s="1"/>
  <c r="Q91" i="1"/>
  <c r="R91" i="1" s="1"/>
  <c r="F91" i="1"/>
  <c r="H91" i="1" s="1"/>
  <c r="J91" i="1" s="1"/>
  <c r="Q90" i="1"/>
  <c r="R90" i="1" s="1"/>
  <c r="F90" i="1"/>
  <c r="H90" i="1" s="1"/>
  <c r="Q89" i="1"/>
  <c r="R89" i="1" s="1"/>
  <c r="F89" i="1"/>
  <c r="D88" i="1"/>
  <c r="Q87" i="1"/>
  <c r="R87" i="1" s="1"/>
  <c r="F87" i="1"/>
  <c r="Q86" i="1"/>
  <c r="R86" i="1" s="1"/>
  <c r="F86" i="1"/>
  <c r="H86" i="1" s="1"/>
  <c r="Q85" i="1"/>
  <c r="R85" i="1" s="1"/>
  <c r="F85" i="1"/>
  <c r="H85" i="1" s="1"/>
  <c r="Q84" i="1"/>
  <c r="R84" i="1" s="1"/>
  <c r="D83" i="1"/>
  <c r="Q82" i="1"/>
  <c r="R82" i="1" s="1"/>
  <c r="F82" i="1"/>
  <c r="Q81" i="1"/>
  <c r="R81" i="1" s="1"/>
  <c r="F81" i="1"/>
  <c r="Q80" i="1"/>
  <c r="R80" i="1" s="1"/>
  <c r="D79" i="1"/>
  <c r="Q78" i="1"/>
  <c r="R78" i="1" s="1"/>
  <c r="F78" i="1"/>
  <c r="H78" i="1" s="1"/>
  <c r="Q77" i="1"/>
  <c r="R77" i="1" s="1"/>
  <c r="Q76" i="1"/>
  <c r="R76" i="1" s="1"/>
  <c r="F76" i="1"/>
  <c r="H76" i="1" s="1"/>
  <c r="Q75" i="1"/>
  <c r="R75" i="1" s="1"/>
  <c r="D74" i="1"/>
  <c r="R73" i="1"/>
  <c r="Q73" i="1"/>
  <c r="F73" i="1"/>
  <c r="H73" i="1" s="1"/>
  <c r="J73" i="1" s="1"/>
  <c r="L73" i="1" s="1"/>
  <c r="Q72" i="1"/>
  <c r="R72" i="1" s="1"/>
  <c r="F72" i="1"/>
  <c r="H72" i="1" s="1"/>
  <c r="Q71" i="1"/>
  <c r="R71" i="1" s="1"/>
  <c r="F71" i="1"/>
  <c r="H71" i="1" s="1"/>
  <c r="Q70" i="1"/>
  <c r="R70" i="1" s="1"/>
  <c r="F70" i="1"/>
  <c r="D69" i="1"/>
  <c r="Q68" i="1"/>
  <c r="R68" i="1" s="1"/>
  <c r="F68" i="1"/>
  <c r="Q67" i="1"/>
  <c r="R67" i="1" s="1"/>
  <c r="Q66" i="1"/>
  <c r="R66" i="1" s="1"/>
  <c r="Q65" i="1"/>
  <c r="R65" i="1" s="1"/>
  <c r="Q64" i="1"/>
  <c r="R64" i="1" s="1"/>
  <c r="F64" i="1"/>
  <c r="D63" i="1"/>
  <c r="R62" i="1"/>
  <c r="Q62" i="1"/>
  <c r="F62" i="1"/>
  <c r="H62" i="1" s="1"/>
  <c r="Q61" i="1"/>
  <c r="R61" i="1" s="1"/>
  <c r="H61" i="1"/>
  <c r="Q60" i="1"/>
  <c r="R60" i="1" s="1"/>
  <c r="Q59" i="1"/>
  <c r="R59" i="1" s="1"/>
  <c r="F59" i="1"/>
  <c r="H59" i="1" s="1"/>
  <c r="Q58" i="1"/>
  <c r="R58" i="1" s="1"/>
  <c r="H58" i="1"/>
  <c r="Q57" i="1"/>
  <c r="R57" i="1" s="1"/>
  <c r="Q56" i="1"/>
  <c r="R56" i="1" s="1"/>
  <c r="F56" i="1"/>
  <c r="H56" i="1" s="1"/>
  <c r="Q55" i="1"/>
  <c r="R55" i="1" s="1"/>
  <c r="Q54" i="1"/>
  <c r="R54" i="1" s="1"/>
  <c r="F54" i="1"/>
  <c r="Q53" i="1"/>
  <c r="R53" i="1" s="1"/>
  <c r="F53" i="1"/>
  <c r="Q51" i="1"/>
  <c r="R51" i="1" s="1"/>
  <c r="Q50" i="1"/>
  <c r="R50" i="1" s="1"/>
  <c r="Q49" i="1"/>
  <c r="R49" i="1" s="1"/>
  <c r="H49" i="1"/>
  <c r="Q48" i="1"/>
  <c r="R48" i="1" s="1"/>
  <c r="H48" i="1"/>
  <c r="Q47" i="1"/>
  <c r="R47" i="1" s="1"/>
  <c r="D46" i="1"/>
  <c r="Q43" i="1"/>
  <c r="R43" i="1" s="1"/>
  <c r="H43" i="1"/>
  <c r="Q42" i="1"/>
  <c r="R42" i="1" s="1"/>
  <c r="H40" i="1"/>
  <c r="J40" i="1" s="1"/>
  <c r="L40" i="1" s="1"/>
  <c r="H38" i="1"/>
  <c r="H36" i="1"/>
  <c r="J36" i="1" s="1"/>
  <c r="L36" i="1" s="1"/>
  <c r="Q35" i="1"/>
  <c r="R35" i="1" s="1"/>
  <c r="F35" i="1"/>
  <c r="F41" i="1" s="1"/>
  <c r="H33" i="1"/>
  <c r="J33" i="1" s="1"/>
  <c r="L33" i="1" s="1"/>
  <c r="H29" i="1"/>
  <c r="Q28" i="1"/>
  <c r="R28" i="1" s="1"/>
  <c r="H28" i="1"/>
  <c r="J27" i="1"/>
  <c r="L27" i="1" s="1"/>
  <c r="J26" i="1"/>
  <c r="L26" i="1" s="1"/>
  <c r="Q25" i="1"/>
  <c r="R25" i="1" s="1"/>
  <c r="H25" i="1"/>
  <c r="H24" i="1" s="1"/>
  <c r="BF27" i="30" s="1"/>
  <c r="BF26" i="30"/>
  <c r="H23" i="1"/>
  <c r="R22" i="1"/>
  <c r="Q22" i="1"/>
  <c r="H22" i="1"/>
  <c r="L21" i="1"/>
  <c r="J21" i="1"/>
  <c r="H20" i="1"/>
  <c r="J20" i="1" s="1"/>
  <c r="L20" i="1" s="1"/>
  <c r="H19" i="1"/>
  <c r="J19" i="1" s="1"/>
  <c r="L19" i="1" s="1"/>
  <c r="Q18" i="1"/>
  <c r="R18" i="1" s="1"/>
  <c r="H18" i="1"/>
  <c r="H16" i="1"/>
  <c r="J16" i="1" s="1"/>
  <c r="L16" i="1" s="1"/>
  <c r="J15" i="1"/>
  <c r="L15" i="1" s="1"/>
  <c r="Q14" i="1"/>
  <c r="R14" i="1" s="1"/>
  <c r="H14" i="1"/>
  <c r="AS27" i="30" s="1"/>
  <c r="Q13" i="1"/>
  <c r="R13" i="1" s="1"/>
  <c r="H13" i="1"/>
  <c r="L10" i="1"/>
  <c r="I9" i="2" s="1"/>
  <c r="J10" i="1"/>
  <c r="H9" i="2" s="1"/>
  <c r="H10" i="1"/>
  <c r="G9" i="2" s="1"/>
  <c r="F10" i="1"/>
  <c r="F9" i="2" s="1"/>
  <c r="D10" i="1"/>
  <c r="E9" i="2" s="1"/>
  <c r="H9" i="1"/>
  <c r="J9" i="1" s="1"/>
  <c r="L9" i="1" s="1"/>
  <c r="D8" i="1"/>
  <c r="E8" i="2" s="1"/>
  <c r="G11" i="27" s="1"/>
  <c r="Q11" i="27" s="1"/>
  <c r="F7" i="1"/>
  <c r="D7" i="1"/>
  <c r="K5" i="1"/>
  <c r="J52" i="28"/>
  <c r="B52" i="28"/>
  <c r="N51" i="28"/>
  <c r="H48" i="28"/>
  <c r="AG69" i="35" s="1"/>
  <c r="H47" i="28"/>
  <c r="F45" i="28"/>
  <c r="AE67" i="35" s="1"/>
  <c r="O44" i="28"/>
  <c r="AC53" i="29" s="1"/>
  <c r="L43" i="28"/>
  <c r="AK65" i="35" s="1"/>
  <c r="AK67" i="35" s="1"/>
  <c r="I42" i="28"/>
  <c r="Q47" i="29" s="1"/>
  <c r="F41" i="28"/>
  <c r="K44" i="29" s="1"/>
  <c r="G39" i="28"/>
  <c r="C39" i="28"/>
  <c r="O38" i="28"/>
  <c r="AC27" i="29" s="1"/>
  <c r="O37" i="28"/>
  <c r="AC26" i="29" s="1"/>
  <c r="AC35" i="29" s="1"/>
  <c r="AE35" i="29" s="1"/>
  <c r="O36" i="28"/>
  <c r="AN56" i="35" s="1"/>
  <c r="P34" i="28"/>
  <c r="AO54" i="35" s="1"/>
  <c r="L34" i="28"/>
  <c r="AK54" i="35" s="1"/>
  <c r="P33" i="28"/>
  <c r="AO53" i="35" s="1"/>
  <c r="L33" i="28"/>
  <c r="AK53" i="35" s="1"/>
  <c r="P32" i="28"/>
  <c r="AO52" i="35" s="1"/>
  <c r="L32" i="28"/>
  <c r="W22" i="29" s="1"/>
  <c r="M30" i="28"/>
  <c r="AL50" i="35" s="1"/>
  <c r="I30" i="28"/>
  <c r="AH50" i="35" s="1"/>
  <c r="M29" i="28"/>
  <c r="Y20" i="29" s="1"/>
  <c r="I29" i="28"/>
  <c r="AH49" i="35" s="1"/>
  <c r="M28" i="28"/>
  <c r="Y19" i="29" s="1"/>
  <c r="I28" i="28"/>
  <c r="Q19" i="29" s="1"/>
  <c r="J26" i="28"/>
  <c r="AI46" i="35" s="1"/>
  <c r="F26" i="28"/>
  <c r="K18" i="29" s="1"/>
  <c r="J25" i="28"/>
  <c r="AI45" i="35" s="1"/>
  <c r="F25" i="28"/>
  <c r="K17" i="29" s="1"/>
  <c r="J24" i="28"/>
  <c r="L20" i="28"/>
  <c r="AK40" i="35" s="1"/>
  <c r="I20" i="28"/>
  <c r="AH40" i="35" s="1"/>
  <c r="F20" i="28"/>
  <c r="AE40" i="35" s="1"/>
  <c r="F19" i="28"/>
  <c r="M40" i="29" s="1"/>
  <c r="C19" i="28"/>
  <c r="AB38" i="35" s="1"/>
  <c r="F18" i="28"/>
  <c r="C18" i="28"/>
  <c r="AB36" i="35" s="1"/>
  <c r="I17" i="28"/>
  <c r="S13" i="29" s="1"/>
  <c r="H17" i="28"/>
  <c r="P13" i="29" s="1"/>
  <c r="I16" i="28"/>
  <c r="AH34" i="35" s="1"/>
  <c r="H16" i="28"/>
  <c r="P12" i="29" s="1"/>
  <c r="I15" i="28"/>
  <c r="AH33" i="35" s="1"/>
  <c r="H15" i="28"/>
  <c r="AG33" i="35" s="1"/>
  <c r="I14" i="28"/>
  <c r="AH32" i="35" s="1"/>
  <c r="H14" i="28"/>
  <c r="AG32" i="35" s="1"/>
  <c r="L13" i="28"/>
  <c r="Y9" i="29" s="1"/>
  <c r="I13" i="28"/>
  <c r="S9" i="29" s="1"/>
  <c r="H13" i="28"/>
  <c r="AG31" i="35" s="1"/>
  <c r="I12" i="28"/>
  <c r="AH30" i="35" s="1"/>
  <c r="H12" i="28"/>
  <c r="P8" i="29" s="1"/>
  <c r="I11" i="28"/>
  <c r="AH29" i="35" s="1"/>
  <c r="H11" i="28"/>
  <c r="AG29" i="35" s="1"/>
  <c r="J5" i="28"/>
  <c r="G101" i="32"/>
  <c r="I100" i="32"/>
  <c r="I95" i="32"/>
  <c r="J95" i="32" s="1"/>
  <c r="K95" i="32" s="1"/>
  <c r="G95" i="32"/>
  <c r="F95" i="32"/>
  <c r="G91" i="32"/>
  <c r="U47" i="35" s="1"/>
  <c r="F91" i="32"/>
  <c r="T47" i="35" s="1"/>
  <c r="I90" i="32"/>
  <c r="J90" i="32" s="1"/>
  <c r="K90" i="32" s="1"/>
  <c r="H90" i="32"/>
  <c r="G89" i="32"/>
  <c r="H89" i="32" s="1"/>
  <c r="F89" i="32"/>
  <c r="I86" i="32"/>
  <c r="J86" i="32" s="1"/>
  <c r="K86" i="32" s="1"/>
  <c r="G84" i="32"/>
  <c r="U46" i="35" s="1"/>
  <c r="F84" i="32"/>
  <c r="T46" i="35" s="1"/>
  <c r="G80" i="32"/>
  <c r="U45" i="35" s="1"/>
  <c r="F80" i="32"/>
  <c r="T45" i="35" s="1"/>
  <c r="H79" i="32"/>
  <c r="I79" i="32" s="1"/>
  <c r="H19" i="27"/>
  <c r="V58" i="35" s="1"/>
  <c r="G76" i="32"/>
  <c r="U43" i="35" s="1"/>
  <c r="F76" i="32"/>
  <c r="T43" i="35" s="1"/>
  <c r="I74" i="32"/>
  <c r="W41" i="35" s="1"/>
  <c r="H74" i="32"/>
  <c r="V41" i="35" s="1"/>
  <c r="H72" i="32"/>
  <c r="I72" i="32" s="1"/>
  <c r="J72" i="32" s="1"/>
  <c r="G71" i="32"/>
  <c r="G67" i="32" s="1"/>
  <c r="F71" i="32"/>
  <c r="T40" i="35" s="1"/>
  <c r="M70" i="32"/>
  <c r="H69" i="32"/>
  <c r="K47" i="28" s="1"/>
  <c r="K65" i="32"/>
  <c r="J65" i="32"/>
  <c r="I65" i="32"/>
  <c r="H65" i="32"/>
  <c r="K63" i="32"/>
  <c r="J63" i="32"/>
  <c r="I63" i="32"/>
  <c r="H63" i="32"/>
  <c r="G62" i="32"/>
  <c r="F62" i="32"/>
  <c r="T34" i="35" s="1"/>
  <c r="H61" i="32"/>
  <c r="V33" i="35" s="1"/>
  <c r="H57" i="32"/>
  <c r="V29" i="35" s="1"/>
  <c r="G54" i="32"/>
  <c r="F54" i="32"/>
  <c r="M53" i="32"/>
  <c r="K53" i="32"/>
  <c r="H48" i="32"/>
  <c r="V22" i="35" s="1"/>
  <c r="G41" i="32"/>
  <c r="U17" i="35" s="1"/>
  <c r="F41" i="32"/>
  <c r="F38" i="32" s="1"/>
  <c r="T15" i="35" s="1"/>
  <c r="K35" i="32"/>
  <c r="K40" i="27" s="1"/>
  <c r="Y73" i="35" s="1"/>
  <c r="J35" i="32"/>
  <c r="J40" i="27" s="1"/>
  <c r="X73" i="35" s="1"/>
  <c r="I35" i="32"/>
  <c r="I40" i="27" s="1"/>
  <c r="W73" i="35" s="1"/>
  <c r="H35" i="32"/>
  <c r="H40" i="27" s="1"/>
  <c r="V73" i="35" s="1"/>
  <c r="G18" i="32"/>
  <c r="U9" i="35" s="1"/>
  <c r="F18" i="32"/>
  <c r="F13" i="32" s="1"/>
  <c r="G11" i="32"/>
  <c r="F11" i="32"/>
  <c r="J53" i="32"/>
  <c r="I53" i="32"/>
  <c r="H53" i="32"/>
  <c r="H8" i="32"/>
  <c r="B8" i="32"/>
  <c r="B5" i="32"/>
  <c r="K36" i="20"/>
  <c r="M35" i="20"/>
  <c r="G33" i="20"/>
  <c r="I33" i="20" s="1"/>
  <c r="M28" i="20"/>
  <c r="O28" i="20" s="1"/>
  <c r="K28" i="20"/>
  <c r="G14" i="20"/>
  <c r="E14" i="20"/>
  <c r="F15" i="20" s="1"/>
  <c r="U12" i="20"/>
  <c r="T12" i="20"/>
  <c r="S12" i="20"/>
  <c r="K12" i="20"/>
  <c r="I8" i="20"/>
  <c r="O5" i="20"/>
  <c r="G5" i="20"/>
  <c r="E5" i="1" s="1"/>
  <c r="B5" i="20"/>
  <c r="B6" i="35" s="1"/>
  <c r="D67" i="26"/>
  <c r="B67" i="26"/>
  <c r="W46" i="30" s="1"/>
  <c r="E66" i="26"/>
  <c r="B66" i="26"/>
  <c r="W45" i="30" s="1"/>
  <c r="H59" i="26"/>
  <c r="H58" i="26"/>
  <c r="H57" i="26"/>
  <c r="H45" i="35" s="1"/>
  <c r="H56" i="26"/>
  <c r="H44" i="35" s="1"/>
  <c r="H55" i="26"/>
  <c r="H43" i="35" s="1"/>
  <c r="J52" i="26"/>
  <c r="H52" i="26"/>
  <c r="H41" i="35" s="1"/>
  <c r="H51" i="26"/>
  <c r="H40" i="35" s="1"/>
  <c r="H49" i="26"/>
  <c r="H38" i="35" s="1"/>
  <c r="H48" i="26"/>
  <c r="H37" i="35" s="1"/>
  <c r="D45" i="26"/>
  <c r="D44" i="26"/>
  <c r="G42" i="26"/>
  <c r="G62" i="26" s="1"/>
  <c r="F42" i="26"/>
  <c r="F62" i="26" s="1"/>
  <c r="E42" i="26"/>
  <c r="E62" i="26" s="1"/>
  <c r="D42" i="26"/>
  <c r="H40" i="26"/>
  <c r="H39" i="26"/>
  <c r="H38" i="26"/>
  <c r="E36" i="26"/>
  <c r="H35" i="26"/>
  <c r="H32" i="26"/>
  <c r="H30" i="26"/>
  <c r="H27" i="26"/>
  <c r="H24" i="26"/>
  <c r="H20" i="26"/>
  <c r="H17" i="26"/>
  <c r="E16" i="26"/>
  <c r="S16" i="29" l="1"/>
  <c r="M24" i="28"/>
  <c r="P24" i="28" s="1"/>
  <c r="H17" i="1"/>
  <c r="U90" i="30" s="1"/>
  <c r="G90" i="30" s="1"/>
  <c r="J13" i="1"/>
  <c r="H12" i="1"/>
  <c r="U88" i="30" s="1"/>
  <c r="AG6" i="35"/>
  <c r="AU7" i="35" s="1"/>
  <c r="U27" i="35"/>
  <c r="T27" i="35"/>
  <c r="AE6" i="35"/>
  <c r="AT7" i="35" s="1"/>
  <c r="AG8" i="35"/>
  <c r="H50" i="27"/>
  <c r="J38" i="1"/>
  <c r="L38" i="1" s="1"/>
  <c r="BB27" i="30"/>
  <c r="J23" i="1"/>
  <c r="L23" i="1" s="1"/>
  <c r="BI27" i="30"/>
  <c r="J29" i="1"/>
  <c r="L29" i="1" s="1"/>
  <c r="P48" i="22"/>
  <c r="AY26" i="30"/>
  <c r="BA26" i="30" s="1"/>
  <c r="F11" i="1"/>
  <c r="B100" i="32"/>
  <c r="B35" i="20"/>
  <c r="B59" i="30" s="1"/>
  <c r="D35" i="22"/>
  <c r="D36" i="22" s="1"/>
  <c r="D39" i="22" s="1"/>
  <c r="D40" i="22" s="1"/>
  <c r="I31" i="32" s="1"/>
  <c r="E35" i="22"/>
  <c r="E36" i="22" s="1"/>
  <c r="F35" i="22"/>
  <c r="F36" i="22" s="1"/>
  <c r="F36" i="26"/>
  <c r="D42" i="22"/>
  <c r="G83" i="30"/>
  <c r="G98" i="30"/>
  <c r="S98" i="30" s="1"/>
  <c r="C43" i="22"/>
  <c r="D43" i="22"/>
  <c r="E42" i="22"/>
  <c r="E43" i="22" s="1"/>
  <c r="G36" i="26"/>
  <c r="F42" i="22" s="1"/>
  <c r="F43" i="22" s="1"/>
  <c r="H26" i="35"/>
  <c r="C44" i="22"/>
  <c r="D15" i="35"/>
  <c r="D34" i="35" s="1"/>
  <c r="D72" i="29"/>
  <c r="K3" i="29"/>
  <c r="K38" i="29" s="1"/>
  <c r="B36" i="20"/>
  <c r="B101" i="32"/>
  <c r="C17" i="22"/>
  <c r="D17" i="22"/>
  <c r="E17" i="22"/>
  <c r="E30" i="35"/>
  <c r="G57" i="27"/>
  <c r="Q3" i="33" s="1"/>
  <c r="E10" i="22"/>
  <c r="E11" i="22" s="1"/>
  <c r="F18" i="22"/>
  <c r="H24" i="35"/>
  <c r="F30" i="35"/>
  <c r="H23" i="35"/>
  <c r="G30" i="35"/>
  <c r="C30" i="22"/>
  <c r="C32" i="22" s="1"/>
  <c r="C33" i="22" s="1"/>
  <c r="L48" i="22"/>
  <c r="U48" i="22"/>
  <c r="M2" i="22"/>
  <c r="G54" i="2"/>
  <c r="G52" i="2" s="1"/>
  <c r="F52" i="2"/>
  <c r="G33" i="2"/>
  <c r="F31" i="2"/>
  <c r="G26" i="2"/>
  <c r="G24" i="2" s="1"/>
  <c r="F24" i="2"/>
  <c r="F35" i="2"/>
  <c r="G60" i="2"/>
  <c r="F42" i="2"/>
  <c r="G74" i="2"/>
  <c r="H74" i="2" s="1"/>
  <c r="I74" i="2" s="1"/>
  <c r="F49" i="2"/>
  <c r="M39" i="2"/>
  <c r="N39" i="2" s="1"/>
  <c r="G46" i="2"/>
  <c r="H46" i="2" s="1"/>
  <c r="M53" i="2"/>
  <c r="N53" i="2" s="1"/>
  <c r="H54" i="2"/>
  <c r="G40" i="2"/>
  <c r="G47" i="2"/>
  <c r="G81" i="2"/>
  <c r="H81" i="2" s="1"/>
  <c r="I81" i="2" s="1"/>
  <c r="F10" i="27"/>
  <c r="F46" i="27" s="1"/>
  <c r="F53" i="32"/>
  <c r="N32" i="2"/>
  <c r="M18" i="2"/>
  <c r="N18" i="2" s="1"/>
  <c r="F56" i="2"/>
  <c r="G53" i="32"/>
  <c r="G19" i="2"/>
  <c r="H60" i="2"/>
  <c r="I60" i="2" s="1"/>
  <c r="H67" i="2"/>
  <c r="I67" i="2" s="1"/>
  <c r="G27" i="2"/>
  <c r="H27" i="2" s="1"/>
  <c r="I27" i="2" s="1"/>
  <c r="H124" i="1"/>
  <c r="D84" i="29"/>
  <c r="U28" i="30"/>
  <c r="N28" i="30" s="1"/>
  <c r="R21" i="22" s="1"/>
  <c r="R22" i="22" s="1"/>
  <c r="H68" i="1"/>
  <c r="H87" i="1"/>
  <c r="H82" i="1"/>
  <c r="J61" i="1"/>
  <c r="L61" i="1" s="1"/>
  <c r="J60" i="1"/>
  <c r="L60" i="1" s="1"/>
  <c r="J58" i="1"/>
  <c r="L58" i="1" s="1"/>
  <c r="F57" i="27"/>
  <c r="AE15" i="35" s="1"/>
  <c r="F67" i="32"/>
  <c r="G82" i="32"/>
  <c r="F58" i="35"/>
  <c r="AG17" i="35"/>
  <c r="H59" i="27"/>
  <c r="G45" i="32"/>
  <c r="F29" i="20"/>
  <c r="E74" i="35" s="1"/>
  <c r="E22" i="22"/>
  <c r="E23" i="22" s="1"/>
  <c r="E24" i="22" s="1"/>
  <c r="F22" i="22"/>
  <c r="D22" i="22"/>
  <c r="D23" i="22" s="1"/>
  <c r="H54" i="1"/>
  <c r="J54" i="1" s="1"/>
  <c r="L54" i="1" s="1"/>
  <c r="H51" i="1"/>
  <c r="J51" i="1" s="1"/>
  <c r="H122" i="1"/>
  <c r="F104" i="1"/>
  <c r="J59" i="1"/>
  <c r="L59" i="1" s="1"/>
  <c r="J65" i="1"/>
  <c r="J97" i="1"/>
  <c r="J22" i="1"/>
  <c r="L22" i="1" s="1"/>
  <c r="J78" i="1"/>
  <c r="L78" i="1" s="1"/>
  <c r="J28" i="1"/>
  <c r="L28" i="1" s="1"/>
  <c r="H119" i="1"/>
  <c r="J119" i="1" s="1"/>
  <c r="L119" i="1" s="1"/>
  <c r="AU27" i="30"/>
  <c r="J93" i="1"/>
  <c r="L93" i="1" s="1"/>
  <c r="J50" i="1"/>
  <c r="L50" i="1" s="1"/>
  <c r="J62" i="1"/>
  <c r="L62" i="1" s="1"/>
  <c r="J43" i="1"/>
  <c r="L43" i="1" s="1"/>
  <c r="J101" i="1"/>
  <c r="L101" i="1" s="1"/>
  <c r="J102" i="1"/>
  <c r="L102" i="1" s="1"/>
  <c r="N13" i="29"/>
  <c r="T22" i="29"/>
  <c r="O26" i="29"/>
  <c r="T26" i="29" s="1"/>
  <c r="V26" i="29" s="1"/>
  <c r="R25" i="29"/>
  <c r="X25" i="29" s="1"/>
  <c r="AD25" i="29" s="1"/>
  <c r="AJ25" i="29" s="1"/>
  <c r="AM65" i="29"/>
  <c r="R26" i="29"/>
  <c r="X26" i="29" s="1"/>
  <c r="AD26" i="29" s="1"/>
  <c r="AJ26" i="29" s="1"/>
  <c r="N25" i="29"/>
  <c r="P25" i="29" s="1"/>
  <c r="AH53" i="29"/>
  <c r="Q44" i="28" s="1"/>
  <c r="AP66" i="35" s="1"/>
  <c r="T23" i="29"/>
  <c r="V23" i="29" s="1"/>
  <c r="AK21" i="29"/>
  <c r="L45" i="28"/>
  <c r="AI37" i="29"/>
  <c r="O25" i="29"/>
  <c r="U25" i="29" s="1"/>
  <c r="AI65" i="29"/>
  <c r="G41" i="28"/>
  <c r="AF63" i="35" s="1"/>
  <c r="AF67" i="35" s="1"/>
  <c r="AN66" i="35"/>
  <c r="AN67" i="35" s="1"/>
  <c r="U23" i="29"/>
  <c r="AO45" i="35"/>
  <c r="P43" i="28"/>
  <c r="AO65" i="35" s="1"/>
  <c r="U22" i="29"/>
  <c r="AA22" i="29" s="1"/>
  <c r="B5" i="2"/>
  <c r="B6" i="27"/>
  <c r="M6" i="27" s="1"/>
  <c r="B5" i="1"/>
  <c r="H74" i="30"/>
  <c r="L38" i="22" s="1"/>
  <c r="L39" i="22" s="1"/>
  <c r="P74" i="30"/>
  <c r="T38" i="22" s="1"/>
  <c r="T39" i="22" s="1"/>
  <c r="I74" i="30"/>
  <c r="M38" i="22" s="1"/>
  <c r="M39" i="22" s="1"/>
  <c r="Q74" i="30"/>
  <c r="U38" i="22" s="1"/>
  <c r="U39" i="22" s="1"/>
  <c r="J74" i="30"/>
  <c r="N38" i="22" s="1"/>
  <c r="N39" i="22" s="1"/>
  <c r="R74" i="30"/>
  <c r="V38" i="22" s="1"/>
  <c r="V39" i="22" s="1"/>
  <c r="K74" i="30"/>
  <c r="O38" i="22" s="1"/>
  <c r="O39" i="22" s="1"/>
  <c r="G74" i="30"/>
  <c r="L74" i="30"/>
  <c r="P38" i="22" s="1"/>
  <c r="P39" i="22" s="1"/>
  <c r="M74" i="30"/>
  <c r="Q38" i="22" s="1"/>
  <c r="Q39" i="22" s="1"/>
  <c r="N74" i="30"/>
  <c r="R38" i="22" s="1"/>
  <c r="R39" i="22" s="1"/>
  <c r="O74" i="30"/>
  <c r="S38" i="22" s="1"/>
  <c r="S39" i="22" s="1"/>
  <c r="M12" i="20"/>
  <c r="J56" i="35"/>
  <c r="F16" i="26"/>
  <c r="G16" i="26" s="1"/>
  <c r="M62" i="30"/>
  <c r="J67" i="1"/>
  <c r="L67" i="1" s="1"/>
  <c r="J117" i="1"/>
  <c r="L117" i="1" s="1"/>
  <c r="J92" i="1"/>
  <c r="L92" i="1" s="1"/>
  <c r="J86" i="1"/>
  <c r="L86" i="1" s="1"/>
  <c r="F83" i="1"/>
  <c r="J76" i="1"/>
  <c r="L76" i="1" s="1"/>
  <c r="J56" i="1"/>
  <c r="L56" i="1" s="1"/>
  <c r="J57" i="1"/>
  <c r="L57" i="1" s="1"/>
  <c r="S33" i="29"/>
  <c r="S37" i="29" s="1"/>
  <c r="Q37" i="29"/>
  <c r="AG53" i="29"/>
  <c r="AC64" i="29"/>
  <c r="AC56" i="29"/>
  <c r="V22" i="29"/>
  <c r="O45" i="28"/>
  <c r="K18" i="27" s="1"/>
  <c r="Y57" i="35" s="1"/>
  <c r="Q3" i="29"/>
  <c r="Q38" i="29" s="1"/>
  <c r="AK53" i="29"/>
  <c r="AH48" i="35"/>
  <c r="AH59" i="35" s="1"/>
  <c r="AN57" i="35"/>
  <c r="W3" i="29"/>
  <c r="W38" i="29" s="1"/>
  <c r="AK23" i="29"/>
  <c r="N24" i="29"/>
  <c r="P24" i="29" s="1"/>
  <c r="K35" i="29"/>
  <c r="M35" i="29" s="1"/>
  <c r="Y53" i="29"/>
  <c r="AA53" i="29" s="1"/>
  <c r="O24" i="29"/>
  <c r="V44" i="29"/>
  <c r="K41" i="28" s="1"/>
  <c r="AJ63" i="35" s="1"/>
  <c r="AN53" i="29"/>
  <c r="P44" i="28"/>
  <c r="AO66" i="35" s="1"/>
  <c r="I18" i="27"/>
  <c r="W57" i="35" s="1"/>
  <c r="N26" i="29"/>
  <c r="P26" i="29" s="1"/>
  <c r="AB44" i="29"/>
  <c r="N41" i="28" s="1"/>
  <c r="AM63" i="35" s="1"/>
  <c r="AE38" i="35"/>
  <c r="AH64" i="35"/>
  <c r="AH67" i="35" s="1"/>
  <c r="AK44" i="29"/>
  <c r="AN50" i="29"/>
  <c r="L17" i="29"/>
  <c r="R17" i="29" s="1"/>
  <c r="X17" i="29" s="1"/>
  <c r="AD17" i="29" s="1"/>
  <c r="AJ17" i="29" s="1"/>
  <c r="AN40" i="29"/>
  <c r="AN43" i="29" s="1"/>
  <c r="AE47" i="29"/>
  <c r="H85" i="32"/>
  <c r="H64" i="32"/>
  <c r="I30" i="20" s="1"/>
  <c r="H74" i="35" s="1"/>
  <c r="H87" i="32"/>
  <c r="AR26" i="30"/>
  <c r="AT26" i="30" s="1"/>
  <c r="AV26" i="30" s="1"/>
  <c r="H93" i="32"/>
  <c r="H94" i="32" s="1"/>
  <c r="H91" i="32" s="1"/>
  <c r="V47" i="35" s="1"/>
  <c r="F76" i="35"/>
  <c r="H18" i="35"/>
  <c r="K12" i="28"/>
  <c r="V8" i="29" s="1"/>
  <c r="Q80" i="27"/>
  <c r="Q93" i="27" s="1"/>
  <c r="F11" i="22"/>
  <c r="K25" i="27"/>
  <c r="H21" i="35"/>
  <c r="S70" i="30"/>
  <c r="T70" i="30" s="1"/>
  <c r="AB41" i="30"/>
  <c r="Q17" i="22"/>
  <c r="O48" i="22"/>
  <c r="R17" i="22"/>
  <c r="S17" i="22"/>
  <c r="S13" i="30"/>
  <c r="T13" i="30" s="1"/>
  <c r="L17" i="22"/>
  <c r="T17" i="22"/>
  <c r="R48" i="22"/>
  <c r="Q48" i="22"/>
  <c r="S48" i="22"/>
  <c r="L2" i="22"/>
  <c r="T48" i="22"/>
  <c r="C27" i="33"/>
  <c r="S26" i="30"/>
  <c r="V48" i="22"/>
  <c r="M17" i="22"/>
  <c r="U17" i="22"/>
  <c r="N48" i="22"/>
  <c r="O17" i="22"/>
  <c r="N17" i="22"/>
  <c r="V17" i="22"/>
  <c r="D27" i="33"/>
  <c r="R15" i="27"/>
  <c r="K33" i="20"/>
  <c r="H76" i="35"/>
  <c r="Q15" i="27"/>
  <c r="J103" i="1"/>
  <c r="L103" i="1" s="1"/>
  <c r="J98" i="1"/>
  <c r="L98" i="1" s="1"/>
  <c r="L97" i="1"/>
  <c r="L91" i="1"/>
  <c r="J90" i="1"/>
  <c r="L90" i="1" s="1"/>
  <c r="J87" i="1"/>
  <c r="J77" i="1"/>
  <c r="L77" i="1" s="1"/>
  <c r="J72" i="1"/>
  <c r="L72" i="1" s="1"/>
  <c r="J71" i="1"/>
  <c r="L71" i="1" s="1"/>
  <c r="J66" i="1"/>
  <c r="J49" i="1"/>
  <c r="J18" i="1"/>
  <c r="J14" i="1"/>
  <c r="L14" i="1" s="1"/>
  <c r="J112" i="1"/>
  <c r="L112" i="1" s="1"/>
  <c r="H111" i="1"/>
  <c r="J111" i="1" s="1"/>
  <c r="L111" i="1" s="1"/>
  <c r="J110" i="1"/>
  <c r="L110" i="1" s="1"/>
  <c r="H118" i="1"/>
  <c r="J118" i="1" s="1"/>
  <c r="L118" i="1" s="1"/>
  <c r="L37" i="30"/>
  <c r="H64" i="1"/>
  <c r="M28" i="29"/>
  <c r="F52" i="27"/>
  <c r="G52" i="27"/>
  <c r="AG10" i="35" s="1"/>
  <c r="H17" i="20"/>
  <c r="G61" i="35" s="1"/>
  <c r="H19" i="20"/>
  <c r="G63" i="35" s="1"/>
  <c r="H29" i="20"/>
  <c r="G74" i="35" s="1"/>
  <c r="H15" i="20"/>
  <c r="G59" i="35" s="1"/>
  <c r="H21" i="20"/>
  <c r="G65" i="35" s="1"/>
  <c r="H24" i="20"/>
  <c r="G68" i="35" s="1"/>
  <c r="H16" i="20"/>
  <c r="F21" i="20"/>
  <c r="E65" i="35" s="1"/>
  <c r="E62" i="35"/>
  <c r="Q14" i="27"/>
  <c r="F77" i="35" s="1"/>
  <c r="Q10" i="27"/>
  <c r="Q46" i="27"/>
  <c r="D51" i="34" s="1"/>
  <c r="F40" i="32"/>
  <c r="R10" i="27"/>
  <c r="J46" i="27"/>
  <c r="S10" i="27"/>
  <c r="G47" i="27"/>
  <c r="P11" i="27"/>
  <c r="D2" i="34"/>
  <c r="D26" i="34" s="1"/>
  <c r="Q72" i="27"/>
  <c r="P46" i="27"/>
  <c r="C51" i="34" s="1"/>
  <c r="C3" i="34"/>
  <c r="G40" i="32"/>
  <c r="D3" i="22"/>
  <c r="F9" i="28"/>
  <c r="F8" i="1"/>
  <c r="K8" i="20"/>
  <c r="E45" i="26"/>
  <c r="H52" i="35"/>
  <c r="H11" i="32"/>
  <c r="R11" i="20"/>
  <c r="M5" i="30"/>
  <c r="F28" i="2"/>
  <c r="H25" i="2"/>
  <c r="I25" i="2" s="1"/>
  <c r="B86" i="2"/>
  <c r="H20" i="2"/>
  <c r="I20" i="2" s="1"/>
  <c r="F84" i="2"/>
  <c r="G83" i="2"/>
  <c r="G82" i="2"/>
  <c r="G80" i="2" s="1"/>
  <c r="G76" i="2"/>
  <c r="F77" i="2"/>
  <c r="G75" i="2"/>
  <c r="G73" i="2" s="1"/>
  <c r="G68" i="2"/>
  <c r="G66" i="2" s="1"/>
  <c r="G69" i="2"/>
  <c r="F70" i="2"/>
  <c r="G61" i="2"/>
  <c r="G59" i="2" s="1"/>
  <c r="G62" i="2"/>
  <c r="F63" i="2"/>
  <c r="G56" i="2"/>
  <c r="I46" i="2"/>
  <c r="G49" i="2"/>
  <c r="H39" i="2"/>
  <c r="G35" i="2"/>
  <c r="I32" i="2"/>
  <c r="H35" i="2"/>
  <c r="E12" i="2"/>
  <c r="N37" i="30"/>
  <c r="F113" i="1"/>
  <c r="H115" i="1"/>
  <c r="J115" i="1" s="1"/>
  <c r="L115" i="1" s="1"/>
  <c r="J114" i="1"/>
  <c r="F108" i="1"/>
  <c r="F99" i="1"/>
  <c r="H100" i="1"/>
  <c r="F94" i="1"/>
  <c r="H96" i="1"/>
  <c r="J96" i="1" s="1"/>
  <c r="L96" i="1" s="1"/>
  <c r="J95" i="1"/>
  <c r="F88" i="1"/>
  <c r="H89" i="1"/>
  <c r="J85" i="1"/>
  <c r="L85" i="1" s="1"/>
  <c r="J84" i="1"/>
  <c r="F79" i="1"/>
  <c r="H81" i="1"/>
  <c r="J81" i="1" s="1"/>
  <c r="L81" i="1" s="1"/>
  <c r="J80" i="1"/>
  <c r="F74" i="1"/>
  <c r="F69" i="1"/>
  <c r="H70" i="1"/>
  <c r="F63" i="1"/>
  <c r="H53" i="1"/>
  <c r="U27" i="30"/>
  <c r="F46" i="1"/>
  <c r="J48" i="1"/>
  <c r="H47" i="1"/>
  <c r="BG27" i="30"/>
  <c r="BH27" i="30" s="1"/>
  <c r="J25" i="1"/>
  <c r="BH26" i="30"/>
  <c r="AZ27" i="30"/>
  <c r="F39" i="1"/>
  <c r="F34" i="1"/>
  <c r="L13" i="1"/>
  <c r="L12" i="1" s="1"/>
  <c r="H35" i="1"/>
  <c r="H41" i="1" s="1"/>
  <c r="F37" i="1"/>
  <c r="AB50" i="29"/>
  <c r="N43" i="28" s="1"/>
  <c r="AM65" i="35" s="1"/>
  <c r="Y50" i="29"/>
  <c r="M43" i="28" s="1"/>
  <c r="AL65" i="35" s="1"/>
  <c r="AH47" i="29"/>
  <c r="Q42" i="28" s="1"/>
  <c r="AP64" i="35" s="1"/>
  <c r="S56" i="29"/>
  <c r="J41" i="28"/>
  <c r="AI63" i="35" s="1"/>
  <c r="AI67" i="35" s="1"/>
  <c r="P44" i="29"/>
  <c r="H41" i="28" s="1"/>
  <c r="AN44" i="29"/>
  <c r="AK65" i="29"/>
  <c r="AB67" i="35"/>
  <c r="AE50" i="29"/>
  <c r="J18" i="27"/>
  <c r="X57" i="35" s="1"/>
  <c r="AK50" i="29"/>
  <c r="W50" i="29"/>
  <c r="Q56" i="29"/>
  <c r="Q62" i="29"/>
  <c r="U47" i="29"/>
  <c r="AK47" i="29"/>
  <c r="V47" i="29"/>
  <c r="K42" i="28" s="1"/>
  <c r="AJ64" i="35" s="1"/>
  <c r="I45" i="28"/>
  <c r="Y47" i="29"/>
  <c r="M42" i="28" s="1"/>
  <c r="AL64" i="35" s="1"/>
  <c r="AN47" i="29"/>
  <c r="AB47" i="29"/>
  <c r="N42" i="28" s="1"/>
  <c r="AM64" i="35" s="1"/>
  <c r="P42" i="28"/>
  <c r="AO64" i="35" s="1"/>
  <c r="O44" i="29"/>
  <c r="K61" i="29"/>
  <c r="K65" i="29" s="1"/>
  <c r="K56" i="29"/>
  <c r="AH44" i="29"/>
  <c r="AE63" i="35"/>
  <c r="M56" i="29"/>
  <c r="H18" i="27"/>
  <c r="V57" i="35" s="1"/>
  <c r="Y44" i="29"/>
  <c r="S60" i="29"/>
  <c r="AE44" i="29"/>
  <c r="AK27" i="29"/>
  <c r="AK26" i="29"/>
  <c r="AK25" i="29"/>
  <c r="AF27" i="29"/>
  <c r="AH27" i="29" s="1"/>
  <c r="Q38" i="28" s="1"/>
  <c r="AP58" i="35" s="1"/>
  <c r="AG27" i="29"/>
  <c r="AC36" i="29"/>
  <c r="AN58" i="35"/>
  <c r="AC25" i="29"/>
  <c r="O39" i="28"/>
  <c r="AE24" i="29"/>
  <c r="AE23" i="29"/>
  <c r="AE22" i="29"/>
  <c r="AK22" i="29" s="1"/>
  <c r="L24" i="29"/>
  <c r="R24" i="29" s="1"/>
  <c r="X24" i="29" s="1"/>
  <c r="AD24" i="29" s="1"/>
  <c r="AJ24" i="29" s="1"/>
  <c r="AK37" i="29"/>
  <c r="W24" i="29"/>
  <c r="W23" i="29"/>
  <c r="L39" i="28"/>
  <c r="AK52" i="35"/>
  <c r="AK59" i="35" s="1"/>
  <c r="Y21" i="29"/>
  <c r="AL49" i="35"/>
  <c r="AL48" i="35"/>
  <c r="AK20" i="29"/>
  <c r="Q21" i="29"/>
  <c r="Q20" i="29"/>
  <c r="U19" i="29"/>
  <c r="T19" i="29"/>
  <c r="V19" i="29" s="1"/>
  <c r="K28" i="28" s="1"/>
  <c r="AJ48" i="35" s="1"/>
  <c r="I39" i="28"/>
  <c r="I17" i="27" s="1"/>
  <c r="W56" i="35" s="1"/>
  <c r="S18" i="29"/>
  <c r="AF59" i="35"/>
  <c r="S17" i="29"/>
  <c r="H30" i="27"/>
  <c r="V65" i="35" s="1"/>
  <c r="AI44" i="35"/>
  <c r="AI59" i="35" s="1"/>
  <c r="J39" i="28"/>
  <c r="AK18" i="29"/>
  <c r="R18" i="29"/>
  <c r="X18" i="29" s="1"/>
  <c r="AD18" i="29" s="1"/>
  <c r="AJ18" i="29" s="1"/>
  <c r="O18" i="29"/>
  <c r="N18" i="29"/>
  <c r="P18" i="29" s="1"/>
  <c r="H26" i="28" s="1"/>
  <c r="AG46" i="35" s="1"/>
  <c r="AB59" i="35"/>
  <c r="AE46" i="35"/>
  <c r="C28" i="29"/>
  <c r="O17" i="29"/>
  <c r="N17" i="29"/>
  <c r="P17" i="29" s="1"/>
  <c r="H25" i="28" s="1"/>
  <c r="AG45" i="35" s="1"/>
  <c r="AE45" i="35"/>
  <c r="F39" i="28"/>
  <c r="K16" i="29"/>
  <c r="AE44" i="35"/>
  <c r="AK43" i="29"/>
  <c r="AM40" i="29"/>
  <c r="AG60" i="29" s="1"/>
  <c r="N10" i="29"/>
  <c r="M14" i="29"/>
  <c r="I31" i="29" s="1"/>
  <c r="J31" i="29" s="1"/>
  <c r="AE36" i="35"/>
  <c r="U50" i="30"/>
  <c r="R18" i="28"/>
  <c r="AG30" i="35"/>
  <c r="P7" i="29"/>
  <c r="K14" i="28"/>
  <c r="AJ32" i="35" s="1"/>
  <c r="K11" i="28"/>
  <c r="V7" i="29" s="1"/>
  <c r="AG35" i="35"/>
  <c r="T13" i="29"/>
  <c r="K17" i="28"/>
  <c r="AH35" i="35"/>
  <c r="U13" i="29"/>
  <c r="L17" i="28"/>
  <c r="O17" i="28" s="1"/>
  <c r="N12" i="29"/>
  <c r="S12" i="29"/>
  <c r="T12" i="29" s="1"/>
  <c r="K16" i="28"/>
  <c r="L16" i="28"/>
  <c r="O16" i="28" s="1"/>
  <c r="AG34" i="35"/>
  <c r="N11" i="29"/>
  <c r="P11" i="29"/>
  <c r="K15" i="28"/>
  <c r="S11" i="29"/>
  <c r="U11" i="29" s="1"/>
  <c r="L15" i="28"/>
  <c r="P10" i="29"/>
  <c r="S10" i="29"/>
  <c r="T10" i="29" s="1"/>
  <c r="L14" i="28"/>
  <c r="O14" i="28"/>
  <c r="AH31" i="35"/>
  <c r="K13" i="28"/>
  <c r="O9" i="29"/>
  <c r="AK31" i="35"/>
  <c r="P9" i="29"/>
  <c r="N13" i="28"/>
  <c r="O13" i="28"/>
  <c r="H18" i="28"/>
  <c r="N8" i="29"/>
  <c r="AH36" i="35"/>
  <c r="L12" i="28"/>
  <c r="S8" i="29"/>
  <c r="U8" i="29" s="1"/>
  <c r="R17" i="28"/>
  <c r="O7" i="29"/>
  <c r="L11" i="28"/>
  <c r="O11" i="28" s="1"/>
  <c r="S7" i="29"/>
  <c r="C14" i="29"/>
  <c r="I18" i="28"/>
  <c r="M43" i="29"/>
  <c r="I60" i="29"/>
  <c r="J79" i="32"/>
  <c r="W44" i="35"/>
  <c r="V44" i="35"/>
  <c r="I78" i="32"/>
  <c r="K46" i="28"/>
  <c r="AJ68" i="35" s="1"/>
  <c r="H38" i="27"/>
  <c r="V71" i="35" s="1"/>
  <c r="G75" i="32"/>
  <c r="F75" i="32"/>
  <c r="J74" i="32"/>
  <c r="K48" i="28"/>
  <c r="AJ69" i="35" s="1"/>
  <c r="N48" i="28"/>
  <c r="AM69" i="35" s="1"/>
  <c r="H34" i="27"/>
  <c r="I34" i="27"/>
  <c r="AB72" i="35"/>
  <c r="U40" i="35"/>
  <c r="AF60" i="29"/>
  <c r="C40" i="29"/>
  <c r="K72" i="32"/>
  <c r="J33" i="27"/>
  <c r="H33" i="27"/>
  <c r="I33" i="27"/>
  <c r="M72" i="32"/>
  <c r="H32" i="27"/>
  <c r="U36" i="35"/>
  <c r="P80" i="27"/>
  <c r="T36" i="35"/>
  <c r="I48" i="32"/>
  <c r="H29" i="27"/>
  <c r="V64" i="35" s="1"/>
  <c r="F45" i="32"/>
  <c r="G38" i="32"/>
  <c r="U15" i="35" s="1"/>
  <c r="G60" i="27"/>
  <c r="AG18" i="35" s="1"/>
  <c r="T17" i="35"/>
  <c r="AG7" i="35"/>
  <c r="F60" i="27"/>
  <c r="G13" i="32"/>
  <c r="T7" i="35"/>
  <c r="F51" i="32"/>
  <c r="T24" i="35" s="1"/>
  <c r="T9" i="35"/>
  <c r="H57" i="27"/>
  <c r="AI15" i="35" s="1"/>
  <c r="R3" i="33"/>
  <c r="Q4" i="33"/>
  <c r="AG15" i="35"/>
  <c r="H27" i="20"/>
  <c r="G72" i="35" s="1"/>
  <c r="H55" i="27"/>
  <c r="H18" i="20"/>
  <c r="G62" i="35" s="1"/>
  <c r="H23" i="20"/>
  <c r="G67" i="35" s="1"/>
  <c r="H30" i="20"/>
  <c r="G75" i="35" s="1"/>
  <c r="G20" i="20"/>
  <c r="H20" i="20" s="1"/>
  <c r="H25" i="20"/>
  <c r="G69" i="35" s="1"/>
  <c r="I89" i="32"/>
  <c r="F19" i="20"/>
  <c r="E63" i="35" s="1"/>
  <c r="F25" i="20"/>
  <c r="E69" i="35" s="1"/>
  <c r="F27" i="20"/>
  <c r="E72" i="35" s="1"/>
  <c r="E59" i="35"/>
  <c r="E20" i="20"/>
  <c r="F24" i="20"/>
  <c r="E68" i="35" s="1"/>
  <c r="D58" i="35"/>
  <c r="E60" i="35"/>
  <c r="F30" i="20"/>
  <c r="E75" i="35" s="1"/>
  <c r="E61" i="35"/>
  <c r="F23" i="20"/>
  <c r="E67" i="35" s="1"/>
  <c r="C21" i="22"/>
  <c r="C23" i="22" s="1"/>
  <c r="C24" i="22" s="1"/>
  <c r="G110" i="30"/>
  <c r="S110" i="30" s="1"/>
  <c r="T110" i="30" s="1"/>
  <c r="G53" i="30"/>
  <c r="S53" i="30" s="1"/>
  <c r="T53" i="30" s="1"/>
  <c r="V38" i="35"/>
  <c r="I69" i="32"/>
  <c r="I61" i="32"/>
  <c r="H31" i="27"/>
  <c r="S109" i="30"/>
  <c r="S52" i="30"/>
  <c r="I57" i="32"/>
  <c r="W12" i="22"/>
  <c r="D30" i="35"/>
  <c r="H34" i="32"/>
  <c r="C39" i="22"/>
  <c r="C40" i="22" s="1"/>
  <c r="H31" i="32" s="1"/>
  <c r="C37" i="22"/>
  <c r="E32" i="22"/>
  <c r="E33" i="22"/>
  <c r="F32" i="22"/>
  <c r="F33" i="22" s="1"/>
  <c r="D32" i="22"/>
  <c r="D33" i="22" s="1"/>
  <c r="F23" i="22"/>
  <c r="C18" i="22"/>
  <c r="D18" i="22"/>
  <c r="E18" i="22"/>
  <c r="D13" i="22"/>
  <c r="D14" i="22" s="1"/>
  <c r="D11" i="22"/>
  <c r="I25" i="27"/>
  <c r="E13" i="22"/>
  <c r="F13" i="22"/>
  <c r="F14" i="22" s="1"/>
  <c r="K23" i="32" s="1"/>
  <c r="J25" i="27"/>
  <c r="G48" i="35"/>
  <c r="F48" i="35"/>
  <c r="H16" i="35"/>
  <c r="E48" i="35"/>
  <c r="D7" i="22"/>
  <c r="I20" i="32" s="1"/>
  <c r="H42" i="26"/>
  <c r="D6" i="22"/>
  <c r="W16" i="22"/>
  <c r="K17" i="22"/>
  <c r="C10" i="22"/>
  <c r="C11" i="22" s="1"/>
  <c r="C7" i="22"/>
  <c r="H20" i="32" s="1"/>
  <c r="D62" i="26"/>
  <c r="S41" i="30"/>
  <c r="C6" i="22"/>
  <c r="B5" i="28"/>
  <c r="J24" i="1" l="1"/>
  <c r="H90" i="30"/>
  <c r="G92" i="30"/>
  <c r="L18" i="1"/>
  <c r="L17" i="1" s="1"/>
  <c r="J17" i="1"/>
  <c r="J12" i="1"/>
  <c r="G88" i="30"/>
  <c r="E39" i="22"/>
  <c r="E40" i="22" s="1"/>
  <c r="J31" i="32" s="1"/>
  <c r="E37" i="22"/>
  <c r="D37" i="22"/>
  <c r="Q48" i="27"/>
  <c r="D53" i="34" s="1"/>
  <c r="Q29" i="27"/>
  <c r="S83" i="30"/>
  <c r="K47" i="22"/>
  <c r="F44" i="22"/>
  <c r="F46" i="22"/>
  <c r="F47" i="22" s="1"/>
  <c r="K15" i="32" s="1"/>
  <c r="C46" i="22"/>
  <c r="C47" i="22" s="1"/>
  <c r="H15" i="32" s="1"/>
  <c r="H17" i="32" s="1"/>
  <c r="H27" i="27"/>
  <c r="D44" i="22"/>
  <c r="D46" i="22"/>
  <c r="D47" i="22" s="1"/>
  <c r="I15" i="32" s="1"/>
  <c r="I27" i="27"/>
  <c r="E44" i="22"/>
  <c r="E46" i="22"/>
  <c r="E47" i="22" s="1"/>
  <c r="J15" i="32" s="1"/>
  <c r="J27" i="27"/>
  <c r="H26" i="2"/>
  <c r="H30" i="35"/>
  <c r="R79" i="27"/>
  <c r="I23" i="32"/>
  <c r="E48" i="22"/>
  <c r="F60" i="26" s="1"/>
  <c r="F46" i="35" s="1"/>
  <c r="H18" i="2"/>
  <c r="I18" i="2" s="1"/>
  <c r="Q28" i="30"/>
  <c r="U21" i="22" s="1"/>
  <c r="U22" i="22" s="1"/>
  <c r="I28" i="30"/>
  <c r="M21" i="22" s="1"/>
  <c r="M22" i="22" s="1"/>
  <c r="L28" i="30"/>
  <c r="P21" i="22" s="1"/>
  <c r="P22" i="22" s="1"/>
  <c r="G28" i="30"/>
  <c r="K21" i="22" s="1"/>
  <c r="K28" i="30"/>
  <c r="O21" i="22" s="1"/>
  <c r="O22" i="22" s="1"/>
  <c r="R28" i="30"/>
  <c r="V21" i="22" s="1"/>
  <c r="V22" i="22" s="1"/>
  <c r="P28" i="30"/>
  <c r="T21" i="22" s="1"/>
  <c r="T22" i="22" s="1"/>
  <c r="J28" i="30"/>
  <c r="N21" i="22" s="1"/>
  <c r="N22" i="22" s="1"/>
  <c r="M28" i="30"/>
  <c r="Q21" i="22" s="1"/>
  <c r="Q22" i="22" s="1"/>
  <c r="H28" i="30"/>
  <c r="L21" i="22" s="1"/>
  <c r="L22" i="22" s="1"/>
  <c r="O28" i="30"/>
  <c r="S21" i="22" s="1"/>
  <c r="S22" i="22" s="1"/>
  <c r="BD26" i="30"/>
  <c r="BC26" i="30"/>
  <c r="E2" i="33"/>
  <c r="I21" i="30"/>
  <c r="I47" i="30" s="1"/>
  <c r="W13" i="22"/>
  <c r="I54" i="2"/>
  <c r="I52" i="2" s="1"/>
  <c r="H52" i="2"/>
  <c r="H47" i="2"/>
  <c r="G45" i="2"/>
  <c r="H40" i="2"/>
  <c r="G38" i="2"/>
  <c r="G31" i="2"/>
  <c r="H33" i="2"/>
  <c r="I26" i="2"/>
  <c r="I24" i="2" s="1"/>
  <c r="H24" i="2"/>
  <c r="G42" i="2"/>
  <c r="H53" i="2"/>
  <c r="P10" i="27"/>
  <c r="I49" i="2"/>
  <c r="J124" i="1"/>
  <c r="F84" i="29"/>
  <c r="J122" i="1"/>
  <c r="L122" i="1" s="1"/>
  <c r="U94" i="30"/>
  <c r="L94" i="30" s="1"/>
  <c r="J82" i="1"/>
  <c r="L82" i="1" s="1"/>
  <c r="U85" i="30"/>
  <c r="L66" i="1"/>
  <c r="J68" i="1"/>
  <c r="L68" i="1" s="1"/>
  <c r="L65" i="1"/>
  <c r="L87" i="1"/>
  <c r="U38" i="30"/>
  <c r="Q38" i="30" s="1"/>
  <c r="L49" i="1"/>
  <c r="P48" i="27"/>
  <c r="C53" i="34" s="1"/>
  <c r="F82" i="32"/>
  <c r="F20" i="20"/>
  <c r="P19" i="27" s="1"/>
  <c r="C27" i="34" s="1"/>
  <c r="E22" i="20"/>
  <c r="I35" i="2"/>
  <c r="Q6" i="33"/>
  <c r="I26" i="27"/>
  <c r="D26" i="22"/>
  <c r="D27" i="22" s="1"/>
  <c r="I27" i="32" s="1"/>
  <c r="D24" i="22"/>
  <c r="L51" i="1"/>
  <c r="H104" i="1"/>
  <c r="J107" i="1"/>
  <c r="L107" i="1" s="1"/>
  <c r="L104" i="1" s="1"/>
  <c r="M37" i="30"/>
  <c r="U26" i="29"/>
  <c r="N35" i="29"/>
  <c r="O35" i="29"/>
  <c r="J104" i="1"/>
  <c r="H63" i="1"/>
  <c r="J64" i="1"/>
  <c r="P37" i="30"/>
  <c r="H37" i="30"/>
  <c r="AN59" i="35"/>
  <c r="Y17" i="29"/>
  <c r="G45" i="28"/>
  <c r="Z22" i="29"/>
  <c r="AB22" i="29" s="1"/>
  <c r="N32" i="28" s="1"/>
  <c r="AM52" i="35" s="1"/>
  <c r="AL45" i="35"/>
  <c r="AE17" i="29"/>
  <c r="T25" i="29"/>
  <c r="V25" i="29" s="1"/>
  <c r="AN56" i="29"/>
  <c r="AJ67" i="35"/>
  <c r="W28" i="29"/>
  <c r="J17" i="27"/>
  <c r="X56" i="35" s="1"/>
  <c r="G17" i="2"/>
  <c r="G21" i="2" s="1"/>
  <c r="H19" i="2"/>
  <c r="I19" i="2" s="1"/>
  <c r="F13" i="2"/>
  <c r="H62" i="32"/>
  <c r="V34" i="35" s="1"/>
  <c r="I93" i="32"/>
  <c r="I94" i="32" s="1"/>
  <c r="I91" i="32" s="1"/>
  <c r="W47" i="35" s="1"/>
  <c r="S74" i="30"/>
  <c r="K38" i="22"/>
  <c r="L56" i="35"/>
  <c r="O12" i="20"/>
  <c r="N56" i="35" s="1"/>
  <c r="E3" i="22"/>
  <c r="F45" i="26"/>
  <c r="AE65" i="30"/>
  <c r="C37" i="33"/>
  <c r="G37" i="30"/>
  <c r="I37" i="30"/>
  <c r="H83" i="1"/>
  <c r="H79" i="1"/>
  <c r="U64" i="29"/>
  <c r="AF64" i="29"/>
  <c r="AA26" i="29"/>
  <c r="T35" i="29"/>
  <c r="Z26" i="29"/>
  <c r="AB26" i="29" s="1"/>
  <c r="U24" i="29"/>
  <c r="T34" i="29" s="1"/>
  <c r="T24" i="29"/>
  <c r="V24" i="29" s="1"/>
  <c r="N34" i="29"/>
  <c r="O34" i="29"/>
  <c r="AE59" i="35"/>
  <c r="S28" i="29"/>
  <c r="AE64" i="29"/>
  <c r="AE65" i="29" s="1"/>
  <c r="AC65" i="29"/>
  <c r="AA64" i="29"/>
  <c r="AL64" i="29"/>
  <c r="AM53" i="29"/>
  <c r="AG64" i="29" s="1"/>
  <c r="AA25" i="29"/>
  <c r="AG25" i="29" s="1"/>
  <c r="Z25" i="29"/>
  <c r="AB25" i="29" s="1"/>
  <c r="AJ30" i="35"/>
  <c r="G43" i="32"/>
  <c r="C3" i="33"/>
  <c r="C8" i="33" s="1"/>
  <c r="D8" i="33" s="1"/>
  <c r="E8" i="33" s="1"/>
  <c r="H52" i="27"/>
  <c r="C39" i="33" s="1"/>
  <c r="Q7" i="33"/>
  <c r="R7" i="33" s="1"/>
  <c r="G60" i="35"/>
  <c r="J16" i="20"/>
  <c r="I28" i="2"/>
  <c r="U49" i="30"/>
  <c r="G49" i="30" s="1"/>
  <c r="S49" i="30" s="1"/>
  <c r="T49" i="30" s="1"/>
  <c r="N2" i="22"/>
  <c r="J21" i="30"/>
  <c r="J47" i="30" s="1"/>
  <c r="AC41" i="30"/>
  <c r="F2" i="33"/>
  <c r="F27" i="33" s="1"/>
  <c r="O37" i="30"/>
  <c r="S72" i="30"/>
  <c r="T72" i="30" s="1"/>
  <c r="S15" i="30"/>
  <c r="T15" i="30" s="1"/>
  <c r="S15" i="27"/>
  <c r="J76" i="35"/>
  <c r="M33" i="20"/>
  <c r="Q37" i="30"/>
  <c r="J37" i="30"/>
  <c r="K37" i="30"/>
  <c r="R37" i="30"/>
  <c r="H17" i="27"/>
  <c r="V56" i="35" s="1"/>
  <c r="AJ29" i="35"/>
  <c r="AE10" i="35"/>
  <c r="F43" i="32"/>
  <c r="G64" i="35"/>
  <c r="Q19" i="27"/>
  <c r="D27" i="34" s="1"/>
  <c r="W67" i="35"/>
  <c r="P72" i="27"/>
  <c r="C2" i="34"/>
  <c r="C26" i="34" s="1"/>
  <c r="V66" i="35"/>
  <c r="F72" i="29"/>
  <c r="S11" i="20"/>
  <c r="M8" i="20"/>
  <c r="J52" i="35"/>
  <c r="E15" i="35"/>
  <c r="E34" i="35" s="1"/>
  <c r="I11" i="32"/>
  <c r="H8" i="1"/>
  <c r="I9" i="28"/>
  <c r="AE5" i="30"/>
  <c r="C1" i="33" a="1"/>
  <c r="C1" i="33" s="1"/>
  <c r="AE27" i="35"/>
  <c r="AE41" i="35" s="1"/>
  <c r="AE61" i="35" s="1"/>
  <c r="F21" i="28"/>
  <c r="K4" i="29" s="1"/>
  <c r="F8" i="2"/>
  <c r="O12" i="1"/>
  <c r="O17" i="1"/>
  <c r="M16" i="32"/>
  <c r="V6" i="35"/>
  <c r="M32" i="32"/>
  <c r="M24" i="32"/>
  <c r="H54" i="32"/>
  <c r="M28" i="32"/>
  <c r="G45" i="26"/>
  <c r="F3" i="22"/>
  <c r="G28" i="2"/>
  <c r="H28" i="2"/>
  <c r="H82" i="2"/>
  <c r="H80" i="2" s="1"/>
  <c r="G84" i="2"/>
  <c r="H83" i="2"/>
  <c r="H75" i="2"/>
  <c r="H73" i="2" s="1"/>
  <c r="H76" i="2"/>
  <c r="G77" i="2"/>
  <c r="H69" i="2"/>
  <c r="G70" i="2"/>
  <c r="H68" i="2"/>
  <c r="H66" i="2" s="1"/>
  <c r="G63" i="2"/>
  <c r="H62" i="2"/>
  <c r="H61" i="2"/>
  <c r="H59" i="2" s="1"/>
  <c r="H56" i="2"/>
  <c r="I53" i="2"/>
  <c r="I56" i="2" s="1"/>
  <c r="I39" i="2"/>
  <c r="I42" i="2" s="1"/>
  <c r="H42" i="2"/>
  <c r="M94" i="30"/>
  <c r="K42" i="30"/>
  <c r="G42" i="30"/>
  <c r="R42" i="30"/>
  <c r="J42" i="30"/>
  <c r="Q42" i="30"/>
  <c r="I42" i="30"/>
  <c r="O42" i="30"/>
  <c r="P42" i="30"/>
  <c r="H42" i="30"/>
  <c r="N42" i="30"/>
  <c r="M42" i="30"/>
  <c r="L42" i="30"/>
  <c r="H113" i="1"/>
  <c r="J113" i="1"/>
  <c r="L114" i="1"/>
  <c r="L113" i="1" s="1"/>
  <c r="J109" i="1"/>
  <c r="H108" i="1"/>
  <c r="H99" i="1"/>
  <c r="J100" i="1"/>
  <c r="H94" i="1"/>
  <c r="L95" i="1"/>
  <c r="L94" i="1" s="1"/>
  <c r="J94" i="1"/>
  <c r="H88" i="1"/>
  <c r="J89" i="1"/>
  <c r="L84" i="1"/>
  <c r="L83" i="1" s="1"/>
  <c r="J83" i="1"/>
  <c r="J79" i="1"/>
  <c r="L80" i="1"/>
  <c r="H74" i="1"/>
  <c r="J75" i="1"/>
  <c r="J70" i="1"/>
  <c r="H69" i="1"/>
  <c r="O27" i="30"/>
  <c r="S18" i="22" s="1"/>
  <c r="S19" i="22" s="1"/>
  <c r="G27" i="30"/>
  <c r="R27" i="30"/>
  <c r="V18" i="22" s="1"/>
  <c r="V19" i="22" s="1"/>
  <c r="I27" i="30"/>
  <c r="M18" i="22" s="1"/>
  <c r="M19" i="22" s="1"/>
  <c r="P27" i="30"/>
  <c r="T18" i="22" s="1"/>
  <c r="T19" i="22" s="1"/>
  <c r="N27" i="30"/>
  <c r="R18" i="22" s="1"/>
  <c r="R19" i="22" s="1"/>
  <c r="M27" i="30"/>
  <c r="Q18" i="22" s="1"/>
  <c r="Q19" i="22" s="1"/>
  <c r="L27" i="30"/>
  <c r="P18" i="22" s="1"/>
  <c r="P19" i="22" s="1"/>
  <c r="K27" i="30"/>
  <c r="O18" i="22" s="1"/>
  <c r="O19" i="22" s="1"/>
  <c r="J27" i="30"/>
  <c r="N18" i="22" s="1"/>
  <c r="N19" i="22" s="1"/>
  <c r="Q27" i="30"/>
  <c r="U18" i="22" s="1"/>
  <c r="U19" i="22" s="1"/>
  <c r="H27" i="30"/>
  <c r="L18" i="22" s="1"/>
  <c r="L19" i="22" s="1"/>
  <c r="J53" i="1"/>
  <c r="U84" i="30"/>
  <c r="L48" i="1"/>
  <c r="J47" i="1"/>
  <c r="H46" i="1"/>
  <c r="BJ27" i="30"/>
  <c r="BK27" i="30"/>
  <c r="BL27" i="30" s="1"/>
  <c r="BK26" i="30"/>
  <c r="BL26" i="30" s="1"/>
  <c r="BJ26" i="30"/>
  <c r="L25" i="1"/>
  <c r="L24" i="1" s="1"/>
  <c r="F32" i="1"/>
  <c r="H34" i="1"/>
  <c r="I85" i="32"/>
  <c r="H39" i="1"/>
  <c r="I64" i="32"/>
  <c r="AY27" i="30"/>
  <c r="I87" i="32"/>
  <c r="AX26" i="30"/>
  <c r="H11" i="1"/>
  <c r="AR27" i="30"/>
  <c r="H37" i="1"/>
  <c r="J35" i="1"/>
  <c r="J41" i="1" s="1"/>
  <c r="AK56" i="29"/>
  <c r="P56" i="29"/>
  <c r="AM67" i="35"/>
  <c r="K83" i="32"/>
  <c r="N45" i="28"/>
  <c r="V56" i="29"/>
  <c r="K45" i="28"/>
  <c r="AB56" i="29"/>
  <c r="J45" i="28"/>
  <c r="AA50" i="29"/>
  <c r="W63" i="29"/>
  <c r="W56" i="29"/>
  <c r="AA47" i="29"/>
  <c r="Z62" i="29"/>
  <c r="Q65" i="29"/>
  <c r="S62" i="29"/>
  <c r="S65" i="29" s="1"/>
  <c r="AE56" i="29"/>
  <c r="P41" i="28"/>
  <c r="Q41" i="28"/>
  <c r="AH56" i="29"/>
  <c r="Y56" i="29"/>
  <c r="M41" i="28"/>
  <c r="N61" i="29"/>
  <c r="O56" i="29"/>
  <c r="T61" i="29"/>
  <c r="U44" i="29"/>
  <c r="H45" i="28"/>
  <c r="AG63" i="35"/>
  <c r="AG67" i="35" s="1"/>
  <c r="AE36" i="29"/>
  <c r="AE37" i="29" s="1"/>
  <c r="AC37" i="29"/>
  <c r="AL27" i="29"/>
  <c r="AN27" i="29" s="1"/>
  <c r="AF36" i="29"/>
  <c r="AM27" i="29"/>
  <c r="AL36" i="29" s="1"/>
  <c r="AC28" i="29"/>
  <c r="O50" i="28"/>
  <c r="AN72" i="35" s="1"/>
  <c r="Q49" i="28"/>
  <c r="AP70" i="35" s="1"/>
  <c r="AA24" i="29"/>
  <c r="Z24" i="29"/>
  <c r="AB24" i="29" s="1"/>
  <c r="N34" i="28" s="1"/>
  <c r="AM54" i="35" s="1"/>
  <c r="W34" i="29"/>
  <c r="AA23" i="29"/>
  <c r="Z23" i="29"/>
  <c r="AB23" i="29" s="1"/>
  <c r="N33" i="28" s="1"/>
  <c r="AM53" i="35" s="1"/>
  <c r="L50" i="28"/>
  <c r="AK72" i="35" s="1"/>
  <c r="N49" i="28"/>
  <c r="AM70" i="35" s="1"/>
  <c r="AF22" i="29"/>
  <c r="AH22" i="29" s="1"/>
  <c r="Q32" i="28" s="1"/>
  <c r="AP52" i="35" s="1"/>
  <c r="AG22" i="29"/>
  <c r="AO50" i="35"/>
  <c r="AE21" i="29"/>
  <c r="AE20" i="29"/>
  <c r="AO49" i="35"/>
  <c r="AE19" i="29"/>
  <c r="AK19" i="29" s="1"/>
  <c r="AO48" i="35"/>
  <c r="U21" i="29"/>
  <c r="T21" i="29"/>
  <c r="V21" i="29" s="1"/>
  <c r="K30" i="28" s="1"/>
  <c r="AJ50" i="35" s="1"/>
  <c r="U20" i="29"/>
  <c r="T20" i="29"/>
  <c r="V20" i="29" s="1"/>
  <c r="K29" i="28" s="1"/>
  <c r="AJ49" i="35" s="1"/>
  <c r="Q28" i="29"/>
  <c r="K49" i="28"/>
  <c r="AJ70" i="35" s="1"/>
  <c r="U106" i="30"/>
  <c r="I50" i="28"/>
  <c r="AH72" i="35" s="1"/>
  <c r="Z19" i="29"/>
  <c r="AB19" i="29" s="1"/>
  <c r="N28" i="28" s="1"/>
  <c r="AM48" i="35" s="1"/>
  <c r="AA19" i="29"/>
  <c r="Y18" i="29"/>
  <c r="AL46" i="35"/>
  <c r="Y16" i="29"/>
  <c r="M39" i="28"/>
  <c r="AL44" i="35"/>
  <c r="H49" i="28"/>
  <c r="AG70" i="35" s="1"/>
  <c r="T18" i="29"/>
  <c r="V18" i="29" s="1"/>
  <c r="K26" i="28" s="1"/>
  <c r="AJ46" i="35" s="1"/>
  <c r="U18" i="29"/>
  <c r="F50" i="28"/>
  <c r="AE72" i="35" s="1"/>
  <c r="U17" i="29"/>
  <c r="T17" i="29"/>
  <c r="V17" i="29" s="1"/>
  <c r="K25" i="28" s="1"/>
  <c r="AJ45" i="35" s="1"/>
  <c r="R16" i="29"/>
  <c r="X16" i="29" s="1"/>
  <c r="AD16" i="29" s="1"/>
  <c r="K33" i="29"/>
  <c r="K28" i="29"/>
  <c r="O16" i="29"/>
  <c r="N16" i="29"/>
  <c r="AM43" i="29"/>
  <c r="R50" i="30"/>
  <c r="L50" i="30"/>
  <c r="AG36" i="35"/>
  <c r="V10" i="29"/>
  <c r="P14" i="29"/>
  <c r="U12" i="29"/>
  <c r="T11" i="29"/>
  <c r="AE13" i="29"/>
  <c r="AN35" i="35"/>
  <c r="Q17" i="28"/>
  <c r="Y13" i="29"/>
  <c r="AA13" i="29" s="1"/>
  <c r="AK35" i="35"/>
  <c r="N17" i="28"/>
  <c r="V13" i="29"/>
  <c r="AJ35" i="35"/>
  <c r="Q16" i="28"/>
  <c r="AE12" i="29"/>
  <c r="AN34" i="35"/>
  <c r="AJ34" i="35"/>
  <c r="V12" i="29"/>
  <c r="Y12" i="29"/>
  <c r="AK12" i="29" s="1"/>
  <c r="N16" i="28"/>
  <c r="AK34" i="35"/>
  <c r="K18" i="28"/>
  <c r="AK33" i="35"/>
  <c r="Y11" i="29"/>
  <c r="O15" i="28"/>
  <c r="N15" i="28"/>
  <c r="AJ33" i="35"/>
  <c r="V11" i="29"/>
  <c r="Q14" i="28"/>
  <c r="AE10" i="29"/>
  <c r="AN32" i="35"/>
  <c r="U10" i="29"/>
  <c r="N14" i="28"/>
  <c r="Y10" i="29"/>
  <c r="AK32" i="35"/>
  <c r="AK10" i="29"/>
  <c r="Q13" i="28"/>
  <c r="AN31" i="35"/>
  <c r="AE9" i="29"/>
  <c r="AK9" i="29" s="1"/>
  <c r="AM31" i="35"/>
  <c r="AB9" i="29"/>
  <c r="U9" i="29"/>
  <c r="T9" i="29"/>
  <c r="N9" i="29"/>
  <c r="V9" i="29"/>
  <c r="AJ31" i="35"/>
  <c r="N12" i="28"/>
  <c r="AK30" i="35"/>
  <c r="Y8" i="29"/>
  <c r="AA8" i="29" s="1"/>
  <c r="S14" i="29"/>
  <c r="T31" i="29" s="1"/>
  <c r="O12" i="28"/>
  <c r="T8" i="29"/>
  <c r="Q11" i="28"/>
  <c r="AN29" i="35"/>
  <c r="AE7" i="29"/>
  <c r="I30" i="27"/>
  <c r="W65" i="35" s="1"/>
  <c r="U107" i="30"/>
  <c r="H77" i="32"/>
  <c r="AK29" i="35"/>
  <c r="Y7" i="29"/>
  <c r="L18" i="28"/>
  <c r="N11" i="28"/>
  <c r="N7" i="29"/>
  <c r="U7" i="29"/>
  <c r="T7" i="29"/>
  <c r="O14" i="29"/>
  <c r="I57" i="27"/>
  <c r="I82" i="32" s="1"/>
  <c r="H82" i="32"/>
  <c r="Q39" i="33"/>
  <c r="K79" i="32"/>
  <c r="Y44" i="35" s="1"/>
  <c r="X44" i="35"/>
  <c r="AB68" i="35"/>
  <c r="H46" i="28"/>
  <c r="AG68" i="35" s="1"/>
  <c r="I38" i="27"/>
  <c r="W71" i="35" s="1"/>
  <c r="N46" i="28"/>
  <c r="AM68" i="35" s="1"/>
  <c r="J78" i="32"/>
  <c r="I19" i="27"/>
  <c r="W58" i="35" s="1"/>
  <c r="U42" i="35"/>
  <c r="Q31" i="27"/>
  <c r="Q32" i="27" s="1"/>
  <c r="T42" i="35"/>
  <c r="P31" i="27"/>
  <c r="P29" i="27"/>
  <c r="V67" i="35"/>
  <c r="X41" i="35"/>
  <c r="J34" i="27"/>
  <c r="X67" i="35" s="1"/>
  <c r="Q48" i="28"/>
  <c r="AP69" i="35" s="1"/>
  <c r="K74" i="32"/>
  <c r="I40" i="29"/>
  <c r="Y40" i="29"/>
  <c r="V40" i="29"/>
  <c r="AH40" i="29"/>
  <c r="S40" i="29"/>
  <c r="J60" i="29"/>
  <c r="P40" i="29"/>
  <c r="AE40" i="29"/>
  <c r="AB40" i="29"/>
  <c r="K33" i="27"/>
  <c r="K17" i="27"/>
  <c r="Y56" i="35" s="1"/>
  <c r="Q79" i="27"/>
  <c r="Q81" i="27" s="1"/>
  <c r="P93" i="27"/>
  <c r="P81" i="27"/>
  <c r="W22" i="35"/>
  <c r="I29" i="27"/>
  <c r="W64" i="35" s="1"/>
  <c r="J48" i="32"/>
  <c r="G61" i="27"/>
  <c r="AG19" i="35" s="1"/>
  <c r="AE18" i="35"/>
  <c r="U7" i="35"/>
  <c r="G51" i="32"/>
  <c r="U24" i="35" s="1"/>
  <c r="Q5" i="33"/>
  <c r="S3" i="33"/>
  <c r="R6" i="33"/>
  <c r="AI13" i="35"/>
  <c r="H45" i="32"/>
  <c r="I55" i="27"/>
  <c r="F64" i="35"/>
  <c r="Q18" i="27"/>
  <c r="G22" i="20"/>
  <c r="AI8" i="35"/>
  <c r="H40" i="32"/>
  <c r="I50" i="27"/>
  <c r="J89" i="32"/>
  <c r="AI17" i="35"/>
  <c r="I59" i="27"/>
  <c r="P18" i="27"/>
  <c r="D64" i="35"/>
  <c r="P26" i="27"/>
  <c r="E64" i="35"/>
  <c r="N47" i="28"/>
  <c r="J69" i="32"/>
  <c r="W38" i="35"/>
  <c r="I32" i="27"/>
  <c r="W33" i="35"/>
  <c r="I31" i="27"/>
  <c r="J61" i="32"/>
  <c r="T109" i="30"/>
  <c r="T52" i="30"/>
  <c r="J57" i="32"/>
  <c r="W29" i="35"/>
  <c r="V14" i="35"/>
  <c r="I34" i="32"/>
  <c r="H33" i="32"/>
  <c r="F39" i="22"/>
  <c r="F40" i="22" s="1"/>
  <c r="K31" i="32" s="1"/>
  <c r="K27" i="27"/>
  <c r="F37" i="22"/>
  <c r="F26" i="22"/>
  <c r="F27" i="22"/>
  <c r="K27" i="32" s="1"/>
  <c r="K26" i="27"/>
  <c r="F24" i="22"/>
  <c r="J26" i="27"/>
  <c r="E26" i="22"/>
  <c r="E27" i="22" s="1"/>
  <c r="J27" i="32" s="1"/>
  <c r="C48" i="22"/>
  <c r="D60" i="26" s="1"/>
  <c r="D46" i="35" s="1"/>
  <c r="H26" i="27"/>
  <c r="C26" i="22"/>
  <c r="E14" i="22"/>
  <c r="J23" i="32" s="1"/>
  <c r="W17" i="22"/>
  <c r="C13" i="22"/>
  <c r="C14" i="22" s="1"/>
  <c r="H23" i="32" s="1"/>
  <c r="H25" i="27"/>
  <c r="D48" i="35"/>
  <c r="H62" i="26"/>
  <c r="H48" i="35" s="1"/>
  <c r="H19" i="32"/>
  <c r="I90" i="30" l="1"/>
  <c r="H92" i="30"/>
  <c r="K64" i="32"/>
  <c r="H88" i="30"/>
  <c r="I88" i="30" s="1"/>
  <c r="J88" i="30" s="1"/>
  <c r="K88" i="30" s="1"/>
  <c r="L88" i="30" s="1"/>
  <c r="R39" i="33"/>
  <c r="Q43" i="33"/>
  <c r="R43" i="33" s="1"/>
  <c r="Q42" i="33"/>
  <c r="P85" i="30"/>
  <c r="T52" i="22" s="1"/>
  <c r="T53" i="22" s="1"/>
  <c r="H85" i="30"/>
  <c r="L52" i="22" s="1"/>
  <c r="L53" i="22" s="1"/>
  <c r="R85" i="30"/>
  <c r="V52" i="22" s="1"/>
  <c r="V53" i="22" s="1"/>
  <c r="M85" i="30"/>
  <c r="Q52" i="22" s="1"/>
  <c r="Q53" i="22" s="1"/>
  <c r="L85" i="30"/>
  <c r="P52" i="22" s="1"/>
  <c r="P53" i="22" s="1"/>
  <c r="Q30" i="27"/>
  <c r="AU9" i="35"/>
  <c r="W62" i="35"/>
  <c r="D48" i="22"/>
  <c r="E60" i="26" s="1"/>
  <c r="E46" i="35" s="1"/>
  <c r="K48" i="22"/>
  <c r="W48" i="22" s="1"/>
  <c r="W47" i="22"/>
  <c r="F49" i="22"/>
  <c r="X62" i="35"/>
  <c r="N85" i="30"/>
  <c r="R52" i="22" s="1"/>
  <c r="R53" i="22" s="1"/>
  <c r="C49" i="22"/>
  <c r="D61" i="26" s="1"/>
  <c r="M18" i="30" s="1"/>
  <c r="F48" i="22"/>
  <c r="G60" i="26" s="1"/>
  <c r="G46" i="35" s="1"/>
  <c r="H43" i="32"/>
  <c r="G85" i="30"/>
  <c r="K52" i="22" s="1"/>
  <c r="K53" i="22" s="1"/>
  <c r="O85" i="30"/>
  <c r="S52" i="22" s="1"/>
  <c r="S53" i="22" s="1"/>
  <c r="S28" i="30"/>
  <c r="T28" i="30" s="1"/>
  <c r="J11" i="1"/>
  <c r="S2" i="33"/>
  <c r="E27" i="33"/>
  <c r="H49" i="2"/>
  <c r="H45" i="2"/>
  <c r="I47" i="2"/>
  <c r="I45" i="2" s="1"/>
  <c r="I40" i="2"/>
  <c r="I38" i="2" s="1"/>
  <c r="H38" i="2"/>
  <c r="H31" i="2"/>
  <c r="I33" i="2"/>
  <c r="I31" i="2" s="1"/>
  <c r="L124" i="1"/>
  <c r="J84" i="29" s="1"/>
  <c r="H84" i="29"/>
  <c r="N94" i="30"/>
  <c r="G94" i="30"/>
  <c r="O94" i="30"/>
  <c r="H94" i="30"/>
  <c r="P94" i="30"/>
  <c r="K94" i="30"/>
  <c r="I94" i="30"/>
  <c r="Q94" i="30"/>
  <c r="J94" i="30"/>
  <c r="R94" i="30"/>
  <c r="U95" i="30"/>
  <c r="G95" i="30" s="1"/>
  <c r="K85" i="30"/>
  <c r="O52" i="22" s="1"/>
  <c r="O53" i="22" s="1"/>
  <c r="J85" i="30"/>
  <c r="N52" i="22" s="1"/>
  <c r="N53" i="22" s="1"/>
  <c r="Q85" i="30"/>
  <c r="U52" i="22" s="1"/>
  <c r="U53" i="22" s="1"/>
  <c r="I85" i="30"/>
  <c r="M52" i="22" s="1"/>
  <c r="M53" i="22" s="1"/>
  <c r="L64" i="1"/>
  <c r="J63" i="1"/>
  <c r="L79" i="1"/>
  <c r="F10" i="2"/>
  <c r="S12" i="30" s="1"/>
  <c r="S14" i="30" s="1"/>
  <c r="L14" i="30" s="1"/>
  <c r="P7" i="22" s="1"/>
  <c r="P8" i="22" s="1"/>
  <c r="Q26" i="27"/>
  <c r="G26" i="20"/>
  <c r="D49" i="22"/>
  <c r="I20" i="27" s="1"/>
  <c r="W59" i="35" s="1"/>
  <c r="F11" i="2"/>
  <c r="I15" i="20" s="1"/>
  <c r="U22" i="30" s="1"/>
  <c r="I52" i="27"/>
  <c r="J52" i="27" s="1"/>
  <c r="C9" i="33"/>
  <c r="D9" i="33" s="1"/>
  <c r="E9" i="33" s="1"/>
  <c r="F9" i="33" s="1"/>
  <c r="C7" i="33"/>
  <c r="D7" i="33" s="1"/>
  <c r="J93" i="32"/>
  <c r="J94" i="32" s="1"/>
  <c r="J91" i="32" s="1"/>
  <c r="X47" i="35" s="1"/>
  <c r="J39" i="1"/>
  <c r="H36" i="27"/>
  <c r="V69" i="35" s="1"/>
  <c r="G50" i="28"/>
  <c r="AF72" i="35" s="1"/>
  <c r="AF25" i="29"/>
  <c r="AH25" i="29" s="1"/>
  <c r="Q36" i="28" s="1"/>
  <c r="AP56" i="35" s="1"/>
  <c r="Z13" i="29"/>
  <c r="I17" i="2"/>
  <c r="H17" i="2"/>
  <c r="H21" i="2" s="1"/>
  <c r="K39" i="22"/>
  <c r="W39" i="22" s="1"/>
  <c r="W38" i="22"/>
  <c r="K85" i="32"/>
  <c r="K87" i="32"/>
  <c r="L39" i="1"/>
  <c r="L34" i="1"/>
  <c r="S37" i="30"/>
  <c r="T37" i="30" s="1"/>
  <c r="Z35" i="29"/>
  <c r="AG26" i="29"/>
  <c r="AF26" i="29"/>
  <c r="AH26" i="29" s="1"/>
  <c r="Q37" i="28" s="1"/>
  <c r="AP57" i="35" s="1"/>
  <c r="L11" i="1"/>
  <c r="K93" i="32"/>
  <c r="K94" i="32" s="1"/>
  <c r="K91" i="32" s="1"/>
  <c r="Y47" i="35" s="1"/>
  <c r="F31" i="1"/>
  <c r="F44" i="1" s="1"/>
  <c r="AK7" i="29"/>
  <c r="C4" i="33"/>
  <c r="C5" i="33" s="1"/>
  <c r="C6" i="33"/>
  <c r="C10" i="33"/>
  <c r="D10" i="33" s="1"/>
  <c r="E10" i="33" s="1"/>
  <c r="F10" i="33" s="1"/>
  <c r="G10" i="33" s="1"/>
  <c r="D3" i="33"/>
  <c r="E3" i="33" s="1"/>
  <c r="AI10" i="35"/>
  <c r="C13" i="33"/>
  <c r="R8" i="33"/>
  <c r="H23" i="30" s="1"/>
  <c r="Q8" i="33"/>
  <c r="G23" i="30" s="1"/>
  <c r="H22" i="20"/>
  <c r="G66" i="35" s="1"/>
  <c r="I60" i="35"/>
  <c r="L16" i="20"/>
  <c r="F22" i="20"/>
  <c r="H42" i="1"/>
  <c r="U93" i="30" s="1"/>
  <c r="H38" i="30"/>
  <c r="AD41" i="30"/>
  <c r="G2" i="33"/>
  <c r="G27" i="33" s="1"/>
  <c r="O2" i="22"/>
  <c r="K21" i="30"/>
  <c r="K47" i="30" s="1"/>
  <c r="O33" i="20"/>
  <c r="L76" i="35"/>
  <c r="T15" i="27"/>
  <c r="K38" i="30"/>
  <c r="L38" i="30"/>
  <c r="G38" i="30"/>
  <c r="R38" i="30"/>
  <c r="N38" i="30"/>
  <c r="M38" i="30"/>
  <c r="O38" i="30"/>
  <c r="J38" i="30"/>
  <c r="P38" i="30"/>
  <c r="I38" i="30"/>
  <c r="AJ36" i="35"/>
  <c r="H76" i="32"/>
  <c r="V43" i="35" s="1"/>
  <c r="S85" i="27"/>
  <c r="AK15" i="35"/>
  <c r="P12" i="1"/>
  <c r="P17" i="1"/>
  <c r="G8" i="2"/>
  <c r="N16" i="32"/>
  <c r="N32" i="32"/>
  <c r="N24" i="32"/>
  <c r="I54" i="32"/>
  <c r="N28" i="32"/>
  <c r="W6" i="35"/>
  <c r="K17" i="2"/>
  <c r="H11" i="27"/>
  <c r="K57" i="29"/>
  <c r="K39" i="29"/>
  <c r="H72" i="29"/>
  <c r="T11" i="20"/>
  <c r="L52" i="35"/>
  <c r="F15" i="35"/>
  <c r="F34" i="35" s="1"/>
  <c r="J11" i="32"/>
  <c r="L9" i="28"/>
  <c r="O8" i="20"/>
  <c r="J8" i="1"/>
  <c r="AI6" i="35"/>
  <c r="AV7" i="35" s="1"/>
  <c r="V52" i="35"/>
  <c r="V27" i="35"/>
  <c r="AH27" i="35"/>
  <c r="AH41" i="35" s="1"/>
  <c r="AH61" i="35" s="1"/>
  <c r="I21" i="28"/>
  <c r="Q4" i="29" s="1"/>
  <c r="G13" i="2"/>
  <c r="H84" i="2"/>
  <c r="I83" i="2"/>
  <c r="I84" i="2" s="1"/>
  <c r="I82" i="2"/>
  <c r="I80" i="2" s="1"/>
  <c r="I76" i="2"/>
  <c r="I77" i="2" s="1"/>
  <c r="H77" i="2"/>
  <c r="I75" i="2"/>
  <c r="I73" i="2" s="1"/>
  <c r="I68" i="2"/>
  <c r="I66" i="2" s="1"/>
  <c r="G10" i="2"/>
  <c r="K11" i="20" s="1"/>
  <c r="I69" i="2"/>
  <c r="I70" i="2" s="1"/>
  <c r="H70" i="2"/>
  <c r="G11" i="2"/>
  <c r="I61" i="2"/>
  <c r="I59" i="2" s="1"/>
  <c r="I62" i="2"/>
  <c r="I63" i="2" s="1"/>
  <c r="H63" i="2"/>
  <c r="I21" i="2"/>
  <c r="S42" i="30"/>
  <c r="T42" i="30" s="1"/>
  <c r="J108" i="1"/>
  <c r="L109" i="1"/>
  <c r="L108" i="1" s="1"/>
  <c r="J99" i="1"/>
  <c r="L100" i="1"/>
  <c r="L99" i="1" s="1"/>
  <c r="J88" i="1"/>
  <c r="L89" i="1"/>
  <c r="L88" i="1" s="1"/>
  <c r="J74" i="1"/>
  <c r="L75" i="1"/>
  <c r="L70" i="1"/>
  <c r="L69" i="1" s="1"/>
  <c r="J69" i="1"/>
  <c r="K22" i="22"/>
  <c r="W22" i="22" s="1"/>
  <c r="W21" i="22"/>
  <c r="L53" i="1"/>
  <c r="K18" i="22"/>
  <c r="S27" i="30"/>
  <c r="T27" i="30" s="1"/>
  <c r="P84" i="30"/>
  <c r="T49" i="22" s="1"/>
  <c r="T50" i="22" s="1"/>
  <c r="H84" i="30"/>
  <c r="L49" i="22" s="1"/>
  <c r="L50" i="22" s="1"/>
  <c r="J84" i="30"/>
  <c r="N49" i="22" s="1"/>
  <c r="N50" i="22" s="1"/>
  <c r="Q84" i="30"/>
  <c r="U49" i="22" s="1"/>
  <c r="U50" i="22" s="1"/>
  <c r="O84" i="30"/>
  <c r="S49" i="22" s="1"/>
  <c r="S50" i="22" s="1"/>
  <c r="G84" i="30"/>
  <c r="N84" i="30"/>
  <c r="R49" i="22" s="1"/>
  <c r="R50" i="22" s="1"/>
  <c r="K84" i="30"/>
  <c r="O49" i="22" s="1"/>
  <c r="O50" i="22" s="1"/>
  <c r="M84" i="30"/>
  <c r="Q49" i="22" s="1"/>
  <c r="Q50" i="22" s="1"/>
  <c r="L84" i="30"/>
  <c r="P49" i="22" s="1"/>
  <c r="P50" i="22" s="1"/>
  <c r="R84" i="30"/>
  <c r="V49" i="22" s="1"/>
  <c r="V50" i="22" s="1"/>
  <c r="I84" i="30"/>
  <c r="M49" i="22" s="1"/>
  <c r="M50" i="22" s="1"/>
  <c r="J46" i="1"/>
  <c r="L47" i="1"/>
  <c r="BM26" i="30"/>
  <c r="R42" i="27"/>
  <c r="J64" i="32"/>
  <c r="J62" i="32" s="1"/>
  <c r="X34" i="35" s="1"/>
  <c r="J87" i="32"/>
  <c r="J85" i="32"/>
  <c r="J34" i="1"/>
  <c r="BN26" i="30"/>
  <c r="H32" i="1"/>
  <c r="K30" i="20"/>
  <c r="I62" i="32"/>
  <c r="W34" i="35" s="1"/>
  <c r="BE26" i="30"/>
  <c r="BO26" i="30" s="1"/>
  <c r="BA27" i="30"/>
  <c r="K62" i="32"/>
  <c r="Y34" i="35" s="1"/>
  <c r="AT27" i="30"/>
  <c r="AV27" i="30" s="1"/>
  <c r="J37" i="1"/>
  <c r="L35" i="1"/>
  <c r="L41" i="1" s="1"/>
  <c r="U63" i="29"/>
  <c r="AF63" i="29"/>
  <c r="AG50" i="29"/>
  <c r="Y63" i="29"/>
  <c r="Y65" i="29" s="1"/>
  <c r="W65" i="29"/>
  <c r="AG47" i="29"/>
  <c r="U62" i="29"/>
  <c r="AF62" i="29"/>
  <c r="P45" i="28"/>
  <c r="AO63" i="35"/>
  <c r="AO67" i="35" s="1"/>
  <c r="AL63" i="35"/>
  <c r="AL67" i="35" s="1"/>
  <c r="M45" i="28"/>
  <c r="AP63" i="35"/>
  <c r="AP67" i="35" s="1"/>
  <c r="Q45" i="28"/>
  <c r="U56" i="29"/>
  <c r="Z61" i="29"/>
  <c r="AA44" i="29"/>
  <c r="AM25" i="29"/>
  <c r="AL25" i="29"/>
  <c r="AN25" i="29" s="1"/>
  <c r="W37" i="29"/>
  <c r="Y34" i="29"/>
  <c r="Y37" i="29" s="1"/>
  <c r="Z34" i="29"/>
  <c r="AG24" i="29"/>
  <c r="AF24" i="29"/>
  <c r="AH24" i="29" s="1"/>
  <c r="Q34" i="28" s="1"/>
  <c r="AP54" i="35" s="1"/>
  <c r="AG23" i="29"/>
  <c r="AF23" i="29"/>
  <c r="AH23" i="29" s="1"/>
  <c r="Q33" i="28" s="1"/>
  <c r="AP53" i="35" s="1"/>
  <c r="AM22" i="29"/>
  <c r="AL22" i="29"/>
  <c r="AN22" i="29" s="1"/>
  <c r="AA21" i="29"/>
  <c r="Z21" i="29"/>
  <c r="AB21" i="29" s="1"/>
  <c r="N30" i="28" s="1"/>
  <c r="AM50" i="35" s="1"/>
  <c r="AA20" i="29"/>
  <c r="Z20" i="29"/>
  <c r="AB20" i="29" s="1"/>
  <c r="N29" i="28" s="1"/>
  <c r="AM49" i="35" s="1"/>
  <c r="AG19" i="29"/>
  <c r="AF19" i="29"/>
  <c r="AH19" i="29" s="1"/>
  <c r="Q28" i="28" s="1"/>
  <c r="AP48" i="35" s="1"/>
  <c r="G106" i="30"/>
  <c r="S106" i="30" s="1"/>
  <c r="T106" i="30" s="1"/>
  <c r="AL59" i="35"/>
  <c r="Y28" i="29"/>
  <c r="AE18" i="29"/>
  <c r="AO46" i="35"/>
  <c r="AO44" i="35"/>
  <c r="AE16" i="29"/>
  <c r="P39" i="28"/>
  <c r="AA18" i="29"/>
  <c r="Z18" i="29"/>
  <c r="AB18" i="29" s="1"/>
  <c r="N26" i="28" s="1"/>
  <c r="AM46" i="35" s="1"/>
  <c r="AA17" i="29"/>
  <c r="Z17" i="29"/>
  <c r="AB17" i="29" s="1"/>
  <c r="N25" i="28" s="1"/>
  <c r="AM45" i="35" s="1"/>
  <c r="N28" i="29"/>
  <c r="P16" i="29"/>
  <c r="U16" i="29"/>
  <c r="O33" i="29"/>
  <c r="T16" i="29"/>
  <c r="N33" i="29"/>
  <c r="O28" i="29"/>
  <c r="M33" i="29"/>
  <c r="M37" i="29" s="1"/>
  <c r="K37" i="29"/>
  <c r="AD28" i="29"/>
  <c r="AJ16" i="29"/>
  <c r="N14" i="29"/>
  <c r="S50" i="30"/>
  <c r="T50" i="30" s="1"/>
  <c r="AG13" i="29"/>
  <c r="AF13" i="29"/>
  <c r="AB13" i="29"/>
  <c r="AM35" i="35"/>
  <c r="AK13" i="29"/>
  <c r="AP35" i="35"/>
  <c r="AH13" i="29"/>
  <c r="V14" i="29"/>
  <c r="Z12" i="29"/>
  <c r="AA12" i="29"/>
  <c r="Y14" i="29"/>
  <c r="Z31" i="29" s="1"/>
  <c r="AM34" i="35"/>
  <c r="AB12" i="29"/>
  <c r="AH12" i="29"/>
  <c r="AP34" i="35"/>
  <c r="AB11" i="29"/>
  <c r="AM33" i="35"/>
  <c r="Q15" i="28"/>
  <c r="AE11" i="29"/>
  <c r="AN33" i="35"/>
  <c r="N31" i="29"/>
  <c r="O18" i="28"/>
  <c r="AK11" i="29"/>
  <c r="T14" i="29"/>
  <c r="Z11" i="29"/>
  <c r="AA11" i="29"/>
  <c r="AK36" i="35"/>
  <c r="AB10" i="29"/>
  <c r="AM32" i="35"/>
  <c r="Z10" i="29"/>
  <c r="AA10" i="29"/>
  <c r="AH10" i="29"/>
  <c r="AP32" i="35"/>
  <c r="AA9" i="29"/>
  <c r="Z9" i="29"/>
  <c r="AH9" i="29"/>
  <c r="AP31" i="35"/>
  <c r="AE8" i="29"/>
  <c r="AF8" i="29" s="1"/>
  <c r="AN30" i="35"/>
  <c r="AN36" i="35" s="1"/>
  <c r="Q12" i="28"/>
  <c r="AB8" i="29"/>
  <c r="AM30" i="35"/>
  <c r="Z8" i="29"/>
  <c r="Z7" i="29"/>
  <c r="U14" i="29"/>
  <c r="AA7" i="29"/>
  <c r="R107" i="30"/>
  <c r="L107" i="30"/>
  <c r="N18" i="28"/>
  <c r="AB7" i="29"/>
  <c r="AM29" i="35"/>
  <c r="I77" i="32"/>
  <c r="J30" i="27"/>
  <c r="X65" i="35" s="1"/>
  <c r="AH7" i="29"/>
  <c r="AP29" i="35"/>
  <c r="J57" i="27"/>
  <c r="J82" i="32" s="1"/>
  <c r="J38" i="27"/>
  <c r="X71" i="35" s="1"/>
  <c r="Q46" i="28"/>
  <c r="AP68" i="35" s="1"/>
  <c r="K78" i="32"/>
  <c r="M78" i="32" s="1"/>
  <c r="J19" i="27"/>
  <c r="X58" i="35" s="1"/>
  <c r="AU11" i="35"/>
  <c r="AU12" i="35"/>
  <c r="AU10" i="35"/>
  <c r="AT10" i="35"/>
  <c r="AT9" i="35"/>
  <c r="AT11" i="35"/>
  <c r="AT12" i="35"/>
  <c r="K34" i="27"/>
  <c r="Y67" i="35" s="1"/>
  <c r="Y41" i="35"/>
  <c r="M74" i="32"/>
  <c r="J83" i="32"/>
  <c r="O19" i="28"/>
  <c r="AG40" i="29"/>
  <c r="AE43" i="29"/>
  <c r="Z60" i="29"/>
  <c r="H19" i="28"/>
  <c r="P43" i="29"/>
  <c r="U40" i="29"/>
  <c r="N60" i="29"/>
  <c r="N65" i="29" s="1"/>
  <c r="S43" i="29"/>
  <c r="H83" i="32" s="1"/>
  <c r="I19" i="28"/>
  <c r="AH43" i="29"/>
  <c r="Q19" i="28"/>
  <c r="AP38" i="35" s="1"/>
  <c r="V43" i="29"/>
  <c r="K19" i="28"/>
  <c r="AA40" i="29"/>
  <c r="I83" i="32"/>
  <c r="T60" i="29"/>
  <c r="T65" i="29" s="1"/>
  <c r="Y43" i="29"/>
  <c r="L19" i="28"/>
  <c r="N19" i="28"/>
  <c r="AM38" i="35" s="1"/>
  <c r="AB43" i="29"/>
  <c r="I43" i="29"/>
  <c r="O40" i="29"/>
  <c r="O43" i="29" s="1"/>
  <c r="X22" i="35"/>
  <c r="J29" i="27"/>
  <c r="X64" i="35" s="1"/>
  <c r="K48" i="32"/>
  <c r="C49" i="33"/>
  <c r="C45" i="33"/>
  <c r="D45" i="33" s="1"/>
  <c r="E45" i="33" s="1"/>
  <c r="F45" i="33" s="1"/>
  <c r="C46" i="33"/>
  <c r="D46" i="33" s="1"/>
  <c r="E46" i="33" s="1"/>
  <c r="F46" i="33" s="1"/>
  <c r="G46" i="33" s="1"/>
  <c r="C43" i="33"/>
  <c r="D43" i="33" s="1"/>
  <c r="D39" i="33"/>
  <c r="E39" i="33" s="1"/>
  <c r="C44" i="33"/>
  <c r="D44" i="33" s="1"/>
  <c r="E44" i="33" s="1"/>
  <c r="H30" i="32"/>
  <c r="I33" i="32" s="1"/>
  <c r="S7" i="33"/>
  <c r="S8" i="33" s="1"/>
  <c r="I23" i="30" s="1"/>
  <c r="AK13" i="35"/>
  <c r="I45" i="32"/>
  <c r="J55" i="27"/>
  <c r="AK17" i="35"/>
  <c r="J59" i="27"/>
  <c r="K89" i="32"/>
  <c r="F66" i="35"/>
  <c r="H26" i="20"/>
  <c r="G70" i="35" s="1"/>
  <c r="Q20" i="27"/>
  <c r="Q74" i="27" s="1"/>
  <c r="AK8" i="35"/>
  <c r="I40" i="32"/>
  <c r="J50" i="27"/>
  <c r="P20" i="27"/>
  <c r="P74" i="27" s="1"/>
  <c r="E26" i="20"/>
  <c r="F26" i="20" s="1"/>
  <c r="E70" i="35" s="1"/>
  <c r="D66" i="35"/>
  <c r="C27" i="22"/>
  <c r="H27" i="32" s="1"/>
  <c r="H29" i="32" s="1"/>
  <c r="X38" i="35"/>
  <c r="Q47" i="28"/>
  <c r="J32" i="27"/>
  <c r="K69" i="32"/>
  <c r="W66" i="35"/>
  <c r="J31" i="27"/>
  <c r="K61" i="32"/>
  <c r="X33" i="35"/>
  <c r="K57" i="32"/>
  <c r="Y29" i="35" s="1"/>
  <c r="X29" i="35"/>
  <c r="W14" i="35"/>
  <c r="J34" i="32"/>
  <c r="H14" i="32"/>
  <c r="Y62" i="35"/>
  <c r="E49" i="22"/>
  <c r="H25" i="32"/>
  <c r="H22" i="32" s="1"/>
  <c r="V62" i="35"/>
  <c r="I19" i="32"/>
  <c r="V10" i="35"/>
  <c r="I92" i="30" l="1"/>
  <c r="J90" i="30"/>
  <c r="N88" i="30"/>
  <c r="O88" i="30" s="1"/>
  <c r="P88" i="30" s="1"/>
  <c r="Q88" i="30" s="1"/>
  <c r="R88" i="30" s="1"/>
  <c r="S88" i="30"/>
  <c r="T88" i="30" s="1"/>
  <c r="R42" i="33"/>
  <c r="R44" i="33" s="1"/>
  <c r="H80" i="30" s="1"/>
  <c r="S39" i="33"/>
  <c r="S43" i="33" s="1"/>
  <c r="S44" i="33" s="1"/>
  <c r="I80" i="30" s="1"/>
  <c r="G93" i="30"/>
  <c r="R93" i="30"/>
  <c r="N93" i="30"/>
  <c r="Q93" i="30"/>
  <c r="O93" i="30"/>
  <c r="I93" i="30"/>
  <c r="K93" i="30"/>
  <c r="P93" i="30"/>
  <c r="H93" i="30"/>
  <c r="J93" i="30"/>
  <c r="L93" i="30"/>
  <c r="M93" i="30"/>
  <c r="S94" i="30"/>
  <c r="T94" i="30" s="1"/>
  <c r="G61" i="26"/>
  <c r="K20" i="27"/>
  <c r="Y59" i="35" s="1"/>
  <c r="H20" i="27"/>
  <c r="V59" i="35" s="1"/>
  <c r="D47" i="35"/>
  <c r="D50" i="26"/>
  <c r="R86" i="27" s="1"/>
  <c r="H60" i="26"/>
  <c r="H46" i="35" s="1"/>
  <c r="W53" i="22"/>
  <c r="J32" i="1"/>
  <c r="T42" i="27" s="1"/>
  <c r="F12" i="2"/>
  <c r="F14" i="2" s="1"/>
  <c r="I11" i="20"/>
  <c r="H54" i="27" s="1"/>
  <c r="H44" i="32" s="1"/>
  <c r="V19" i="35" s="1"/>
  <c r="W52" i="22"/>
  <c r="S85" i="30"/>
  <c r="T85" i="30" s="1"/>
  <c r="L63" i="1"/>
  <c r="L74" i="1"/>
  <c r="E61" i="26"/>
  <c r="U79" i="30"/>
  <c r="K15" i="20"/>
  <c r="I43" i="32"/>
  <c r="AK10" i="35"/>
  <c r="I51" i="27"/>
  <c r="I42" i="32" s="1"/>
  <c r="W18" i="35" s="1"/>
  <c r="F3" i="33"/>
  <c r="F8" i="33" s="1"/>
  <c r="F11" i="33" s="1"/>
  <c r="J11" i="30" s="1"/>
  <c r="E7" i="33"/>
  <c r="E11" i="33" s="1"/>
  <c r="I11" i="30" s="1"/>
  <c r="C11" i="33"/>
  <c r="G11" i="30" s="1"/>
  <c r="AO59" i="35"/>
  <c r="Z65" i="29"/>
  <c r="O95" i="30"/>
  <c r="P95" i="30"/>
  <c r="I95" i="30"/>
  <c r="Q95" i="30"/>
  <c r="M95" i="30"/>
  <c r="H95" i="30"/>
  <c r="L95" i="30"/>
  <c r="R95" i="30"/>
  <c r="K95" i="30"/>
  <c r="J95" i="30"/>
  <c r="N95" i="30"/>
  <c r="AF35" i="29"/>
  <c r="AM26" i="29"/>
  <c r="AL35" i="29" s="1"/>
  <c r="AL26" i="29"/>
  <c r="AN26" i="29" s="1"/>
  <c r="O30" i="20"/>
  <c r="N74" i="35" s="1"/>
  <c r="G31" i="1"/>
  <c r="I17" i="20"/>
  <c r="H61" i="35" s="1"/>
  <c r="G11" i="1"/>
  <c r="H31" i="1"/>
  <c r="H44" i="1" s="1"/>
  <c r="K17" i="20" s="1"/>
  <c r="J61" i="35" s="1"/>
  <c r="S23" i="30"/>
  <c r="D6" i="33"/>
  <c r="D11" i="33" s="1"/>
  <c r="H11" i="30" s="1"/>
  <c r="D42" i="33"/>
  <c r="D47" i="33" s="1"/>
  <c r="H68" i="30" s="1"/>
  <c r="C19" i="33"/>
  <c r="C23" i="33"/>
  <c r="C24" i="33"/>
  <c r="C18" i="33"/>
  <c r="C20" i="33"/>
  <c r="C22" i="33"/>
  <c r="C25" i="33"/>
  <c r="C26" i="33"/>
  <c r="I34" i="33" s="1"/>
  <c r="D13" i="33"/>
  <c r="C17" i="33"/>
  <c r="C21" i="33"/>
  <c r="N16" i="20"/>
  <c r="K60" i="35"/>
  <c r="E66" i="35"/>
  <c r="P21" i="27"/>
  <c r="Q18" i="28"/>
  <c r="AG8" i="29"/>
  <c r="AK8" i="29" s="1"/>
  <c r="J42" i="1"/>
  <c r="L42" i="1" s="1"/>
  <c r="H36" i="30"/>
  <c r="M36" i="30"/>
  <c r="K36" i="30"/>
  <c r="P36" i="30"/>
  <c r="L36" i="30"/>
  <c r="I36" i="30"/>
  <c r="Q36" i="30"/>
  <c r="N36" i="30"/>
  <c r="J36" i="30"/>
  <c r="G36" i="30"/>
  <c r="R36" i="30"/>
  <c r="O36" i="30"/>
  <c r="AE41" i="30"/>
  <c r="H2" i="33"/>
  <c r="H27" i="33" s="1"/>
  <c r="P2" i="22"/>
  <c r="L21" i="30"/>
  <c r="L47" i="30" s="1"/>
  <c r="N76" i="35"/>
  <c r="U15" i="27"/>
  <c r="M30" i="20"/>
  <c r="L74" i="35" s="1"/>
  <c r="AX27" i="30"/>
  <c r="S38" i="30"/>
  <c r="T38" i="30" s="1"/>
  <c r="N37" i="29"/>
  <c r="I76" i="32"/>
  <c r="W43" i="35" s="1"/>
  <c r="T85" i="27"/>
  <c r="V13" i="35"/>
  <c r="K57" i="27"/>
  <c r="AO15" i="35" s="1"/>
  <c r="AM15" i="35"/>
  <c r="X66" i="35"/>
  <c r="Q12" i="1"/>
  <c r="Q17" i="1"/>
  <c r="H8" i="2"/>
  <c r="N52" i="35"/>
  <c r="K11" i="27"/>
  <c r="J72" i="29"/>
  <c r="G15" i="35"/>
  <c r="G34" i="35" s="1"/>
  <c r="K11" i="32"/>
  <c r="L8" i="1"/>
  <c r="O9" i="28"/>
  <c r="I8" i="2"/>
  <c r="N17" i="2" s="1"/>
  <c r="U11" i="20"/>
  <c r="AK27" i="35"/>
  <c r="AK41" i="35" s="1"/>
  <c r="AK61" i="35" s="1"/>
  <c r="L21" i="28"/>
  <c r="W4" i="29" s="1"/>
  <c r="Q57" i="29"/>
  <c r="Q39" i="29"/>
  <c r="O32" i="32"/>
  <c r="O24" i="32"/>
  <c r="O28" i="32"/>
  <c r="J54" i="32"/>
  <c r="O16" i="32"/>
  <c r="X6" i="35"/>
  <c r="R46" i="27"/>
  <c r="E51" i="34" s="1"/>
  <c r="R11" i="27"/>
  <c r="E2" i="34" s="1"/>
  <c r="E26" i="34" s="1"/>
  <c r="H47" i="27"/>
  <c r="L17" i="2"/>
  <c r="I11" i="27"/>
  <c r="AK6" i="35"/>
  <c r="AW7" i="35" s="1"/>
  <c r="W27" i="35"/>
  <c r="W52" i="35"/>
  <c r="J12" i="30"/>
  <c r="N3" i="22" s="1"/>
  <c r="N4" i="22" s="1"/>
  <c r="L12" i="30"/>
  <c r="P3" i="22" s="1"/>
  <c r="P4" i="22" s="1"/>
  <c r="N12" i="30"/>
  <c r="R3" i="22" s="1"/>
  <c r="R4" i="22" s="1"/>
  <c r="H14" i="30"/>
  <c r="I14" i="30"/>
  <c r="K14" i="30"/>
  <c r="M14" i="30"/>
  <c r="I10" i="2"/>
  <c r="O11" i="20" s="1"/>
  <c r="O14" i="20" s="1"/>
  <c r="O14" i="30"/>
  <c r="Q12" i="30"/>
  <c r="U3" i="22" s="1"/>
  <c r="U4" i="22" s="1"/>
  <c r="S69" i="30"/>
  <c r="M12" i="30"/>
  <c r="Q3" i="22" s="1"/>
  <c r="Q4" i="22" s="1"/>
  <c r="K12" i="30"/>
  <c r="O3" i="22" s="1"/>
  <c r="O4" i="22" s="1"/>
  <c r="P14" i="30"/>
  <c r="I13" i="2"/>
  <c r="J14" i="30"/>
  <c r="G12" i="30"/>
  <c r="K3" i="22" s="1"/>
  <c r="K4" i="22" s="1"/>
  <c r="N14" i="30"/>
  <c r="H12" i="30"/>
  <c r="L3" i="22" s="1"/>
  <c r="L4" i="22" s="1"/>
  <c r="G14" i="30"/>
  <c r="I12" i="30"/>
  <c r="M3" i="22" s="1"/>
  <c r="M4" i="22" s="1"/>
  <c r="O12" i="30"/>
  <c r="S3" i="22" s="1"/>
  <c r="S4" i="22" s="1"/>
  <c r="Q14" i="30"/>
  <c r="H10" i="2"/>
  <c r="M11" i="20" s="1"/>
  <c r="J88" i="32" s="1"/>
  <c r="J84" i="32" s="1"/>
  <c r="R14" i="30"/>
  <c r="R12" i="30"/>
  <c r="V3" i="22" s="1"/>
  <c r="V4" i="22" s="1"/>
  <c r="P12" i="30"/>
  <c r="T3" i="22" s="1"/>
  <c r="T4" i="22" s="1"/>
  <c r="I11" i="2"/>
  <c r="G12" i="2"/>
  <c r="G14" i="2" s="1"/>
  <c r="H13" i="2"/>
  <c r="H11" i="2"/>
  <c r="M15" i="20" s="1"/>
  <c r="I54" i="27"/>
  <c r="AK12" i="35" s="1"/>
  <c r="H14" i="33"/>
  <c r="P5" i="22"/>
  <c r="P6" i="22" s="1"/>
  <c r="S13" i="27"/>
  <c r="K14" i="20"/>
  <c r="J55" i="35"/>
  <c r="I47" i="32"/>
  <c r="I88" i="32"/>
  <c r="I84" i="32" s="1"/>
  <c r="I58" i="27"/>
  <c r="I96" i="32" s="1"/>
  <c r="W48" i="35" s="1"/>
  <c r="W18" i="22"/>
  <c r="K19" i="22"/>
  <c r="W19" i="22" s="1"/>
  <c r="K49" i="22"/>
  <c r="S84" i="30"/>
  <c r="T84" i="30" s="1"/>
  <c r="L46" i="1"/>
  <c r="S42" i="27"/>
  <c r="S43" i="27" s="1"/>
  <c r="BD27" i="30"/>
  <c r="BC27" i="30"/>
  <c r="BM27" i="30" s="1"/>
  <c r="J74" i="35"/>
  <c r="L37" i="1"/>
  <c r="L32" i="1" s="1"/>
  <c r="AA63" i="29"/>
  <c r="AL63" i="29"/>
  <c r="AM50" i="29"/>
  <c r="AG63" i="29" s="1"/>
  <c r="AA62" i="29"/>
  <c r="AM47" i="29"/>
  <c r="AG62" i="29" s="1"/>
  <c r="AL62" i="29"/>
  <c r="AG44" i="29"/>
  <c r="J73" i="32" s="1"/>
  <c r="J71" i="32" s="1"/>
  <c r="AA56" i="29"/>
  <c r="U61" i="29"/>
  <c r="AF61" i="29"/>
  <c r="AF65" i="29" s="1"/>
  <c r="AM24" i="29"/>
  <c r="AL34" i="29" s="1"/>
  <c r="AF34" i="29"/>
  <c r="AL24" i="29"/>
  <c r="AN24" i="29" s="1"/>
  <c r="AM23" i="29"/>
  <c r="AL23" i="29"/>
  <c r="AN23" i="29" s="1"/>
  <c r="AG21" i="29"/>
  <c r="AF21" i="29"/>
  <c r="AH21" i="29" s="1"/>
  <c r="Q30" i="28" s="1"/>
  <c r="AP50" i="35" s="1"/>
  <c r="AF20" i="29"/>
  <c r="AH20" i="29" s="1"/>
  <c r="Q29" i="28" s="1"/>
  <c r="AP49" i="35" s="1"/>
  <c r="AG20" i="29"/>
  <c r="AM19" i="29"/>
  <c r="AL19" i="29"/>
  <c r="AN19" i="29" s="1"/>
  <c r="AE28" i="29"/>
  <c r="K30" i="27"/>
  <c r="Y65" i="35" s="1"/>
  <c r="AF18" i="29"/>
  <c r="AH18" i="29" s="1"/>
  <c r="Q26" i="28" s="1"/>
  <c r="AP46" i="35" s="1"/>
  <c r="AG18" i="29"/>
  <c r="AG17" i="29"/>
  <c r="AF17" i="29"/>
  <c r="AH17" i="29" s="1"/>
  <c r="Q25" i="28" s="1"/>
  <c r="AP45" i="35" s="1"/>
  <c r="T28" i="29"/>
  <c r="V16" i="29"/>
  <c r="Z16" i="29"/>
  <c r="U28" i="29"/>
  <c r="T33" i="29"/>
  <c r="T37" i="29" s="1"/>
  <c r="AA16" i="29"/>
  <c r="H24" i="28"/>
  <c r="P28" i="29"/>
  <c r="AM36" i="35"/>
  <c r="AE14" i="29"/>
  <c r="AF31" i="29" s="1"/>
  <c r="J77" i="32"/>
  <c r="AM13" i="29"/>
  <c r="AL13" i="29"/>
  <c r="AG12" i="29"/>
  <c r="AF12" i="29"/>
  <c r="AG11" i="29"/>
  <c r="AF11" i="29"/>
  <c r="AH11" i="29"/>
  <c r="AP33" i="35"/>
  <c r="AG10" i="29"/>
  <c r="AF10" i="29"/>
  <c r="AG9" i="29"/>
  <c r="AF9" i="29"/>
  <c r="AH8" i="29"/>
  <c r="AP30" i="35"/>
  <c r="AB14" i="29"/>
  <c r="S107" i="30"/>
  <c r="T107" i="30" s="1"/>
  <c r="AG7" i="29"/>
  <c r="AF7" i="29"/>
  <c r="AA14" i="29"/>
  <c r="O31" i="29"/>
  <c r="O37" i="29" s="1"/>
  <c r="H68" i="32"/>
  <c r="V37" i="35" s="1"/>
  <c r="Z14" i="29"/>
  <c r="K19" i="27"/>
  <c r="Y58" i="35" s="1"/>
  <c r="K38" i="27"/>
  <c r="Y71" i="35" s="1"/>
  <c r="AJ38" i="35"/>
  <c r="O60" i="29"/>
  <c r="O65" i="29" s="1"/>
  <c r="U43" i="29"/>
  <c r="H73" i="32"/>
  <c r="H71" i="32" s="1"/>
  <c r="U60" i="29"/>
  <c r="AA43" i="29"/>
  <c r="I73" i="32"/>
  <c r="I71" i="32" s="1"/>
  <c r="AG38" i="35"/>
  <c r="U48" i="30"/>
  <c r="J36" i="27"/>
  <c r="X69" i="35" s="1"/>
  <c r="AK38" i="35"/>
  <c r="M50" i="28"/>
  <c r="AL72" i="35" s="1"/>
  <c r="J50" i="28"/>
  <c r="AI72" i="35" s="1"/>
  <c r="I36" i="27"/>
  <c r="W69" i="35" s="1"/>
  <c r="AH38" i="35"/>
  <c r="U105" i="30"/>
  <c r="AG43" i="29"/>
  <c r="AA60" i="29"/>
  <c r="AN38" i="35"/>
  <c r="K36" i="27"/>
  <c r="Y69" i="35" s="1"/>
  <c r="P50" i="28"/>
  <c r="AO72" i="35" s="1"/>
  <c r="K29" i="27"/>
  <c r="Y64" i="35" s="1"/>
  <c r="Y22" i="35"/>
  <c r="F39" i="33"/>
  <c r="E43" i="33"/>
  <c r="E47" i="33" s="1"/>
  <c r="I68" i="30" s="1"/>
  <c r="K52" i="27"/>
  <c r="AM10" i="35"/>
  <c r="J43" i="32"/>
  <c r="C54" i="33"/>
  <c r="C58" i="33"/>
  <c r="D49" i="33"/>
  <c r="C61" i="33"/>
  <c r="C62" i="33"/>
  <c r="I70" i="33" s="1"/>
  <c r="C59" i="33"/>
  <c r="C55" i="33"/>
  <c r="C60" i="33"/>
  <c r="C57" i="33"/>
  <c r="C56" i="33"/>
  <c r="C53" i="33"/>
  <c r="J45" i="32"/>
  <c r="K55" i="27"/>
  <c r="AM13" i="35"/>
  <c r="AM8" i="35"/>
  <c r="J40" i="32"/>
  <c r="K50" i="27"/>
  <c r="AM17" i="35"/>
  <c r="K59" i="27"/>
  <c r="F70" i="35"/>
  <c r="G15" i="27"/>
  <c r="G31" i="20"/>
  <c r="H31" i="20" s="1"/>
  <c r="Q24" i="27" s="1"/>
  <c r="D29" i="34" s="1"/>
  <c r="E31" i="20"/>
  <c r="F31" i="20" s="1"/>
  <c r="P24" i="27" s="1"/>
  <c r="C29" i="34" s="1"/>
  <c r="D70" i="35"/>
  <c r="F15" i="27"/>
  <c r="Y38" i="35"/>
  <c r="K32" i="27"/>
  <c r="K31" i="27"/>
  <c r="Y33" i="35"/>
  <c r="X14" i="35"/>
  <c r="K34" i="32"/>
  <c r="I17" i="32"/>
  <c r="V8" i="35"/>
  <c r="I30" i="32"/>
  <c r="J20" i="27"/>
  <c r="X59" i="35" s="1"/>
  <c r="F61" i="26"/>
  <c r="V11" i="35"/>
  <c r="I25" i="32"/>
  <c r="S18" i="30"/>
  <c r="W10" i="35"/>
  <c r="J19" i="32"/>
  <c r="J92" i="30" l="1"/>
  <c r="K90" i="30"/>
  <c r="S93" i="30"/>
  <c r="T93" i="30" s="1"/>
  <c r="G50" i="26"/>
  <c r="G39" i="35" s="1"/>
  <c r="G47" i="35"/>
  <c r="D39" i="35"/>
  <c r="H51" i="27"/>
  <c r="H58" i="27"/>
  <c r="AI12" i="35"/>
  <c r="H47" i="32"/>
  <c r="H55" i="35"/>
  <c r="I14" i="20"/>
  <c r="H88" i="32"/>
  <c r="H84" i="32" s="1"/>
  <c r="V46" i="35" s="1"/>
  <c r="R13" i="27"/>
  <c r="E3" i="34" s="1"/>
  <c r="AK9" i="35"/>
  <c r="M75" i="30"/>
  <c r="S75" i="30" s="1"/>
  <c r="E47" i="35"/>
  <c r="E50" i="26"/>
  <c r="E39" i="35" s="1"/>
  <c r="I12" i="2"/>
  <c r="I14" i="2" s="1"/>
  <c r="O15" i="20"/>
  <c r="G3" i="33"/>
  <c r="G9" i="33" s="1"/>
  <c r="G11" i="33" s="1"/>
  <c r="K11" i="30" s="1"/>
  <c r="H26" i="32"/>
  <c r="V12" i="35" s="1"/>
  <c r="K5" i="22"/>
  <c r="K6" i="22" s="1"/>
  <c r="G14" i="33"/>
  <c r="O7" i="22"/>
  <c r="O8" i="22" s="1"/>
  <c r="M5" i="22"/>
  <c r="M6" i="22" s="1"/>
  <c r="M7" i="22"/>
  <c r="M8" i="22" s="1"/>
  <c r="R5" i="22"/>
  <c r="R6" i="22" s="1"/>
  <c r="R7" i="22"/>
  <c r="R8" i="22" s="1"/>
  <c r="D14" i="33"/>
  <c r="D15" i="33" s="1"/>
  <c r="D28" i="33" s="1"/>
  <c r="L7" i="22"/>
  <c r="L8" i="22" s="1"/>
  <c r="F14" i="33"/>
  <c r="N7" i="22"/>
  <c r="N8" i="22" s="1"/>
  <c r="S5" i="22"/>
  <c r="S6" i="22" s="1"/>
  <c r="S7" i="22"/>
  <c r="S8" i="22" s="1"/>
  <c r="N14" i="33"/>
  <c r="V7" i="22"/>
  <c r="V8" i="22" s="1"/>
  <c r="M14" i="33"/>
  <c r="U7" i="22"/>
  <c r="U8" i="22" s="1"/>
  <c r="T5" i="22"/>
  <c r="T6" i="22" s="1"/>
  <c r="T7" i="22"/>
  <c r="T8" i="22" s="1"/>
  <c r="I14" i="33"/>
  <c r="Q7" i="22"/>
  <c r="Q8" i="22" s="1"/>
  <c r="I21" i="20"/>
  <c r="J21" i="20" s="1"/>
  <c r="I65" i="35" s="1"/>
  <c r="S95" i="30"/>
  <c r="T95" i="30" s="1"/>
  <c r="G32" i="33"/>
  <c r="F31" i="33"/>
  <c r="E30" i="33"/>
  <c r="P30" i="20"/>
  <c r="O75" i="35" s="1"/>
  <c r="J31" i="1"/>
  <c r="J44" i="1" s="1"/>
  <c r="K11" i="1" s="1"/>
  <c r="AP36" i="35"/>
  <c r="I31" i="1"/>
  <c r="I11" i="1"/>
  <c r="H33" i="33"/>
  <c r="D23" i="33"/>
  <c r="D21" i="33"/>
  <c r="D19" i="33"/>
  <c r="D17" i="33"/>
  <c r="D26" i="33"/>
  <c r="J34" i="33" s="1"/>
  <c r="E13" i="33"/>
  <c r="D24" i="33"/>
  <c r="D22" i="33"/>
  <c r="D18" i="33"/>
  <c r="D25" i="33"/>
  <c r="D20" i="33"/>
  <c r="K82" i="32"/>
  <c r="D28" i="34"/>
  <c r="P16" i="20"/>
  <c r="O60" i="35" s="1"/>
  <c r="M60" i="35"/>
  <c r="C28" i="34"/>
  <c r="H12" i="2"/>
  <c r="H14" i="2" s="1"/>
  <c r="N69" i="30"/>
  <c r="R34" i="22" s="1"/>
  <c r="R35" i="22" s="1"/>
  <c r="AK14" i="29"/>
  <c r="AL31" i="29" s="1"/>
  <c r="AM8" i="29"/>
  <c r="AL8" i="29"/>
  <c r="S36" i="30"/>
  <c r="T36" i="30" s="1"/>
  <c r="AF41" i="30"/>
  <c r="I2" i="33"/>
  <c r="I27" i="33" s="1"/>
  <c r="M21" i="30"/>
  <c r="M47" i="30" s="1"/>
  <c r="Q2" i="22"/>
  <c r="K22" i="30"/>
  <c r="O10" i="22" s="1"/>
  <c r="O11" i="22" s="1"/>
  <c r="J76" i="32"/>
  <c r="X43" i="35" s="1"/>
  <c r="U85" i="27"/>
  <c r="Y66" i="35"/>
  <c r="Y6" i="35"/>
  <c r="K54" i="32"/>
  <c r="P28" i="32"/>
  <c r="P32" i="32"/>
  <c r="P16" i="32"/>
  <c r="P24" i="32"/>
  <c r="X27" i="35"/>
  <c r="X52" i="35"/>
  <c r="AM6" i="35"/>
  <c r="AX7" i="35" s="1"/>
  <c r="W57" i="29"/>
  <c r="W39" i="29"/>
  <c r="K47" i="27"/>
  <c r="U46" i="27"/>
  <c r="H51" i="34" s="1"/>
  <c r="U11" i="27"/>
  <c r="H2" i="34" s="1"/>
  <c r="H26" i="34" s="1"/>
  <c r="M17" i="2"/>
  <c r="J11" i="27"/>
  <c r="O21" i="28"/>
  <c r="AN27" i="35"/>
  <c r="AN41" i="35" s="1"/>
  <c r="AN61" i="35" s="1"/>
  <c r="S11" i="27"/>
  <c r="F2" i="34" s="1"/>
  <c r="F26" i="34" s="1"/>
  <c r="S46" i="27"/>
  <c r="F51" i="34" s="1"/>
  <c r="I47" i="27"/>
  <c r="R17" i="1"/>
  <c r="R12" i="1"/>
  <c r="P9" i="22"/>
  <c r="J51" i="27"/>
  <c r="J42" i="32" s="1"/>
  <c r="X18" i="35" s="1"/>
  <c r="E14" i="33"/>
  <c r="L5" i="22"/>
  <c r="L6" i="22" s="1"/>
  <c r="P69" i="30"/>
  <c r="T34" i="22" s="1"/>
  <c r="T35" i="22" s="1"/>
  <c r="J69" i="30"/>
  <c r="N34" i="22" s="1"/>
  <c r="N35" i="22" s="1"/>
  <c r="G69" i="30"/>
  <c r="K34" i="22" s="1"/>
  <c r="K35" i="22" s="1"/>
  <c r="H69" i="30"/>
  <c r="L34" i="22" s="1"/>
  <c r="L35" i="22" s="1"/>
  <c r="R69" i="30"/>
  <c r="V34" i="22" s="1"/>
  <c r="V35" i="22" s="1"/>
  <c r="Q69" i="30"/>
  <c r="U34" i="22" s="1"/>
  <c r="U35" i="22" s="1"/>
  <c r="S71" i="30"/>
  <c r="I71" i="30" s="1"/>
  <c r="K69" i="30"/>
  <c r="O34" i="22" s="1"/>
  <c r="O35" i="22" s="1"/>
  <c r="M69" i="30"/>
  <c r="Q34" i="22" s="1"/>
  <c r="Q35" i="22" s="1"/>
  <c r="C14" i="33"/>
  <c r="C15" i="33" s="1"/>
  <c r="C28" i="33" s="1"/>
  <c r="C35" i="33" s="1"/>
  <c r="G16" i="30" s="1"/>
  <c r="N55" i="35"/>
  <c r="O5" i="22"/>
  <c r="O6" i="22" s="1"/>
  <c r="K88" i="32"/>
  <c r="K84" i="32" s="1"/>
  <c r="Y46" i="35" s="1"/>
  <c r="K47" i="32"/>
  <c r="Y21" i="35" s="1"/>
  <c r="U5" i="22"/>
  <c r="U6" i="22" s="1"/>
  <c r="U13" i="27"/>
  <c r="H3" i="34" s="1"/>
  <c r="L14" i="33"/>
  <c r="I69" i="30"/>
  <c r="M34" i="22" s="1"/>
  <c r="M35" i="22" s="1"/>
  <c r="L69" i="30"/>
  <c r="P34" i="22" s="1"/>
  <c r="P35" i="22" s="1"/>
  <c r="O69" i="30"/>
  <c r="S34" i="22" s="1"/>
  <c r="S35" i="22" s="1"/>
  <c r="Q5" i="22"/>
  <c r="Q6" i="22" s="1"/>
  <c r="N5" i="22"/>
  <c r="N6" i="22" s="1"/>
  <c r="J47" i="32"/>
  <c r="J53" i="27" s="1"/>
  <c r="AM11" i="35" s="1"/>
  <c r="K14" i="33"/>
  <c r="L55" i="35"/>
  <c r="J58" i="27"/>
  <c r="AM16" i="35" s="1"/>
  <c r="J54" i="27"/>
  <c r="J44" i="32" s="1"/>
  <c r="M14" i="20"/>
  <c r="T13" i="27"/>
  <c r="T14" i="27" s="1"/>
  <c r="L77" i="35" s="1"/>
  <c r="J22" i="30"/>
  <c r="N10" i="22" s="1"/>
  <c r="N11" i="22" s="1"/>
  <c r="M22" i="30"/>
  <c r="Q10" i="22" s="1"/>
  <c r="Q11" i="22" s="1"/>
  <c r="V5" i="22"/>
  <c r="V6" i="22" s="1"/>
  <c r="J14" i="33"/>
  <c r="L22" i="30"/>
  <c r="P10" i="22" s="1"/>
  <c r="P11" i="22" s="1"/>
  <c r="P22" i="30"/>
  <c r="T10" i="22" s="1"/>
  <c r="T11" i="22" s="1"/>
  <c r="O22" i="30"/>
  <c r="S10" i="22" s="1"/>
  <c r="S11" i="22" s="1"/>
  <c r="W3" i="22"/>
  <c r="Q22" i="30"/>
  <c r="U10" i="22" s="1"/>
  <c r="U11" i="22" s="1"/>
  <c r="H59" i="35"/>
  <c r="G22" i="30"/>
  <c r="K10" i="22" s="1"/>
  <c r="H22" i="30"/>
  <c r="L10" i="22" s="1"/>
  <c r="L11" i="22" s="1"/>
  <c r="H42" i="32"/>
  <c r="C40" i="33" s="1"/>
  <c r="AI9" i="35"/>
  <c r="N22" i="30"/>
  <c r="R10" i="22" s="1"/>
  <c r="R11" i="22" s="1"/>
  <c r="I22" i="30"/>
  <c r="M10" i="22" s="1"/>
  <c r="M11" i="22" s="1"/>
  <c r="H49" i="27"/>
  <c r="H39" i="32" s="1"/>
  <c r="I19" i="20" s="1"/>
  <c r="R22" i="30"/>
  <c r="V10" i="22" s="1"/>
  <c r="V11" i="22" s="1"/>
  <c r="AK16" i="35"/>
  <c r="F67" i="33"/>
  <c r="W21" i="35"/>
  <c r="I53" i="27"/>
  <c r="AK11" i="35" s="1"/>
  <c r="J37" i="27"/>
  <c r="X70" i="35" s="1"/>
  <c r="F3" i="34"/>
  <c r="S14" i="27"/>
  <c r="J77" i="35" s="1"/>
  <c r="W4" i="22"/>
  <c r="K16" i="20"/>
  <c r="J58" i="35"/>
  <c r="L23" i="20"/>
  <c r="K67" i="35" s="1"/>
  <c r="L29" i="20"/>
  <c r="K74" i="35" s="1"/>
  <c r="L24" i="20"/>
  <c r="K68" i="35" s="1"/>
  <c r="I44" i="32"/>
  <c r="W19" i="35" s="1"/>
  <c r="X46" i="35"/>
  <c r="L30" i="20"/>
  <c r="K75" i="35" s="1"/>
  <c r="W46" i="35"/>
  <c r="N58" i="35"/>
  <c r="P29" i="20"/>
  <c r="O74" i="35" s="1"/>
  <c r="P23" i="20"/>
  <c r="O67" i="35" s="1"/>
  <c r="P24" i="20"/>
  <c r="O68" i="35" s="1"/>
  <c r="W49" i="22"/>
  <c r="K50" i="22"/>
  <c r="W50" i="22" s="1"/>
  <c r="L17" i="20"/>
  <c r="K61" i="35" s="1"/>
  <c r="BN27" i="30"/>
  <c r="BE27" i="30"/>
  <c r="BO27" i="30" s="1"/>
  <c r="L31" i="1"/>
  <c r="L44" i="1" s="1"/>
  <c r="U42" i="27"/>
  <c r="U43" i="27" s="1"/>
  <c r="U65" i="29"/>
  <c r="AG56" i="29"/>
  <c r="AA61" i="29"/>
  <c r="AA65" i="29" s="1"/>
  <c r="AL61" i="29"/>
  <c r="AM44" i="29"/>
  <c r="AM21" i="29"/>
  <c r="AL21" i="29"/>
  <c r="AN21" i="29" s="1"/>
  <c r="AM20" i="29"/>
  <c r="AL20" i="29"/>
  <c r="AN20" i="29" s="1"/>
  <c r="AL18" i="29"/>
  <c r="AN18" i="29" s="1"/>
  <c r="AM18" i="29"/>
  <c r="AL17" i="29"/>
  <c r="AN17" i="29" s="1"/>
  <c r="AM17" i="29"/>
  <c r="H39" i="28"/>
  <c r="AG44" i="35"/>
  <c r="AG59" i="35" s="1"/>
  <c r="Z33" i="29"/>
  <c r="Z37" i="29" s="1"/>
  <c r="AG16" i="29"/>
  <c r="AK16" i="29" s="1"/>
  <c r="AK28" i="29" s="1"/>
  <c r="AF16" i="29"/>
  <c r="AA28" i="29"/>
  <c r="Z28" i="29"/>
  <c r="AB16" i="29"/>
  <c r="V28" i="29"/>
  <c r="K24" i="28"/>
  <c r="AH14" i="29"/>
  <c r="AM12" i="29"/>
  <c r="AL12" i="29"/>
  <c r="AM11" i="29"/>
  <c r="AL11" i="29"/>
  <c r="AL10" i="29"/>
  <c r="AM10" i="29"/>
  <c r="AM9" i="29"/>
  <c r="AL9" i="29"/>
  <c r="AF14" i="29"/>
  <c r="U31" i="29"/>
  <c r="I68" i="32"/>
  <c r="W37" i="35" s="1"/>
  <c r="AL7" i="29"/>
  <c r="AG14" i="29"/>
  <c r="AM7" i="29"/>
  <c r="W40" i="35"/>
  <c r="V40" i="35"/>
  <c r="H67" i="32"/>
  <c r="X40" i="35"/>
  <c r="L105" i="30"/>
  <c r="L111" i="30" s="1"/>
  <c r="K105" i="30"/>
  <c r="K111" i="30" s="1"/>
  <c r="R105" i="30"/>
  <c r="R111" i="30" s="1"/>
  <c r="J105" i="30"/>
  <c r="J111" i="30" s="1"/>
  <c r="Q105" i="30"/>
  <c r="Q111" i="30" s="1"/>
  <c r="I105" i="30"/>
  <c r="I111" i="30" s="1"/>
  <c r="P105" i="30"/>
  <c r="P111" i="30" s="1"/>
  <c r="H105" i="30"/>
  <c r="H111" i="30" s="1"/>
  <c r="O105" i="30"/>
  <c r="O111" i="30" s="1"/>
  <c r="G105" i="30"/>
  <c r="N105" i="30"/>
  <c r="N111" i="30" s="1"/>
  <c r="M105" i="30"/>
  <c r="M111" i="30" s="1"/>
  <c r="R48" i="30"/>
  <c r="R54" i="30" s="1"/>
  <c r="J48" i="30"/>
  <c r="J54" i="30" s="1"/>
  <c r="Q48" i="30"/>
  <c r="Q54" i="30" s="1"/>
  <c r="I48" i="30"/>
  <c r="I54" i="30" s="1"/>
  <c r="P48" i="30"/>
  <c r="P54" i="30" s="1"/>
  <c r="H48" i="30"/>
  <c r="H54" i="30" s="1"/>
  <c r="O48" i="30"/>
  <c r="O54" i="30" s="1"/>
  <c r="G48" i="30"/>
  <c r="N48" i="30"/>
  <c r="N54" i="30" s="1"/>
  <c r="M48" i="30"/>
  <c r="M54" i="30" s="1"/>
  <c r="L48" i="30"/>
  <c r="L54" i="30" s="1"/>
  <c r="K48" i="30"/>
  <c r="K54" i="30" s="1"/>
  <c r="D61" i="33"/>
  <c r="D57" i="33"/>
  <c r="D58" i="33"/>
  <c r="D62" i="33"/>
  <c r="J70" i="33" s="1"/>
  <c r="D59" i="33"/>
  <c r="D60" i="33"/>
  <c r="D56" i="33"/>
  <c r="D53" i="33"/>
  <c r="D55" i="33"/>
  <c r="D54" i="33"/>
  <c r="E49" i="33"/>
  <c r="K43" i="32"/>
  <c r="AO10" i="35"/>
  <c r="K51" i="27"/>
  <c r="G68" i="33"/>
  <c r="H69" i="33"/>
  <c r="E66" i="33"/>
  <c r="F44" i="33"/>
  <c r="F47" i="33" s="1"/>
  <c r="J68" i="30" s="1"/>
  <c r="G39" i="33"/>
  <c r="I14" i="32"/>
  <c r="W8" i="35" s="1"/>
  <c r="AO13" i="35"/>
  <c r="K54" i="27"/>
  <c r="K45" i="32"/>
  <c r="AO8" i="35"/>
  <c r="K40" i="32"/>
  <c r="F75" i="35"/>
  <c r="G60" i="32"/>
  <c r="Q23" i="27"/>
  <c r="Q34" i="27"/>
  <c r="Q33" i="27"/>
  <c r="AU13" i="35" s="1"/>
  <c r="AO17" i="35"/>
  <c r="K58" i="27"/>
  <c r="F60" i="32"/>
  <c r="P23" i="27"/>
  <c r="D75" i="35"/>
  <c r="Y14" i="35"/>
  <c r="W13" i="35"/>
  <c r="J33" i="32"/>
  <c r="F47" i="35"/>
  <c r="F50" i="26"/>
  <c r="T86" i="27" s="1"/>
  <c r="H61" i="26"/>
  <c r="H47" i="35" s="1"/>
  <c r="I22" i="32"/>
  <c r="K19" i="32"/>
  <c r="X10" i="35"/>
  <c r="K92" i="30" l="1"/>
  <c r="L90" i="30"/>
  <c r="H53" i="27"/>
  <c r="AI11" i="35" s="1"/>
  <c r="V21" i="35"/>
  <c r="U86" i="27"/>
  <c r="H96" i="32"/>
  <c r="V48" i="35" s="1"/>
  <c r="AI16" i="35"/>
  <c r="J29" i="20"/>
  <c r="I74" i="35" s="1"/>
  <c r="H37" i="27"/>
  <c r="V70" i="35" s="1"/>
  <c r="I37" i="27"/>
  <c r="W70" i="35" s="1"/>
  <c r="J24" i="20"/>
  <c r="I68" i="35" s="1"/>
  <c r="H58" i="35"/>
  <c r="I16" i="20"/>
  <c r="H60" i="35" s="1"/>
  <c r="J15" i="20"/>
  <c r="I59" i="35" s="1"/>
  <c r="J23" i="20"/>
  <c r="I67" i="35" s="1"/>
  <c r="R14" i="27"/>
  <c r="H77" i="35" s="1"/>
  <c r="J30" i="20"/>
  <c r="I75" i="35" s="1"/>
  <c r="J17" i="20"/>
  <c r="I61" i="35" s="1"/>
  <c r="H3" i="33"/>
  <c r="S86" i="27"/>
  <c r="I29" i="32"/>
  <c r="K21" i="20" s="1"/>
  <c r="L21" i="20" s="1"/>
  <c r="K65" i="35" s="1"/>
  <c r="H18" i="32"/>
  <c r="V9" i="35" s="1"/>
  <c r="C41" i="33"/>
  <c r="C42" i="33"/>
  <c r="H65" i="35"/>
  <c r="R9" i="22"/>
  <c r="E15" i="33"/>
  <c r="E28" i="33" s="1"/>
  <c r="M9" i="22"/>
  <c r="T9" i="22"/>
  <c r="N9" i="22"/>
  <c r="O9" i="22"/>
  <c r="L9" i="22"/>
  <c r="G19" i="30"/>
  <c r="Q9" i="22"/>
  <c r="U9" i="22"/>
  <c r="S9" i="22"/>
  <c r="F30" i="33"/>
  <c r="H32" i="33"/>
  <c r="V9" i="22"/>
  <c r="K7" i="22"/>
  <c r="S17" i="30"/>
  <c r="N30" i="20"/>
  <c r="M75" i="35" s="1"/>
  <c r="I33" i="33"/>
  <c r="M71" i="30"/>
  <c r="Q36" i="22" s="1"/>
  <c r="Q37" i="22" s="1"/>
  <c r="Q40" i="22" s="1"/>
  <c r="M17" i="20"/>
  <c r="L61" i="35" s="1"/>
  <c r="K31" i="1"/>
  <c r="K77" i="32"/>
  <c r="K76" i="32" s="1"/>
  <c r="Y43" i="35" s="1"/>
  <c r="E20" i="33"/>
  <c r="E17" i="33"/>
  <c r="E21" i="33"/>
  <c r="E19" i="33"/>
  <c r="E26" i="33"/>
  <c r="K34" i="33" s="1"/>
  <c r="E18" i="33"/>
  <c r="E24" i="33"/>
  <c r="E25" i="33"/>
  <c r="E23" i="33"/>
  <c r="E22" i="33"/>
  <c r="F13" i="33"/>
  <c r="G31" i="33"/>
  <c r="O16" i="20"/>
  <c r="N60" i="35" s="1"/>
  <c r="J2" i="33"/>
  <c r="J27" i="33" s="1"/>
  <c r="AG41" i="30"/>
  <c r="R2" i="22"/>
  <c r="N21" i="30"/>
  <c r="N47" i="30" s="1"/>
  <c r="J17" i="32"/>
  <c r="AM9" i="35"/>
  <c r="AI4" i="29"/>
  <c r="AC4" i="29"/>
  <c r="J47" i="27"/>
  <c r="T46" i="27"/>
  <c r="G51" i="34" s="1"/>
  <c r="T11" i="27"/>
  <c r="G2" i="34" s="1"/>
  <c r="G26" i="34" s="1"/>
  <c r="Y52" i="35"/>
  <c r="Y27" i="35"/>
  <c r="AO6" i="35"/>
  <c r="AY7" i="35" s="1"/>
  <c r="J71" i="30"/>
  <c r="F50" i="33" s="1"/>
  <c r="N71" i="30"/>
  <c r="N79" i="30" s="1"/>
  <c r="R41" i="22" s="1"/>
  <c r="R42" i="22" s="1"/>
  <c r="O71" i="30"/>
  <c r="O79" i="30" s="1"/>
  <c r="S41" i="22" s="1"/>
  <c r="S42" i="22" s="1"/>
  <c r="L71" i="30"/>
  <c r="L79" i="30" s="1"/>
  <c r="P41" i="22" s="1"/>
  <c r="P42" i="22" s="1"/>
  <c r="Q71" i="30"/>
  <c r="Q79" i="30" s="1"/>
  <c r="U41" i="22" s="1"/>
  <c r="U42" i="22" s="1"/>
  <c r="H71" i="30"/>
  <c r="H79" i="30" s="1"/>
  <c r="L41" i="22" s="1"/>
  <c r="L42" i="22" s="1"/>
  <c r="P71" i="30"/>
  <c r="P79" i="30" s="1"/>
  <c r="T41" i="22" s="1"/>
  <c r="T42" i="22" s="1"/>
  <c r="R71" i="30"/>
  <c r="V36" i="22" s="1"/>
  <c r="V37" i="22" s="1"/>
  <c r="V40" i="22" s="1"/>
  <c r="K71" i="30"/>
  <c r="O36" i="22" s="1"/>
  <c r="O37" i="22" s="1"/>
  <c r="O40" i="22" s="1"/>
  <c r="K53" i="27"/>
  <c r="AO11" i="35" s="1"/>
  <c r="G71" i="30"/>
  <c r="C50" i="33" s="1"/>
  <c r="U14" i="27"/>
  <c r="N77" i="35" s="1"/>
  <c r="J96" i="32"/>
  <c r="X48" i="35" s="1"/>
  <c r="W5" i="22"/>
  <c r="K37" i="27"/>
  <c r="Y70" i="35" s="1"/>
  <c r="W34" i="22"/>
  <c r="AM12" i="35"/>
  <c r="G3" i="34"/>
  <c r="X21" i="35"/>
  <c r="N29" i="20"/>
  <c r="M74" i="35" s="1"/>
  <c r="M16" i="20"/>
  <c r="L60" i="35" s="1"/>
  <c r="N24" i="20"/>
  <c r="M68" i="35" s="1"/>
  <c r="N23" i="20"/>
  <c r="M67" i="35" s="1"/>
  <c r="L58" i="35"/>
  <c r="W6" i="22"/>
  <c r="J59" i="35"/>
  <c r="S22" i="30"/>
  <c r="T22" i="30" s="1"/>
  <c r="V16" i="35"/>
  <c r="V18" i="35"/>
  <c r="H41" i="32"/>
  <c r="V17" i="35" s="1"/>
  <c r="AI7" i="35"/>
  <c r="G67" i="33"/>
  <c r="I69" i="33"/>
  <c r="D16" i="33"/>
  <c r="E29" i="33" s="1"/>
  <c r="F66" i="33"/>
  <c r="C16" i="33"/>
  <c r="D29" i="33" s="1"/>
  <c r="D35" i="33" s="1"/>
  <c r="H16" i="30" s="1"/>
  <c r="H19" i="30" s="1"/>
  <c r="J60" i="35"/>
  <c r="U82" i="30"/>
  <c r="M36" i="22"/>
  <c r="M37" i="22" s="1"/>
  <c r="M40" i="22" s="1"/>
  <c r="E50" i="33"/>
  <c r="E51" i="33" s="1"/>
  <c r="I79" i="30"/>
  <c r="M41" i="22" s="1"/>
  <c r="M42" i="22" s="1"/>
  <c r="W35" i="22"/>
  <c r="I41" i="32"/>
  <c r="W17" i="35" s="1"/>
  <c r="H68" i="33"/>
  <c r="O17" i="20"/>
  <c r="M31" i="1"/>
  <c r="M11" i="1"/>
  <c r="AM56" i="29"/>
  <c r="AG61" i="29"/>
  <c r="AG65" i="29" s="1"/>
  <c r="K73" i="32"/>
  <c r="K71" i="32" s="1"/>
  <c r="Y40" i="35" s="1"/>
  <c r="AF28" i="29"/>
  <c r="AH16" i="29"/>
  <c r="AM16" i="29"/>
  <c r="AF33" i="29"/>
  <c r="AF37" i="29" s="1"/>
  <c r="AL16" i="29"/>
  <c r="AN16" i="29" s="1"/>
  <c r="AG28" i="29"/>
  <c r="K39" i="28"/>
  <c r="AJ44" i="35"/>
  <c r="AJ59" i="35" s="1"/>
  <c r="N24" i="28"/>
  <c r="AB28" i="29"/>
  <c r="U39" i="30"/>
  <c r="H50" i="28"/>
  <c r="AM14" i="29"/>
  <c r="I67" i="32"/>
  <c r="W36" i="35" s="1"/>
  <c r="J68" i="32"/>
  <c r="AL14" i="29"/>
  <c r="AA31" i="29"/>
  <c r="AA37" i="29" s="1"/>
  <c r="S48" i="30"/>
  <c r="V36" i="35"/>
  <c r="R80" i="27"/>
  <c r="S105" i="30"/>
  <c r="H39" i="33"/>
  <c r="G45" i="33"/>
  <c r="G47" i="33" s="1"/>
  <c r="K68" i="30" s="1"/>
  <c r="AO9" i="35"/>
  <c r="K42" i="32"/>
  <c r="Y18" i="35" s="1"/>
  <c r="E54" i="33"/>
  <c r="F49" i="33"/>
  <c r="E61" i="33"/>
  <c r="E62" i="33"/>
  <c r="K70" i="33" s="1"/>
  <c r="E60" i="33"/>
  <c r="E55" i="33"/>
  <c r="E59" i="33"/>
  <c r="E57" i="33"/>
  <c r="E58" i="33"/>
  <c r="E53" i="33"/>
  <c r="E56" i="33"/>
  <c r="U32" i="35"/>
  <c r="H58" i="32"/>
  <c r="V30" i="35" s="1"/>
  <c r="G56" i="32"/>
  <c r="H63" i="35"/>
  <c r="J19" i="20"/>
  <c r="I63" i="35" s="1"/>
  <c r="K11" i="22"/>
  <c r="W10" i="22"/>
  <c r="X19" i="35"/>
  <c r="J41" i="32"/>
  <c r="X17" i="35" s="1"/>
  <c r="AO16" i="35"/>
  <c r="K96" i="32"/>
  <c r="Y48" i="35" s="1"/>
  <c r="AO12" i="35"/>
  <c r="K44" i="32"/>
  <c r="AU14" i="35"/>
  <c r="Q35" i="27"/>
  <c r="AU15" i="35" s="1"/>
  <c r="H10" i="33"/>
  <c r="H11" i="33" s="1"/>
  <c r="L11" i="30" s="1"/>
  <c r="S11" i="30" s="1"/>
  <c r="I3" i="33"/>
  <c r="J3" i="33" s="1"/>
  <c r="K3" i="33" s="1"/>
  <c r="L3" i="33" s="1"/>
  <c r="M3" i="33" s="1"/>
  <c r="N3" i="33" s="1"/>
  <c r="T32" i="35"/>
  <c r="F56" i="32"/>
  <c r="F39" i="35"/>
  <c r="C66" i="26"/>
  <c r="J50" i="26"/>
  <c r="H50" i="26"/>
  <c r="H39" i="35" s="1"/>
  <c r="J30" i="32"/>
  <c r="J25" i="32"/>
  <c r="J22" i="32" s="1"/>
  <c r="W11" i="35"/>
  <c r="Y10" i="35"/>
  <c r="N90" i="30" l="1"/>
  <c r="M90" i="30"/>
  <c r="L92" i="30"/>
  <c r="U25" i="30"/>
  <c r="N17" i="20"/>
  <c r="M61" i="35" s="1"/>
  <c r="I26" i="32"/>
  <c r="J29" i="32" s="1"/>
  <c r="M21" i="20" s="1"/>
  <c r="H13" i="32"/>
  <c r="V7" i="35" s="1"/>
  <c r="K79" i="30"/>
  <c r="O41" i="22" s="1"/>
  <c r="O42" i="22" s="1"/>
  <c r="M79" i="30"/>
  <c r="Q41" i="22" s="1"/>
  <c r="Q42" i="22" s="1"/>
  <c r="R79" i="30"/>
  <c r="V41" i="22" s="1"/>
  <c r="V42" i="22" s="1"/>
  <c r="J79" i="30"/>
  <c r="N41" i="22" s="1"/>
  <c r="N42" i="22" s="1"/>
  <c r="C47" i="33"/>
  <c r="G68" i="30" s="1"/>
  <c r="E35" i="33"/>
  <c r="I16" i="30" s="1"/>
  <c r="I19" i="30" s="1"/>
  <c r="E16" i="33"/>
  <c r="F29" i="33" s="1"/>
  <c r="W7" i="22"/>
  <c r="K8" i="22"/>
  <c r="I50" i="33"/>
  <c r="G30" i="33"/>
  <c r="I32" i="33"/>
  <c r="N36" i="22"/>
  <c r="N37" i="22" s="1"/>
  <c r="N40" i="22" s="1"/>
  <c r="G50" i="33"/>
  <c r="J33" i="33"/>
  <c r="F19" i="33"/>
  <c r="F26" i="33"/>
  <c r="L34" i="33" s="1"/>
  <c r="F18" i="33"/>
  <c r="F24" i="33"/>
  <c r="G13" i="33"/>
  <c r="F22" i="33"/>
  <c r="F17" i="33"/>
  <c r="F20" i="33"/>
  <c r="F15" i="33"/>
  <c r="F23" i="33"/>
  <c r="F25" i="33"/>
  <c r="F21" i="33"/>
  <c r="H31" i="33"/>
  <c r="J65" i="35"/>
  <c r="S36" i="22"/>
  <c r="S37" i="22" s="1"/>
  <c r="S40" i="22" s="1"/>
  <c r="L15" i="20"/>
  <c r="K59" i="35" s="1"/>
  <c r="K50" i="33"/>
  <c r="G79" i="30"/>
  <c r="AH41" i="30"/>
  <c r="K2" i="33"/>
  <c r="K27" i="33" s="1"/>
  <c r="S2" i="22"/>
  <c r="O21" i="30"/>
  <c r="O47" i="30" s="1"/>
  <c r="J50" i="33"/>
  <c r="R36" i="22"/>
  <c r="R37" i="22" s="1"/>
  <c r="R40" i="22" s="1"/>
  <c r="J14" i="32"/>
  <c r="K17" i="32" s="1"/>
  <c r="AC57" i="29"/>
  <c r="AC39" i="29"/>
  <c r="AI39" i="29"/>
  <c r="AI57" i="29"/>
  <c r="L36" i="22"/>
  <c r="L37" i="22" s="1"/>
  <c r="L40" i="22" s="1"/>
  <c r="O25" i="30"/>
  <c r="S14" i="22" s="1"/>
  <c r="S15" i="22" s="1"/>
  <c r="H50" i="33"/>
  <c r="K25" i="30"/>
  <c r="O14" i="22" s="1"/>
  <c r="O15" i="22" s="1"/>
  <c r="P36" i="22"/>
  <c r="P37" i="22" s="1"/>
  <c r="P40" i="22" s="1"/>
  <c r="P25" i="30"/>
  <c r="T14" i="22" s="1"/>
  <c r="T15" i="22" s="1"/>
  <c r="U36" i="22"/>
  <c r="U37" i="22" s="1"/>
  <c r="U40" i="22" s="1"/>
  <c r="J25" i="30"/>
  <c r="N14" i="22" s="1"/>
  <c r="N15" i="22" s="1"/>
  <c r="M50" i="33"/>
  <c r="N25" i="30"/>
  <c r="R14" i="22" s="1"/>
  <c r="R15" i="22" s="1"/>
  <c r="T36" i="22"/>
  <c r="T37" i="22" s="1"/>
  <c r="T40" i="22" s="1"/>
  <c r="L50" i="33"/>
  <c r="D50" i="33"/>
  <c r="D51" i="33" s="1"/>
  <c r="D64" i="33" s="1"/>
  <c r="N50" i="33"/>
  <c r="K36" i="22"/>
  <c r="K37" i="22" s="1"/>
  <c r="Q25" i="30"/>
  <c r="U14" i="22" s="1"/>
  <c r="U15" i="22" s="1"/>
  <c r="I49" i="27"/>
  <c r="I39" i="32" s="1"/>
  <c r="K82" i="30"/>
  <c r="O45" i="22" s="1"/>
  <c r="O46" i="22" s="1"/>
  <c r="R82" i="30"/>
  <c r="V45" i="22" s="1"/>
  <c r="V46" i="22" s="1"/>
  <c r="J82" i="30"/>
  <c r="N45" i="22" s="1"/>
  <c r="N46" i="22" s="1"/>
  <c r="Q82" i="30"/>
  <c r="U45" i="22" s="1"/>
  <c r="U46" i="22" s="1"/>
  <c r="I82" i="30"/>
  <c r="M45" i="22" s="1"/>
  <c r="M46" i="22" s="1"/>
  <c r="O82" i="30"/>
  <c r="S45" i="22" s="1"/>
  <c r="S46" i="22" s="1"/>
  <c r="P82" i="30"/>
  <c r="T45" i="22" s="1"/>
  <c r="T46" i="22" s="1"/>
  <c r="H82" i="30"/>
  <c r="L45" i="22" s="1"/>
  <c r="L46" i="22" s="1"/>
  <c r="G82" i="30"/>
  <c r="N82" i="30"/>
  <c r="R45" i="22" s="1"/>
  <c r="R46" i="22" s="1"/>
  <c r="M82" i="30"/>
  <c r="Q45" i="22" s="1"/>
  <c r="Q46" i="22" s="1"/>
  <c r="L82" i="30"/>
  <c r="P45" i="22" s="1"/>
  <c r="P46" i="22" s="1"/>
  <c r="H67" i="33"/>
  <c r="C51" i="33"/>
  <c r="C64" i="33" s="1"/>
  <c r="C71" i="33" s="1"/>
  <c r="G73" i="30" s="1"/>
  <c r="G76" i="30" s="1"/>
  <c r="I68" i="33"/>
  <c r="P17" i="20"/>
  <c r="O61" i="35" s="1"/>
  <c r="N61" i="35"/>
  <c r="U96" i="30"/>
  <c r="K50" i="28"/>
  <c r="AG72" i="35"/>
  <c r="I25" i="20"/>
  <c r="P39" i="30"/>
  <c r="T30" i="22" s="1"/>
  <c r="R39" i="30"/>
  <c r="K39" i="30"/>
  <c r="O30" i="22" s="1"/>
  <c r="L39" i="30"/>
  <c r="P30" i="22" s="1"/>
  <c r="Q39" i="30"/>
  <c r="U30" i="22" s="1"/>
  <c r="N39" i="30"/>
  <c r="R30" i="22" s="1"/>
  <c r="I39" i="30"/>
  <c r="M30" i="22" s="1"/>
  <c r="G39" i="30"/>
  <c r="J39" i="30"/>
  <c r="N30" i="22" s="1"/>
  <c r="H39" i="30"/>
  <c r="L30" i="22" s="1"/>
  <c r="O39" i="30"/>
  <c r="S30" i="22" s="1"/>
  <c r="M39" i="30"/>
  <c r="Q30" i="22" s="1"/>
  <c r="AL33" i="29"/>
  <c r="AM28" i="29"/>
  <c r="K68" i="32" s="1"/>
  <c r="K67" i="32" s="1"/>
  <c r="AH28" i="29"/>
  <c r="Q24" i="28"/>
  <c r="N39" i="28"/>
  <c r="N50" i="28" s="1"/>
  <c r="AM44" i="35"/>
  <c r="AM59" i="35" s="1"/>
  <c r="AG31" i="29"/>
  <c r="AG37" i="29" s="1"/>
  <c r="S80" i="27"/>
  <c r="T79" i="27" s="1"/>
  <c r="X37" i="35"/>
  <c r="J67" i="32"/>
  <c r="T48" i="30"/>
  <c r="T105" i="30"/>
  <c r="R81" i="27"/>
  <c r="S79" i="27"/>
  <c r="R93" i="27"/>
  <c r="F57" i="33"/>
  <c r="F54" i="33"/>
  <c r="F55" i="33"/>
  <c r="F58" i="33"/>
  <c r="F53" i="33"/>
  <c r="F56" i="33"/>
  <c r="F60" i="33"/>
  <c r="F51" i="33"/>
  <c r="F64" i="33" s="1"/>
  <c r="G49" i="33"/>
  <c r="F62" i="33"/>
  <c r="L70" i="33" s="1"/>
  <c r="F61" i="33"/>
  <c r="F59" i="33"/>
  <c r="G66" i="33"/>
  <c r="J69" i="33"/>
  <c r="E64" i="33"/>
  <c r="E52" i="33"/>
  <c r="F65" i="33" s="1"/>
  <c r="H46" i="33"/>
  <c r="H47" i="33" s="1"/>
  <c r="L68" i="30" s="1"/>
  <c r="I39" i="33"/>
  <c r="J39" i="33" s="1"/>
  <c r="K39" i="33" s="1"/>
  <c r="L39" i="33" s="1"/>
  <c r="M39" i="33" s="1"/>
  <c r="N39" i="33" s="1"/>
  <c r="U28" i="35"/>
  <c r="G98" i="32"/>
  <c r="Q76" i="27"/>
  <c r="Y19" i="35"/>
  <c r="K41" i="32"/>
  <c r="Y17" i="35" s="1"/>
  <c r="W11" i="22"/>
  <c r="T28" i="35"/>
  <c r="F98" i="32"/>
  <c r="P76" i="27"/>
  <c r="X13" i="35"/>
  <c r="K33" i="32"/>
  <c r="K25" i="32"/>
  <c r="K22" i="32" s="1"/>
  <c r="X11" i="35"/>
  <c r="N92" i="30" l="1"/>
  <c r="O90" i="30"/>
  <c r="M92" i="30"/>
  <c r="G25" i="30"/>
  <c r="K14" i="22" s="1"/>
  <c r="K15" i="22" s="1"/>
  <c r="R25" i="30"/>
  <c r="V14" i="22" s="1"/>
  <c r="V15" i="22" s="1"/>
  <c r="L25" i="30"/>
  <c r="P14" i="22" s="1"/>
  <c r="P15" i="22" s="1"/>
  <c r="H25" i="30"/>
  <c r="L14" i="22" s="1"/>
  <c r="M25" i="30"/>
  <c r="Q14" i="22" s="1"/>
  <c r="Q15" i="22" s="1"/>
  <c r="I25" i="30"/>
  <c r="M14" i="22" s="1"/>
  <c r="M15" i="22" s="1"/>
  <c r="S68" i="30"/>
  <c r="I18" i="32"/>
  <c r="W9" i="35" s="1"/>
  <c r="W12" i="35"/>
  <c r="J26" i="32"/>
  <c r="X12" i="35" s="1"/>
  <c r="S79" i="30"/>
  <c r="T79" i="30" s="1"/>
  <c r="K41" i="22"/>
  <c r="W41" i="22" s="1"/>
  <c r="W8" i="22"/>
  <c r="K9" i="22"/>
  <c r="W9" i="22" s="1"/>
  <c r="J32" i="33"/>
  <c r="G19" i="33"/>
  <c r="G22" i="33"/>
  <c r="G24" i="33"/>
  <c r="G26" i="33"/>
  <c r="M34" i="33" s="1"/>
  <c r="G25" i="33"/>
  <c r="H13" i="33"/>
  <c r="G15" i="33"/>
  <c r="G18" i="33"/>
  <c r="G20" i="33"/>
  <c r="G23" i="33"/>
  <c r="G21" i="33"/>
  <c r="G17" i="33"/>
  <c r="K33" i="33"/>
  <c r="H30" i="33"/>
  <c r="F28" i="33"/>
  <c r="F35" i="33" s="1"/>
  <c r="J16" i="30" s="1"/>
  <c r="J19" i="30" s="1"/>
  <c r="F16" i="33"/>
  <c r="G29" i="33" s="1"/>
  <c r="I31" i="33"/>
  <c r="X8" i="35"/>
  <c r="AI41" i="30"/>
  <c r="L2" i="33"/>
  <c r="L27" i="33" s="1"/>
  <c r="P21" i="30"/>
  <c r="P47" i="30" s="1"/>
  <c r="T2" i="22"/>
  <c r="D52" i="33"/>
  <c r="E65" i="33" s="1"/>
  <c r="E71" i="33" s="1"/>
  <c r="I73" i="30" s="1"/>
  <c r="I76" i="30" s="1"/>
  <c r="W36" i="22"/>
  <c r="S25" i="30"/>
  <c r="T25" i="30" s="1"/>
  <c r="AK7" i="35"/>
  <c r="C52" i="33"/>
  <c r="D65" i="33" s="1"/>
  <c r="D71" i="33" s="1"/>
  <c r="H73" i="30" s="1"/>
  <c r="H76" i="30" s="1"/>
  <c r="I67" i="33"/>
  <c r="H66" i="33"/>
  <c r="W37" i="22"/>
  <c r="K40" i="22"/>
  <c r="W40" i="22" s="1"/>
  <c r="S82" i="30"/>
  <c r="T82" i="30" s="1"/>
  <c r="K45" i="22"/>
  <c r="K69" i="33"/>
  <c r="X30" i="22"/>
  <c r="V30" i="22"/>
  <c r="M25" i="20"/>
  <c r="AM72" i="35"/>
  <c r="AP44" i="35"/>
  <c r="AP59" i="35" s="1"/>
  <c r="Q39" i="28"/>
  <c r="Q50" i="28" s="1"/>
  <c r="Y37" i="35"/>
  <c r="J25" i="20"/>
  <c r="H69" i="35"/>
  <c r="S39" i="30"/>
  <c r="T39" i="30" s="1"/>
  <c r="K30" i="22"/>
  <c r="K25" i="20"/>
  <c r="AJ72" i="35"/>
  <c r="R96" i="30"/>
  <c r="V61" i="22" s="1"/>
  <c r="L96" i="30"/>
  <c r="P61" i="22" s="1"/>
  <c r="G96" i="30"/>
  <c r="I96" i="30"/>
  <c r="M61" i="22" s="1"/>
  <c r="P96" i="30"/>
  <c r="T61" i="22" s="1"/>
  <c r="Q96" i="30"/>
  <c r="U61" i="22" s="1"/>
  <c r="J96" i="30"/>
  <c r="N61" i="22" s="1"/>
  <c r="M96" i="30"/>
  <c r="Q61" i="22" s="1"/>
  <c r="O96" i="30"/>
  <c r="S61" i="22" s="1"/>
  <c r="H96" i="30"/>
  <c r="L61" i="22" s="1"/>
  <c r="N96" i="30"/>
  <c r="R61" i="22" s="1"/>
  <c r="K96" i="30"/>
  <c r="O61" i="22" s="1"/>
  <c r="S81" i="27"/>
  <c r="S93" i="27"/>
  <c r="Y36" i="35"/>
  <c r="U80" i="27"/>
  <c r="U93" i="27" s="1"/>
  <c r="X36" i="35"/>
  <c r="T80" i="27"/>
  <c r="F71" i="33"/>
  <c r="J73" i="30" s="1"/>
  <c r="J76" i="30" s="1"/>
  <c r="F52" i="33"/>
  <c r="G65" i="33" s="1"/>
  <c r="J68" i="33"/>
  <c r="G53" i="33"/>
  <c r="G62" i="33"/>
  <c r="M70" i="33" s="1"/>
  <c r="G59" i="33"/>
  <c r="G60" i="33"/>
  <c r="G51" i="33"/>
  <c r="G64" i="33" s="1"/>
  <c r="H49" i="33"/>
  <c r="G58" i="33"/>
  <c r="G61" i="33"/>
  <c r="G56" i="33"/>
  <c r="G55" i="33"/>
  <c r="G54" i="33"/>
  <c r="G57" i="33"/>
  <c r="K30" i="32"/>
  <c r="Y13" i="35" s="1"/>
  <c r="R75" i="27"/>
  <c r="Q39" i="27"/>
  <c r="U49" i="35"/>
  <c r="Q47" i="27"/>
  <c r="D4" i="34"/>
  <c r="Q37" i="27"/>
  <c r="W16" i="35"/>
  <c r="K19" i="20"/>
  <c r="P37" i="27"/>
  <c r="T49" i="35"/>
  <c r="P47" i="27"/>
  <c r="C4" i="34"/>
  <c r="Q75" i="27"/>
  <c r="Q77" i="27" s="1"/>
  <c r="Q82" i="27" s="1"/>
  <c r="Q16" i="27" s="1"/>
  <c r="P39" i="27"/>
  <c r="AT19" i="35" s="1"/>
  <c r="P77" i="27"/>
  <c r="P82" i="27" s="1"/>
  <c r="P16" i="27" s="1"/>
  <c r="K14" i="32"/>
  <c r="Y8" i="35" s="1"/>
  <c r="Y11" i="35"/>
  <c r="L65" i="35"/>
  <c r="N21" i="20"/>
  <c r="M65" i="35" s="1"/>
  <c r="O92" i="30" l="1"/>
  <c r="P90" i="30"/>
  <c r="L15" i="22"/>
  <c r="W15" i="22" s="1"/>
  <c r="W14" i="22"/>
  <c r="AU19" i="35"/>
  <c r="Q40" i="27"/>
  <c r="AU20" i="35" s="1"/>
  <c r="I69" i="35"/>
  <c r="J18" i="32"/>
  <c r="J13" i="32" s="1"/>
  <c r="X7" i="35" s="1"/>
  <c r="I13" i="32"/>
  <c r="W7" i="35" s="1"/>
  <c r="K29" i="32"/>
  <c r="K26" i="32" s="1"/>
  <c r="K42" i="22"/>
  <c r="W42" i="22" s="1"/>
  <c r="I30" i="33"/>
  <c r="K32" i="33"/>
  <c r="G28" i="33"/>
  <c r="G35" i="33" s="1"/>
  <c r="K16" i="30" s="1"/>
  <c r="K19" i="30" s="1"/>
  <c r="G16" i="33"/>
  <c r="H29" i="33" s="1"/>
  <c r="H24" i="33"/>
  <c r="H22" i="33"/>
  <c r="H20" i="33"/>
  <c r="H25" i="33"/>
  <c r="H21" i="33"/>
  <c r="H26" i="33"/>
  <c r="N34" i="33" s="1"/>
  <c r="H18" i="33"/>
  <c r="H17" i="33"/>
  <c r="H15" i="33"/>
  <c r="H23" i="33"/>
  <c r="I13" i="33"/>
  <c r="H19" i="33"/>
  <c r="L33" i="33"/>
  <c r="J31" i="33"/>
  <c r="U2" i="22"/>
  <c r="Q21" i="30"/>
  <c r="Q47" i="30" s="1"/>
  <c r="AJ41" i="30"/>
  <c r="M2" i="33"/>
  <c r="M27" i="33" s="1"/>
  <c r="AU17" i="35"/>
  <c r="Q44" i="27"/>
  <c r="Q45" i="27" s="1"/>
  <c r="AT17" i="35"/>
  <c r="P44" i="27"/>
  <c r="I66" i="33"/>
  <c r="L69" i="33"/>
  <c r="K46" i="22"/>
  <c r="W46" i="22" s="1"/>
  <c r="W45" i="22"/>
  <c r="W30" i="22"/>
  <c r="K61" i="22"/>
  <c r="W61" i="22" s="1"/>
  <c r="S96" i="30"/>
  <c r="T96" i="30" s="1"/>
  <c r="AP72" i="35"/>
  <c r="O25" i="20"/>
  <c r="L25" i="20"/>
  <c r="J69" i="35"/>
  <c r="N25" i="20"/>
  <c r="M69" i="35" s="1"/>
  <c r="L69" i="35"/>
  <c r="T93" i="27"/>
  <c r="U79" i="27"/>
  <c r="U81" i="27" s="1"/>
  <c r="T81" i="27"/>
  <c r="J67" i="33"/>
  <c r="K68" i="33"/>
  <c r="I49" i="33"/>
  <c r="H58" i="33"/>
  <c r="H61" i="33"/>
  <c r="H59" i="33"/>
  <c r="H54" i="33"/>
  <c r="H56" i="33"/>
  <c r="H57" i="33"/>
  <c r="H55" i="33"/>
  <c r="H62" i="33"/>
  <c r="N70" i="33" s="1"/>
  <c r="H60" i="33"/>
  <c r="H51" i="33"/>
  <c r="H64" i="33" s="1"/>
  <c r="H53" i="33"/>
  <c r="G71" i="33"/>
  <c r="K73" i="30" s="1"/>
  <c r="K76" i="30" s="1"/>
  <c r="G52" i="33"/>
  <c r="H65" i="33" s="1"/>
  <c r="AT20" i="35"/>
  <c r="AU18" i="35"/>
  <c r="J63" i="35"/>
  <c r="L19" i="20"/>
  <c r="K63" i="35" s="1"/>
  <c r="Q51" i="27"/>
  <c r="D52" i="34"/>
  <c r="N15" i="20"/>
  <c r="M59" i="35" s="1"/>
  <c r="L59" i="35"/>
  <c r="J49" i="27"/>
  <c r="Q25" i="27"/>
  <c r="D30" i="34" s="1"/>
  <c r="D5" i="34"/>
  <c r="P25" i="27"/>
  <c r="C30" i="34" s="1"/>
  <c r="C5" i="34"/>
  <c r="C52" i="34"/>
  <c r="P51" i="27"/>
  <c r="C54" i="34" s="1"/>
  <c r="AT18" i="35"/>
  <c r="P92" i="30" l="1"/>
  <c r="Q90" i="30"/>
  <c r="K69" i="35"/>
  <c r="O21" i="20"/>
  <c r="N65" i="35" s="1"/>
  <c r="X9" i="35"/>
  <c r="I25" i="33"/>
  <c r="I20" i="33"/>
  <c r="I23" i="33"/>
  <c r="I17" i="33"/>
  <c r="I21" i="33"/>
  <c r="I15" i="33"/>
  <c r="I22" i="33"/>
  <c r="I18" i="33"/>
  <c r="I19" i="33"/>
  <c r="I26" i="33"/>
  <c r="I24" i="33"/>
  <c r="J13" i="33"/>
  <c r="K31" i="33"/>
  <c r="L32" i="33"/>
  <c r="H28" i="33"/>
  <c r="H35" i="33" s="1"/>
  <c r="L16" i="30" s="1"/>
  <c r="L19" i="30" s="1"/>
  <c r="H16" i="33"/>
  <c r="I29" i="33" s="1"/>
  <c r="M33" i="33"/>
  <c r="J30" i="33"/>
  <c r="V2" i="22"/>
  <c r="R21" i="30"/>
  <c r="R47" i="30" s="1"/>
  <c r="AK41" i="30"/>
  <c r="N2" i="33"/>
  <c r="N27" i="33" s="1"/>
  <c r="J66" i="33"/>
  <c r="L68" i="33"/>
  <c r="M69" i="33"/>
  <c r="P25" i="20"/>
  <c r="O69" i="35" s="1"/>
  <c r="N69" i="35"/>
  <c r="H71" i="33"/>
  <c r="L73" i="30" s="1"/>
  <c r="L76" i="30" s="1"/>
  <c r="I58" i="33"/>
  <c r="I56" i="33"/>
  <c r="I51" i="33"/>
  <c r="I64" i="33" s="1"/>
  <c r="I59" i="33"/>
  <c r="I54" i="33"/>
  <c r="I57" i="33"/>
  <c r="I53" i="33"/>
  <c r="I62" i="33"/>
  <c r="I61" i="33"/>
  <c r="I55" i="33"/>
  <c r="J49" i="33"/>
  <c r="I60" i="33"/>
  <c r="K67" i="33"/>
  <c r="H52" i="33"/>
  <c r="I65" i="33" s="1"/>
  <c r="R52" i="27"/>
  <c r="D54" i="34"/>
  <c r="AM7" i="35"/>
  <c r="J39" i="32"/>
  <c r="K18" i="32"/>
  <c r="Y12" i="35"/>
  <c r="Q92" i="30" l="1"/>
  <c r="R90" i="30"/>
  <c r="P21" i="20"/>
  <c r="O65" i="35" s="1"/>
  <c r="N33" i="33"/>
  <c r="K30" i="33"/>
  <c r="M32" i="33"/>
  <c r="I28" i="33"/>
  <c r="I35" i="33" s="1"/>
  <c r="M16" i="30" s="1"/>
  <c r="M19" i="30" s="1"/>
  <c r="I16" i="33"/>
  <c r="J29" i="33" s="1"/>
  <c r="J21" i="33"/>
  <c r="J15" i="33"/>
  <c r="J19" i="33"/>
  <c r="J18" i="33"/>
  <c r="J24" i="33"/>
  <c r="J20" i="33"/>
  <c r="J26" i="33"/>
  <c r="J23" i="33"/>
  <c r="J22" i="33"/>
  <c r="K13" i="33"/>
  <c r="J25" i="33"/>
  <c r="J17" i="33"/>
  <c r="L31" i="33"/>
  <c r="G78" i="30"/>
  <c r="G104" i="30" s="1"/>
  <c r="AA101" i="30" s="1"/>
  <c r="K33" i="22"/>
  <c r="C12" i="33"/>
  <c r="C38" i="33"/>
  <c r="N69" i="33"/>
  <c r="I52" i="33"/>
  <c r="J65" i="33" s="1"/>
  <c r="K66" i="33"/>
  <c r="J57" i="33"/>
  <c r="J51" i="33"/>
  <c r="J64" i="33" s="1"/>
  <c r="J62" i="33"/>
  <c r="J61" i="33"/>
  <c r="J60" i="33"/>
  <c r="J55" i="33"/>
  <c r="J58" i="33"/>
  <c r="J59" i="33"/>
  <c r="J56" i="33"/>
  <c r="J53" i="33"/>
  <c r="J54" i="33"/>
  <c r="K49" i="33"/>
  <c r="I71" i="33"/>
  <c r="M73" i="30" s="1"/>
  <c r="M76" i="30" s="1"/>
  <c r="L67" i="33"/>
  <c r="M68" i="33"/>
  <c r="X16" i="35"/>
  <c r="M19" i="20"/>
  <c r="R53" i="27"/>
  <c r="H39" i="27"/>
  <c r="K13" i="32"/>
  <c r="Y7" i="35" s="1"/>
  <c r="Y9" i="35"/>
  <c r="S90" i="30" l="1"/>
  <c r="T90" i="30" s="1"/>
  <c r="R92" i="30"/>
  <c r="S92" i="30" s="1"/>
  <c r="N32" i="33"/>
  <c r="M31" i="33"/>
  <c r="L30" i="33"/>
  <c r="K24" i="33"/>
  <c r="K23" i="33"/>
  <c r="K22" i="33"/>
  <c r="K25" i="33"/>
  <c r="K20" i="33"/>
  <c r="K18" i="33"/>
  <c r="K26" i="33"/>
  <c r="K21" i="33"/>
  <c r="K15" i="33"/>
  <c r="K19" i="33"/>
  <c r="L13" i="33"/>
  <c r="K17" i="33"/>
  <c r="J28" i="33"/>
  <c r="J35" i="33" s="1"/>
  <c r="N16" i="30" s="1"/>
  <c r="N19" i="30" s="1"/>
  <c r="J16" i="33"/>
  <c r="K29" i="33" s="1"/>
  <c r="C48" i="33"/>
  <c r="Q38" i="33"/>
  <c r="C63" i="33"/>
  <c r="H78" i="30"/>
  <c r="H104" i="30" s="1"/>
  <c r="AB101" i="30" s="1"/>
  <c r="L33" i="22"/>
  <c r="D38" i="33"/>
  <c r="D12" i="33"/>
  <c r="M67" i="33"/>
  <c r="J71" i="33"/>
  <c r="N73" i="30" s="1"/>
  <c r="N76" i="30" s="1"/>
  <c r="N68" i="33"/>
  <c r="L49" i="33"/>
  <c r="K51" i="33"/>
  <c r="K61" i="33"/>
  <c r="K59" i="33"/>
  <c r="K62" i="33"/>
  <c r="K57" i="33"/>
  <c r="K58" i="33"/>
  <c r="K53" i="33"/>
  <c r="K60" i="33"/>
  <c r="K55" i="33"/>
  <c r="K54" i="33"/>
  <c r="K56" i="33"/>
  <c r="L66" i="33"/>
  <c r="J52" i="33"/>
  <c r="K65" i="33" s="1"/>
  <c r="V72" i="35"/>
  <c r="H59" i="32"/>
  <c r="G51" i="30" s="1"/>
  <c r="N59" i="35"/>
  <c r="P15" i="20"/>
  <c r="O59" i="35" s="1"/>
  <c r="K49" i="27"/>
  <c r="L63" i="35"/>
  <c r="N19" i="20"/>
  <c r="M63" i="35" s="1"/>
  <c r="M30" i="33" l="1"/>
  <c r="N31" i="33"/>
  <c r="L22" i="33"/>
  <c r="L15" i="33"/>
  <c r="L18" i="33"/>
  <c r="L20" i="33"/>
  <c r="L25" i="33"/>
  <c r="L23" i="33"/>
  <c r="L21" i="33"/>
  <c r="L19" i="33"/>
  <c r="L17" i="33"/>
  <c r="L26" i="33"/>
  <c r="M13" i="33"/>
  <c r="L24" i="33"/>
  <c r="K28" i="33"/>
  <c r="K35" i="33" s="1"/>
  <c r="O16" i="30" s="1"/>
  <c r="O19" i="30" s="1"/>
  <c r="K16" i="33"/>
  <c r="L29" i="33" s="1"/>
  <c r="S51" i="30"/>
  <c r="S54" i="30" s="1"/>
  <c r="G54" i="30"/>
  <c r="D48" i="33"/>
  <c r="D63" i="33"/>
  <c r="R38" i="33"/>
  <c r="I78" i="30"/>
  <c r="I104" i="30" s="1"/>
  <c r="AC101" i="30" s="1"/>
  <c r="M33" i="22"/>
  <c r="E12" i="33"/>
  <c r="E38" i="33"/>
  <c r="M66" i="33"/>
  <c r="N67" i="33"/>
  <c r="K64" i="33"/>
  <c r="K71" i="33" s="1"/>
  <c r="O73" i="30" s="1"/>
  <c r="O76" i="30" s="1"/>
  <c r="K52" i="33"/>
  <c r="L65" i="33" s="1"/>
  <c r="L58" i="33"/>
  <c r="L55" i="33"/>
  <c r="L56" i="33"/>
  <c r="L53" i="33"/>
  <c r="L62" i="33"/>
  <c r="L54" i="33"/>
  <c r="M49" i="33"/>
  <c r="L61" i="33"/>
  <c r="L51" i="33"/>
  <c r="L64" i="33" s="1"/>
  <c r="L59" i="33"/>
  <c r="L60" i="33"/>
  <c r="L57" i="33"/>
  <c r="K39" i="32"/>
  <c r="AO7" i="35"/>
  <c r="V31" i="35"/>
  <c r="N30" i="33" l="1"/>
  <c r="M15" i="33"/>
  <c r="M26" i="33"/>
  <c r="M23" i="33"/>
  <c r="M17" i="33"/>
  <c r="M24" i="33"/>
  <c r="M25" i="33"/>
  <c r="M22" i="33"/>
  <c r="M19" i="33"/>
  <c r="M20" i="33"/>
  <c r="N13" i="33"/>
  <c r="M18" i="33"/>
  <c r="M21" i="33"/>
  <c r="L28" i="33"/>
  <c r="L35" i="33" s="1"/>
  <c r="P16" i="30" s="1"/>
  <c r="P19" i="30" s="1"/>
  <c r="L16" i="33"/>
  <c r="M29" i="33" s="1"/>
  <c r="S38" i="33"/>
  <c r="E48" i="33"/>
  <c r="E63" i="33"/>
  <c r="N33" i="22"/>
  <c r="F38" i="33"/>
  <c r="F12" i="33"/>
  <c r="J78" i="30"/>
  <c r="J104" i="30" s="1"/>
  <c r="AD101" i="30" s="1"/>
  <c r="L71" i="33"/>
  <c r="P73" i="30" s="1"/>
  <c r="P76" i="30" s="1"/>
  <c r="N49" i="33"/>
  <c r="M53" i="33"/>
  <c r="M61" i="33"/>
  <c r="M56" i="33"/>
  <c r="M62" i="33"/>
  <c r="M59" i="33"/>
  <c r="M57" i="33"/>
  <c r="M60" i="33"/>
  <c r="M58" i="33"/>
  <c r="M55" i="33"/>
  <c r="M51" i="33"/>
  <c r="M64" i="33" s="1"/>
  <c r="M54" i="33"/>
  <c r="L52" i="33"/>
  <c r="M65" i="33" s="1"/>
  <c r="N66" i="33"/>
  <c r="Y16" i="35"/>
  <c r="O19" i="20"/>
  <c r="N26" i="33" l="1"/>
  <c r="N24" i="33"/>
  <c r="N17" i="33"/>
  <c r="N18" i="33"/>
  <c r="N22" i="33"/>
  <c r="N15" i="33"/>
  <c r="N20" i="33"/>
  <c r="N25" i="33"/>
  <c r="N19" i="33"/>
  <c r="N23" i="33"/>
  <c r="N21" i="33"/>
  <c r="M28" i="33"/>
  <c r="M35" i="33" s="1"/>
  <c r="Q16" i="30" s="1"/>
  <c r="Q19" i="30" s="1"/>
  <c r="M16" i="33"/>
  <c r="N29" i="33" s="1"/>
  <c r="G38" i="33"/>
  <c r="G12" i="33"/>
  <c r="K78" i="30"/>
  <c r="K104" i="30" s="1"/>
  <c r="AE101" i="30" s="1"/>
  <c r="O33" i="22"/>
  <c r="F63" i="33"/>
  <c r="F48" i="33"/>
  <c r="M52" i="33"/>
  <c r="N65" i="33" s="1"/>
  <c r="M71" i="33"/>
  <c r="Q73" i="30" s="1"/>
  <c r="N59" i="33"/>
  <c r="N58" i="33"/>
  <c r="N57" i="33"/>
  <c r="N55" i="33"/>
  <c r="N53" i="33"/>
  <c r="N62" i="33"/>
  <c r="N56" i="33"/>
  <c r="N60" i="33"/>
  <c r="N61" i="33"/>
  <c r="N54" i="33"/>
  <c r="N51" i="33"/>
  <c r="N63" i="35"/>
  <c r="P19" i="20"/>
  <c r="O63" i="35" s="1"/>
  <c r="N28" i="33" l="1"/>
  <c r="N35" i="33" s="1"/>
  <c r="R16" i="30" s="1"/>
  <c r="N16" i="33"/>
  <c r="H12" i="33"/>
  <c r="L78" i="30"/>
  <c r="L104" i="30" s="1"/>
  <c r="AF101" i="30" s="1"/>
  <c r="P33" i="22"/>
  <c r="H38" i="33"/>
  <c r="G63" i="33"/>
  <c r="G48" i="33"/>
  <c r="N64" i="33"/>
  <c r="N71" i="33" s="1"/>
  <c r="R73" i="30" s="1"/>
  <c r="R76" i="30" s="1"/>
  <c r="N52" i="33"/>
  <c r="Q76" i="30"/>
  <c r="S16" i="30" l="1"/>
  <c r="R19" i="30"/>
  <c r="H63" i="33"/>
  <c r="H48" i="33"/>
  <c r="M78" i="30"/>
  <c r="M104" i="30" s="1"/>
  <c r="AG101" i="30" s="1"/>
  <c r="Q33" i="22"/>
  <c r="I38" i="33"/>
  <c r="I12" i="33"/>
  <c r="S73" i="30"/>
  <c r="S76" i="30"/>
  <c r="S19" i="30" l="1"/>
  <c r="I48" i="33"/>
  <c r="I63" i="33"/>
  <c r="N78" i="30"/>
  <c r="N104" i="30" s="1"/>
  <c r="AH101" i="30" s="1"/>
  <c r="R33" i="22"/>
  <c r="J38" i="33"/>
  <c r="J12" i="33"/>
  <c r="J48" i="33" l="1"/>
  <c r="J63" i="33"/>
  <c r="O78" i="30"/>
  <c r="O104" i="30" s="1"/>
  <c r="AI101" i="30" s="1"/>
  <c r="S33" i="22"/>
  <c r="K12" i="33"/>
  <c r="K38" i="33"/>
  <c r="K48" i="33" l="1"/>
  <c r="K63" i="33"/>
  <c r="P78" i="30"/>
  <c r="AJ101" i="30" s="1"/>
  <c r="T33" i="22"/>
  <c r="L38" i="33"/>
  <c r="L12" i="33"/>
  <c r="L48" i="33" l="1"/>
  <c r="L63" i="33"/>
  <c r="Q78" i="30"/>
  <c r="Q104" i="30" s="1"/>
  <c r="AK101" i="30" s="1"/>
  <c r="U33" i="22"/>
  <c r="M38" i="33"/>
  <c r="M12" i="33"/>
  <c r="V33" i="22" l="1"/>
  <c r="W33" i="22" s="1"/>
  <c r="N38" i="33"/>
  <c r="R78" i="30"/>
  <c r="R104" i="30" s="1"/>
  <c r="AL101" i="30" s="1"/>
  <c r="N12" i="33"/>
  <c r="M63" i="33"/>
  <c r="M48" i="33"/>
  <c r="N63" i="33" l="1"/>
  <c r="N48" i="33"/>
  <c r="U99" i="30" l="1"/>
  <c r="N99" i="30" s="1"/>
  <c r="H120" i="1"/>
  <c r="O120" i="1"/>
  <c r="J120" i="1" l="1"/>
  <c r="L120" i="1" s="1"/>
  <c r="G99" i="30"/>
  <c r="O99" i="30"/>
  <c r="H99" i="30"/>
  <c r="R99" i="30"/>
  <c r="I99" i="30"/>
  <c r="K99" i="30"/>
  <c r="J99" i="30"/>
  <c r="M99" i="30"/>
  <c r="Q99" i="30"/>
  <c r="P99" i="30"/>
  <c r="L99" i="30"/>
  <c r="S99" i="30" l="1"/>
  <c r="T99" i="30" s="1"/>
  <c r="F55" i="1" l="1"/>
  <c r="D73" i="29" s="1"/>
  <c r="D52" i="1"/>
  <c r="D45" i="1" s="1"/>
  <c r="D80" i="29" l="1"/>
  <c r="D74" i="29"/>
  <c r="D79" i="29" s="1"/>
  <c r="H55" i="1"/>
  <c r="F73" i="29" s="1"/>
  <c r="B126" i="1"/>
  <c r="J55" i="1"/>
  <c r="H73" i="29" s="1"/>
  <c r="H52" i="1"/>
  <c r="H45" i="1" s="1"/>
  <c r="E108" i="1"/>
  <c r="E118" i="1"/>
  <c r="E69" i="1"/>
  <c r="E83" i="1"/>
  <c r="E52" i="1"/>
  <c r="E79" i="1"/>
  <c r="E117" i="1"/>
  <c r="E74" i="1"/>
  <c r="E113" i="1"/>
  <c r="E88" i="1"/>
  <c r="E86" i="1"/>
  <c r="E46" i="1"/>
  <c r="R43" i="27" s="1"/>
  <c r="D125" i="1"/>
  <c r="E87" i="1"/>
  <c r="E99" i="1"/>
  <c r="E94" i="1"/>
  <c r="E104" i="1"/>
  <c r="E63" i="1"/>
  <c r="F52" i="1"/>
  <c r="F45" i="1" s="1"/>
  <c r="F80" i="29" l="1"/>
  <c r="F74" i="29"/>
  <c r="F79" i="29" s="1"/>
  <c r="U86" i="30" s="1" a="1"/>
  <c r="U86" i="30" s="1"/>
  <c r="H74" i="29"/>
  <c r="H79" i="29" s="1"/>
  <c r="H80" i="29"/>
  <c r="G69" i="1"/>
  <c r="G121" i="1"/>
  <c r="G63" i="1"/>
  <c r="G108" i="1"/>
  <c r="G113" i="1"/>
  <c r="G117" i="1"/>
  <c r="G83" i="1"/>
  <c r="G74" i="1"/>
  <c r="G88" i="1"/>
  <c r="G94" i="1"/>
  <c r="G46" i="1"/>
  <c r="T43" i="27" s="1"/>
  <c r="G119" i="1"/>
  <c r="G123" i="1"/>
  <c r="G87" i="1"/>
  <c r="G86" i="1"/>
  <c r="G122" i="1"/>
  <c r="G79" i="1"/>
  <c r="G120" i="1"/>
  <c r="I18" i="20"/>
  <c r="F125" i="1"/>
  <c r="G99" i="1"/>
  <c r="G124" i="1"/>
  <c r="G118" i="1"/>
  <c r="G104" i="1"/>
  <c r="G52" i="1"/>
  <c r="E122" i="1"/>
  <c r="E120" i="1"/>
  <c r="E123" i="1"/>
  <c r="E121" i="1"/>
  <c r="D126" i="1"/>
  <c r="E124" i="1"/>
  <c r="E119" i="1"/>
  <c r="K18" i="20"/>
  <c r="I79" i="1"/>
  <c r="H125" i="1"/>
  <c r="I122" i="1"/>
  <c r="I123" i="1"/>
  <c r="I83" i="1"/>
  <c r="I113" i="1"/>
  <c r="I99" i="1"/>
  <c r="I87" i="1"/>
  <c r="I121" i="1"/>
  <c r="I69" i="1"/>
  <c r="I52" i="1"/>
  <c r="I63" i="1"/>
  <c r="I74" i="1"/>
  <c r="I104" i="1"/>
  <c r="I88" i="1"/>
  <c r="I120" i="1"/>
  <c r="I118" i="1"/>
  <c r="I124" i="1"/>
  <c r="I86" i="1"/>
  <c r="I108" i="1"/>
  <c r="I46" i="1"/>
  <c r="I117" i="1"/>
  <c r="I119" i="1"/>
  <c r="I94" i="1"/>
  <c r="J52" i="1"/>
  <c r="J45" i="1" s="1"/>
  <c r="L55" i="1"/>
  <c r="J73" i="29" s="1"/>
  <c r="L52" i="1" l="1"/>
  <c r="L45" i="1" s="1"/>
  <c r="M120" i="1" s="1"/>
  <c r="J18" i="20"/>
  <c r="I62" i="35" s="1"/>
  <c r="H56" i="27"/>
  <c r="L18" i="20"/>
  <c r="K62" i="35" s="1"/>
  <c r="I56" i="27"/>
  <c r="H82" i="29"/>
  <c r="H81" i="29" s="1"/>
  <c r="L86" i="30"/>
  <c r="P54" i="22" s="1"/>
  <c r="P86" i="30"/>
  <c r="T54" i="22" s="1"/>
  <c r="K86" i="30"/>
  <c r="O54" i="22" s="1"/>
  <c r="I86" i="30"/>
  <c r="M54" i="22" s="1"/>
  <c r="J86" i="30"/>
  <c r="N54" i="22" s="1"/>
  <c r="M86" i="30"/>
  <c r="Q54" i="22" s="1"/>
  <c r="Q86" i="30"/>
  <c r="U54" i="22" s="1"/>
  <c r="N86" i="30"/>
  <c r="R54" i="22" s="1"/>
  <c r="H86" i="30"/>
  <c r="L54" i="22" s="1"/>
  <c r="O86" i="30"/>
  <c r="S54" i="22" s="1"/>
  <c r="G86" i="30"/>
  <c r="R86" i="30"/>
  <c r="V54" i="22" s="1"/>
  <c r="F82" i="29"/>
  <c r="F81" i="29" s="1"/>
  <c r="F86" i="30" s="1"/>
  <c r="J54" i="22" s="1"/>
  <c r="H35" i="20"/>
  <c r="I20" i="20"/>
  <c r="J20" i="20" s="1"/>
  <c r="H62" i="35"/>
  <c r="K63" i="1"/>
  <c r="K113" i="1"/>
  <c r="K117" i="1"/>
  <c r="K52" i="1"/>
  <c r="K74" i="1"/>
  <c r="M18" i="20"/>
  <c r="J125" i="1"/>
  <c r="K108" i="1"/>
  <c r="K119" i="1"/>
  <c r="K87" i="1"/>
  <c r="K123" i="1"/>
  <c r="K124" i="1"/>
  <c r="K122" i="1"/>
  <c r="K83" i="1"/>
  <c r="K121" i="1"/>
  <c r="K99" i="1"/>
  <c r="K118" i="1"/>
  <c r="K120" i="1"/>
  <c r="K104" i="1"/>
  <c r="K46" i="1"/>
  <c r="K94" i="1"/>
  <c r="K79" i="1"/>
  <c r="K88" i="1"/>
  <c r="K86" i="1"/>
  <c r="K69" i="1"/>
  <c r="K20" i="20"/>
  <c r="L20" i="20" s="1"/>
  <c r="J62" i="35"/>
  <c r="Q55" i="22" l="1"/>
  <c r="Q56" i="22" s="1"/>
  <c r="Q57" i="22" s="1"/>
  <c r="O87" i="30" s="1"/>
  <c r="P55" i="22"/>
  <c r="P56" i="22" s="1"/>
  <c r="P57" i="22" s="1"/>
  <c r="N87" i="30" s="1"/>
  <c r="N55" i="22"/>
  <c r="N56" i="22" s="1"/>
  <c r="N57" i="22" s="1"/>
  <c r="L87" i="30" s="1"/>
  <c r="M55" i="22"/>
  <c r="M56" i="22" s="1"/>
  <c r="M57" i="22" s="1"/>
  <c r="K87" i="30" s="1"/>
  <c r="O55" i="22"/>
  <c r="O56" i="22" s="1"/>
  <c r="O57" i="22" s="1"/>
  <c r="M87" i="30" s="1"/>
  <c r="T55" i="22"/>
  <c r="T56" i="22" s="1"/>
  <c r="T57" i="22" s="1"/>
  <c r="R87" i="30" s="1"/>
  <c r="V55" i="22"/>
  <c r="V56" i="22" s="1"/>
  <c r="V57" i="22" s="1"/>
  <c r="L55" i="22"/>
  <c r="L56" i="22" s="1"/>
  <c r="L57" i="22" s="1"/>
  <c r="J87" i="30" s="1"/>
  <c r="S55" i="22"/>
  <c r="S56" i="22" s="1"/>
  <c r="S57" i="22" s="1"/>
  <c r="Q87" i="30" s="1"/>
  <c r="R55" i="22"/>
  <c r="R56" i="22" s="1"/>
  <c r="R57" i="22" s="1"/>
  <c r="P87" i="30" s="1"/>
  <c r="U55" i="22"/>
  <c r="U56" i="22" s="1"/>
  <c r="U57" i="22" s="1"/>
  <c r="M88" i="1"/>
  <c r="M108" i="1"/>
  <c r="M113" i="1"/>
  <c r="M69" i="1"/>
  <c r="M52" i="1"/>
  <c r="M122" i="1"/>
  <c r="M86" i="1"/>
  <c r="M74" i="1"/>
  <c r="M124" i="1"/>
  <c r="M46" i="1"/>
  <c r="M104" i="1"/>
  <c r="M94" i="1"/>
  <c r="O18" i="20"/>
  <c r="N62" i="35" s="1"/>
  <c r="M99" i="1"/>
  <c r="M118" i="1"/>
  <c r="M117" i="1"/>
  <c r="M121" i="1"/>
  <c r="M119" i="1"/>
  <c r="L125" i="1"/>
  <c r="M83" i="1"/>
  <c r="M87" i="1"/>
  <c r="M63" i="1"/>
  <c r="M79" i="1"/>
  <c r="M123" i="1"/>
  <c r="J74" i="29"/>
  <c r="J80" i="29"/>
  <c r="AI14" i="35"/>
  <c r="H60" i="27"/>
  <c r="H81" i="32"/>
  <c r="H80" i="32" s="1"/>
  <c r="I81" i="32"/>
  <c r="I80" i="32" s="1"/>
  <c r="AK14" i="35"/>
  <c r="I60" i="27"/>
  <c r="N18" i="20"/>
  <c r="M62" i="35" s="1"/>
  <c r="J56" i="27"/>
  <c r="K64" i="35"/>
  <c r="S19" i="27"/>
  <c r="F27" i="34" s="1"/>
  <c r="R19" i="27"/>
  <c r="E27" i="34" s="1"/>
  <c r="I64" i="35"/>
  <c r="K54" i="22"/>
  <c r="S86" i="30"/>
  <c r="T86" i="30" s="1"/>
  <c r="J64" i="35"/>
  <c r="K22" i="20"/>
  <c r="S18" i="27"/>
  <c r="M20" i="20"/>
  <c r="N20" i="20" s="1"/>
  <c r="L62" i="35"/>
  <c r="I22" i="20"/>
  <c r="H64" i="35"/>
  <c r="R18" i="27"/>
  <c r="K56" i="27" l="1"/>
  <c r="P18" i="20"/>
  <c r="O62" i="35" s="1"/>
  <c r="O20" i="20"/>
  <c r="P20" i="20" s="1"/>
  <c r="O64" i="35" s="1"/>
  <c r="J79" i="29"/>
  <c r="J82" i="29"/>
  <c r="J81" i="29" s="1"/>
  <c r="Q40" i="33"/>
  <c r="Q41" i="33" s="1"/>
  <c r="Q44" i="33" s="1"/>
  <c r="G80" i="30" s="1"/>
  <c r="S80" i="30" s="1"/>
  <c r="H75" i="32"/>
  <c r="V45" i="35"/>
  <c r="H61" i="27"/>
  <c r="AI18" i="35"/>
  <c r="J81" i="32"/>
  <c r="J80" i="32" s="1"/>
  <c r="AM14" i="35"/>
  <c r="J60" i="27"/>
  <c r="AK18" i="35"/>
  <c r="I61" i="27"/>
  <c r="AO14" i="35"/>
  <c r="K60" i="27"/>
  <c r="K81" i="32"/>
  <c r="K80" i="32" s="1"/>
  <c r="I75" i="32"/>
  <c r="W45" i="35"/>
  <c r="M64" i="35"/>
  <c r="T19" i="27"/>
  <c r="G27" i="34" s="1"/>
  <c r="L22" i="20"/>
  <c r="J22" i="20"/>
  <c r="K55" i="22"/>
  <c r="W54" i="22"/>
  <c r="I26" i="20"/>
  <c r="J26" i="20" s="1"/>
  <c r="I70" i="35" s="1"/>
  <c r="R20" i="27"/>
  <c r="H66" i="35"/>
  <c r="T18" i="27"/>
  <c r="M22" i="20"/>
  <c r="L64" i="35"/>
  <c r="S20" i="27"/>
  <c r="K26" i="20"/>
  <c r="L26" i="20" s="1"/>
  <c r="K70" i="35" s="1"/>
  <c r="J66" i="35"/>
  <c r="N64" i="35" l="1"/>
  <c r="O22" i="20"/>
  <c r="U20" i="27" s="1"/>
  <c r="U19" i="27"/>
  <c r="H27" i="34" s="1"/>
  <c r="U18" i="27"/>
  <c r="V42" i="35"/>
  <c r="R48" i="27"/>
  <c r="E53" i="34" s="1"/>
  <c r="AI19" i="35"/>
  <c r="H28" i="27"/>
  <c r="R87" i="27"/>
  <c r="Y45" i="35"/>
  <c r="K75" i="32"/>
  <c r="AO18" i="35"/>
  <c r="K61" i="27"/>
  <c r="J61" i="27"/>
  <c r="AM18" i="35"/>
  <c r="W42" i="35"/>
  <c r="S48" i="27"/>
  <c r="F53" i="34" s="1"/>
  <c r="I28" i="27"/>
  <c r="W63" i="35" s="1"/>
  <c r="AK19" i="35"/>
  <c r="S87" i="27"/>
  <c r="S84" i="27" s="1"/>
  <c r="X45" i="35"/>
  <c r="J75" i="32"/>
  <c r="N22" i="20"/>
  <c r="I66" i="35"/>
  <c r="R21" i="27"/>
  <c r="R22" i="27" s="1"/>
  <c r="S21" i="27"/>
  <c r="S22" i="27" s="1"/>
  <c r="K66" i="35"/>
  <c r="W55" i="22"/>
  <c r="K56" i="22"/>
  <c r="J70" i="35"/>
  <c r="K27" i="20"/>
  <c r="T20" i="27"/>
  <c r="M26" i="20"/>
  <c r="N26" i="20" s="1"/>
  <c r="M70" i="35" s="1"/>
  <c r="L66" i="35"/>
  <c r="I27" i="20"/>
  <c r="H70" i="35"/>
  <c r="P22" i="20" l="1"/>
  <c r="U21" i="27" s="1"/>
  <c r="U22" i="27" s="1"/>
  <c r="N66" i="35"/>
  <c r="O26" i="20"/>
  <c r="P26" i="20" s="1"/>
  <c r="O70" i="35" s="1"/>
  <c r="V63" i="35"/>
  <c r="H41" i="27"/>
  <c r="V74" i="35" s="1"/>
  <c r="Y42" i="35"/>
  <c r="U48" i="27"/>
  <c r="H53" i="34" s="1"/>
  <c r="X42" i="35"/>
  <c r="T48" i="27"/>
  <c r="G53" i="34" s="1"/>
  <c r="T87" i="27"/>
  <c r="T84" i="27" s="1"/>
  <c r="AM19" i="35"/>
  <c r="J28" i="27"/>
  <c r="X63" i="35" s="1"/>
  <c r="U87" i="27"/>
  <c r="U84" i="27" s="1"/>
  <c r="AO19" i="35"/>
  <c r="K28" i="27"/>
  <c r="Y63" i="35" s="1"/>
  <c r="K31" i="20"/>
  <c r="L31" i="20" s="1"/>
  <c r="S24" i="27" s="1"/>
  <c r="F29" i="34" s="1"/>
  <c r="L27" i="20"/>
  <c r="K72" i="35" s="1"/>
  <c r="S26" i="27"/>
  <c r="S27" i="27" s="1"/>
  <c r="E28" i="34"/>
  <c r="R74" i="27"/>
  <c r="J27" i="20"/>
  <c r="I72" i="35" s="1"/>
  <c r="R26" i="27"/>
  <c r="R27" i="27" s="1"/>
  <c r="F28" i="34"/>
  <c r="T21" i="27"/>
  <c r="T22" i="27" s="1"/>
  <c r="M66" i="35"/>
  <c r="W56" i="22"/>
  <c r="K57" i="22"/>
  <c r="H15" i="27"/>
  <c r="R34" i="27" s="1"/>
  <c r="R35" i="27" s="1"/>
  <c r="S74" i="27"/>
  <c r="I31" i="20"/>
  <c r="J31" i="20" s="1"/>
  <c r="R24" i="27" s="1"/>
  <c r="E29" i="34" s="1"/>
  <c r="I15" i="27"/>
  <c r="S34" i="27" s="1"/>
  <c r="S35" i="27" s="1"/>
  <c r="U40" i="30"/>
  <c r="H72" i="35"/>
  <c r="M27" i="20"/>
  <c r="L70" i="35"/>
  <c r="U97" i="30"/>
  <c r="J72" i="35"/>
  <c r="AV15" i="35" l="1"/>
  <c r="AV14" i="35"/>
  <c r="O66" i="35"/>
  <c r="AW15" i="35"/>
  <c r="AW14" i="35"/>
  <c r="N70" i="35"/>
  <c r="O27" i="20"/>
  <c r="N72" i="35" s="1"/>
  <c r="J75" i="35"/>
  <c r="I60" i="32"/>
  <c r="W32" i="35" s="1"/>
  <c r="S23" i="27"/>
  <c r="H28" i="34"/>
  <c r="L72" i="35"/>
  <c r="N27" i="20"/>
  <c r="M72" i="35" s="1"/>
  <c r="T26" i="27"/>
  <c r="T27" i="27" s="1"/>
  <c r="H21" i="27"/>
  <c r="H42" i="27" s="1"/>
  <c r="G28" i="34"/>
  <c r="V54" i="35"/>
  <c r="R23" i="27"/>
  <c r="R54" i="27"/>
  <c r="I87" i="30"/>
  <c r="W57" i="22"/>
  <c r="H75" i="35"/>
  <c r="H60" i="32"/>
  <c r="H56" i="32" s="1"/>
  <c r="R33" i="27"/>
  <c r="AV13" i="35" s="1"/>
  <c r="I21" i="27"/>
  <c r="W54" i="35"/>
  <c r="S33" i="27"/>
  <c r="AW13" i="35" s="1"/>
  <c r="T74" i="27"/>
  <c r="G97" i="30"/>
  <c r="H97" i="30"/>
  <c r="I97" i="30"/>
  <c r="Q97" i="30"/>
  <c r="Q102" i="30" s="1"/>
  <c r="Q113" i="30" s="1"/>
  <c r="AK102" i="30" s="1"/>
  <c r="R97" i="30"/>
  <c r="R102" i="30" s="1"/>
  <c r="R113" i="30" s="1"/>
  <c r="AL102" i="30" s="1"/>
  <c r="O97" i="30"/>
  <c r="O102" i="30" s="1"/>
  <c r="O113" i="30" s="1"/>
  <c r="AI102" i="30" s="1"/>
  <c r="L97" i="30"/>
  <c r="L102" i="30" s="1"/>
  <c r="L113" i="30" s="1"/>
  <c r="AF102" i="30" s="1"/>
  <c r="K97" i="30"/>
  <c r="K102" i="30" s="1"/>
  <c r="K113" i="30" s="1"/>
  <c r="AE102" i="30" s="1"/>
  <c r="P97" i="30"/>
  <c r="P102" i="30" s="1"/>
  <c r="P113" i="30" s="1"/>
  <c r="AJ102" i="30" s="1"/>
  <c r="J97" i="30"/>
  <c r="J102" i="30" s="1"/>
  <c r="J113" i="30" s="1"/>
  <c r="AD102" i="30" s="1"/>
  <c r="M97" i="30"/>
  <c r="M102" i="30" s="1"/>
  <c r="M113" i="30" s="1"/>
  <c r="AG102" i="30" s="1"/>
  <c r="N97" i="30"/>
  <c r="N102" i="30" s="1"/>
  <c r="N113" i="30" s="1"/>
  <c r="AH102" i="30" s="1"/>
  <c r="J15" i="27"/>
  <c r="T34" i="27" s="1"/>
  <c r="T35" i="27" s="1"/>
  <c r="M31" i="20"/>
  <c r="N31" i="20" s="1"/>
  <c r="T24" i="27" s="1"/>
  <c r="G29" i="34" s="1"/>
  <c r="M40" i="30"/>
  <c r="P40" i="30"/>
  <c r="L40" i="30"/>
  <c r="N40" i="30"/>
  <c r="O40" i="30"/>
  <c r="R40" i="30"/>
  <c r="K40" i="30"/>
  <c r="I40" i="30"/>
  <c r="H40" i="30"/>
  <c r="Q40" i="30"/>
  <c r="J40" i="30"/>
  <c r="G40" i="30"/>
  <c r="G45" i="30" s="1"/>
  <c r="U26" i="27" l="1"/>
  <c r="U27" i="27" s="1"/>
  <c r="P27" i="20"/>
  <c r="O72" i="35" s="1"/>
  <c r="AX14" i="35"/>
  <c r="AX15" i="35"/>
  <c r="O31" i="20"/>
  <c r="K60" i="32" s="1"/>
  <c r="Y32" i="35" s="1"/>
  <c r="K15" i="27"/>
  <c r="U74" i="27"/>
  <c r="I102" i="30"/>
  <c r="I113" i="30" s="1"/>
  <c r="AC102" i="30" s="1"/>
  <c r="V60" i="35"/>
  <c r="I58" i="32"/>
  <c r="W30" i="35" s="1"/>
  <c r="V32" i="35"/>
  <c r="W60" i="35"/>
  <c r="S40" i="30"/>
  <c r="T40" i="30" s="1"/>
  <c r="H43" i="27"/>
  <c r="V75" i="35"/>
  <c r="J60" i="32"/>
  <c r="X32" i="35" s="1"/>
  <c r="T23" i="27"/>
  <c r="L75" i="35"/>
  <c r="J21" i="27"/>
  <c r="T33" i="27"/>
  <c r="AX13" i="35" s="1"/>
  <c r="X54" i="35"/>
  <c r="S97" i="30"/>
  <c r="T97" i="30" s="1"/>
  <c r="H98" i="32"/>
  <c r="R76" i="27"/>
  <c r="R88" i="27"/>
  <c r="R89" i="27" s="1"/>
  <c r="R84" i="27" s="1"/>
  <c r="V28" i="35"/>
  <c r="P31" i="20" l="1"/>
  <c r="U24" i="27" s="1"/>
  <c r="H29" i="34" s="1"/>
  <c r="Y54" i="35"/>
  <c r="U34" i="27"/>
  <c r="U35" i="27" s="1"/>
  <c r="N75" i="35"/>
  <c r="U23" i="27"/>
  <c r="K21" i="27"/>
  <c r="Y60" i="35" s="1"/>
  <c r="U33" i="27"/>
  <c r="AY13" i="35" s="1"/>
  <c r="V76" i="35"/>
  <c r="H44" i="27"/>
  <c r="V77" i="35" s="1"/>
  <c r="X60" i="35"/>
  <c r="V49" i="35"/>
  <c r="H49" i="32"/>
  <c r="R29" i="27" s="1"/>
  <c r="R30" i="27" s="1"/>
  <c r="R37" i="27"/>
  <c r="AV17" i="35" s="1"/>
  <c r="R47" i="27"/>
  <c r="E4" i="34"/>
  <c r="S75" i="27"/>
  <c r="R77" i="27"/>
  <c r="R82" i="27" s="1"/>
  <c r="R16" i="27" s="1"/>
  <c r="R38" i="27" l="1"/>
  <c r="AV18" i="35" s="1"/>
  <c r="AY15" i="35"/>
  <c r="AY14" i="35"/>
  <c r="R31" i="27"/>
  <c r="R32" i="27" s="1"/>
  <c r="V23" i="35"/>
  <c r="H38" i="32"/>
  <c r="R94" i="27"/>
  <c r="R39" i="27" s="1"/>
  <c r="R40" i="27" s="1"/>
  <c r="R51" i="27"/>
  <c r="E52" i="34"/>
  <c r="E5" i="34"/>
  <c r="R25" i="27"/>
  <c r="E30" i="34" s="1"/>
  <c r="R44" i="27" l="1"/>
  <c r="R45" i="27" s="1"/>
  <c r="AV10" i="35"/>
  <c r="AV12" i="35"/>
  <c r="AV11" i="35"/>
  <c r="AV9" i="35"/>
  <c r="AV19" i="35"/>
  <c r="AV20" i="35"/>
  <c r="E54" i="34"/>
  <c r="S52" i="27"/>
  <c r="V15" i="35"/>
  <c r="H51" i="32"/>
  <c r="V24" i="35" s="1"/>
  <c r="I39" i="27" l="1"/>
  <c r="S54" i="27"/>
  <c r="S53" i="27"/>
  <c r="I59" i="32" l="1"/>
  <c r="G108" i="30"/>
  <c r="W72" i="35"/>
  <c r="I41" i="27"/>
  <c r="S108" i="30" l="1"/>
  <c r="S111" i="30" s="1"/>
  <c r="G111" i="30"/>
  <c r="W31" i="35"/>
  <c r="J58" i="32"/>
  <c r="I56" i="32"/>
  <c r="W74" i="35"/>
  <c r="I42" i="27"/>
  <c r="X30" i="35" l="1"/>
  <c r="S76" i="27"/>
  <c r="S88" i="27"/>
  <c r="W28" i="35"/>
  <c r="I98" i="32"/>
  <c r="I43" i="27"/>
  <c r="W75" i="35"/>
  <c r="T75" i="27" l="1"/>
  <c r="S77" i="27"/>
  <c r="S82" i="27" s="1"/>
  <c r="S16" i="27" s="1"/>
  <c r="W76" i="35"/>
  <c r="I44" i="27"/>
  <c r="W77" i="35" s="1"/>
  <c r="S47" i="27"/>
  <c r="F4" i="34"/>
  <c r="S37" i="27"/>
  <c r="AW17" i="35" s="1"/>
  <c r="W49" i="35"/>
  <c r="I49" i="32"/>
  <c r="S29" i="27" s="1"/>
  <c r="S30" i="27" s="1"/>
  <c r="S38" i="27" l="1"/>
  <c r="AW18" i="35" s="1"/>
  <c r="S31" i="27"/>
  <c r="S32" i="27" s="1"/>
  <c r="W23" i="35"/>
  <c r="I38" i="32"/>
  <c r="S94" i="27"/>
  <c r="S39" i="27" s="1"/>
  <c r="S40" i="27" s="1"/>
  <c r="S51" i="27"/>
  <c r="F52" i="34"/>
  <c r="F5" i="34"/>
  <c r="S25" i="27"/>
  <c r="F30" i="34" s="1"/>
  <c r="S44" i="27" l="1"/>
  <c r="S45" i="27" s="1"/>
  <c r="AW10" i="35"/>
  <c r="AW12" i="35"/>
  <c r="AW11" i="35"/>
  <c r="AW9" i="35"/>
  <c r="AW19" i="35"/>
  <c r="AW20" i="35"/>
  <c r="F54" i="34"/>
  <c r="T52" i="27"/>
  <c r="I51" i="32"/>
  <c r="W15" i="35"/>
  <c r="T54" i="27" l="1"/>
  <c r="J39" i="27"/>
  <c r="T53" i="27"/>
  <c r="W24" i="35"/>
  <c r="J59" i="32" l="1"/>
  <c r="J41" i="27"/>
  <c r="X72" i="35"/>
  <c r="X74" i="35" l="1"/>
  <c r="J42" i="27"/>
  <c r="X31" i="35"/>
  <c r="K58" i="32"/>
  <c r="J56" i="32"/>
  <c r="Y30" i="35" l="1"/>
  <c r="J43" i="27"/>
  <c r="X75" i="35"/>
  <c r="J98" i="32"/>
  <c r="T88" i="27"/>
  <c r="T76" i="27"/>
  <c r="X28" i="35"/>
  <c r="U75" i="27" l="1"/>
  <c r="T77" i="27"/>
  <c r="T82" i="27" s="1"/>
  <c r="T16" i="27" s="1"/>
  <c r="X76" i="35"/>
  <c r="J44" i="27"/>
  <c r="X77" i="35" s="1"/>
  <c r="G4" i="34"/>
  <c r="T47" i="27"/>
  <c r="X49" i="35"/>
  <c r="T37" i="27"/>
  <c r="AX17" i="35" s="1"/>
  <c r="J49" i="32"/>
  <c r="T29" i="27" s="1"/>
  <c r="T30" i="27" s="1"/>
  <c r="T38" i="27" l="1"/>
  <c r="AX18" i="35" s="1"/>
  <c r="T31" i="27"/>
  <c r="T32" i="27" s="1"/>
  <c r="G52" i="34"/>
  <c r="T51" i="27"/>
  <c r="T94" i="27"/>
  <c r="T39" i="27" s="1"/>
  <c r="T40" i="27" s="1"/>
  <c r="J38" i="32"/>
  <c r="X23" i="35"/>
  <c r="T25" i="27"/>
  <c r="G30" i="34" s="1"/>
  <c r="G5" i="34"/>
  <c r="T44" i="27" l="1"/>
  <c r="T45" i="27" s="1"/>
  <c r="AX10" i="35"/>
  <c r="AX12" i="35"/>
  <c r="AX11" i="35"/>
  <c r="AX9" i="35"/>
  <c r="AX19" i="35"/>
  <c r="AX20" i="35"/>
  <c r="G54" i="34"/>
  <c r="U52" i="27"/>
  <c r="J51" i="32"/>
  <c r="X15" i="35"/>
  <c r="U54" i="27" l="1"/>
  <c r="K39" i="27"/>
  <c r="U53" i="27"/>
  <c r="X24" i="35"/>
  <c r="K41" i="27" l="1"/>
  <c r="K59" i="32"/>
  <c r="Y72" i="35"/>
  <c r="Y74" i="35" l="1"/>
  <c r="K42" i="27"/>
  <c r="Y31" i="35"/>
  <c r="K56" i="32"/>
  <c r="K43" i="27" l="1"/>
  <c r="Y75" i="35"/>
  <c r="Y28" i="35"/>
  <c r="K98" i="32"/>
  <c r="U76" i="27"/>
  <c r="U77" i="27" s="1"/>
  <c r="U82" i="27" s="1"/>
  <c r="U16" i="27" s="1"/>
  <c r="U88" i="27"/>
  <c r="U47" i="27" l="1"/>
  <c r="U37" i="27"/>
  <c r="AY17" i="35" s="1"/>
  <c r="H4" i="34"/>
  <c r="K49" i="32"/>
  <c r="U29" i="27" s="1"/>
  <c r="U30" i="27" s="1"/>
  <c r="Y49" i="35"/>
  <c r="U25" i="27"/>
  <c r="H30" i="34" s="1"/>
  <c r="H5" i="34"/>
  <c r="Y76" i="35"/>
  <c r="K44" i="27"/>
  <c r="Y77" i="35" s="1"/>
  <c r="U38" i="27" l="1"/>
  <c r="AY18" i="35" s="1"/>
  <c r="U31" i="27"/>
  <c r="U32" i="27" s="1"/>
  <c r="Y23" i="35"/>
  <c r="U94" i="27"/>
  <c r="U39" i="27" s="1"/>
  <c r="U40" i="27" s="1"/>
  <c r="K38" i="32"/>
  <c r="H52" i="34"/>
  <c r="U51" i="27"/>
  <c r="H54" i="34" s="1"/>
  <c r="U44" i="27" l="1"/>
  <c r="U45" i="27" s="1"/>
  <c r="AY10" i="35"/>
  <c r="AY19" i="35"/>
  <c r="AY20" i="35"/>
  <c r="AY12" i="35"/>
  <c r="AY11" i="35"/>
  <c r="AY9" i="35"/>
  <c r="Y15" i="35"/>
  <c r="K51" i="32"/>
  <c r="Y24" i="35" l="1"/>
  <c r="D82" i="29"/>
  <c r="D81" i="29" l="1"/>
  <c r="F29" i="30" s="1"/>
  <c r="J23" i="22" s="1"/>
  <c r="U29" i="30" l="1"/>
  <c r="L29" i="30" s="1"/>
  <c r="P23" i="22" s="1"/>
  <c r="P24" i="22" s="1"/>
  <c r="P25" i="22" s="1"/>
  <c r="P26" i="22" s="1"/>
  <c r="N30" i="30" s="1"/>
  <c r="O29" i="30" l="1"/>
  <c r="S23" i="22" s="1"/>
  <c r="S24" i="22" s="1"/>
  <c r="S25" i="22" s="1"/>
  <c r="S26" i="22" s="1"/>
  <c r="Q30" i="30" s="1"/>
  <c r="Q29" i="30"/>
  <c r="U23" i="22" s="1"/>
  <c r="U24" i="22" s="1"/>
  <c r="U25" i="22" s="1"/>
  <c r="U26" i="22" s="1"/>
  <c r="G87" i="30" s="1"/>
  <c r="G102" i="30" s="1"/>
  <c r="J29" i="30"/>
  <c r="N23" i="22" s="1"/>
  <c r="N24" i="22" s="1"/>
  <c r="N25" i="22" s="1"/>
  <c r="N26" i="22" s="1"/>
  <c r="L30" i="30" s="1"/>
  <c r="L45" i="30" s="1"/>
  <c r="L56" i="30" s="1"/>
  <c r="AE42" i="30" s="1"/>
  <c r="R29" i="30"/>
  <c r="V23" i="22" s="1"/>
  <c r="V24" i="22" s="1"/>
  <c r="V25" i="22" s="1"/>
  <c r="V26" i="22" s="1"/>
  <c r="H87" i="30" s="1"/>
  <c r="H102" i="30" s="1"/>
  <c r="H113" i="30" s="1"/>
  <c r="AB102" i="30" s="1"/>
  <c r="H29" i="30"/>
  <c r="H45" i="30" s="1"/>
  <c r="H56" i="30" s="1"/>
  <c r="AA42" i="30" s="1"/>
  <c r="P29" i="30"/>
  <c r="T23" i="22" s="1"/>
  <c r="T24" i="22" s="1"/>
  <c r="T25" i="22" s="1"/>
  <c r="T26" i="22" s="1"/>
  <c r="R30" i="30" s="1"/>
  <c r="G29" i="30"/>
  <c r="G56" i="30" s="1"/>
  <c r="I29" i="30"/>
  <c r="M23" i="22" s="1"/>
  <c r="M24" i="22" s="1"/>
  <c r="M25" i="22" s="1"/>
  <c r="M26" i="22" s="1"/>
  <c r="K30" i="30" s="1"/>
  <c r="M29" i="30"/>
  <c r="Q23" i="22" s="1"/>
  <c r="Q24" i="22" s="1"/>
  <c r="Q25" i="22" s="1"/>
  <c r="Q26" i="22" s="1"/>
  <c r="O30" i="30" s="1"/>
  <c r="K29" i="30"/>
  <c r="O23" i="22" s="1"/>
  <c r="O24" i="22" s="1"/>
  <c r="O25" i="22" s="1"/>
  <c r="O26" i="22" s="1"/>
  <c r="M30" i="30" s="1"/>
  <c r="N29" i="30"/>
  <c r="N45" i="30" s="1"/>
  <c r="N56" i="30" s="1"/>
  <c r="AG42" i="30" s="1"/>
  <c r="M45" i="30" l="1"/>
  <c r="M56" i="30" s="1"/>
  <c r="AF42" i="30" s="1"/>
  <c r="O45" i="30"/>
  <c r="O56" i="30" s="1"/>
  <c r="AH42" i="30" s="1"/>
  <c r="S87" i="30"/>
  <c r="L23" i="22"/>
  <c r="L24" i="22" s="1"/>
  <c r="L25" i="22" s="1"/>
  <c r="L26" i="22" s="1"/>
  <c r="J30" i="30" s="1"/>
  <c r="J45" i="30" s="1"/>
  <c r="J56" i="30" s="1"/>
  <c r="AC42" i="30" s="1"/>
  <c r="R45" i="30"/>
  <c r="R56" i="30" s="1"/>
  <c r="AK42" i="30" s="1"/>
  <c r="Q45" i="30"/>
  <c r="Q56" i="30" s="1"/>
  <c r="AJ42" i="30" s="1"/>
  <c r="R23" i="22"/>
  <c r="R24" i="22" s="1"/>
  <c r="R25" i="22" s="1"/>
  <c r="R26" i="22" s="1"/>
  <c r="P30" i="30" s="1"/>
  <c r="P45" i="30" s="1"/>
  <c r="P56" i="30" s="1"/>
  <c r="AI42" i="30" s="1"/>
  <c r="K45" i="30"/>
  <c r="K56" i="30" s="1"/>
  <c r="AD42" i="30" s="1"/>
  <c r="K23" i="22"/>
  <c r="K24" i="22" s="1"/>
  <c r="K25" i="22" s="1"/>
  <c r="S29" i="30"/>
  <c r="T29" i="30" s="1"/>
  <c r="G113" i="30"/>
  <c r="S102" i="30"/>
  <c r="G57" i="30"/>
  <c r="Z42" i="30"/>
  <c r="W23" i="22" l="1"/>
  <c r="W24" i="22"/>
  <c r="Z43" i="30"/>
  <c r="H10" i="30"/>
  <c r="H57" i="30" s="1"/>
  <c r="AA43" i="30" s="1"/>
  <c r="K26" i="22"/>
  <c r="W25" i="22"/>
  <c r="S113" i="30"/>
  <c r="AA102" i="30"/>
  <c r="W26" i="22" l="1"/>
  <c r="I30" i="30"/>
  <c r="I10" i="30"/>
  <c r="S30" i="30" l="1"/>
  <c r="I45" i="30"/>
  <c r="I56" i="30" l="1"/>
  <c r="S45" i="30"/>
  <c r="AB42" i="30" l="1"/>
  <c r="AL42" i="30" s="1"/>
  <c r="S56" i="30"/>
  <c r="I57" i="30"/>
  <c r="AB43" i="30" s="1"/>
  <c r="J10" i="30" l="1"/>
  <c r="J57" i="30" s="1"/>
  <c r="AC43" i="30" s="1"/>
  <c r="K10" i="30" l="1"/>
  <c r="K57" i="30" s="1"/>
  <c r="AD43" i="30" s="1"/>
  <c r="L10" i="30" l="1"/>
  <c r="L57" i="30" s="1"/>
  <c r="AE43" i="30" s="1"/>
  <c r="M10" i="30" l="1"/>
  <c r="M57" i="30" s="1"/>
  <c r="AF43" i="30" s="1"/>
  <c r="N10" i="30" l="1"/>
  <c r="N57" i="30" s="1"/>
  <c r="AG43" i="30" s="1"/>
  <c r="O10" i="30" l="1"/>
  <c r="O57" i="30" s="1"/>
  <c r="AH43" i="30" s="1"/>
  <c r="P10" i="30" l="1"/>
  <c r="P57" i="30" s="1"/>
  <c r="AI43" i="30" s="1"/>
  <c r="Q10" i="30" l="1"/>
  <c r="Q57" i="30" s="1"/>
  <c r="AJ43" i="30" s="1"/>
  <c r="R10" i="30" l="1"/>
  <c r="R57" i="30" s="1"/>
  <c r="AK43" i="30" s="1"/>
  <c r="G67" i="30" l="1"/>
  <c r="G114" i="30" s="1"/>
  <c r="H67" i="30" l="1"/>
  <c r="H114" i="30" s="1"/>
  <c r="AA103" i="30"/>
  <c r="AB103" i="30" l="1"/>
  <c r="I67" i="30"/>
  <c r="I114" i="30" s="1"/>
  <c r="J67" i="30" l="1"/>
  <c r="J114" i="30" s="1"/>
  <c r="AC103" i="30"/>
  <c r="AD103" i="30" l="1"/>
  <c r="K67" i="30"/>
  <c r="K114" i="30" s="1"/>
  <c r="L67" i="30" l="1"/>
  <c r="L114" i="30" s="1"/>
  <c r="AE103" i="30"/>
  <c r="M67" i="30" l="1"/>
  <c r="M114" i="30" s="1"/>
  <c r="AF103" i="30"/>
  <c r="AG103" i="30" l="1"/>
  <c r="N67" i="30"/>
  <c r="N114" i="30" s="1"/>
  <c r="AH103" i="30" l="1"/>
  <c r="O67" i="30"/>
  <c r="O114" i="30" s="1"/>
  <c r="P67" i="30" l="1"/>
  <c r="P114" i="30" s="1"/>
  <c r="AI103" i="30"/>
  <c r="Q67" i="30" l="1"/>
  <c r="Q114" i="30" s="1"/>
  <c r="AJ103" i="30"/>
  <c r="R67" i="30" l="1"/>
  <c r="R114" i="30" s="1"/>
  <c r="AL103" i="30" s="1"/>
  <c r="AK103"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Jadelcons</author>
  </authors>
  <commentList>
    <comment ref="A3" authorId="0" shapeId="0" xr:uid="{4874DC7C-1F32-45F5-B8FC-D82211CDE354}">
      <text>
        <r>
          <rPr>
            <sz val="10"/>
            <color indexed="81"/>
            <rFont val="Tahoma"/>
            <family val="2"/>
          </rPr>
          <t xml:space="preserve">
</t>
        </r>
        <r>
          <rPr>
            <b/>
            <sz val="10"/>
            <color indexed="81"/>
            <rFont val="Tahoma"/>
            <family val="2"/>
          </rPr>
          <t xml:space="preserve">IFYLLNADSDIREKTIV  </t>
        </r>
        <r>
          <rPr>
            <sz val="10"/>
            <color indexed="81"/>
            <rFont val="Tahoma"/>
            <family val="2"/>
          </rPr>
          <t xml:space="preserve">
     </t>
        </r>
        <r>
          <rPr>
            <b/>
            <sz val="10"/>
            <color indexed="81"/>
            <rFont val="Tahoma"/>
            <family val="2"/>
          </rPr>
          <t xml:space="preserve">
FYLL I ALLA TABELLERNA EFTER NUMREN PÅ VÄNSTER, BARA GULA CELLERNA! ANVÄND ENDAST HELT TAL!</t>
        </r>
        <r>
          <rPr>
            <sz val="10"/>
            <color indexed="81"/>
            <rFont val="Tahoma"/>
            <family val="2"/>
          </rPr>
          <t xml:space="preserve">
</t>
        </r>
        <r>
          <rPr>
            <b/>
            <i/>
            <sz val="10"/>
            <color indexed="81"/>
            <rFont val="Tahoma"/>
            <family val="2"/>
          </rPr>
          <t>Maskiner etc. som hyrs via leasingfinansiering behandlas i tabell 5. E1 Kostnader. Om det hyrda objektet löses in efter avtalets slut period, placeras det som en investering i denna tabell.</t>
        </r>
        <r>
          <rPr>
            <sz val="10"/>
            <color indexed="81"/>
            <rFont val="Tahoma"/>
            <family val="2"/>
          </rPr>
          <t xml:space="preserve">
</t>
        </r>
        <r>
          <rPr>
            <b/>
            <sz val="10"/>
            <color indexed="81"/>
            <rFont val="Tahoma"/>
            <family val="2"/>
          </rPr>
          <t xml:space="preserve">OM DET FINNS INTE INVESTERINGAR, GÅ VIDARE TILL SKEDE 2. RESULTATBUDGET. 
</t>
        </r>
        <r>
          <rPr>
            <sz val="10"/>
            <color indexed="81"/>
            <rFont val="Tahoma"/>
            <family val="2"/>
          </rPr>
          <t xml:space="preserve">
Rader 1 - 7: Investeringarna beräknas enligt prisnivån då investeringen görs.
Rad 9: Med ökning av rörelsekapital avses det bestående behovet av rörelsekapital som Investeringen framkallar.
          Rörelsekapital = Omsättningstillgångar + kundfordringar - leverantörsskulder - erhållna förskott
Rad 10: Anskaffning av omsättningstillgångar vid företagsförvärv, varulager i början
Rad 12: Ökning av eget kapital
Rad 13: Internfinansiering som kan användas för den aktuella investeringen.
Rad 14: Endast ökning av kapitallån. 
Rad 15: Lån av ägare, försäljning av egendom och placeringar samt andelen av eget arbete och material.</t>
        </r>
      </text>
    </comment>
    <comment ref="C20" authorId="1" shapeId="0" xr:uid="{89D40AD5-3F62-44A3-BEEE-72E547BF92D3}">
      <text>
        <r>
          <rPr>
            <sz val="10"/>
            <color indexed="81"/>
            <rFont val="Tahoma"/>
            <family val="2"/>
          </rPr>
          <t>Här skrivas endast</t>
        </r>
        <r>
          <rPr>
            <b/>
            <sz val="10"/>
            <color indexed="81"/>
            <rFont val="Tahoma"/>
            <family val="2"/>
          </rPr>
          <t xml:space="preserve"> Moms-avdragbara investeringar! 
</t>
        </r>
        <r>
          <rPr>
            <sz val="10"/>
            <color indexed="81"/>
            <rFont val="Tahoma"/>
            <family val="2"/>
          </rPr>
          <t>Hälso- och socialbransch samt vid företagsförvärv Moms 0 %!</t>
        </r>
        <r>
          <rPr>
            <b/>
            <i/>
            <sz val="10"/>
            <color indexed="81"/>
            <rFont val="Tahoma"/>
            <family val="2"/>
          </rPr>
          <t xml:space="preserve"> 
</t>
        </r>
        <r>
          <rPr>
            <sz val="10"/>
            <color indexed="81"/>
            <rFont val="Tahoma"/>
            <family val="2"/>
          </rPr>
          <t xml:space="preserve">I punkt 3 skrivas investeringar Moms 0 %. </t>
        </r>
      </text>
    </comment>
    <comment ref="C27" authorId="1" shapeId="0" xr:uid="{0A93F5A8-9C76-4E9E-B396-905A2FAF17F4}">
      <text>
        <r>
          <rPr>
            <sz val="10"/>
            <color indexed="81"/>
            <rFont val="Tahoma"/>
            <family val="2"/>
          </rPr>
          <t xml:space="preserve">Ingen leasing finansiering. 
Leasing finansiering -&gt; 5. E1 Verksamhetskostaner </t>
        </r>
      </text>
    </comment>
    <comment ref="D27" authorId="1" shapeId="0" xr:uid="{26987452-2AA7-449C-B0E9-C0FA17C5304F}">
      <text>
        <r>
          <rPr>
            <sz val="10"/>
            <color indexed="81"/>
            <rFont val="Tahoma"/>
            <family val="2"/>
          </rPr>
          <t>Vid bytesaffär belopp av mellangift!</t>
        </r>
      </text>
    </comment>
    <comment ref="C30" authorId="1" shapeId="0" xr:uid="{BF2AC704-77D9-4F01-857D-0DDE7038B7E5}">
      <text>
        <r>
          <rPr>
            <sz val="10"/>
            <color indexed="81"/>
            <rFont val="Tahoma"/>
            <family val="2"/>
          </rPr>
          <t xml:space="preserve">Ingen leasing finansiering. 
Leasing finansiering -&gt; 5. E1 Verksamhetskostaner </t>
        </r>
      </text>
    </comment>
    <comment ref="C32" authorId="1" shapeId="0" xr:uid="{C0B51026-F1E8-47BF-AC1E-76273266486B}">
      <text>
        <r>
          <rPr>
            <sz val="10"/>
            <color indexed="81"/>
            <rFont val="Tahoma"/>
            <family val="2"/>
          </rPr>
          <t>Övriga materiella anläggningstillgångar är i bokföringen förmögenhetsposter som inte är byggnader, markområden eller lös egendom, såsom:
- naturtillgångar, t.ex. grustäkter, stenbrott, torvmarker, mineralfyndigheter 
  och fruktodlingar
- konstföremål
- djur som används i företagets verksamhet
- investeringar som görs på mark som ägs av företaget, t.ex. markarbeten, 
  asfaltering och dränering</t>
        </r>
      </text>
    </comment>
    <comment ref="C35" authorId="1" shapeId="0" xr:uid="{AF62053D-F386-4DAB-B00C-5ACA5B163150}">
      <text>
        <r>
          <rPr>
            <b/>
            <sz val="10"/>
            <color indexed="81"/>
            <rFont val="Tahoma"/>
            <family val="2"/>
          </rPr>
          <t xml:space="preserve">Immateriella nyttigheter, linjär avskrivning t.ex. 5 år
- </t>
        </r>
        <r>
          <rPr>
            <sz val="10"/>
            <color indexed="81"/>
            <rFont val="Tahoma"/>
            <family val="2"/>
          </rPr>
          <t>Patent, goodwill, varumärke. köpta datorprogram osv.  
- Grundförbättring av hyres- och aktiebostad
- Vid företagsförvärv Moms 0 %
- Långsiktiga utvecklingskostnader (om innehåller material-
  kostnader, skrivs dom här (Moms 0 %). Motsvarande belopp
  minskas i tabell 6. E2 OMSÄTTNING.  
- Om utvecklingskostnaderna innehåller lönekostnader och  
  lönebikostnader, skrivs dom här (Moms 0 %). Motsvarande 
  belopp minskas i tabell 5. E1 VERKSAMHETSKOSTNADER.  
- Långsiktiga marknadsföringskostnader. Motsvarande 
  belopp minskas i tabell 5. E1 VERKSAMHETSKOSTNADER.</t>
        </r>
      </text>
    </comment>
    <comment ref="C38" authorId="0" shapeId="0" xr:uid="{0E172C2D-7FE6-4BFC-9714-B6A3FE318D9C}">
      <text>
        <r>
          <rPr>
            <sz val="10"/>
            <color indexed="81"/>
            <rFont val="Tahoma"/>
            <family val="2"/>
          </rPr>
          <t>Anskaffningspris av aktier till affärslokal och bolagets.
Anskaffningspris av investeringstillgångar.</t>
        </r>
        <r>
          <rPr>
            <b/>
            <sz val="10"/>
            <color indexed="81"/>
            <rFont val="Tahoma"/>
            <family val="2"/>
          </rPr>
          <t xml:space="preserve"> Moms inte kan dras.</t>
        </r>
      </text>
    </comment>
    <comment ref="C39" authorId="1" shapeId="0" xr:uid="{2B6C23A5-DD23-413C-BA7C-A9951AF7D7B5}">
      <text>
        <r>
          <rPr>
            <sz val="10"/>
            <color indexed="81"/>
            <rFont val="Tahoma"/>
            <family val="2"/>
          </rPr>
          <t>Vid företagsförvärv anskaffning av omsättningstillgångar iakttagas som rörelsekapital. Vid försäljningsprognos måste råvarulagret iakttagas.</t>
        </r>
      </text>
    </comment>
    <comment ref="D40" authorId="0" shapeId="0" xr:uid="{0FB12128-158C-47FB-8492-B59491E9E213}">
      <text>
        <r>
          <rPr>
            <sz val="10"/>
            <color indexed="81"/>
            <rFont val="Tahoma"/>
            <family val="2"/>
          </rPr>
          <t xml:space="preserve">Yrityskaupassa ja uuden tuotemyynnin käynnistämiseksi ostettava vaihto-omaisuus "alkuvarasto", jonka kuluttaminen kestää useita kuukausia. Normaalisti yritystä käynnistettäessä alkuvarasto hankitaan käyttöpääomalla. Alkuvarastoon käytettävä rahamäärä vähennetään käyttöpääoman määrästä kohdassa 9. 
- liiketoimintakaupan tavaravarasto alv 0 %
- alkuvaraston tuotteet sis. alv </t>
        </r>
      </text>
    </comment>
    <comment ref="D41" authorId="2" shapeId="0" xr:uid="{6CA442C1-DFC1-46F4-A4A8-A966C31E045D}">
      <text>
        <r>
          <rPr>
            <sz val="10"/>
            <color indexed="81"/>
            <rFont val="Tahoma"/>
            <family val="2"/>
          </rPr>
          <t>- Liiketoimintakaupan tavaravarasto alv 0 %
- Alkuvarasto sisältää arvonlisäveron. Jos useita eri alv-kantoja, 
  aseta painotettu keskiarvo.</t>
        </r>
      </text>
    </comment>
    <comment ref="D48" authorId="1" shapeId="0" xr:uid="{ED218DEB-E186-4DE7-9785-5AA7B9B0EA28}">
      <text>
        <r>
          <rPr>
            <sz val="10"/>
            <color indexed="81"/>
            <rFont val="Tahoma"/>
            <family val="2"/>
          </rPr>
          <t>Tillägg endast ökning av aktiekapitalet! 
Aktiekapital kan också betalas med apportegendom (t.ex.. Maskin, byggnad). Egendomens värde skrivs här och tabellens övre del KAPITALBEHOV. Välj rät position!</t>
        </r>
      </text>
    </comment>
    <comment ref="E48" authorId="1" shapeId="0" xr:uid="{9B0096FF-74E8-412A-8D7B-C7D1E323CC0F}">
      <text>
        <r>
          <rPr>
            <sz val="10"/>
            <color indexed="81"/>
            <rFont val="Tahoma"/>
            <family val="2"/>
          </rPr>
          <t xml:space="preserve">Endast ökning av aktiekapitalet! </t>
        </r>
      </text>
    </comment>
    <comment ref="C49" authorId="1" shapeId="0" xr:uid="{A4668B7A-4A46-43F7-809F-7DA1765A10BB}">
      <text>
        <r>
          <rPr>
            <sz val="10"/>
            <color indexed="81"/>
            <rFont val="Tahoma"/>
            <family val="2"/>
          </rPr>
          <t xml:space="preserve">I aktiebolaget kan placeras pengar i SVOP-fonden. Inbetalt fritt eget kapital (s.k. SVOP-fond) kan jämföras till aktiekapital. </t>
        </r>
      </text>
    </comment>
    <comment ref="D49" authorId="1" shapeId="0" xr:uid="{0C3CC76B-5FBC-4F8F-A2BC-C50D3179A8E4}">
      <text>
        <r>
          <rPr>
            <sz val="10"/>
            <color indexed="81"/>
            <rFont val="Tahoma"/>
            <family val="2"/>
          </rPr>
          <t>Endast ökning i SVOP-fonden! Minskning av SVOP-fonden skrivs i tabell 3. T3 BALANS rad 61.</t>
        </r>
      </text>
    </comment>
    <comment ref="C51" authorId="1" shapeId="0" xr:uid="{9A0702B3-6F64-4694-A536-B61CA72BF7D9}">
      <text>
        <r>
          <rPr>
            <b/>
            <sz val="10"/>
            <color indexed="81"/>
            <rFont val="Tahoma"/>
            <family val="2"/>
          </rPr>
          <t>Kapitallånen skrivas endast här, inte i tabell 4. T7 LÅN.</t>
        </r>
        <r>
          <rPr>
            <b/>
            <i/>
            <sz val="10"/>
            <color indexed="81"/>
            <rFont val="Tahoma"/>
            <family val="2"/>
          </rPr>
          <t xml:space="preserve"> 
</t>
        </r>
        <r>
          <rPr>
            <b/>
            <sz val="10"/>
            <color indexed="81"/>
            <rFont val="Tahoma"/>
            <family val="2"/>
          </rPr>
          <t>Skuldebrevslån av ägaren</t>
        </r>
        <r>
          <rPr>
            <b/>
            <i/>
            <sz val="10"/>
            <color indexed="81"/>
            <rFont val="Tahoma"/>
            <family val="2"/>
          </rPr>
          <t xml:space="preserve"> </t>
        </r>
        <r>
          <rPr>
            <sz val="10"/>
            <color indexed="81"/>
            <rFont val="Tahoma"/>
            <family val="2"/>
          </rPr>
          <t>kan återbetalas enligt villkor i skuldebrevet och skrivas i tabell 4. T7 LÅN.</t>
        </r>
      </text>
    </comment>
    <comment ref="D51" authorId="1" shapeId="0" xr:uid="{A16BAE84-41F7-4E1C-8338-61EB45F01ECE}">
      <text>
        <r>
          <rPr>
            <sz val="10"/>
            <color indexed="81"/>
            <rFont val="Tahoma"/>
            <family val="2"/>
          </rPr>
          <t>Endast ökning av kapital</t>
        </r>
        <r>
          <rPr>
            <sz val="9"/>
            <color indexed="81"/>
            <rFont val="Tahoma"/>
            <family val="2"/>
          </rPr>
          <t xml:space="preserve">lån! </t>
        </r>
      </text>
    </comment>
    <comment ref="D52" authorId="1" shapeId="0" xr:uid="{BBBFF1C3-5711-4094-928C-48835A240FED}">
      <text>
        <r>
          <rPr>
            <sz val="10"/>
            <color indexed="81"/>
            <rFont val="Tahoma"/>
            <family val="2"/>
          </rPr>
          <t>Utomstående finansierar förutsätter, att investeringen innehåller 
ca.20 % egen finansiering. Reservera beloppet här.
Utom internfinansiering finns följande penningkällor:</t>
        </r>
        <r>
          <rPr>
            <b/>
            <i/>
            <sz val="10"/>
            <color indexed="81"/>
            <rFont val="Tahoma"/>
            <family val="2"/>
          </rPr>
          <t xml:space="preserve">
</t>
        </r>
        <r>
          <rPr>
            <b/>
            <sz val="10"/>
            <color indexed="81"/>
            <rFont val="Tahoma"/>
            <family val="2"/>
          </rPr>
          <t>1)</t>
        </r>
        <r>
          <rPr>
            <sz val="10"/>
            <color indexed="81"/>
            <rFont val="Tahoma"/>
            <family val="2"/>
          </rPr>
          <t xml:space="preserve"> Långfristig skuldebrevslån</t>
        </r>
        <r>
          <rPr>
            <b/>
            <sz val="10"/>
            <color indexed="81"/>
            <rFont val="Tahoma"/>
            <family val="2"/>
          </rPr>
          <t xml:space="preserve"> av ägaren</t>
        </r>
        <r>
          <rPr>
            <sz val="10"/>
            <color indexed="81"/>
            <rFont val="Tahoma"/>
            <family val="2"/>
          </rPr>
          <t xml:space="preserve"> (tilläggas i tabell 4. T7 LÅN) 
</t>
        </r>
        <r>
          <rPr>
            <b/>
            <sz val="10"/>
            <color indexed="81"/>
            <rFont val="Tahoma"/>
            <family val="2"/>
          </rPr>
          <t>2)</t>
        </r>
        <r>
          <rPr>
            <sz val="10"/>
            <color indexed="81"/>
            <rFont val="Tahoma"/>
            <family val="2"/>
          </rPr>
          <t xml:space="preserve"> </t>
        </r>
        <r>
          <rPr>
            <b/>
            <sz val="10"/>
            <color indexed="81"/>
            <rFont val="Tahoma"/>
            <family val="2"/>
          </rPr>
          <t>Försäljning av egendom</t>
        </r>
        <r>
          <rPr>
            <sz val="10"/>
            <color indexed="81"/>
            <rFont val="Tahoma"/>
            <family val="2"/>
          </rPr>
          <t xml:space="preserve">: Vad? Lägg till beloppet i tabell 
   3. T3 BALANS/AKTIVA/BESTÅENDE AKTIVA "Minskningar under 
   räkenskapsperioden".
</t>
        </r>
        <r>
          <rPr>
            <b/>
            <sz val="10"/>
            <color indexed="81"/>
            <rFont val="Tahoma"/>
            <family val="2"/>
          </rPr>
          <t>3) Uppbärning av placeringar</t>
        </r>
        <r>
          <rPr>
            <sz val="10"/>
            <color indexed="81"/>
            <rFont val="Tahoma"/>
            <family val="2"/>
          </rPr>
          <t xml:space="preserve"> (om finns i BALANS): Lägg
    till beloppet också i 3. T3 BALANS cellen H36 - K36.
</t>
        </r>
        <r>
          <rPr>
            <b/>
            <sz val="10"/>
            <color indexed="81"/>
            <rFont val="Tahoma"/>
            <family val="2"/>
          </rPr>
          <t>Förklaras endast i Anteckningar</t>
        </r>
        <r>
          <rPr>
            <sz val="10"/>
            <color indexed="81"/>
            <rFont val="Tahoma"/>
            <family val="2"/>
          </rPr>
          <t xml:space="preserve"> punkt 12 Internfinansiering
(beloppet ingår i internfinansiering)
- andel av eget arbete och material
- uppbärning av bankdepositioner</t>
        </r>
      </text>
    </comment>
    <comment ref="D58" authorId="1" shapeId="0" xr:uid="{A85B7284-C3CC-4DB6-82DB-C171C8484968}">
      <text>
        <r>
          <rPr>
            <sz val="10"/>
            <color indexed="81"/>
            <rFont val="Tahoma"/>
            <family val="2"/>
          </rPr>
          <t xml:space="preserve">Leasingfinansieringens andel högst 80 % av investeringsvärdet. Skriv finansieringsvärdet, inte leasingräntans storlek! Årliga leasingräntorna skrivs i tabell 5. E1 VERKSAMHETSKOSTNADER, rad 75 (3.5 Övriga maskin- och apparaturkostnader/leasingkostnader). </t>
        </r>
      </text>
    </comment>
    <comment ref="D59" authorId="1" shapeId="0" xr:uid="{352C4788-FAE8-4A72-BDB4-51252C0C74E5}">
      <text>
        <r>
          <rPr>
            <sz val="10"/>
            <color indexed="81"/>
            <rFont val="Tahoma"/>
            <family val="2"/>
          </rPr>
          <t>Leasingfinansieringens andel högst 80 % av investeringsvärdet. Skriv finansieringsvärdet, inte leasingräntans storlek! Årliga leasingräntorna skrivs i tabell 5. E1 VERKSAMHETSKOSTNADER, rad 119 (3.19 Leasingkostnader, privatbruk).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Henri Järvinen</author>
  </authors>
  <commentList>
    <comment ref="A2" authorId="0" shapeId="0" xr:uid="{75151B2C-9F9D-42CA-9A04-82107BCDF14C}">
      <text>
        <r>
          <rPr>
            <b/>
            <sz val="10"/>
            <color indexed="81"/>
            <rFont val="Tahoma"/>
            <family val="2"/>
          </rPr>
          <t xml:space="preserve">Fyll i gula cellerna. Skriv penningsummorna i helt tal. Observera förtecken och kommentarer i cellerna! Placera sista realiserade räkenskapsperioden eller innevarande räkenskapsperioden i kolumn G. </t>
        </r>
      </text>
    </comment>
    <comment ref="I10" authorId="1" shapeId="0" xr:uid="{3717C930-A700-4DAD-A411-0551CC191CFA}">
      <text>
        <r>
          <rPr>
            <sz val="10"/>
            <color indexed="81"/>
            <rFont val="Tahoma"/>
            <family val="2"/>
          </rPr>
          <t>Om räkenskapsperioden är annan än 12 månader ( 6 - 18 månader), förändra beloppen motsvarande. Observera följande perioden.</t>
        </r>
      </text>
    </comment>
    <comment ref="I11" authorId="2" shapeId="0" xr:uid="{71EAB1D0-EA8E-4CAD-A041-321840222607}">
      <text>
        <r>
          <rPr>
            <sz val="10"/>
            <color indexed="81"/>
            <rFont val="Tahoma"/>
            <family val="2"/>
          </rPr>
          <t>Omsättningarna för prognosåren fylls i tabell 6. E2, ifyllnadsordning skede 6.</t>
        </r>
      </text>
    </comment>
    <comment ref="C12" authorId="1" shapeId="0" xr:uid="{1A7A839E-8F6E-48E8-B1BE-7C998A9E81FD}">
      <text>
        <r>
          <rPr>
            <sz val="10"/>
            <color indexed="81"/>
            <rFont val="Tahoma"/>
            <family val="2"/>
          </rPr>
          <t>Övriga rörelseintäkter är bl.a. hyresintäkter, erhållna provisioner, ersättningar för administration, databehandling osv. ifall uthyrning eller nämnda tjänster inte utgör företagets egentliga verksamhetsområde.</t>
        </r>
      </text>
    </comment>
    <comment ref="E15" authorId="1" shapeId="0" xr:uid="{C3859B49-100C-4599-A581-08F1AD4FA08A}">
      <text>
        <r>
          <rPr>
            <sz val="10"/>
            <color indexed="81"/>
            <rFont val="Tahoma"/>
            <family val="2"/>
          </rPr>
          <t>Skriv företecken minus.</t>
        </r>
      </text>
    </comment>
    <comment ref="G15" authorId="1" shapeId="0" xr:uid="{D7ABF788-D364-45B8-A71D-1C8134A9EB06}">
      <text>
        <r>
          <rPr>
            <sz val="10"/>
            <color indexed="81"/>
            <rFont val="Tahoma"/>
            <family val="2"/>
          </rPr>
          <t>Skriv företecken minus.</t>
        </r>
      </text>
    </comment>
    <comment ref="C16" authorId="1" shapeId="0" xr:uid="{CD1C1C64-B03C-43F1-A580-5E80574897EB}">
      <text>
        <r>
          <rPr>
            <sz val="10"/>
            <color indexed="81"/>
            <rFont val="Tahoma"/>
            <family val="2"/>
          </rPr>
          <t>Köpta tjänster, vilka har inverkan till  omsättning. T.ex. anskaffningar från underleverantörer, hyror av arbetskraft för produktion.</t>
        </r>
      </text>
    </comment>
    <comment ref="E16" authorId="1" shapeId="0" xr:uid="{314059D6-4279-4AC5-BEF0-F2A760762922}">
      <text>
        <r>
          <rPr>
            <sz val="10"/>
            <color indexed="81"/>
            <rFont val="Tahoma"/>
            <family val="2"/>
          </rPr>
          <t>Skriv företecken minus.</t>
        </r>
      </text>
    </comment>
    <comment ref="G16" authorId="1" shapeId="0" xr:uid="{59BB3573-51BE-4233-B9FC-6BCE7311E220}">
      <text>
        <r>
          <rPr>
            <sz val="10"/>
            <color indexed="81"/>
            <rFont val="Tahoma"/>
            <family val="2"/>
          </rPr>
          <t>Skriv företecken minus.</t>
        </r>
      </text>
    </comment>
    <comment ref="E17" authorId="1" shapeId="0" xr:uid="{8E8D73EA-2A3E-4C9F-A0E7-FC079A50BD8B}">
      <text>
        <r>
          <rPr>
            <sz val="10"/>
            <color indexed="81"/>
            <rFont val="Tahoma"/>
            <family val="2"/>
          </rPr>
          <t>Skriv företecken minus.</t>
        </r>
      </text>
    </comment>
    <comment ref="G17" authorId="1" shapeId="0" xr:uid="{9AEC78D1-DDE5-4748-B7B4-25EA34CBB2F8}">
      <text>
        <r>
          <rPr>
            <sz val="10"/>
            <color indexed="81"/>
            <rFont val="Tahoma"/>
            <family val="2"/>
          </rPr>
          <t>Skriv företecken minus.</t>
        </r>
      </text>
    </comment>
    <comment ref="I17" authorId="1" shapeId="0" xr:uid="{B63F9583-4EFC-4DB2-9C78-0AAAD370D5EE}">
      <text>
        <r>
          <rPr>
            <sz val="10"/>
            <color indexed="81"/>
            <rFont val="Tahoma"/>
            <family val="2"/>
          </rPr>
          <t>Innehåller också bikostnader av semesterlöner.
I bokföring personalkostnaderna innehåller arbetstagarnas kalkylmässiga semesterlöner, varför cellens belopp är större än personalkostnaderna i tabell 5. E1 KOSTNADER.</t>
        </r>
      </text>
    </comment>
    <comment ref="E18" authorId="1" shapeId="0" xr:uid="{CFD71D8D-BA50-4074-8A2E-0F2CDBEDF2A0}">
      <text>
        <r>
          <rPr>
            <sz val="10"/>
            <color indexed="81"/>
            <rFont val="Tahoma"/>
            <family val="2"/>
          </rPr>
          <t>Skriv företecken minus.</t>
        </r>
      </text>
    </comment>
    <comment ref="G18" authorId="1" shapeId="0" xr:uid="{5F809762-B59E-4102-AF6E-9FD43396E4CE}">
      <text>
        <r>
          <rPr>
            <sz val="10"/>
            <color indexed="81"/>
            <rFont val="Tahoma"/>
            <family val="2"/>
          </rPr>
          <t>Skriv företecken minus.</t>
        </r>
      </text>
    </comment>
    <comment ref="E21" authorId="1" shapeId="0" xr:uid="{D5A08B2F-B9BC-407F-905C-4BEDA0892A50}">
      <text>
        <r>
          <rPr>
            <sz val="10"/>
            <color indexed="81"/>
            <rFont val="Tahoma"/>
            <family val="2"/>
          </rPr>
          <t>Skriv företecken minus.</t>
        </r>
      </text>
    </comment>
    <comment ref="G21" authorId="1" shapeId="0" xr:uid="{D3709E23-F982-4576-8468-9B19EADC28A8}">
      <text>
        <r>
          <rPr>
            <sz val="10"/>
            <color indexed="81"/>
            <rFont val="Tahoma"/>
            <family val="2"/>
          </rPr>
          <t>Skriv företecken minus.</t>
        </r>
      </text>
    </comment>
    <comment ref="C23" authorId="1" shapeId="0" xr:uid="{27F9ABBC-F560-41C6-92F9-BEB9DE78830F}">
      <text>
        <r>
          <rPr>
            <sz val="10"/>
            <color indexed="81"/>
            <rFont val="Tahoma"/>
            <family val="2"/>
          </rPr>
          <t>Till denna grupp hör följande poster från den officiella resultaträkningen: intäkter från andelar i samma koncern, intäkter från andelar i ägarintresseföretag och intäkter från övriga placeringar bland bestående aktiva.</t>
        </r>
      </text>
    </comment>
    <comment ref="E25" authorId="1" shapeId="0" xr:uid="{352A5ECC-298A-49E7-BE0D-DDBA0950D79E}">
      <text>
        <r>
          <rPr>
            <sz val="10"/>
            <color indexed="81"/>
            <rFont val="Tahoma"/>
            <family val="2"/>
          </rPr>
          <t>Skriv företecken minus.</t>
        </r>
      </text>
    </comment>
    <comment ref="G25" authorId="1" shapeId="0" xr:uid="{B379A8C2-01C7-40BC-96ED-AA5C4C600243}">
      <text>
        <r>
          <rPr>
            <sz val="10"/>
            <color indexed="81"/>
            <rFont val="Tahoma"/>
            <family val="2"/>
          </rPr>
          <t>Skriv företecken minus.</t>
        </r>
      </text>
    </comment>
    <comment ref="I28" authorId="1" shapeId="0" xr:uid="{3248CDC4-046A-40C9-BAF5-1394E3814090}">
      <text>
        <r>
          <rPr>
            <sz val="10"/>
            <color indexed="81"/>
            <rFont val="Tahoma"/>
            <family val="2"/>
          </rPr>
          <t xml:space="preserve">Skattesats 20 % för aktiebolag och andelslag. Om  nollställas, är punkt 20 TOTALRESULTAT = Den beskattningsbara inkomsten.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2" authorId="0" shapeId="0" xr:uid="{CA6E38D8-BFB5-45D1-A853-DF5891828723}">
      <text>
        <r>
          <rPr>
            <b/>
            <sz val="10"/>
            <color indexed="81"/>
            <rFont val="Tahoma"/>
            <family val="2"/>
          </rPr>
          <t xml:space="preserve">IFYLLNADSDIREKTIV 
</t>
        </r>
        <r>
          <rPr>
            <sz val="10"/>
            <color indexed="81"/>
            <rFont val="Tahoma"/>
            <family val="2"/>
          </rPr>
          <t>1. SKRIV PENNINGSUMMORNA I HELT TAL.
2. Första gången (skede 3) fyll i endast realiserade räkenskapsperioder.
3. Kontrollera speciellt procentar i cellen H86, H89 och H95!
4. Tillägg kortfristiga lån av penningväsenden i cellen H78 - K78.
5. I steg 8 kan du gå tillbaka till den här tabellen och redigera om det behövs</t>
        </r>
      </text>
    </comment>
    <comment ref="H15" authorId="1" shapeId="0" xr:uid="{FB4C07AC-B9E8-43B4-8D9E-DCD1B8DF4ACC}">
      <text>
        <r>
          <rPr>
            <sz val="10"/>
            <color indexed="81"/>
            <rFont val="Tahoma"/>
            <family val="2"/>
          </rPr>
          <t>Från tabell 1. T1 INVESTERINGSPLAN utan bidrag.</t>
        </r>
      </text>
    </comment>
    <comment ref="M15" authorId="1" shapeId="0" xr:uid="{2662FB1C-7065-4590-B777-137CDC4AD94F}">
      <text>
        <r>
          <rPr>
            <sz val="10"/>
            <color indexed="81"/>
            <rFont val="Tahoma"/>
            <family val="2"/>
          </rPr>
          <t>T.ex. Om investering kommer att införas i början av 3. månaden, finns det 10 bruksmånader.</t>
        </r>
      </text>
    </comment>
    <comment ref="H16" authorId="1" shapeId="0" xr:uid="{7F229457-FA5B-4F84-91FB-26A63DC8F5BE}">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17" authorId="1" shapeId="0" xr:uid="{C9AF751C-4C3B-4DF9-9AD5-5DF4C0102DEB}">
      <text>
        <r>
          <rPr>
            <b/>
            <sz val="10"/>
            <color indexed="81"/>
            <rFont val="Tahoma"/>
            <family val="2"/>
          </rPr>
          <t xml:space="preserve">Högsta avskrivningar:
- </t>
        </r>
        <r>
          <rPr>
            <sz val="10"/>
            <color indexed="81"/>
            <rFont val="Tahoma"/>
            <family val="2"/>
          </rPr>
          <t xml:space="preserve">Patent, affärsvärde, goodwill, varumärke o.d. 10-25 %
- grundförbättring av hyres- och aktiebostad 10-25 %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H17" authorId="1" shapeId="0" xr:uid="{DBFAD3AD-B28A-4171-AE69-45C0A5A1FA5F}">
      <text>
        <r>
          <rPr>
            <sz val="10"/>
            <color indexed="81"/>
            <rFont val="Tahoma"/>
            <family val="2"/>
          </rPr>
          <t>Investeringens avskrivning för investeringsåret kan kalkyleras noggrant enligt bruksmånader eller för hela året (12 månader).</t>
        </r>
      </text>
    </comment>
    <comment ref="M17" authorId="1" shapeId="0" xr:uid="{9704F68F-2A00-4F6C-9BC5-81E60B15F9D2}">
      <text>
        <r>
          <rPr>
            <sz val="10"/>
            <color indexed="81"/>
            <rFont val="Tahoma"/>
            <family val="2"/>
          </rPr>
          <t>Investeringens avskrivning för första året kan kalkyleras noggrant enligt bruksmånader eller för hela året (12 månader).</t>
        </r>
      </text>
    </comment>
    <comment ref="H20" authorId="1" shapeId="0" xr:uid="{55BBE881-E94C-4AEC-83CD-332AFBF53768}">
      <text>
        <r>
          <rPr>
            <sz val="10"/>
            <color indexed="81"/>
            <rFont val="Tahoma"/>
            <family val="2"/>
          </rPr>
          <t>Från tabell 1. T1 INVESTERINGSPLAN utan bidrag.</t>
        </r>
      </text>
    </comment>
    <comment ref="H21" authorId="1" shapeId="0" xr:uid="{20C13AEC-6ECF-4DDF-8F51-CCB1398E61D7}">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5. Ej mellangift i byteshandel! </t>
        </r>
      </text>
    </comment>
    <comment ref="H23" authorId="1" shapeId="0" xr:uid="{2B708677-D3F0-4B77-9526-F6BEE1B6F8A1}">
      <text>
        <r>
          <rPr>
            <sz val="10"/>
            <color indexed="81"/>
            <rFont val="Tahoma"/>
            <family val="2"/>
          </rPr>
          <t>Från tabell 1. T1 INVESTERINGSPLAN utan bidrag.</t>
        </r>
      </text>
    </comment>
    <comment ref="M23" authorId="1" shapeId="0" xr:uid="{BDF8FBAE-3094-47A0-8780-198183D3352D}">
      <text>
        <r>
          <rPr>
            <sz val="10"/>
            <color indexed="81"/>
            <rFont val="Tahoma"/>
            <family val="2"/>
          </rPr>
          <t>T.ex. Om investering kommer att införas i början av 3. månaden, finns det 10 bruksmånader.</t>
        </r>
      </text>
    </comment>
    <comment ref="H24" authorId="1" shapeId="0" xr:uid="{5C605FCE-BDF4-4547-B4ED-2AD73E0CA8E7}">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25" authorId="1" shapeId="0" xr:uid="{71984461-6ECF-4C89-A6AD-CAE88710B957}">
      <text>
        <r>
          <rPr>
            <b/>
            <sz val="10"/>
            <color indexed="81"/>
            <rFont val="Tahoma"/>
            <family val="2"/>
          </rPr>
          <t>Högsta avskrivningar</t>
        </r>
        <r>
          <rPr>
            <sz val="10"/>
            <color indexed="81"/>
            <rFont val="Tahoma"/>
            <family val="2"/>
          </rPr>
          <t xml:space="preserve">
- produktionsbyggnader, butiker 7 %
- bostads-, kontors- o.d. byggnader 4 %
- behållare, lätta konstruktioner 20 %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H25" authorId="1" shapeId="0" xr:uid="{0795804A-A3E5-413E-AECB-FED60E95AE70}">
      <text>
        <r>
          <rPr>
            <sz val="10"/>
            <color indexed="81"/>
            <rFont val="Tahoma"/>
            <family val="2"/>
          </rPr>
          <t>Investeringens avskrivning för investeringsåret kan kalkyleras noggrant enligt bruksmånader eller för hela året (12 månader).</t>
        </r>
      </text>
    </comment>
    <comment ref="M25" authorId="1" shapeId="0" xr:uid="{C4E2C997-B2E5-4B7D-A95F-E513CE992CC7}">
      <text>
        <r>
          <rPr>
            <sz val="10"/>
            <color indexed="81"/>
            <rFont val="Tahoma"/>
            <family val="2"/>
          </rPr>
          <t>Investeringens avskrivning för första året kan kalkyleras noggrant enligt bruksmånader eller för hela året (12 månader).</t>
        </r>
      </text>
    </comment>
    <comment ref="H27" authorId="1" shapeId="0" xr:uid="{D0674DD3-6739-4A30-B90E-24A35C1C9468}">
      <text>
        <r>
          <rPr>
            <sz val="10"/>
            <color indexed="81"/>
            <rFont val="Tahoma"/>
            <family val="2"/>
          </rPr>
          <t>Från tabell 1. T1 INVESTERINGSPLAN punkter 4 och 5 utan bidrag, Moms-återbäring och leasingfinansiering.</t>
        </r>
      </text>
    </comment>
    <comment ref="M27" authorId="1" shapeId="0" xr:uid="{3A6DA0A5-D1C5-4AF8-BF64-130180C114A0}">
      <text>
        <r>
          <rPr>
            <sz val="10"/>
            <color indexed="81"/>
            <rFont val="Tahoma"/>
            <family val="2"/>
          </rPr>
          <t>T.ex. Om investering kommer att införas i början av 3. månaden, finns det 10 bruksmånader.</t>
        </r>
      </text>
    </comment>
    <comment ref="H28" authorId="1" shapeId="0" xr:uid="{D2CD9276-EC27-4B33-8E88-54A77B9FC43A}">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29" authorId="1" shapeId="0" xr:uid="{9A50CCCC-29C4-427F-88A6-0593901FDDF1}">
      <text>
        <r>
          <rPr>
            <b/>
            <sz val="10"/>
            <color indexed="81"/>
            <rFont val="Tahoma"/>
            <family val="2"/>
          </rPr>
          <t xml:space="preserve">Högsta avskrivningar </t>
        </r>
        <r>
          <rPr>
            <sz val="10"/>
            <color indexed="81"/>
            <rFont val="Tahoma"/>
            <family val="2"/>
          </rPr>
          <t xml:space="preserve">
- Maskiner och anläggningar 25 % (50 % amortering av nya 
  investeringar i åren 2020-2023). Gäller endast nya 
  investeringar, så beräkna genomsnittlig avskrivningsprocent. 
- undantag fordon i yrkestrafik
Du kan använda </t>
        </r>
        <r>
          <rPr>
            <b/>
            <sz val="10"/>
            <color indexed="81"/>
            <rFont val="Tahoma"/>
            <family val="2"/>
          </rPr>
          <t xml:space="preserve">linjär avskrivning </t>
        </r>
        <r>
          <rPr>
            <sz val="10"/>
            <color indexed="81"/>
            <rFont val="Tahoma"/>
            <family val="2"/>
          </rPr>
          <t xml:space="preserve">när du skriver den årliga avskrivningsprocenten till noll och anger siffran direkt i cellen på höger. </t>
        </r>
      </text>
    </comment>
    <comment ref="H29" authorId="1" shapeId="0" xr:uid="{754313B8-644B-46E0-84D1-6ABE12245FE2}">
      <text>
        <r>
          <rPr>
            <sz val="10"/>
            <color indexed="81"/>
            <rFont val="Tahoma"/>
            <family val="2"/>
          </rPr>
          <t>Investeringens avskrivning för investeringsåret kan kalkyleras noggrant enligt bruksmånader eller för hela året (12 månader).</t>
        </r>
      </text>
    </comment>
    <comment ref="M29" authorId="1" shapeId="0" xr:uid="{AEAB2CD5-C841-4FDC-AA6B-F9AB3FBF5DFF}">
      <text>
        <r>
          <rPr>
            <sz val="10"/>
            <color indexed="81"/>
            <rFont val="Tahoma"/>
            <family val="2"/>
          </rPr>
          <t>Investeringens avskrivning för första året kan kalkyleras noggrant enligt bruksmånader eller för hela året (12 månader).</t>
        </r>
      </text>
    </comment>
    <comment ref="H31" authorId="1" shapeId="0" xr:uid="{8E7B0A7C-EE4D-423A-9D6A-6EC90E69DAB8}">
      <text>
        <r>
          <rPr>
            <sz val="10"/>
            <color indexed="81"/>
            <rFont val="Tahoma"/>
            <family val="2"/>
          </rPr>
          <t>Från tabell 1. T1 INVESTERINGSPLAN utan bidrag.</t>
        </r>
      </text>
    </comment>
    <comment ref="M31" authorId="1" shapeId="0" xr:uid="{B4A3AB59-0835-44EB-BC38-CFE799028468}">
      <text>
        <r>
          <rPr>
            <sz val="10"/>
            <color indexed="81"/>
            <rFont val="Tahoma"/>
            <family val="2"/>
          </rPr>
          <t>T.ex. Om investering kommer att införas i början av 3. månaden, finns det 10 bruksmånader.</t>
        </r>
      </text>
    </comment>
    <comment ref="H32" authorId="1" shapeId="0" xr:uid="{3FB2715C-FA36-4600-B630-FC30FDF24452}">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33" authorId="1" shapeId="0" xr:uid="{ADB58D5F-4487-46B2-A589-589C9D480646}">
      <text>
        <r>
          <rPr>
            <b/>
            <sz val="10"/>
            <color indexed="81"/>
            <rFont val="Tahoma"/>
            <family val="2"/>
          </rPr>
          <t>Högsta avskrivningar</t>
        </r>
        <r>
          <rPr>
            <sz val="10"/>
            <color indexed="81"/>
            <rFont val="Tahoma"/>
            <family val="2"/>
          </rPr>
          <t xml:space="preserve">
- asfaltbeläggning </t>
        </r>
        <r>
          <rPr>
            <b/>
            <sz val="10"/>
            <color indexed="81"/>
            <rFont val="Tahoma"/>
            <family val="2"/>
          </rPr>
          <t>av egen tomt</t>
        </r>
        <r>
          <rPr>
            <sz val="10"/>
            <color indexed="81"/>
            <rFont val="Tahoma"/>
            <family val="2"/>
          </rPr>
          <t xml:space="preserve"> 10 - 25 %
- grustag, torvmosse o.d. enligt förbrukning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 </t>
        </r>
      </text>
    </comment>
    <comment ref="H33" authorId="1" shapeId="0" xr:uid="{B124C88F-218B-46B1-A9A2-01F36C37A23E}">
      <text>
        <r>
          <rPr>
            <sz val="10"/>
            <color indexed="81"/>
            <rFont val="Tahoma"/>
            <family val="2"/>
          </rPr>
          <t>Investeringens avskrivning för investeringsåret kan kalkyleras noggrant enligt bruksmånader eller för hela året (12 månader).</t>
        </r>
      </text>
    </comment>
    <comment ref="M33" authorId="1" shapeId="0" xr:uid="{3397FF97-E812-43AB-945E-8E193C6AE95C}">
      <text>
        <r>
          <rPr>
            <sz val="10"/>
            <color indexed="81"/>
            <rFont val="Tahoma"/>
            <family val="2"/>
          </rPr>
          <t>Investeringens avskrivning för första året kan kalkyleras noggrant enligt bruksmånader eller för hela året (12 månader).</t>
        </r>
      </text>
    </comment>
    <comment ref="H35" authorId="1" shapeId="0" xr:uid="{B7076999-9DFE-4756-B60D-5430BEF62123}">
      <text>
        <r>
          <rPr>
            <sz val="10"/>
            <color indexed="81"/>
            <rFont val="Tahoma"/>
            <family val="2"/>
          </rPr>
          <t>Siffran förflyttas från 1. T1 INVSETERINGSPLAN punkt 8. Placeringar. Kan förändras.</t>
        </r>
      </text>
    </comment>
    <comment ref="H36" authorId="1" shapeId="0" xr:uid="{1A076B1D-761B-47A7-9AC1-A199366366FF}">
      <text>
        <r>
          <rPr>
            <sz val="10"/>
            <color indexed="81"/>
            <rFont val="Tahoma"/>
            <family val="2"/>
          </rPr>
          <t>Om placeringar avdrags, skriv beloppet här.</t>
        </r>
      </text>
    </comment>
    <comment ref="F40" authorId="1" shapeId="0" xr:uid="{E0533BA8-532E-4027-9A3C-D33ED4A94DB8}">
      <text>
        <r>
          <rPr>
            <sz val="10"/>
            <color indexed="81"/>
            <rFont val="Tahoma"/>
            <family val="2"/>
          </rPr>
          <t xml:space="preserve">Siffran förflyttar från tabell 
8. T4 FINANSIERINGSBUDGET rad 50. </t>
        </r>
      </text>
    </comment>
    <comment ref="G40" authorId="1" shapeId="0" xr:uid="{343A2A21-EF3A-435E-BC02-BDCA0D2B6A0C}">
      <text>
        <r>
          <rPr>
            <sz val="10"/>
            <color indexed="81"/>
            <rFont val="Tahoma"/>
            <family val="2"/>
          </rPr>
          <t xml:space="preserve">Siffran förflyttar från tabell 
8. T4 FINANSIERINGSBUDGET rad 50. </t>
        </r>
      </text>
    </comment>
    <comment ref="H40" authorId="1" shapeId="0" xr:uid="{72381C53-7D8F-47D0-BB3D-913471FBA4E1}">
      <text>
        <r>
          <rPr>
            <sz val="10"/>
            <color indexed="81"/>
            <rFont val="Tahoma"/>
            <family val="2"/>
          </rPr>
          <t xml:space="preserve">Siffran förflyttar från tabell 
8. T4 FINANSIERINGSBUDGET rad 50. </t>
        </r>
      </text>
    </comment>
    <comment ref="C43" authorId="1" shapeId="0" xr:uid="{B72D9497-C5B5-4AF1-B47A-7C019E1BCE8E}">
      <text>
        <r>
          <rPr>
            <sz val="10"/>
            <color indexed="81"/>
            <rFont val="Tahoma"/>
            <family val="2"/>
          </rPr>
          <t xml:space="preserve">Siffran berättar, hur snabbt kunden betalar din faktura.
</t>
        </r>
        <r>
          <rPr>
            <b/>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H43" authorId="1" shapeId="0" xr:uid="{581E5BD1-8FE9-4A78-828F-DD391612B1E7}">
      <text>
        <r>
          <rPr>
            <sz val="10"/>
            <color indexed="81"/>
            <rFont val="Tahoma"/>
            <family val="2"/>
          </rPr>
          <t>Siffran förflyttar från tabell 8. T4 FINANSIERINGS-BUDGET, celler H52 - K52.</t>
        </r>
      </text>
    </comment>
    <comment ref="H45" authorId="1" shapeId="0" xr:uid="{8DFDE53F-3024-416E-9647-1153C76346E5}">
      <text>
        <r>
          <rPr>
            <sz val="10"/>
            <color indexed="81"/>
            <rFont val="Tahoma"/>
            <family val="2"/>
          </rPr>
          <t>Siffran förflyttar från tabell 
8. T4 FINANSIERINGSBUDGET rad 55.</t>
        </r>
      </text>
    </comment>
    <comment ref="F46" authorId="1" shapeId="0" xr:uid="{45A7DD0A-AAFB-4719-9032-64FFB5CD51C8}">
      <text>
        <r>
          <rPr>
            <sz val="10"/>
            <color indexed="81"/>
            <rFont val="Tahoma"/>
            <family val="2"/>
          </rPr>
          <t>- skatteåterbäring
- Moms-fordringar från förra perioden
- säkerhetsdeposition
- hyresdeposition 
- NTM-centralens bidrag förflutits från 
  förra perioden eller något annat bidrag
  än investeringsbidrag</t>
        </r>
      </text>
    </comment>
    <comment ref="G46" authorId="1" shapeId="0" xr:uid="{B8E2CFB0-325F-4E13-82BF-FEE582D0AEEC}">
      <text>
        <r>
          <rPr>
            <sz val="10"/>
            <color indexed="81"/>
            <rFont val="Tahoma"/>
            <family val="2"/>
          </rPr>
          <t>- skatteåterbäring
- Moms-fordringar från förra perioden
- säkerhetsdeposition
- hyresdeposition 
- NTM-centralens bidrag förflutits från 
  förra perioden eller något annat bidrag
  än investeringsbidrag</t>
        </r>
      </text>
    </comment>
    <comment ref="F47" authorId="1" shapeId="0" xr:uid="{942EF8A1-26B4-47F3-B8F1-7F17B1CD52F8}">
      <text>
        <r>
          <rPr>
            <sz val="10"/>
            <color indexed="81"/>
            <rFont val="Tahoma"/>
            <family val="2"/>
          </rPr>
          <t>I förskott betalda försäkringsavgifter
o.d. utgiftsförskott.</t>
        </r>
      </text>
    </comment>
    <comment ref="G47" authorId="1" shapeId="0" xr:uid="{6225BE0E-1A4B-4AC3-B072-DF67560E3D2D}">
      <text>
        <r>
          <rPr>
            <sz val="10"/>
            <color indexed="81"/>
            <rFont val="Tahoma"/>
            <family val="2"/>
          </rPr>
          <t>I förskott betalda försäkringsavgifter
o.d. utgiftsförskott.</t>
        </r>
      </text>
    </comment>
    <comment ref="H49" authorId="1" shapeId="0" xr:uid="{1586A2FB-2646-4827-99A0-E0F4DA9EC9A0}">
      <text>
        <r>
          <rPr>
            <b/>
            <sz val="10"/>
            <color indexed="8"/>
            <rFont val="Tahoma"/>
            <family val="2"/>
          </rPr>
          <t>Slutligen kontrollera, att cellerna H49 - K49 är lika stora än cellerna H43 - K43 i 
8. T4 FINANSIERINGSPLAN.</t>
        </r>
      </text>
    </comment>
    <comment ref="F57" authorId="1" shapeId="0" xr:uid="{6155A731-22D6-491F-808A-8F64ADB384E5}">
      <text>
        <r>
          <rPr>
            <sz val="10"/>
            <color indexed="81"/>
            <rFont val="Tahoma"/>
            <family val="2"/>
          </rPr>
          <t>Skriv penningsummorna i helt tal. Vid företagsformer enskild näringsidkare, öppet och kommanditbolag siffran kan innehålla privata uttag och siffran kan vara negativ.</t>
        </r>
      </text>
    </comment>
    <comment ref="G57" authorId="1" shapeId="0" xr:uid="{77821E8B-D941-4BBA-923D-3BE158063315}">
      <text>
        <r>
          <rPr>
            <sz val="10"/>
            <color indexed="81"/>
            <rFont val="Tahoma"/>
            <family val="2"/>
          </rPr>
          <t>Skriv penningsummorna i helt tal. Vid företagsformer enskild näringsidkare, öppet och kommanditbolag siffran kan innehålla privata uttag och siffran kan vara negativ.</t>
        </r>
      </text>
    </comment>
    <comment ref="H57" authorId="1" shapeId="0" xr:uid="{52D2925B-C63E-4E6B-B965-C64E14A988F7}">
      <text>
        <r>
          <rPr>
            <sz val="10"/>
            <color indexed="81"/>
            <rFont val="Tahoma"/>
            <family val="2"/>
          </rPr>
          <t>Siffran innehåller också kapitallånets ackord.</t>
        </r>
      </text>
    </comment>
    <comment ref="F59" authorId="1" shapeId="0" xr:uid="{C393635E-0020-4127-B311-B31AE990BE31}">
      <text>
        <r>
          <rPr>
            <sz val="10"/>
            <color indexed="81"/>
            <rFont val="Tahoma"/>
            <family val="2"/>
          </rPr>
          <t xml:space="preserve">Om privata uttag inte har dragits av C.1 eller C.2, kan de dras av från kapitlet "C.2 Vinster av föregående räkenskapsperioder". </t>
        </r>
      </text>
    </comment>
    <comment ref="G59" authorId="1" shapeId="0" xr:uid="{D43E0411-7B67-4DEC-81BC-F92A5267D0ED}">
      <text>
        <r>
          <rPr>
            <sz val="10"/>
            <color indexed="81"/>
            <rFont val="Tahoma"/>
            <family val="2"/>
          </rPr>
          <t xml:space="preserve">Om privata uttag inte har dragits av C.1 eller C.2, kan de dras av från kapitlet "C.2 Vinster av föregående räkenskapsperioder". </t>
        </r>
      </text>
    </comment>
    <comment ref="H59" authorId="1" shapeId="0" xr:uid="{8F05D7AC-A24A-4FF9-8A62-5BA301F9CA64}">
      <text>
        <r>
          <rPr>
            <sz val="10"/>
            <color indexed="81"/>
            <rFont val="Tahoma"/>
            <family val="2"/>
          </rPr>
          <t xml:space="preserve">Siffran flyttas från tabell 9. T4 FINANSIERINGSB., cellerna H39 - K39. Siffran kan ändras i tabell 8. T4 FINANSIRINGB. Siffran kan förändras i samma punkt. </t>
        </r>
        <r>
          <rPr>
            <b/>
            <sz val="10"/>
            <color indexed="81"/>
            <rFont val="Tahoma"/>
            <family val="2"/>
          </rPr>
          <t>Dividendbetalning möjlig</t>
        </r>
        <r>
          <rPr>
            <sz val="10"/>
            <color indexed="81"/>
            <rFont val="Tahoma"/>
            <family val="2"/>
          </rPr>
          <t xml:space="preserve"> inom vinstfonder (C.2 Vinster från tidigare räkenskapsperioder + C.4 Vinst/förlust för räkenskapsperioden)</t>
        </r>
      </text>
    </comment>
    <comment ref="F61" authorId="1" shapeId="0" xr:uid="{EC331072-5E17-4D7A-9C26-2134E0092A8A}">
      <text>
        <r>
          <rPr>
            <sz val="10"/>
            <color indexed="81"/>
            <rFont val="Tahoma"/>
            <family val="2"/>
          </rPr>
          <t xml:space="preserve">I aktiebolaget kan placeras pengar i SVOP-fonden. Inbetalt fritt eget kapital (s.k. SVOP-fond) kan jämföras till aktiekapital. </t>
        </r>
      </text>
    </comment>
    <comment ref="G61" authorId="1" shapeId="0" xr:uid="{99E0D81D-D595-4FA6-A732-89603D15CF81}">
      <text>
        <r>
          <rPr>
            <sz val="10"/>
            <color indexed="81"/>
            <rFont val="Tahoma"/>
            <family val="2"/>
          </rPr>
          <t xml:space="preserve">I aktiebolaget kan placeras pengar i SVOP-fonden. Inbetalt fritt eget kapital (s.k. SVOP-fond) kan jämföras till aktiekapital. </t>
        </r>
      </text>
    </comment>
    <comment ref="H61" authorId="1" shapeId="0" xr:uid="{CC036C1B-86B6-4088-A427-3B0C36D4D6D4}">
      <text>
        <r>
          <rPr>
            <sz val="10"/>
            <color indexed="81"/>
            <rFont val="Tahoma"/>
            <family val="2"/>
          </rPr>
          <t xml:space="preserve">Ökning i SVOP-fonden förflyttar sig från tabell 1. T1 INVESTERINGSPLAN, punkt 12. Återbetalning från SVOP-fonden, minska siffran i cellen.
</t>
        </r>
        <r>
          <rPr>
            <b/>
            <sz val="10"/>
            <color indexed="81"/>
            <rFont val="Tahoma"/>
            <family val="2"/>
          </rPr>
          <t>SVOP-avkastning möjlig</t>
        </r>
        <r>
          <rPr>
            <sz val="10"/>
            <color indexed="81"/>
            <rFont val="Tahoma"/>
            <family val="2"/>
          </rPr>
          <t xml:space="preserve"> inom vinstfonder (C.2 Vinster från tidigare räkenskapsperioder+ C.4 Vinst/förlust för räkenskapsperioden)</t>
        </r>
      </text>
    </comment>
    <comment ref="H63" authorId="1" shapeId="0" xr:uid="{92B6A73D-D5A4-4298-92E4-53B5B0C71A3B}">
      <text>
        <r>
          <rPr>
            <sz val="10"/>
            <color indexed="81"/>
            <rFont val="Tahoma"/>
            <family val="2"/>
          </rPr>
          <t>Korrigerar summan av avskrivningsdifferens efter punkt 8. i tabell 2. T2 RESULTATSBUDGET.</t>
        </r>
      </text>
    </comment>
    <comment ref="F64" authorId="1" shapeId="0" xr:uid="{7F1ED0B0-0882-438E-8BD9-57F41C1B707D}">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G64" authorId="1" shapeId="0" xr:uid="{1FC49D6C-280D-4A8E-A4CB-B49FFA72B386}">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H65" authorId="1" shapeId="0" xr:uid="{BE90E8A3-7080-4CF3-8CF4-7536A4661CF8}">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F66" authorId="1" shapeId="0" xr:uid="{9189B300-A99F-432A-A7B6-4C49F86AE76E}">
      <text>
        <r>
          <rPr>
            <sz val="10"/>
            <color indexed="81"/>
            <rFont val="Tahoma"/>
            <family val="2"/>
          </rPr>
          <t>Möjlig kreditförlust, som inte har realiserad.</t>
        </r>
      </text>
    </comment>
    <comment ref="G66" authorId="1" shapeId="0" xr:uid="{417B284D-653A-4080-8668-C1FB6D742BF8}">
      <text>
        <r>
          <rPr>
            <sz val="10"/>
            <color indexed="81"/>
            <rFont val="Tahoma"/>
            <family val="2"/>
          </rPr>
          <t>Möjlig kreditförlust, som inte har realiserad.</t>
        </r>
      </text>
    </comment>
    <comment ref="F67" authorId="1" shapeId="0" xr:uid="{E63FF52F-9388-4117-8585-4B73DFB2B9EF}">
      <text>
        <r>
          <rPr>
            <sz val="10"/>
            <color indexed="81"/>
            <rFont val="Tahoma"/>
            <family val="2"/>
          </rPr>
          <t>Skuld eller en del av skuld, vars återbetalningstid är över ett år.</t>
        </r>
      </text>
    </comment>
    <comment ref="G67" authorId="1" shapeId="0" xr:uid="{1EBB09F3-E71B-4DF5-B135-614993B37932}">
      <text>
        <r>
          <rPr>
            <sz val="10"/>
            <color indexed="81"/>
            <rFont val="Tahoma"/>
            <family val="2"/>
          </rPr>
          <t>Skuld eller en del av skuld, vars återbetalningstid är över ett år.</t>
        </r>
      </text>
    </comment>
    <comment ref="F68" authorId="1" shapeId="0" xr:uid="{1B19347F-CEED-4362-9B3A-F1F4A3366F89}">
      <text>
        <r>
          <rPr>
            <sz val="10"/>
            <color indexed="81"/>
            <rFont val="Tahoma"/>
            <family val="2"/>
          </rPr>
          <t>Innehåller också pensions lån och  skuldebrevlån av ägarna, men utan följande årets amorteringar!</t>
        </r>
      </text>
    </comment>
    <comment ref="G68" authorId="1" shapeId="0" xr:uid="{D4185E8F-4471-48B9-9EF8-776EDCA410F6}">
      <text>
        <r>
          <rPr>
            <sz val="10"/>
            <color indexed="81"/>
            <rFont val="Tahoma"/>
            <family val="2"/>
          </rPr>
          <t>Innehåller också pensions lån och  skuldebrevlån av ägarna, men utan följande årets amorteringar!</t>
        </r>
      </text>
    </comment>
    <comment ref="H69" authorId="1" shapeId="0" xr:uid="{9942133D-1D1D-4280-B84F-5CB74B10E3FA}">
      <text>
        <r>
          <rPr>
            <sz val="10"/>
            <color indexed="81"/>
            <rFont val="Tahoma"/>
            <family val="2"/>
          </rPr>
          <t>Tillägger kapitallånets okning från tabell 
1. T1 INVESTERINGSP. punkt 14. Kvarstående lånekapital i slutet av räkenskapsperioden. Överföras till tabellen 4. T7 LÅN och 8. T4 FINANSIERINGSB.</t>
        </r>
      </text>
    </comment>
    <comment ref="H70" authorId="1" shapeId="0" xr:uid="{A905079E-0B7A-475B-92B5-DEDCD6D5358B}">
      <text>
        <r>
          <rPr>
            <sz val="10"/>
            <color indexed="81"/>
            <rFont val="Tahoma"/>
            <family val="2"/>
          </rPr>
          <t>Betyder kapitallånets konvertering till aktiekapital (ackord). Drag av beloppet av kapitallånets saldo.</t>
        </r>
      </text>
    </comment>
    <comment ref="F72" authorId="1" shapeId="0" xr:uid="{C780A347-CF41-49C8-93B8-DFF9128F062E}">
      <text>
        <r>
          <rPr>
            <sz val="10"/>
            <color indexed="81"/>
            <rFont val="Tahoma"/>
            <family val="2"/>
          </rPr>
          <t xml:space="preserve">Saldo av långfristig leverantörsskuld som ska betalas efter ett år. </t>
        </r>
      </text>
    </comment>
    <comment ref="G72" authorId="1" shapeId="0" xr:uid="{937D8915-E783-4031-9E1F-54CBEAB81CC2}">
      <text>
        <r>
          <rPr>
            <sz val="10"/>
            <color indexed="81"/>
            <rFont val="Tahoma"/>
            <family val="2"/>
          </rPr>
          <t xml:space="preserve">Saldo av långfristig leverantörsskuld som ska betalas efter ett år. </t>
        </r>
      </text>
    </comment>
    <comment ref="F73" authorId="1" shapeId="0" xr:uid="{5421AD1A-CD41-4AF8-8903-77976A7ECE30}">
      <text>
        <r>
          <rPr>
            <sz val="10"/>
            <color indexed="81"/>
            <rFont val="Tahoma"/>
            <family val="2"/>
          </rPr>
          <t>Siffran utan följande årets amorteringar av nuvarande avbetalningsskulder.</t>
        </r>
      </text>
    </comment>
    <comment ref="G73" authorId="1" shapeId="0" xr:uid="{32E01AD3-A179-4E43-A51D-074F6A52F286}">
      <text>
        <r>
          <rPr>
            <sz val="10"/>
            <color indexed="81"/>
            <rFont val="Tahoma"/>
            <family val="2"/>
          </rPr>
          <t>Siffran utan följande årets amorteringar av nuvarande avbetalningsskulder.</t>
        </r>
      </text>
    </comment>
    <comment ref="F74" authorId="1" shapeId="0" xr:uid="{B5FC2154-A6AF-4B43-B93D-7228DA83729F}">
      <text>
        <r>
          <rPr>
            <sz val="10"/>
            <color indexed="81"/>
            <rFont val="Tahoma"/>
            <family val="2"/>
          </rPr>
          <t>Kvarstående lånekapital i slutet av räkenskapsperioden. Utan skuldebrev erhållna skulden till anställda, ägare och övriga privata personer skrivs här. Skuldebrevlån skrivas i tabell 
4. T7 LÅN, punkt "Nuvarande långfristiga lån".</t>
        </r>
      </text>
    </comment>
    <comment ref="G74" authorId="1" shapeId="0" xr:uid="{E0DC7709-593D-4E00-A952-0BF14ED22A5E}">
      <text>
        <r>
          <rPr>
            <sz val="10"/>
            <color indexed="81"/>
            <rFont val="Tahoma"/>
            <family val="2"/>
          </rPr>
          <t>Kvarstående lånekapital i slutet av räkenskapsperioden. Utan skuldebrev erhållna skulden till anställda, ägare och övriga privata personer skrivs här. Skuldebrevlån skrivas i tabell 
4. T7 LÅN, punkt "Nuvarande långfristiga lån".</t>
        </r>
      </text>
    </comment>
    <comment ref="H74" authorId="1" shapeId="0" xr:uid="{96920F67-EF41-480A-BC52-DEF7FFFD11A4}">
      <text>
        <r>
          <rPr>
            <sz val="10"/>
            <color indexed="81"/>
            <rFont val="Tahoma"/>
            <family val="2"/>
          </rPr>
          <t>Kvarstående lånekapital i slutet av räkenskapsperioden överföras till tabell 4. T7 LÅN. Utan skuldebrev erhållna skulden till anställda, ägare och övriga privata personer skrivs här. Skuldebrevlån skrivas i tabell 4. T7 LÅN, punkt "Nuvarande långfristiga lån".</t>
        </r>
      </text>
    </comment>
    <comment ref="F77" authorId="1" shapeId="0" xr:uid="{6801FE08-A0BB-46F9-A64D-C31806754EE0}">
      <text>
        <r>
          <rPr>
            <sz val="10"/>
            <color indexed="81"/>
            <rFont val="Tahoma"/>
            <family val="2"/>
          </rPr>
          <t xml:space="preserve">Följande årets amorteringar av nuvarande långfristiga lån. </t>
        </r>
      </text>
    </comment>
    <comment ref="G77" authorId="1" shapeId="0" xr:uid="{11E3158F-D25A-4994-BC32-972F8EDCFB83}">
      <text>
        <r>
          <rPr>
            <sz val="10"/>
            <color indexed="81"/>
            <rFont val="Tahoma"/>
            <family val="2"/>
          </rPr>
          <t xml:space="preserve">Följande årets amorteringar av nuvarande långfristiga lån. </t>
        </r>
      </text>
    </comment>
    <comment ref="H77" authorId="1" shapeId="0" xr:uid="{4EE3160B-2E95-4726-A1AC-3EB2191C0900}">
      <text>
        <r>
          <rPr>
            <b/>
            <sz val="10"/>
            <color indexed="81"/>
            <rFont val="Tahoma"/>
            <family val="2"/>
          </rPr>
          <t>Observera! Om avskrivningarna är mindre än låneamorteringarna, betalar företaget skatt av låneamorteringar!</t>
        </r>
      </text>
    </comment>
    <comment ref="F78" authorId="1" shapeId="0" xr:uid="{1E9D9A8B-5636-468F-BA24-E2551995FC86}">
      <text>
        <r>
          <rPr>
            <sz val="10"/>
            <color indexed="81"/>
            <rFont val="Tahoma"/>
            <family val="2"/>
          </rPr>
          <t>Saldo på kortfristiga lån vid räkenskapsårets slut
(ej amorteringar för långfristiga lån). Kapitalförändringar kommer att överföras till 
8. T4 FINANSIERINGSPLAN.</t>
        </r>
      </text>
    </comment>
    <comment ref="G78" authorId="1" shapeId="0" xr:uid="{E7774D9A-E6B6-467A-A1F6-D16B12D22C85}">
      <text>
        <r>
          <rPr>
            <sz val="10"/>
            <color indexed="81"/>
            <rFont val="Tahoma"/>
            <family val="2"/>
          </rPr>
          <t>Saldo på kortfristiga lån vid räkenskapsårets slut
(ej amorteringar för långfristiga lån). Kapitalförändringar kommer att överföras till 
8. T4 FINANSIERINGSPLAN.</t>
        </r>
      </text>
    </comment>
    <comment ref="H78" authorId="1" shapeId="0" xr:uid="{0B181D52-C9EB-41E9-860B-3700F3E4F9DB}">
      <text>
        <r>
          <rPr>
            <sz val="10"/>
            <color indexed="81"/>
            <rFont val="Tahoma"/>
            <family val="2"/>
          </rPr>
          <t>Saldo på kortfristiga lån vid räkenskapsårets slut
(ej amorteringar för långfristiga lån). Kapitalförändringar kommer att överföras till 8. T4 FINANSIERINGSPLAN och till 4. T7 LÅN, rad 49.</t>
        </r>
      </text>
    </comment>
    <comment ref="H79" authorId="1" shapeId="0" xr:uid="{7B095D37-40A3-4AA3-9BB2-31C380738795}">
      <text>
        <r>
          <rPr>
            <sz val="10"/>
            <color indexed="81"/>
            <rFont val="Tahoma"/>
            <family val="2"/>
          </rPr>
          <t>Kapitallånets kvarstående belopp skrivs direkt i cellen. Räntan tilläggas i tabell 4. T7 LÅN rad 50.</t>
        </r>
      </text>
    </comment>
    <comment ref="F82" authorId="1" shapeId="0" xr:uid="{E3F438B5-F1FA-420C-AFB9-A6356B4BF818}">
      <text>
        <r>
          <rPr>
            <sz val="10"/>
            <color indexed="81"/>
            <rFont val="Tahoma"/>
            <family val="2"/>
          </rPr>
          <t>Siffran förflyttas från tabell 
8. T4 FINANSIERINGBUDGET rad 52.</t>
        </r>
      </text>
    </comment>
    <comment ref="G82" authorId="1" shapeId="0" xr:uid="{874FC9A9-8112-4CF6-9489-713B89CCC102}">
      <text>
        <r>
          <rPr>
            <sz val="10"/>
            <color indexed="81"/>
            <rFont val="Tahoma"/>
            <family val="2"/>
          </rPr>
          <t>Siffran förflyttas från tabell 
8. T4 FINANSIERINGBUDGET rad 52.</t>
        </r>
      </text>
    </comment>
    <comment ref="F83" authorId="1" shapeId="0" xr:uid="{78EE3534-B7DB-4E43-9B71-E6E87D49ABC2}">
      <text>
        <r>
          <rPr>
            <sz val="10"/>
            <color indexed="81"/>
            <rFont val="Tahoma"/>
            <family val="2"/>
          </rPr>
          <t>Nästa årets amorteringar av nuvarande avbetalningsskulder.</t>
        </r>
      </text>
    </comment>
    <comment ref="G83" authorId="1" shapeId="0" xr:uid="{ABA1011C-E558-498F-B051-AA9E9F5D9641}">
      <text>
        <r>
          <rPr>
            <sz val="10"/>
            <color indexed="81"/>
            <rFont val="Tahoma"/>
            <family val="2"/>
          </rPr>
          <t>Nästa årets amorteringar av nuvarande avbetalningsskulder.</t>
        </r>
      </text>
    </comment>
    <comment ref="F85" authorId="1" shapeId="0" xr:uid="{6E7B2E81-AFC5-46C9-BA11-6ECD11A88D38}">
      <text>
        <r>
          <rPr>
            <sz val="10"/>
            <color indexed="81"/>
            <rFont val="Tahoma"/>
            <family val="2"/>
          </rPr>
          <t xml:space="preserve">Om löner har betalats under bokslutmånaden, finns det förskottinne-hållningsskuld kvar. </t>
        </r>
        <r>
          <rPr>
            <b/>
            <sz val="10"/>
            <color indexed="81"/>
            <rFont val="Tahoma"/>
            <family val="2"/>
          </rPr>
          <t>Siffran ska finnas i den här cellen. Denna punkt specificeras inte alltid i bokslutet utan siffran ingår i "övriga kortfristiga skulder" eller "5. Resultatreglerings-skulder".</t>
        </r>
      </text>
    </comment>
    <comment ref="G85" authorId="1" shapeId="0" xr:uid="{80C40099-EEB6-4BE9-837E-CD2794F17B07}">
      <text>
        <r>
          <rPr>
            <sz val="10"/>
            <color indexed="81"/>
            <rFont val="Tahoma"/>
            <family val="2"/>
          </rPr>
          <t xml:space="preserve">Om löner har betalats under bokslutmånaden, finns det förskottinne-hållningsskuld kvar. </t>
        </r>
        <r>
          <rPr>
            <b/>
            <sz val="10"/>
            <color indexed="81"/>
            <rFont val="Tahoma"/>
            <family val="2"/>
          </rPr>
          <t>Siffran ska finnas i den här cellen. Denna punkt specificeras inte alltid i bokslutet utan siffran ingår i "övriga kortfristiga skulder" eller "5. Resultatreglerings-skulder".</t>
        </r>
      </text>
    </comment>
    <comment ref="H85" authorId="1" shapeId="0" xr:uid="{D9A34E5B-1831-4812-856B-255EA249DDCF}">
      <text>
        <r>
          <rPr>
            <sz val="10"/>
            <color indexed="81"/>
            <rFont val="Tahoma"/>
            <family val="2"/>
          </rPr>
          <t>Siffran innehåller endast förskottsinnehållningsskulden.</t>
        </r>
      </text>
    </comment>
    <comment ref="F87" authorId="1" shapeId="0" xr:uid="{0D6C1CC5-B4A5-4062-A971-2CD998140AC0}">
      <text>
        <r>
          <rPr>
            <sz val="10"/>
            <color indexed="81"/>
            <rFont val="Tahoma"/>
            <family val="2"/>
          </rPr>
          <t xml:space="preserve">Om löner har betalats under bokslutmånaden, finns det bikostnadsskuld kvar. </t>
        </r>
        <r>
          <rPr>
            <b/>
            <sz val="10"/>
            <color indexed="81"/>
            <rFont val="Tahoma"/>
            <family val="2"/>
          </rPr>
          <t>Siffran ska finnas i den här cellen. Denna punkt specificeras inte alltid i bokslutet utan siffran ingår i "övriga kortfristiga skulder" eller "5. Resultatregleringsskulder".</t>
        </r>
        <r>
          <rPr>
            <sz val="10"/>
            <color indexed="81"/>
            <rFont val="Tahoma"/>
            <family val="2"/>
          </rPr>
          <t xml:space="preserve"> </t>
        </r>
      </text>
    </comment>
    <comment ref="G87" authorId="1" shapeId="0" xr:uid="{9AAA8B6C-083D-42DD-87DD-F35500911B33}">
      <text>
        <r>
          <rPr>
            <sz val="10"/>
            <color indexed="81"/>
            <rFont val="Tahoma"/>
            <family val="2"/>
          </rPr>
          <t xml:space="preserve">Om löner har betalats under bokslutmånaden, finns det bikostnadsskuld kvar. </t>
        </r>
        <r>
          <rPr>
            <b/>
            <sz val="10"/>
            <color indexed="81"/>
            <rFont val="Tahoma"/>
            <family val="2"/>
          </rPr>
          <t>Siffran ska finnas i den här cellen. Denna punkt specificeras inte alltid i bokslutet utan siffran ingår i "övriga kortfristiga skulder" eller "5. Resultatregleringsskulder".</t>
        </r>
        <r>
          <rPr>
            <sz val="10"/>
            <color indexed="81"/>
            <rFont val="Tahoma"/>
            <family val="2"/>
          </rPr>
          <t xml:space="preserve"> </t>
        </r>
      </text>
    </comment>
    <comment ref="F88" authorId="1" shapeId="0" xr:uid="{DA9E088D-97BF-4468-B710-F5CA6DC19DA8}">
      <text>
        <r>
          <rPr>
            <sz val="10"/>
            <color indexed="81"/>
            <rFont val="Tahoma"/>
            <family val="2"/>
          </rPr>
          <t xml:space="preserve">Vid bokslutsdagen har företaget 2 månaders obetald moms. </t>
        </r>
        <r>
          <rPr>
            <b/>
            <sz val="10"/>
            <color indexed="81"/>
            <rFont val="Tahoma"/>
            <family val="2"/>
          </rPr>
          <t>Siffran ska finnas i den här cellen. Siffran kan vara noll</t>
        </r>
        <r>
          <rPr>
            <sz val="10"/>
            <color indexed="81"/>
            <rFont val="Tahoma"/>
            <family val="2"/>
          </rPr>
          <t xml:space="preserve">
- inom välfärdssektorn och hälsovård
- försäkrings- och finansiella tjänster
- företagets årliga omsättning är mindre än 10 000 euro
- företaget verkar inom byggbranschen som under-
  leverantör (omvänd moms)
</t>
        </r>
        <r>
          <rPr>
            <b/>
            <sz val="10"/>
            <color indexed="81"/>
            <rFont val="Tahoma"/>
            <family val="2"/>
          </rPr>
          <t>Denna punkt specificeras inte alltid i bokslutet utan siffran ingår i "övriga kortfristiga skulder" eller "5. Resultatregleringsskulder".</t>
        </r>
        <r>
          <rPr>
            <sz val="10"/>
            <color indexed="81"/>
            <rFont val="Tahoma"/>
            <family val="2"/>
          </rPr>
          <t xml:space="preserve"> </t>
        </r>
      </text>
    </comment>
    <comment ref="G88" authorId="1" shapeId="0" xr:uid="{1315BF6C-14C5-48AB-A281-092360769923}">
      <text>
        <r>
          <rPr>
            <sz val="10"/>
            <color indexed="81"/>
            <rFont val="Tahoma"/>
            <family val="2"/>
          </rPr>
          <t xml:space="preserve">Vid bokslutsdagen har företaget 2 månaders obetald moms. </t>
        </r>
        <r>
          <rPr>
            <b/>
            <sz val="10"/>
            <color indexed="81"/>
            <rFont val="Tahoma"/>
            <family val="2"/>
          </rPr>
          <t>Siffran ska finnas i den här cellen. Siffran kan vara noll</t>
        </r>
        <r>
          <rPr>
            <sz val="10"/>
            <color indexed="81"/>
            <rFont val="Tahoma"/>
            <family val="2"/>
          </rPr>
          <t xml:space="preserve">
- inom välfärdssektorn och hälsovård
- försäkrings- och finansiella tjänster
- företagets årliga omsättning är mindre än 10 000 euro
- företaget verkar inom byggbranschen som under-
  leverantör (omvänd moms)
</t>
        </r>
        <r>
          <rPr>
            <b/>
            <sz val="10"/>
            <color indexed="81"/>
            <rFont val="Tahoma"/>
            <family val="2"/>
          </rPr>
          <t>Denna punkt specificeras inte alltid i bokslutet utan siffran ingår i "övriga kortfristiga skulder" eller "5. Resultatregleringsskulder".</t>
        </r>
        <r>
          <rPr>
            <sz val="10"/>
            <color indexed="81"/>
            <rFont val="Tahoma"/>
            <family val="2"/>
          </rPr>
          <t xml:space="preserve"> </t>
        </r>
      </text>
    </comment>
    <comment ref="H88" authorId="1" shapeId="0" xr:uid="{918043C3-847A-4100-875F-D558B62639CB}">
      <text>
        <r>
          <rPr>
            <sz val="10"/>
            <color indexed="81"/>
            <rFont val="Tahoma"/>
            <family val="2"/>
          </rPr>
          <t xml:space="preserve">Vid bokslutsdagen har företaget 2 månaders obetald moms. </t>
        </r>
        <r>
          <rPr>
            <b/>
            <sz val="10"/>
            <color indexed="81"/>
            <rFont val="Tahoma"/>
            <family val="2"/>
          </rPr>
          <t>Siffran ska finnas i den här cellen. Siffran kan vara noll</t>
        </r>
        <r>
          <rPr>
            <sz val="10"/>
            <color indexed="81"/>
            <rFont val="Tahoma"/>
            <family val="2"/>
          </rPr>
          <t xml:space="preserve">
- inom välfärdssektorn och hälsovård
- försäkrings- och finansiella tjänster
- företagets årliga omsättning är mindre än 10 000 euro
- företaget verkar inom byggbranschen som underleverantör
  (omvänd moms)</t>
        </r>
      </text>
    </comment>
    <comment ref="F89" authorId="1" shapeId="0" xr:uid="{777F38C6-3DF2-4633-9657-DD55011EA92D}">
      <text>
        <r>
          <rPr>
            <sz val="10"/>
            <color indexed="81"/>
            <rFont val="Tahoma"/>
            <family val="2"/>
          </rPr>
          <t xml:space="preserve">Om siffran är över 6 %, har företaget synnerligen Moms-restskulder. </t>
        </r>
      </text>
    </comment>
    <comment ref="G89" authorId="1" shapeId="0" xr:uid="{5DD54F3C-C35C-4A02-9E4B-CAD704BAE393}">
      <text>
        <r>
          <rPr>
            <sz val="10"/>
            <color indexed="81"/>
            <rFont val="Tahoma"/>
            <family val="2"/>
          </rPr>
          <t xml:space="preserve">Om siffran är över 6 %, har företaget synnerligen Moms-restskulder. </t>
        </r>
      </text>
    </comment>
    <comment ref="F90" authorId="1" shapeId="0" xr:uid="{B5769D92-125D-421F-892A-A3F6BF4681B4}">
      <text>
        <r>
          <rPr>
            <sz val="10"/>
            <color indexed="81"/>
            <rFont val="Tahoma"/>
            <family val="2"/>
          </rPr>
          <t xml:space="preserve">Obetalda övriga kortfristiga lån av föregående perioden:
- personalkostnader
- skulden till ägaren
- skatteskuld
- dröjningsutgifter 
- böter
</t>
        </r>
        <r>
          <rPr>
            <b/>
            <sz val="10"/>
            <color indexed="81"/>
            <rFont val="Tahoma"/>
            <family val="2"/>
          </rPr>
          <t xml:space="preserve">Siffran kan också innehålla </t>
        </r>
        <r>
          <rPr>
            <b/>
            <i/>
            <sz val="10"/>
            <color indexed="81"/>
            <rFont val="Tahoma"/>
            <family val="2"/>
          </rPr>
          <t xml:space="preserve">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G90" authorId="1" shapeId="0" xr:uid="{77CCD998-26F4-4185-B812-FE56332D0B88}">
      <text>
        <r>
          <rPr>
            <sz val="10"/>
            <color indexed="81"/>
            <rFont val="Tahoma"/>
            <family val="2"/>
          </rPr>
          <t xml:space="preserve">Obetalda övriga kortfristiga lån av föregående perioden:
- personalkostnader
- skulden till ägaren
- skatteskuld
- dröjningsutgifter 
- böter
</t>
        </r>
        <r>
          <rPr>
            <b/>
            <sz val="10"/>
            <color indexed="81"/>
            <rFont val="Tahoma"/>
            <family val="2"/>
          </rPr>
          <t xml:space="preserve">Siffran kan också innehålla </t>
        </r>
        <r>
          <rPr>
            <b/>
            <i/>
            <sz val="10"/>
            <color indexed="81"/>
            <rFont val="Tahoma"/>
            <family val="2"/>
          </rPr>
          <t xml:space="preserve">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H90" authorId="1" shapeId="0" xr:uid="{0A5F7A55-BAAE-4F1A-98EB-80CB9CA1BB0D}">
      <text>
        <r>
          <rPr>
            <sz val="10"/>
            <color indexed="81"/>
            <rFont val="Tahoma"/>
            <family val="2"/>
          </rPr>
          <t xml:space="preserve">Obetalda övriga kortfristiga lån av föregående perioden:
- personalkostnader
- skulden till ägaren
- skatteskuld
- dröjningsutgifter 
- böter
</t>
        </r>
        <r>
          <rPr>
            <b/>
            <sz val="10"/>
            <color indexed="81"/>
            <rFont val="Tahoma"/>
            <family val="2"/>
          </rPr>
          <t>Eftersom programmet beräknar följande siffror bör de inte inkluderas i denna punkt.</t>
        </r>
        <r>
          <rPr>
            <b/>
            <i/>
            <sz val="10"/>
            <color indexed="81"/>
            <rFont val="Tahoma"/>
            <family val="2"/>
          </rPr>
          <t xml:space="preserve">
</t>
        </r>
        <r>
          <rPr>
            <sz val="10"/>
            <color indexed="81"/>
            <rFont val="Tahoma"/>
            <family val="2"/>
          </rPr>
          <t>- förskottinnehållningsskuld (eller förskottsinnehållnings- och 
  socialskyddsavgiftskuld på Skattekonto eller på Minskat)
- socialskyddsavgiftskuld
- Moms-skuld
- semesterlöneskulder</t>
        </r>
      </text>
    </comment>
    <comment ref="F92" authorId="1" shapeId="0" xr:uid="{ACFB0FE9-10A5-45AC-8293-468EE9B04838}">
      <text>
        <r>
          <rPr>
            <sz val="10"/>
            <color indexed="81"/>
            <rFont val="Tahoma"/>
            <family val="2"/>
          </rPr>
          <t xml:space="preserve">T.ex. Beräknad ränteskuld av lånet, innehållen hyra som förskott.
</t>
        </r>
        <r>
          <rPr>
            <b/>
            <sz val="10"/>
            <color indexed="81"/>
            <rFont val="Tahoma"/>
            <family val="2"/>
          </rPr>
          <t xml:space="preserve">Siffran kan också innehålla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G92" authorId="1" shapeId="0" xr:uid="{3939041F-43E3-46DA-BDCE-7C9C74B41398}">
      <text>
        <r>
          <rPr>
            <sz val="10"/>
            <color indexed="81"/>
            <rFont val="Tahoma"/>
            <family val="2"/>
          </rPr>
          <t xml:space="preserve">T.ex. Beräknad ränteskuld av lånet, innehållen hyra som förskott.
</t>
        </r>
        <r>
          <rPr>
            <b/>
            <sz val="10"/>
            <color indexed="81"/>
            <rFont val="Tahoma"/>
            <family val="2"/>
          </rPr>
          <t xml:space="preserve">Siffran kan också innehålla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H92" authorId="1" shapeId="0" xr:uid="{00A79065-59A4-49B7-9BBD-3BBD787E2BD9}">
      <text>
        <r>
          <rPr>
            <sz val="10"/>
            <color indexed="81"/>
            <rFont val="Tahoma"/>
            <family val="2"/>
          </rPr>
          <t xml:space="preserve">T.ex. Beräknad ränteskuld av lånet, innehållen hyra som förskott.
</t>
        </r>
        <r>
          <rPr>
            <b/>
            <sz val="10"/>
            <color indexed="81"/>
            <rFont val="Tahoma"/>
            <family val="2"/>
          </rPr>
          <t xml:space="preserve">Eftersom programmet beräknar följande siffror bör de inte inkluderas i denna punkt.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F93" authorId="1" shapeId="0" xr:uid="{7998C4BE-6C8B-48A3-ACB0-32C218166CD0}">
      <text>
        <r>
          <rPr>
            <sz val="10"/>
            <color indexed="81"/>
            <rFont val="Tahoma"/>
            <family val="2"/>
          </rPr>
          <t>Om löner betalas regelbundet finns det vanligtvis semesterlöneskuld (semesterlön som betalas ut året med bikostnader). Om semesterlönereservering görs inte kan siffran vara noll.</t>
        </r>
      </text>
    </comment>
    <comment ref="G93" authorId="1" shapeId="0" xr:uid="{0881B9F8-4269-404F-ADD6-83E01CE2AF03}">
      <text>
        <r>
          <rPr>
            <sz val="10"/>
            <color indexed="81"/>
            <rFont val="Tahoma"/>
            <family val="2"/>
          </rPr>
          <t>Om löner betalas regelbundet finns det vanligtvis semesterlöneskuld (semesterlön som betalas ut året med bikostnader). Om semesterlönereservering görs inte kan siffran vara noll.</t>
        </r>
      </text>
    </comment>
    <comment ref="H93" authorId="1" shapeId="0" xr:uid="{660E12C0-91C9-4A85-93D6-37A5D07F09ED}">
      <text>
        <r>
          <rPr>
            <sz val="10"/>
            <color indexed="81"/>
            <rFont val="Tahoma"/>
            <family val="2"/>
          </rPr>
          <t>Om semesterlönereservering görs inte, nollställ denna cellen.</t>
        </r>
      </text>
    </comment>
    <comment ref="H95" authorId="1" shapeId="0" xr:uid="{4ED2062B-D8E4-4683-A53D-8BC8EEB6295C}">
      <text>
        <r>
          <rPr>
            <sz val="10"/>
            <color indexed="81"/>
            <rFont val="Tahoma"/>
            <family val="2"/>
          </rPr>
          <t>Av FöPL-semesterlöner betalas inte pensionsavgifter, övriga utgifter 3 %. Bikostnadsprocent av ArPL-löner slgt. ca.20 %. 
Om FöPL- och ArPL-löner, uppskatta då vägt medeltal.</t>
        </r>
      </text>
    </comment>
    <comment ref="F96" authorId="1" shapeId="0" xr:uid="{1F2C9961-07C4-4210-8A5D-F1AE177A2C63}">
      <text>
        <r>
          <rPr>
            <sz val="10"/>
            <color indexed="81"/>
            <rFont val="Tahoma"/>
            <family val="2"/>
          </rPr>
          <t xml:space="preserve">Erhållen förskott eller delbetalning av produkter som ska levereras. </t>
        </r>
      </text>
    </comment>
    <comment ref="G96" authorId="1" shapeId="0" xr:uid="{8469F240-9017-401A-A1D7-F1144A371DA1}">
      <text>
        <r>
          <rPr>
            <sz val="10"/>
            <color indexed="81"/>
            <rFont val="Tahoma"/>
            <family val="2"/>
          </rPr>
          <t xml:space="preserve">Erhållen förskott eller delbetalning av produkter som ska levereras.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BB2A8F0C-C6C2-415D-A086-7081831C09A2}">
      <text>
        <r>
          <rPr>
            <sz val="10"/>
            <color indexed="81"/>
            <rFont val="Tahoma"/>
            <family val="2"/>
          </rPr>
          <t>IFYLLNADSDIREKTIV  SKRIV PENNINGSUMMORNA I HELT TAL. 
ENDAST DE LÅNEAMORTERINGAR  SOM FINNS I URSPRUNGLIGA LÅNEAVTALEN!
Skriv extra amorteringar/förändringar av amorteringar i tabell 
8. T4 FINANSIERINGSBUDGET, punkt 19. Kapitallån skrivas i punkt 14, tabell 
1. T1 INVESTERINGSPLAN. SKRIV RÄNTEPROCENTERNA I CELL E49, E50 OCH E51!</t>
        </r>
      </text>
    </comment>
    <comment ref="B7" authorId="1" shapeId="0" xr:uid="{14105408-5CCA-4A35-B152-1CCE6DD2F51F}">
      <text>
        <r>
          <rPr>
            <sz val="10"/>
            <color indexed="81"/>
            <rFont val="Tahoma"/>
            <family val="2"/>
          </rPr>
          <t xml:space="preserve">Skuld eller en del av skuld, vars återbetalningstid är över ett år. Innehåller också pensions lån och övriga skuldebrevlån, men utan 1. årets amorteringar! Siffran hittas från Balans i bokslutet, punkt "Långfristiga lån av penningväsenden". </t>
        </r>
      </text>
    </comment>
    <comment ref="C7" authorId="1" shapeId="0" xr:uid="{5CF77848-C4F5-4BC1-85DE-BFC0640672D6}">
      <text>
        <r>
          <rPr>
            <sz val="10"/>
            <color indexed="81"/>
            <rFont val="Tahoma"/>
            <family val="2"/>
          </rPr>
          <t>Skuld eller en del av skuld, vars återbetalningstid är över ett år.</t>
        </r>
      </text>
    </comment>
    <comment ref="B11" authorId="1" shapeId="0" xr:uid="{DFE16362-2D6B-4128-937A-6EC8A1D33DA1}">
      <text>
        <r>
          <rPr>
            <sz val="10"/>
            <color indexed="81"/>
            <rFont val="Tahoma"/>
            <family val="2"/>
          </rPr>
          <t>Kapitallån skrivas i tabell
1. T1 INVESTERINGSPLAN, punkt 14.</t>
        </r>
      </text>
    </comment>
    <comment ref="C11" authorId="1" shapeId="0" xr:uid="{73D7876B-AE8C-4C60-A902-E29E4174CC43}">
      <text>
        <r>
          <rPr>
            <sz val="10"/>
            <color indexed="81"/>
            <rFont val="Tahoma"/>
            <family val="2"/>
          </rPr>
          <t>Långivarna och lånebelopp finns i fördelning av balansräkningen. Försäkra dig</t>
        </r>
        <r>
          <rPr>
            <b/>
            <sz val="10"/>
            <color indexed="81"/>
            <rFont val="Tahoma"/>
            <family val="2"/>
          </rPr>
          <t>, att lånebeloppet innehåller inte 1. prognosårets amortering!</t>
        </r>
        <r>
          <rPr>
            <sz val="10"/>
            <color indexed="81"/>
            <rFont val="Tahoma"/>
            <family val="2"/>
          </rPr>
          <t xml:space="preserve"> Om kvarstående lånetiden är 1 år, är det fråga om kortfristigt lån och skrivas direkt i cellen G78, tabell 3. T3 BALANS!
</t>
        </r>
        <r>
          <rPr>
            <b/>
            <sz val="10"/>
            <color indexed="81"/>
            <rFont val="Tahoma"/>
            <family val="2"/>
          </rPr>
          <t>T.ex</t>
        </r>
        <r>
          <rPr>
            <sz val="10"/>
            <color indexed="81"/>
            <rFont val="Tahoma"/>
            <family val="2"/>
          </rPr>
          <t>. Återstående lånetid 5 år = 4 år långfristigt och ett år kortfristigt lån.</t>
        </r>
      </text>
    </comment>
    <comment ref="D11" authorId="1" shapeId="0" xr:uid="{80DDC88E-A7B9-4F91-9E66-FEBA2CFE6148}">
      <text>
        <r>
          <rPr>
            <b/>
            <sz val="10"/>
            <color indexed="81"/>
            <rFont val="Tahoma"/>
            <family val="2"/>
          </rPr>
          <t>Lånetiden minst 2 år. Skriv årssiffran i helt tal utan decimaler. Tiden innehåller också första prognosåret!</t>
        </r>
        <r>
          <rPr>
            <sz val="10"/>
            <color indexed="81"/>
            <rFont val="Tahoma"/>
            <family val="2"/>
          </rPr>
          <t xml:space="preserve"> Om kvarstående lånetiden är 1 år, är det fråga om kortfristigt lån och skrivas direkt i cellen G78 tabell 3. T3 BALANS!</t>
        </r>
      </text>
    </comment>
    <comment ref="F11" authorId="1" shapeId="0" xr:uid="{00000000-0006-0000-0800-000005000000}">
      <text>
        <r>
          <rPr>
            <sz val="10"/>
            <color indexed="81"/>
            <rFont val="Tahoma"/>
            <family val="2"/>
          </rPr>
          <t>Siffran återfinns i balansräkningsspecifikationen i årsredovisningen, där nästa års amortering för alla långfristiga lån redovisas. Amorteringen under kommande år kan avvika från denna siffra.</t>
        </r>
      </text>
    </comment>
    <comment ref="B17" authorId="1" shapeId="0" xr:uid="{0AA0952A-B8AD-4B45-B8B6-D8C32205A418}">
      <text>
        <r>
          <rPr>
            <sz val="10"/>
            <color indexed="81"/>
            <rFont val="Tahoma"/>
            <family val="2"/>
          </rPr>
          <t>Kreditlimit är långfristigt lån. Lånetid kan vara t.ex. 20 år, om kreditgränsen utnyttjas fullt ut.</t>
        </r>
      </text>
    </comment>
    <comment ref="C18" authorId="1" shapeId="0" xr:uid="{27177A07-4724-4A2A-8C4A-1754651044A0}">
      <text>
        <r>
          <rPr>
            <sz val="10"/>
            <color indexed="81"/>
            <rFont val="Tahoma"/>
            <family val="2"/>
          </rPr>
          <t>Varmista, että luku on sama kuin solu G68 3. T3 TASEessa !! Jos lainan takaisinmaksuaika on 1 vuosi, on laina lyhytaikainen ja summa merkitään 3. T3 TASE soluun G78.</t>
        </r>
      </text>
    </comment>
    <comment ref="F18" authorId="1" shapeId="0" xr:uid="{48AD3B6A-5414-4622-8763-85A94B7B7334}">
      <text>
        <r>
          <rPr>
            <sz val="10"/>
            <color indexed="81"/>
            <rFont val="Tahoma"/>
            <family val="2"/>
          </rPr>
          <t>Kontrollera att summan här är lika stor än cell G77 i tabell 3. T3 BALANS.</t>
        </r>
      </text>
    </comment>
    <comment ref="D19" authorId="1" shapeId="0" xr:uid="{7BCF49CF-5D0A-4279-82E0-6BDC47190D96}">
      <text>
        <r>
          <rPr>
            <b/>
            <sz val="10"/>
            <color indexed="81"/>
            <rFont val="Tahoma"/>
            <family val="2"/>
          </rPr>
          <t>Siffran måste vara heltal</t>
        </r>
        <r>
          <rPr>
            <sz val="10"/>
            <color indexed="81"/>
            <rFont val="Tahoma"/>
            <family val="2"/>
          </rPr>
          <t>. Tiden innehåller också första prognosåret! Om kvarstående lånetiden är 1 år, är det fråga om kortfristigt lån och skrivas direkt i cellen H78 tabell 3. T3 BALANS!</t>
        </r>
      </text>
    </comment>
    <comment ref="B24" authorId="1" shapeId="0" xr:uid="{2E1BE398-8903-43DB-A0BD-302C57ECA9F4}">
      <text>
        <r>
          <rPr>
            <sz val="10"/>
            <color indexed="81"/>
            <rFont val="Tahoma"/>
            <family val="2"/>
          </rPr>
          <t>Kapitallån skrivas i tabell
1. T1 INVESTERINGSPLAN, punkt 14.</t>
        </r>
      </text>
    </comment>
    <comment ref="C24" authorId="1" shapeId="0" xr:uid="{76A6CDEE-3AA5-443B-A09F-2E44B5336AD5}">
      <text>
        <r>
          <rPr>
            <sz val="10"/>
            <color indexed="81"/>
            <rFont val="Tahoma"/>
            <family val="2"/>
          </rPr>
          <t>Lånebeloppet måste motsvara beloppet som ska lyftas. Om ett lån lyfts i flera rater, skrivs varje lyft av lånet som ett annat lån.</t>
        </r>
      </text>
    </comment>
    <comment ref="D24" authorId="1" shapeId="0" xr:uid="{552E1574-A97E-41C9-BF14-EFB6EBA56316}">
      <text>
        <r>
          <rPr>
            <sz val="10"/>
            <color indexed="81"/>
            <rFont val="Tahoma"/>
            <family val="2"/>
          </rPr>
          <t>Lånetiden minst 2 år. Skriv årssiffran i helt tal utan decimaler. Om lånetiden är ett år, är det fråga om ett kortfristigt lån (skriv direkt i cell H78 i 3. T3 BALANS)</t>
        </r>
      </text>
    </comment>
    <comment ref="G24" authorId="1" shapeId="0" xr:uid="{0C7E5C78-63C9-4D8B-B038-B94ADCB19833}">
      <text>
        <r>
          <rPr>
            <sz val="10"/>
            <color indexed="81"/>
            <rFont val="Tahoma"/>
            <family val="2"/>
          </rPr>
          <t xml:space="preserve">Skriv amorteringens storlek för hela lånetiden. T.ex. lånets kapital 100 000 €,
amorteringstid 5 år = årlig amortering 20 000 €. </t>
        </r>
      </text>
    </comment>
    <comment ref="D28" authorId="1" shapeId="0" xr:uid="{AE78F00B-4408-4597-8912-9C8434B22C50}">
      <text>
        <r>
          <rPr>
            <sz val="10"/>
            <color indexed="81"/>
            <rFont val="Tahoma"/>
            <family val="2"/>
          </rPr>
          <t>Lånetiden minst 2 år. Skriv årssiffran i helt tal utan decimaler. Om lånetiden är ett år, är det fråga om ett kortfristigt lån (skriv direkt i cell I78 i 3. T3 BALANS)</t>
        </r>
      </text>
    </comment>
    <comment ref="J28" authorId="1" shapeId="0" xr:uid="{F926580D-5D9B-45BB-87B4-91963A5A56C1}">
      <text>
        <r>
          <rPr>
            <sz val="10"/>
            <color indexed="81"/>
            <rFont val="Tahoma"/>
            <family val="2"/>
          </rPr>
          <t xml:space="preserve">Skriv amorteringens storlek för hela lånetiden. T.ex. lånets kapital 100 000 €,
amorteringstid 5 år = årlig amortering 20 000 €. </t>
        </r>
      </text>
    </comment>
    <comment ref="P28" authorId="1" shapeId="0" xr:uid="{3A417D11-1EE4-41B2-894A-91F2B4EA7149}">
      <text>
        <r>
          <rPr>
            <sz val="10"/>
            <color indexed="81"/>
            <rFont val="Tahoma"/>
            <family val="2"/>
          </rPr>
          <t>Räkna årlig amortering. Kontrollera sista amorteringsraten!</t>
        </r>
      </text>
    </comment>
    <comment ref="D32" authorId="1" shapeId="0" xr:uid="{AA835C26-AF0B-4214-8EC9-EBA74F052E3E}">
      <text>
        <r>
          <rPr>
            <sz val="10"/>
            <color indexed="81"/>
            <rFont val="Tahoma"/>
            <family val="2"/>
          </rPr>
          <t>Lånetiden minst 2 år. Skriv årssiffran i helt tal utan decimaler. Om lånetiden är ett år, är det fråga om ett kortfristigt lån (skriv direkt i cell J78 i 3. T3 BALANS)</t>
        </r>
      </text>
    </comment>
    <comment ref="M32" authorId="1" shapeId="0" xr:uid="{10FF6B6A-786A-41BD-9760-88E74DB5D84C}">
      <text>
        <r>
          <rPr>
            <sz val="10"/>
            <color indexed="81"/>
            <rFont val="Tahoma"/>
            <family val="2"/>
          </rPr>
          <t xml:space="preserve">Skriv amorteringens storlek för hela lånetiden. T.ex. lånets kapital 100 000 €,
amorteringstid 5 år = årlig amortering 20 000 €. </t>
        </r>
      </text>
    </comment>
    <comment ref="P32" authorId="1" shapeId="0" xr:uid="{15FD64F9-BD07-49E2-BDD7-165EF86DC3F3}">
      <text>
        <r>
          <rPr>
            <sz val="10"/>
            <color indexed="81"/>
            <rFont val="Tahoma"/>
            <family val="2"/>
          </rPr>
          <t>Räkna årlig amortering. Kontrollera sista amorteringsraten!</t>
        </r>
      </text>
    </comment>
    <comment ref="D36" authorId="1" shapeId="0" xr:uid="{771E5935-628C-4AE5-ADE9-6EDD88B60172}">
      <text>
        <r>
          <rPr>
            <sz val="10"/>
            <color indexed="81"/>
            <rFont val="Tahoma"/>
            <family val="2"/>
          </rPr>
          <t>Lånetiden minst 2 år. Skriv årssiffran i helt tal utan decimaler. Om lånetiden är ett år, är det fråga om ett kortfristigt lån (skriv direkt i cell K78 i 3. T3 BALANS)</t>
        </r>
      </text>
    </comment>
    <comment ref="P36" authorId="1" shapeId="0" xr:uid="{6762E445-4DBF-4B72-B3EB-038880BC05FE}">
      <text>
        <r>
          <rPr>
            <sz val="10"/>
            <color indexed="81"/>
            <rFont val="Tahoma"/>
            <family val="2"/>
          </rPr>
          <t xml:space="preserve">Skriv amorteringens storlek för hela lånetiden. T.ex. lånets kapital 100 000 €,
amorteringstid 5 år = årlig amortering 20 000 €. </t>
        </r>
      </text>
    </comment>
    <comment ref="B41" authorId="1" shapeId="0" xr:uid="{00000000-0006-0000-0800-000015000000}">
      <text>
        <r>
          <rPr>
            <sz val="10"/>
            <color indexed="81"/>
            <rFont val="Tahoma"/>
            <family val="2"/>
          </rPr>
          <t>Du kan ange finansiärens namn och vad avbetalningen har använts till.</t>
        </r>
      </text>
    </comment>
    <comment ref="D41" authorId="1" shapeId="0" xr:uid="{EA4C42F2-459F-4344-9127-B14851991F5C}">
      <text>
        <r>
          <rPr>
            <b/>
            <sz val="10"/>
            <color indexed="81"/>
            <rFont val="Tahoma"/>
            <family val="2"/>
          </rPr>
          <t xml:space="preserve">Siffran måste vara heltal. </t>
        </r>
        <r>
          <rPr>
            <sz val="10"/>
            <color indexed="81"/>
            <rFont val="Tahoma"/>
            <family val="2"/>
          </rPr>
          <t>Avbetalningslånens minsta lånetid är 2 år.</t>
        </r>
        <r>
          <rPr>
            <sz val="9"/>
            <color indexed="81"/>
            <rFont val="Tahoma"/>
            <family val="2"/>
          </rPr>
          <t xml:space="preserve"> </t>
        </r>
      </text>
    </comment>
    <comment ref="C46" authorId="1" shapeId="0" xr:uid="{ADEF62D0-CF8F-4F39-94DB-AAB2FCED8CBF}">
      <text>
        <r>
          <rPr>
            <sz val="10"/>
            <color indexed="81"/>
            <rFont val="Tahoma"/>
            <family val="2"/>
          </rPr>
          <t>Förflyttar sig från tabell 3. T3 BALANS, cell G78.</t>
        </r>
      </text>
    </comment>
    <comment ref="E46" authorId="0" shapeId="0" xr:uid="{D74BAA93-C10B-4455-A119-63AD985D53C5}">
      <text>
        <r>
          <rPr>
            <sz val="10"/>
            <color indexed="81"/>
            <rFont val="Tahoma"/>
            <family val="2"/>
          </rPr>
          <t>Tillägg rente-%</t>
        </r>
      </text>
    </comment>
    <comment ref="C47" authorId="1" shapeId="0" xr:uid="{1A78F065-A72D-4DAC-9FBF-D304C9012A24}">
      <text>
        <r>
          <rPr>
            <sz val="10"/>
            <color indexed="81"/>
            <rFont val="Tahoma"/>
            <family val="2"/>
          </rPr>
          <t>Förflyttar sig från tabell 3. T3 BALANS, cell G69 OCH G79.</t>
        </r>
      </text>
    </comment>
    <comment ref="E47" authorId="0" shapeId="0" xr:uid="{2BA8FC08-8B0B-4EFA-941A-0455A2D07C33}">
      <text>
        <r>
          <rPr>
            <sz val="10"/>
            <color indexed="81"/>
            <rFont val="Tahoma"/>
            <family val="2"/>
          </rPr>
          <t>Tillägg rente-%</t>
        </r>
      </text>
    </comment>
    <comment ref="C48" authorId="1" shapeId="0" xr:uid="{5B3E2BA1-73DA-4594-8E15-9329308BCEFD}">
      <text>
        <r>
          <rPr>
            <sz val="10"/>
            <color indexed="81"/>
            <rFont val="Tahoma"/>
            <family val="2"/>
          </rPr>
          <t>Förflyttar sig från tabell 3. T3 BALANS, cell G74.</t>
        </r>
      </text>
    </comment>
    <comment ref="E48" authorId="0" shapeId="0" xr:uid="{E84119DF-1741-428F-AA7A-593C69742FA2}">
      <text>
        <r>
          <rPr>
            <sz val="10"/>
            <color indexed="81"/>
            <rFont val="Tahoma"/>
            <family val="2"/>
          </rPr>
          <t>Tillägg rente-%</t>
        </r>
      </text>
    </comment>
    <comment ref="H49" authorId="0" shapeId="0" xr:uid="{29EED2BD-AC2E-4461-8C2D-5B2F07D6C3FF}">
      <text>
        <r>
          <rPr>
            <sz val="10"/>
            <color indexed="81"/>
            <rFont val="Tahoma"/>
            <family val="2"/>
          </rPr>
          <t>Programmet beräknar en hanteringsavgift på 2 % för lån.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Företagstolken</author>
  </authors>
  <commentList>
    <comment ref="A3" authorId="0" shapeId="0" xr:uid="{42C8C85A-CF11-4411-A8D4-AAF6D6280E77}">
      <text>
        <r>
          <rPr>
            <sz val="9"/>
            <color indexed="81"/>
            <rFont val="Tahoma"/>
            <family val="2"/>
          </rPr>
          <t xml:space="preserve">
</t>
        </r>
        <r>
          <rPr>
            <b/>
            <sz val="9"/>
            <color indexed="81"/>
            <rFont val="Tahoma"/>
            <family val="2"/>
          </rPr>
          <t xml:space="preserve"> IFYLLNADSDIREKTIV
</t>
        </r>
        <r>
          <rPr>
            <sz val="9"/>
            <color indexed="81"/>
            <rFont val="Tahoma"/>
            <family val="2"/>
          </rPr>
          <t xml:space="preserve">- Skriv alla sifforna med + tecken
- Börja från punkt 3. ÖVRIGA KOSTNADERNA AV AFFÄRSVERKSAMHETEN
- Fyll i gula cellerna.
Om räkenskapsperiodens längd i första perioden är annan än 12 månader, förändra kostnader motsvarande.
</t>
        </r>
        <r>
          <rPr>
            <b/>
            <sz val="9"/>
            <color indexed="81"/>
            <rFont val="Tahoma"/>
            <family val="2"/>
          </rPr>
          <t>När du beräknar ska du beakta investeringens påverkan på kostnaderna under de kommande åren:</t>
        </r>
        <r>
          <rPr>
            <sz val="9"/>
            <color indexed="81"/>
            <rFont val="Tahoma"/>
            <family val="2"/>
          </rPr>
          <t xml:space="preserve"> 
Investeringar på maskiner och apparater: - råvaror, arbetskraftskostnader, el, vatten, bränsle, försäkring, underhåll, reparation, program etc.
Fastighetsinvesteringar: - värme, el, vatten, fastighetsskatt, försäkring, städning, säkerhet, avfall etc.
</t>
        </r>
      </text>
    </comment>
    <comment ref="F10" authorId="1" shapeId="0" xr:uid="{7F8E3DDC-8ED3-41C4-8E63-B39E85F1D49C}">
      <text>
        <r>
          <rPr>
            <sz val="10"/>
            <color indexed="81"/>
            <rFont val="Tahoma"/>
            <family val="2"/>
          </rPr>
          <t xml:space="preserve">Normaali tilikauden pituus on 12 kk. Toimivan yrityksen tilikauden pituus voi olla poikkeuksellisesti
6 - 18 kk. Jos tilikauden pituus on </t>
        </r>
        <r>
          <rPr>
            <b/>
            <sz val="10"/>
            <color indexed="81"/>
            <rFont val="Tahoma"/>
            <family val="2"/>
          </rPr>
          <t>muu kuin 12 kk, laske tilikauden kustannukset vastaamaan tilikauden pituutta</t>
        </r>
        <r>
          <rPr>
            <sz val="10"/>
            <color indexed="81"/>
            <rFont val="Tahoma"/>
            <family val="2"/>
          </rPr>
          <t xml:space="preserve">. </t>
        </r>
        <r>
          <rPr>
            <b/>
            <sz val="10"/>
            <color indexed="81"/>
            <rFont val="Tahoma"/>
            <family val="2"/>
          </rPr>
          <t>Huomioi tulevat tilikaudet!</t>
        </r>
      </text>
    </comment>
    <comment ref="F13" authorId="1" shapeId="0" xr:uid="{A0ECA834-A254-4A25-94D7-A82AEF71AF1F}">
      <text>
        <r>
          <rPr>
            <b/>
            <sz val="10"/>
            <color indexed="81"/>
            <rFont val="Tahoma"/>
            <family val="2"/>
          </rPr>
          <t>Privata uttag skrivas i cellerna H39 till K39 i tabell 
8. T4 FINANSIERINGSPLAN. Var noga med att lägga till / kontrollera cellen F35 (FöPL-företagarens arbetsinkomst).
En enskild näringsidkare</t>
        </r>
        <r>
          <rPr>
            <sz val="10"/>
            <color indexed="81"/>
            <rFont val="Tahoma"/>
            <family val="2"/>
          </rPr>
          <t xml:space="preserve"> 
kan inte betala lön till sig själv, sin make eller ett barn under 14 år. Entreprenören tar ut pengar från företagets konto som ett privat uttag. 
</t>
        </r>
        <r>
          <rPr>
            <b/>
            <sz val="10"/>
            <color indexed="81"/>
            <rFont val="Tahoma"/>
            <family val="2"/>
          </rPr>
          <t>En partner i ett öppet och kommanditbolag</t>
        </r>
        <r>
          <rPr>
            <sz val="10"/>
            <color indexed="81"/>
            <rFont val="Tahoma"/>
            <family val="2"/>
          </rPr>
          <t xml:space="preserve"> 
kan betala själv lön eller göra privata uttag.
</t>
        </r>
        <r>
          <rPr>
            <b/>
            <sz val="10"/>
            <color indexed="81"/>
            <rFont val="Tahoma"/>
            <family val="2"/>
          </rPr>
          <t xml:space="preserve">Aktieägaren i aktiebolag 
</t>
        </r>
        <r>
          <rPr>
            <sz val="10"/>
            <color indexed="81"/>
            <rFont val="Tahoma"/>
            <family val="2"/>
          </rPr>
          <t xml:space="preserve">betalar vanligen lön för sig själv men är inte nödvändigt. Privata uttag är inte möjliga. </t>
        </r>
      </text>
    </comment>
    <comment ref="P13" authorId="1" shapeId="0" xr:uid="{F582E6ED-2EFC-4415-87C1-A9636AF977D7}">
      <text>
        <r>
          <rPr>
            <sz val="10"/>
            <color indexed="81"/>
            <rFont val="Tahoma"/>
            <family val="2"/>
          </rPr>
          <t>Kustannusten muutosprosentti. Muuta prosenttilukua tarvittaessa tai kirjoita luku suoraan taulukkoon.</t>
        </r>
      </text>
    </comment>
    <comment ref="F14" authorId="1" shapeId="0" xr:uid="{F40262D9-0B19-45AE-9503-F351DD183EE7}">
      <text>
        <r>
          <rPr>
            <sz val="10"/>
            <color indexed="81"/>
            <rFont val="Tahoma"/>
            <family val="2"/>
          </rPr>
          <t xml:space="preserve">Naturaförmåner kan inte ges till enskild näringsidkare. I ett öppet och kommanditbolag är möjligt om företagarna får lön. </t>
        </r>
      </text>
    </comment>
    <comment ref="F15" authorId="1" shapeId="0" xr:uid="{89DC6E15-8502-482C-8FF6-98E85C4C54EB}">
      <text>
        <r>
          <rPr>
            <sz val="10"/>
            <color indexed="81"/>
            <rFont val="Tahoma"/>
            <family val="2"/>
          </rPr>
          <t>Lönemånader max. 12,5. Om semesterpeng (=½ av semesterlön) inte betalas, är siffran 12.  Semesterlönekostnader kalkyleras automatiskt till tabell 2. T2 RESULTATBUDGET punkt 7. Personalkostnader.
Om semesterlönereservering inte görs, nollställa cellerna G93 - J93
i tabell 3. T3 BALANS.</t>
        </r>
      </text>
    </comment>
    <comment ref="F16" authorId="1" shapeId="0" xr:uid="{736DA263-656E-4C60-A882-2519673488B1}">
      <text>
        <r>
          <rPr>
            <sz val="10"/>
            <color indexed="81"/>
            <rFont val="Tahoma"/>
            <family val="2"/>
          </rPr>
          <t xml:space="preserve">Genomsnittlig skatteavdrags-% för alla FöPL-företagarna. </t>
        </r>
      </text>
    </comment>
    <comment ref="F21" authorId="1" shapeId="0" xr:uid="{6E83727C-8178-49B9-86A5-E6CC223FD27E}">
      <text>
        <r>
          <rPr>
            <sz val="10"/>
            <color indexed="81"/>
            <rFont val="Tahoma"/>
            <family val="2"/>
          </rPr>
          <t>Lönemånader max. 12,5. Om semesterpeng (=½ av semesterlön) inte betalas, är siffran 12. Semesterlönekostnader kalkyleras automatiskt till tabell 2. T2 RESULTATBUDGET punkt 7. Personalkostnader.
Om semesterlönereservering inte görs, nollställa cellerna G93 - J93
i tabell 3. T3 BALANS.</t>
        </r>
      </text>
    </comment>
    <comment ref="F23" authorId="1" shapeId="0" xr:uid="{FE39B342-17F7-46E0-9F38-F53E16AD4C69}">
      <text>
        <r>
          <rPr>
            <sz val="10"/>
            <color indexed="81"/>
            <rFont val="Tahoma"/>
            <family val="2"/>
          </rPr>
          <t>Genomsnittlig skatteavdrags-% för alla arbetstagarna i grupp 1.2.</t>
        </r>
      </text>
    </comment>
    <comment ref="F27" authorId="1" shapeId="0" xr:uid="{4E4E2E28-D9B2-4D02-A6F4-CEBA1B041D74}">
      <text>
        <r>
          <rPr>
            <sz val="10"/>
            <color indexed="81"/>
            <rFont val="Tahoma"/>
            <family val="2"/>
          </rPr>
          <t>Lönemånader max. 12,5. Om semesterpeng (=½ av semesterlön) inte betalas, är siffran 12.  Semesterlönekostnader kalkyleras automatiskt till tabell 2. T2 RESULTATBUDGET punkt 7. Personalkostnader.
Om semesterlönereservering inte görs, nollställa cellerna G93 - J93
i tabell 3. T3 BALANS.</t>
        </r>
      </text>
    </comment>
    <comment ref="F29" authorId="1" shapeId="0" xr:uid="{3B4B746F-F243-409E-9949-019B78AFEC33}">
      <text>
        <r>
          <rPr>
            <sz val="10"/>
            <color indexed="81"/>
            <rFont val="Tahoma"/>
            <family val="2"/>
          </rPr>
          <t>Genomsnittlig skatteavdrags-% för alla arbetstagarna i grupp 1.3.</t>
        </r>
      </text>
    </comment>
    <comment ref="F33" authorId="1" shapeId="0" xr:uid="{9BFEE7D0-B93A-4F9F-86FE-7FFF116C0A03}">
      <text>
        <r>
          <rPr>
            <sz val="10"/>
            <color indexed="81"/>
            <rFont val="Tahoma"/>
            <family val="2"/>
          </rPr>
          <t>2026
Företaget betalar ArPL-pensionsavgift i medeltal 17,1 %
av beskattningsbar inkomst.</t>
        </r>
      </text>
    </comment>
    <comment ref="F35" authorId="1" shapeId="0" xr:uid="{74710686-8AC0-44BD-A888-F3FCC9D31943}">
      <text>
        <r>
          <rPr>
            <sz val="10"/>
            <color indexed="81"/>
            <rFont val="Tahoma"/>
            <family val="2"/>
          </rPr>
          <t>Arbetsinkomst av alla FöPL-företagare sammanlagt enligt lönen i punkt 1. FöPL-arbetsinkomsten borde motsvara lön av samma arbete. Siffran kan förändras.
Arbetsinkomsten kan vara noll endast, om FöPL betalas av ett annat företag.</t>
        </r>
      </text>
    </comment>
    <comment ref="F36" authorId="2" shapeId="0" xr:uid="{67825D30-C26E-4D39-B062-4A154952B028}">
      <text>
        <r>
          <rPr>
            <sz val="10"/>
            <color indexed="81"/>
            <rFont val="Tahoma"/>
            <family val="2"/>
          </rPr>
          <t>Som ny företagare får du 22% rabatt på din FöPL-avgift om din FöPL-försäkring har varit giltig i mindre än 4 år.
- betalningsprocent 19,03 % i år 2026</t>
        </r>
      </text>
    </comment>
    <comment ref="F40" authorId="2" shapeId="0" xr:uid="{6352F183-7145-4410-B883-FA0703427633}">
      <text>
        <r>
          <rPr>
            <b/>
            <sz val="10"/>
            <color indexed="81"/>
            <rFont val="Tahoma"/>
            <family val="2"/>
          </rPr>
          <t>2026</t>
        </r>
        <r>
          <rPr>
            <sz val="10"/>
            <color indexed="81"/>
            <rFont val="Tahoma"/>
            <family val="2"/>
          </rPr>
          <t xml:space="preserve">
Företaget betalar av lönen
- Sjukförsäkringsavgift 1,91 %
- olycksförsäkring  i genomsnittl 0,51 % (för olycksbenägen 
  bransch större, uppgår till 7 %)
- Livförsäkring  0,06
- Arbetslöshetsförsäkring 0,31 %
Sammanlagt i genomsnitt 2,79 % (förändra om behövs)</t>
        </r>
      </text>
    </comment>
    <comment ref="F42" authorId="2" shapeId="0" xr:uid="{852A5653-E3B0-421E-812C-6A7C5F8A33CE}">
      <text>
        <r>
          <rPr>
            <sz val="10"/>
            <color indexed="81"/>
            <rFont val="Tahoma"/>
            <family val="2"/>
          </rPr>
          <t>Livförsäkringsavgiften räknas färdigt (= 0,008 x företagets lånar i början). Siffran kan förändras.</t>
        </r>
      </text>
    </comment>
    <comment ref="C43" authorId="1" shapeId="0" xr:uid="{00000000-0006-0000-0900-000020000000}">
      <text>
        <r>
          <rPr>
            <sz val="10"/>
            <color indexed="81"/>
            <rFont val="Tahoma"/>
            <family val="2"/>
          </rPr>
          <t>Henkivakuutusmaksut, sairaskuluvakuutus, matkavakuutus mm.</t>
        </r>
      </text>
    </comment>
    <comment ref="F43" authorId="1" shapeId="0" xr:uid="{BD40898D-4A9A-4E16-B60C-690396581273}">
      <text>
        <r>
          <rPr>
            <sz val="10"/>
            <color indexed="81"/>
            <rFont val="Tahoma"/>
            <family val="2"/>
          </rPr>
          <t>T. ex. Företaget kan ta för arbetstagaren livförsäkring, reseförsäkring etc.</t>
        </r>
      </text>
    </comment>
    <comment ref="D51" authorId="1" shapeId="0" xr:uid="{84573362-7810-4BF1-86DB-80E7652D27D5}">
      <text>
        <r>
          <rPr>
            <sz val="10"/>
            <color indexed="81"/>
            <rFont val="Tahoma"/>
            <family val="2"/>
          </rPr>
          <t>Måltider, rekrytering, gåvor t.ex.</t>
        </r>
      </text>
    </comment>
    <comment ref="D53" authorId="1" shapeId="0" xr:uid="{BB5B7451-14DD-472F-AB70-E4DB4304CE7F}">
      <text>
        <r>
          <rPr>
            <sz val="10"/>
            <color indexed="81"/>
            <rFont val="Tahoma"/>
            <family val="2"/>
          </rPr>
          <t>Skriv siffran utan Moms, om Moms kan minskas. Om Moms kan inte minskas, skriv siffran inkl. Moms. Hyrning av bostäder är alltid Momsfri och skrivs i punkt 3.21 Hyror, vederlag, övr. kostnader Moms 0 %.</t>
        </r>
      </text>
    </comment>
    <comment ref="F53" authorId="1" shapeId="0" xr:uid="{43117268-E7F7-4563-9640-AF6ECE5B0B4E}">
      <text>
        <r>
          <rPr>
            <sz val="10"/>
            <color indexed="81"/>
            <rFont val="Tahoma"/>
            <family val="2"/>
          </rPr>
          <t>Skriv siffran utan Moms, om Moms kan minskas. Om Moms kan inte minskas, skriv siffran inkl. Moms. Hyrning av bostäder är alltid Momsfri och skrivs i punkt 3.21 Hyror, vederlag, övr. kostnader Moms 0 %.</t>
        </r>
      </text>
    </comment>
    <comment ref="F61" authorId="1" shapeId="0" xr:uid="{6DDDBBB9-4609-40FA-82F1-E5B9604CEBA7}">
      <text>
        <r>
          <rPr>
            <sz val="10"/>
            <color indexed="81"/>
            <rFont val="Tahoma"/>
            <family val="2"/>
          </rPr>
          <t xml:space="preserve">Pris 0,3 % av brandförsäkringsvärde.  </t>
        </r>
      </text>
    </comment>
    <comment ref="C63" authorId="1" shapeId="0" xr:uid="{7BE746ED-A7ED-476A-8F93-23DCDB929B06}">
      <text>
        <r>
          <rPr>
            <sz val="10"/>
            <color indexed="81"/>
            <rFont val="Tahoma"/>
            <family val="2"/>
          </rPr>
          <t>Bilar i privatbruk, punkt 3.18.</t>
        </r>
      </text>
    </comment>
    <comment ref="F72" authorId="2" shapeId="0" xr:uid="{B2E67790-8724-4B9D-8954-B1FC9789F747}">
      <text>
        <r>
          <rPr>
            <sz val="10"/>
            <color indexed="81"/>
            <rFont val="Tahoma"/>
            <family val="2"/>
          </rPr>
          <t>Alla vanliga ADB-apparater ingår i denna grupp.</t>
        </r>
      </text>
    </comment>
    <comment ref="C74" authorId="1" shapeId="0" xr:uid="{B8956590-D893-4F39-A171-1336D7EDB573}">
      <text>
        <r>
          <rPr>
            <sz val="10"/>
            <color indexed="81"/>
            <rFont val="Tahoma"/>
            <family val="2"/>
          </rPr>
          <t>Moms-avdragbara, i affärsbruk. Ej-avdragbara kostnader, använd punkt 3.18.</t>
        </r>
      </text>
    </comment>
    <comment ref="F75" authorId="1" shapeId="0" xr:uid="{20C2875C-786E-4BF9-9EBA-9B57AA87450C}">
      <text>
        <r>
          <rPr>
            <sz val="10"/>
            <color indexed="81"/>
            <rFont val="Tahoma"/>
            <family val="2"/>
          </rPr>
          <t>Leasingkostnader utan affärsbruk skrivas i punkt 
3.19 Leasingkostnader Moms 0 %. 
Skriv betalningsplan för hela betalningsperioden.</t>
        </r>
      </text>
    </comment>
    <comment ref="F77" authorId="2" shapeId="0" xr:uid="{830893E7-4554-47EF-8E3F-3C0F624D5764}">
      <text>
        <r>
          <rPr>
            <sz val="10"/>
            <color indexed="81"/>
            <rFont val="Tahoma"/>
            <family val="2"/>
          </rPr>
          <t xml:space="preserve">Små anskaffningar och anskaffningar vars livslängd är mindre än 3 år. Dessa kan dras av i beskattningen som en kostnad på en gång:
- Små anskaffningar, t.ex. handverktyg, små apparater, telefoner, 
  anskaffningspris under 1200 € moms 0 %. 
- Små anskaffningar, det totala inköpsvärdet 3600 € / år moms 0%.
- Alla maskiner och utrustning (kortfristiga anläggningstillgångar) 
  oberoende av pris, om deras sannolik ekonomisk livslängd är mindre 
  än 3 år. </t>
        </r>
      </text>
    </comment>
    <comment ref="F81" authorId="1" shapeId="0" xr:uid="{7BB676AB-AB9D-4B10-945A-D1F45A9684D7}">
      <text>
        <r>
          <rPr>
            <sz val="10"/>
            <color indexed="81"/>
            <rFont val="Tahoma"/>
            <family val="2"/>
          </rPr>
          <t>Företaget kan betala åt arbetstagaren en måltid per dagtraktamente .</t>
        </r>
      </text>
    </comment>
    <comment ref="D86" authorId="1" shapeId="0" xr:uid="{6FC4CE64-60F4-4C57-9BF5-E1444E01B431}">
      <text>
        <r>
          <rPr>
            <sz val="10"/>
            <color indexed="81"/>
            <rFont val="Tahoma"/>
            <family val="2"/>
          </rPr>
          <t>Avdragbar andel av representationskostnader är 50 %, dock inte i Moms-beskattning.</t>
        </r>
      </text>
    </comment>
    <comment ref="F86" authorId="1" shapeId="0" xr:uid="{92E5ABF5-24CD-4DE1-9D0A-A0C51FFC39DF}">
      <text>
        <r>
          <rPr>
            <sz val="10"/>
            <color indexed="81"/>
            <rFont val="Tahoma"/>
            <family val="2"/>
          </rPr>
          <t>Avdragbar andel av representationskostnader är 50 %, dock inte i Moms-beskattning.</t>
        </r>
      </text>
    </comment>
    <comment ref="D100" authorId="1" shapeId="0" xr:uid="{C4C11CFD-A3A1-49F3-99B3-3096CB091E44}">
      <text>
        <r>
          <rPr>
            <sz val="10"/>
            <color indexed="81"/>
            <rFont val="Tahoma"/>
            <family val="2"/>
          </rPr>
          <t>Hyror av arbetskraft för produktion skrivas i tabell 
2. T2 RESULTATSBUDGET, punkt 6. Köpta tjänster.</t>
        </r>
      </text>
    </comment>
    <comment ref="F118" authorId="1" shapeId="0" xr:uid="{16BB605B-417F-4BF7-9748-992FCD96BB19}">
      <text>
        <r>
          <rPr>
            <sz val="10"/>
            <color indexed="81"/>
            <rFont val="Tahoma"/>
            <family val="2"/>
          </rPr>
          <t>Är inte representationskostnader. Avdragbara i beskattning.</t>
        </r>
      </text>
    </comment>
    <comment ref="D119" authorId="1" shapeId="0" xr:uid="{6B44DD9A-2210-4C30-A8C1-D323959288CC}">
      <text>
        <r>
          <rPr>
            <sz val="10"/>
            <color indexed="81"/>
            <rFont val="Tahoma"/>
            <family val="2"/>
          </rPr>
          <t xml:space="preserve">Betyder kostnader av tjänstebilar o.d. fordon, vilka inte är i affärsbruk. T.ex. naturaförmånsbil.  Sådana kostnader är inte avdragbara i Moms-beskattning. </t>
        </r>
      </text>
    </comment>
    <comment ref="F119" authorId="1" shapeId="0" xr:uid="{3B9DC2BD-95BB-4EDF-8B03-820749CD6C4A}">
      <text>
        <r>
          <rPr>
            <sz val="10"/>
            <color indexed="81"/>
            <rFont val="Tahoma"/>
            <family val="2"/>
          </rPr>
          <t xml:space="preserve">Betyder kostnader av tjänstebilar o.d. fordon, vilka inte är i affärsbruk. T.ex. naturaförmånsbil.  Sådana kostnader är inte avdragbara i Moms-beskattning. </t>
        </r>
      </text>
    </comment>
    <comment ref="D120" authorId="1" shapeId="0" xr:uid="{9A25DE43-FDF9-4CBA-B90C-9107029F32B5}">
      <text>
        <r>
          <rPr>
            <sz val="10"/>
            <color indexed="81"/>
            <rFont val="Tahoma"/>
            <family val="2"/>
          </rPr>
          <t>Betyder leasingfinansieringens årskostnader av investeringar för privatbruk. Kostnaderna innehåller inte avdragbar Moms.</t>
        </r>
      </text>
    </comment>
    <comment ref="F120" authorId="1" shapeId="0" xr:uid="{4437C1A5-FA38-416F-B838-813ECBE81D27}">
      <text>
        <r>
          <rPr>
            <sz val="10"/>
            <color indexed="81"/>
            <rFont val="Tahoma"/>
            <family val="2"/>
          </rPr>
          <t>Betyder leasingfinansieringens årskostnader av investeringar för privatbruk. Kostnaderna innehåller inte avdragbar Moms.</t>
        </r>
      </text>
    </comment>
    <comment ref="H120" authorId="1" shapeId="0" xr:uid="{12B37C06-A290-453F-ACDC-6846DAEBCB4C}">
      <text>
        <r>
          <rPr>
            <sz val="10"/>
            <color indexed="81"/>
            <rFont val="Tahoma"/>
            <family val="2"/>
          </rPr>
          <t>Skriv betalningsplan för hela betalningsperioden.</t>
        </r>
      </text>
    </comment>
    <comment ref="D121" authorId="1" shapeId="0" xr:uid="{49D48759-1AE9-4F30-8984-7AC08B23823D}">
      <text>
        <r>
          <rPr>
            <sz val="10"/>
            <color indexed="81"/>
            <rFont val="Tahoma"/>
            <family val="2"/>
          </rPr>
          <t>Tjänster utan förbindelse till omsättning</t>
        </r>
        <r>
          <rPr>
            <sz val="9"/>
            <color indexed="81"/>
            <rFont val="Tahoma"/>
            <family val="2"/>
          </rPr>
          <t xml:space="preserve">. </t>
        </r>
      </text>
    </comment>
    <comment ref="F121" authorId="1" shapeId="0" xr:uid="{4FC62467-F520-44B9-B80D-F0BA36F9AC5D}">
      <text>
        <r>
          <rPr>
            <sz val="10"/>
            <color indexed="81"/>
            <rFont val="Tahoma"/>
            <family val="2"/>
          </rPr>
          <t xml:space="preserve">Tjänster utan förbindelse till omsättning. </t>
        </r>
      </text>
    </comment>
    <comment ref="D122" authorId="1" shapeId="0" xr:uid="{6FC10580-17CF-42B3-B5F1-B54A2832A518}">
      <text>
        <r>
          <rPr>
            <b/>
            <sz val="10"/>
            <color indexed="81"/>
            <rFont val="Tahoma"/>
            <family val="2"/>
          </rPr>
          <t>Hyrning av bostäder är alltid Momsfri.</t>
        </r>
        <r>
          <rPr>
            <sz val="10"/>
            <color indexed="81"/>
            <rFont val="Tahoma"/>
            <family val="2"/>
          </rPr>
          <t xml:space="preserve">
- Alla kostnaderna (t.ex. El, reparation) angående hyrning av bostäder 
  är Momsfria och skrivs inkl. Moms.</t>
        </r>
      </text>
    </comment>
    <comment ref="F122" authorId="1" shapeId="0" xr:uid="{7D091C3D-5B41-445D-AE5B-98916105E7F5}">
      <text>
        <r>
          <rPr>
            <b/>
            <sz val="10"/>
            <color indexed="81"/>
            <rFont val="Tahoma"/>
            <family val="2"/>
          </rPr>
          <t>Hyrning av bostäder är alltid Momsfri.</t>
        </r>
        <r>
          <rPr>
            <sz val="10"/>
            <color indexed="81"/>
            <rFont val="Tahoma"/>
            <family val="2"/>
          </rPr>
          <t xml:space="preserve">
- Alla kostnaderna (t.ex. El, reparation) angående hyrning av bostäder 
  är Momsfria och skrivs inkl. Moms.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A3" authorId="0" shapeId="0" xr:uid="{1C0873A2-67F1-4CAD-AB5D-84095477707B}">
      <text>
        <r>
          <rPr>
            <sz val="10"/>
            <color indexed="81"/>
            <rFont val="Tahoma"/>
            <family val="2"/>
          </rPr>
          <t xml:space="preserve">
IFYLLNADSDIREKTIV
Kalkylera enhetspriset med hjälp av Realiserad period, om priset inte är känt. Siffrorna i tabeller av realiserade perioder förändras inte! 
Observera räkenskapsperiodens längd vid kalkylering av omsättning. </t>
        </r>
      </text>
    </comment>
    <comment ref="F9" authorId="0" shapeId="0" xr:uid="{43E8B7B5-7FEB-4C20-ADB4-04B4E5133421}">
      <text>
        <r>
          <rPr>
            <sz val="10"/>
            <color indexed="81"/>
            <rFont val="Tahoma"/>
            <family val="2"/>
          </rPr>
          <t>Förflyttas från tabell 2. T2 RESULTBUDGET. Om räkenskapsperioden är annan än 12 månader ( 6 - 18 månader), förändra omsättning motsvarande. Observera följande perioden.</t>
        </r>
      </text>
    </comment>
    <comment ref="F16" authorId="1" shapeId="0" xr:uid="{730ED6A2-C01D-4E4B-9DB7-EC7F879CDAE5}">
      <text>
        <r>
          <rPr>
            <sz val="10"/>
            <color indexed="81"/>
            <rFont val="Tahoma"/>
            <family val="2"/>
          </rPr>
          <t>Mervärdesskatt</t>
        </r>
      </text>
    </comment>
    <comment ref="E17" authorId="2" shapeId="0" xr:uid="{A5D8ABEA-FF93-463C-B6B0-06A5B626FCC4}">
      <text>
        <r>
          <rPr>
            <sz val="10"/>
            <color indexed="81"/>
            <rFont val="Tahoma"/>
            <family val="2"/>
          </rPr>
          <t>Omsättning per år</t>
        </r>
      </text>
    </comment>
    <comment ref="E18" authorId="2" shapeId="0" xr:uid="{235CC61C-D17D-4213-9502-2E6385A49E51}">
      <text>
        <r>
          <rPr>
            <sz val="10"/>
            <color indexed="81"/>
            <rFont val="Tahoma"/>
            <family val="2"/>
          </rPr>
          <t>Om försäljningsvolymen inte är känd, märke 1.</t>
        </r>
      </text>
    </comment>
    <comment ref="E21" authorId="0" shapeId="0" xr:uid="{C33B9A68-8E10-4EF8-8A37-65A384FA5324}">
      <text>
        <r>
          <rPr>
            <sz val="10"/>
            <color indexed="81"/>
            <rFont val="Tahoma"/>
            <family val="2"/>
          </rPr>
          <t>Observera också ökning/minskning av 
varulager och varulagret anskaffat vid företagsförvärv.</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10" authorId="0" shapeId="0" xr:uid="{6BA71EF2-F48A-4913-9FBB-5ED23DAFDFB8}">
      <text>
        <r>
          <rPr>
            <sz val="10"/>
            <color indexed="81"/>
            <rFont val="Tahoma"/>
            <family val="2"/>
          </rPr>
          <t xml:space="preserve">
</t>
        </r>
        <r>
          <rPr>
            <b/>
            <sz val="10"/>
            <color indexed="81"/>
            <rFont val="Tahoma"/>
            <family val="2"/>
          </rPr>
          <t>IFYLLNADSDIREKTIV</t>
        </r>
        <r>
          <rPr>
            <sz val="10"/>
            <color indexed="81"/>
            <rFont val="Tahoma"/>
            <family val="2"/>
          </rPr>
          <t xml:space="preserve">
Kalkylera enhetspriset med hjälp av Realiserad period, om priset inte är känt. Siffrorna i tabeller av realiserade perioder förändras inte! 
Observera räkenskapsperiodens längd vid kalkylering av omsättning. 
Välj rätta Moms-% enligt produkten!  MATERIALBRUK MED + TECKEN.
</t>
        </r>
        <r>
          <rPr>
            <b/>
            <sz val="10"/>
            <color indexed="81"/>
            <rFont val="Tahoma"/>
            <family val="2"/>
          </rPr>
          <t xml:space="preserve">Det viktiga numret är cell H50 Omsättningstillgångar / omsättning (%)
</t>
        </r>
        <r>
          <rPr>
            <sz val="10"/>
            <color indexed="81"/>
            <rFont val="Tahoma"/>
            <family val="2"/>
          </rPr>
          <t xml:space="preserve">(lager som procentandel av försäljning)  </t>
        </r>
        <r>
          <rPr>
            <b/>
            <sz val="10"/>
            <color indexed="81"/>
            <rFont val="Tahoma"/>
            <family val="2"/>
          </rPr>
          <t xml:space="preserve">
</t>
        </r>
      </text>
    </comment>
    <comment ref="H16" authorId="1" shapeId="0" xr:uid="{00000000-0006-0000-0500-000001000000}">
      <text>
        <r>
          <rPr>
            <sz val="10"/>
            <color indexed="81"/>
            <rFont val="Tahoma"/>
            <family val="2"/>
          </rPr>
          <t>1. T1 INVESTERINGSP. punkt 11</t>
        </r>
      </text>
    </comment>
    <comment ref="C20" authorId="1" shapeId="0" xr:uid="{14EDA74A-8FE0-45F9-AD50-A7434EF567BF}">
      <text>
        <r>
          <rPr>
            <sz val="10"/>
            <color indexed="81"/>
            <rFont val="Tahoma"/>
            <family val="2"/>
          </rPr>
          <t xml:space="preserve">Vid konvertering kapitallån förvandlas till aktiekapital. </t>
        </r>
      </text>
    </comment>
    <comment ref="M21" authorId="0" shapeId="0" xr:uid="{71E9C351-3448-4BDD-8C1B-4866C96B8F61}">
      <text>
        <r>
          <rPr>
            <b/>
            <sz val="10"/>
            <color indexed="81"/>
            <rFont val="Tahoma"/>
            <family val="2"/>
          </rPr>
          <t xml:space="preserve">Rörelseresultats (EBIT)-% = 
</t>
        </r>
        <r>
          <rPr>
            <sz val="10"/>
            <color indexed="81"/>
            <rFont val="Tahoma"/>
            <family val="2"/>
          </rPr>
          <t>100 x Rörelseresultat / Rörelseintäkter sammanlagt.
Riktvärde: över 10 % bra", 5 - 10 % tillfredställande och under 5 % svag.</t>
        </r>
        <r>
          <rPr>
            <b/>
            <sz val="10"/>
            <color indexed="81"/>
            <rFont val="Tahoma"/>
            <family val="2"/>
          </rPr>
          <t xml:space="preserve">
</t>
        </r>
        <r>
          <rPr>
            <sz val="10"/>
            <color indexed="81"/>
            <rFont val="Tahoma"/>
            <family val="2"/>
          </rPr>
          <t xml:space="preserve">
Rörelseresultatet visar hur mycket av det faktiska rörelseintäkter återstår före finansiella poster och skatter. Rörelseresultatsprocent kan jämföras med andra företag i samma bransch.</t>
        </r>
      </text>
    </comment>
    <comment ref="M25" authorId="0" shapeId="0" xr:uid="{98162E43-4A4D-4832-8695-DA11C9E9F234}">
      <text>
        <r>
          <rPr>
            <b/>
            <sz val="10"/>
            <color indexed="81"/>
            <rFont val="Tahoma"/>
            <family val="2"/>
          </rPr>
          <t>Avkastnings-% på investerat kapital (ROI) =</t>
        </r>
        <r>
          <rPr>
            <sz val="10"/>
            <color indexed="81"/>
            <rFont val="Tahoma"/>
            <family val="2"/>
          </rPr>
          <t xml:space="preserve">
100 x (Nettoresultat + finansieringskostnaderna + skatter) / Investerat kapital i medeltal.
Avkastningsprocenten mäter relativ lönsamhet, det vill säga den avkastning som erhållits på det kapital som investerats i företaget och som kräver ränta eller annan avkastning.</t>
        </r>
      </text>
    </comment>
    <comment ref="H29" authorId="1" shapeId="0" xr:uid="{A8B4272E-39A2-4DC9-8EB4-4AE49C294B34}">
      <text>
        <r>
          <rPr>
            <sz val="10"/>
            <color indexed="81"/>
            <rFont val="Tahoma"/>
            <family val="2"/>
          </rPr>
          <t xml:space="preserve">Förflyttad från 3. T3 BALANS
- tillägg av Finansieringsvärdepapper </t>
        </r>
      </text>
    </comment>
    <comment ref="M29" authorId="0" shapeId="0" xr:uid="{58329DC6-CB6A-4FA6-AE49-97750D492BE1}">
      <text>
        <r>
          <rPr>
            <b/>
            <sz val="10"/>
            <color indexed="81"/>
            <rFont val="Tahoma"/>
            <family val="2"/>
          </rPr>
          <t xml:space="preserve">Kortfristig likviditet =
</t>
        </r>
        <r>
          <rPr>
            <sz val="10"/>
            <color indexed="81"/>
            <rFont val="Tahoma"/>
            <family val="2"/>
          </rPr>
          <t xml:space="preserve">Finansieringstillgångar/Kortfristigt främmande kapital </t>
        </r>
        <r>
          <rPr>
            <b/>
            <sz val="10"/>
            <color indexed="81"/>
            <rFont val="Tahoma"/>
            <family val="2"/>
          </rPr>
          <t xml:space="preserve">
</t>
        </r>
        <r>
          <rPr>
            <sz val="10"/>
            <color indexed="81"/>
            <rFont val="Tahoma"/>
            <family val="2"/>
          </rPr>
          <t>Riktvärde: över 1 bra, 0,5 - 1 tillfredställande och under 0,5 svag</t>
        </r>
      </text>
    </comment>
    <comment ref="M31" authorId="0" shapeId="0" xr:uid="{E5368C07-082B-46D1-BE05-DA4A09100862}">
      <text>
        <r>
          <rPr>
            <b/>
            <sz val="10"/>
            <color indexed="81"/>
            <rFont val="Tahoma"/>
            <family val="2"/>
          </rPr>
          <t>Långfristig likviditet =</t>
        </r>
        <r>
          <rPr>
            <sz val="10"/>
            <color indexed="81"/>
            <rFont val="Tahoma"/>
            <family val="2"/>
          </rPr>
          <t xml:space="preserve">
Omsättningstillgångar + Finansieringstillgångar / Kortfristigt främmande kapital
Riktvärde: över 2 bra, 1 - 2 tillfredställande och under 1 svag.</t>
        </r>
      </text>
    </comment>
    <comment ref="M33" authorId="0" shapeId="0" xr:uid="{22DFE363-586F-446B-A7B5-2CBABA28470D}">
      <text>
        <r>
          <rPr>
            <b/>
            <sz val="10"/>
            <color indexed="81"/>
            <rFont val="Tahoma"/>
            <family val="2"/>
          </rPr>
          <t xml:space="preserve">Återbetalningstid för främmande kapital = </t>
        </r>
        <r>
          <rPr>
            <sz val="10"/>
            <color indexed="81"/>
            <rFont val="Tahoma"/>
            <family val="2"/>
          </rPr>
          <t xml:space="preserve">
Investerad främmande kapital då perioden slutas / finansieringsresultat
Riktvärde: Siffran mindre än genomsnittlig återbetalningstid för långfristiga lån.</t>
        </r>
      </text>
    </comment>
    <comment ref="M34" authorId="0" shapeId="0" xr:uid="{2CE8BDBA-BCFD-4D8C-BC2E-02EE40F4F066}">
      <text>
        <r>
          <rPr>
            <b/>
            <sz val="10"/>
            <color indexed="81"/>
            <rFont val="Tahoma"/>
            <family val="2"/>
          </rPr>
          <t xml:space="preserve">Lånetäckningsgrad = 
</t>
        </r>
        <r>
          <rPr>
            <sz val="10"/>
            <color indexed="81"/>
            <rFont val="Tahoma"/>
            <family val="2"/>
          </rPr>
          <t xml:space="preserve">(Finansieringskostnader + finansieringsresultat) / (Finansieringskostnader + amorteringar av långfristiga lån) </t>
        </r>
        <r>
          <rPr>
            <b/>
            <sz val="10"/>
            <color indexed="81"/>
            <rFont val="Tahoma"/>
            <family val="2"/>
          </rPr>
          <t xml:space="preserve">
</t>
        </r>
        <r>
          <rPr>
            <sz val="10"/>
            <color indexed="81"/>
            <rFont val="Tahoma"/>
            <family val="2"/>
          </rPr>
          <t>Riktvärde: över 2 är bra, 1 - 2 tillfredställande och under 1 svag.</t>
        </r>
      </text>
    </comment>
    <comment ref="H35" authorId="1" shapeId="0" xr:uid="{64FFD054-A5E1-4687-8C68-0A6A363932C5}">
      <text>
        <r>
          <rPr>
            <sz val="10"/>
            <color indexed="81"/>
            <rFont val="Tahoma"/>
            <family val="2"/>
          </rPr>
          <t xml:space="preserve">Extra amortering med plustecken. Minskning av låneamortering med minustecken. </t>
        </r>
      </text>
    </comment>
    <comment ref="M37" authorId="0" shapeId="0" xr:uid="{D701B662-1D87-40BB-BE3A-2DB5E5D9CE32}">
      <text>
        <r>
          <rPr>
            <b/>
            <sz val="10"/>
            <color indexed="81"/>
            <rFont val="Tahoma"/>
            <family val="2"/>
          </rPr>
          <t xml:space="preserve">Soliditet = 
</t>
        </r>
        <r>
          <rPr>
            <sz val="10"/>
            <color indexed="81"/>
            <rFont val="Tahoma"/>
            <family val="2"/>
          </rPr>
          <t>100 x justerad egen kapital / (Slutsumma av justerad balans - erhållna förskott)
Riktvärde: över 40 % är bra, 20 - 40 % tillfredställande och under 20 % svag.</t>
        </r>
      </text>
    </comment>
    <comment ref="H38" authorId="1" shapeId="0" xr:uid="{FFEF7679-D6BA-46D0-88D0-BAB5212AEBBC}">
      <text>
        <r>
          <rPr>
            <sz val="10"/>
            <color indexed="81"/>
            <rFont val="Tahoma"/>
            <family val="2"/>
          </rPr>
          <t>Förflyttad från 3. T3 BALANS
- minskning av kortfristiga lån av penningväsendet
- minskning av kortfristiga kapitallån</t>
        </r>
      </text>
    </comment>
    <comment ref="H39" authorId="1" shapeId="0" xr:uid="{269FE941-A536-4409-BD9E-C29D8F7F9476}">
      <text>
        <r>
          <rPr>
            <sz val="10"/>
            <color indexed="81"/>
            <rFont val="Tahoma"/>
            <family val="2"/>
          </rPr>
          <t>Kan förändras om dividend/privatuttag är annat än förslag på höger i cellen R50-U50.</t>
        </r>
      </text>
    </comment>
    <comment ref="M39" authorId="0" shapeId="0" xr:uid="{AAD58C48-26E1-4FF5-8461-4F38967B6CEC}">
      <text>
        <r>
          <rPr>
            <b/>
            <sz val="10"/>
            <color indexed="81"/>
            <rFont val="Tahoma"/>
            <family val="2"/>
          </rPr>
          <t>Net Gearing (nettoskuldsättningsgrad) =</t>
        </r>
        <r>
          <rPr>
            <sz val="10"/>
            <color indexed="81"/>
            <rFont val="Tahoma"/>
            <family val="2"/>
          </rPr>
          <t xml:space="preserve">
(Räntebärande främmande kapital - pengar och finansieringsvärdepapper) /Slutsumma av justerad balans
Räntebärande främmande kapital = Långfristig främmande kapital  - erhållna förskott + räntebärande kortfristiga skulder + övriga räntebärande interna skulder
Riktvärde: Under 1 är "Bra". Om värdet är noll (tom cell) eller negativt, år företaget "Nettoskuldfri". Om negativt värde beror på negativt eget kapital, är riktvärdet "Svag". 
Nyckeltalet visar hur väl eget kapital täcker mängden räntebärande skulder. </t>
        </r>
      </text>
    </comment>
    <comment ref="H40" authorId="1" shapeId="0" xr:uid="{A934C73A-3CBC-4816-9BF3-AFFE24CFCECB}">
      <text>
        <r>
          <rPr>
            <sz val="10"/>
            <color indexed="81"/>
            <rFont val="Tahoma"/>
            <family val="2"/>
          </rPr>
          <t>Förflyttas från 3. T3 BALANS, cellerna  G35 - J35.</t>
        </r>
      </text>
    </comment>
    <comment ref="M42" authorId="1" shapeId="0" xr:uid="{43449AE5-8B00-428A-A47C-2A79F73DCE89}">
      <text>
        <r>
          <rPr>
            <sz val="10"/>
            <color indexed="81"/>
            <rFont val="Tahoma"/>
            <family val="2"/>
          </rPr>
          <t>Kostnader av arbetskraft angående arbetsförhållande och lönebetalning.</t>
        </r>
      </text>
    </comment>
    <comment ref="H43" authorId="1" shapeId="0" xr:uid="{E92F6C00-1CE6-49D7-B660-08F16FC26A5B}">
      <text>
        <r>
          <rPr>
            <b/>
            <sz val="10"/>
            <color indexed="8"/>
            <rFont val="Tahoma"/>
            <family val="2"/>
          </rPr>
          <t>Slutligen kontrollera, att cellerna H43 - K43 är lika stora än cellerna H49 - K49 i 3. T3 BALANS.</t>
        </r>
      </text>
    </comment>
    <comment ref="I43" authorId="1" shapeId="0" xr:uid="{E9479B75-6040-4170-8FA4-4F7595C3B5A4}">
      <text>
        <r>
          <rPr>
            <b/>
            <sz val="10"/>
            <color indexed="8"/>
            <rFont val="Tahoma"/>
            <family val="2"/>
          </rPr>
          <t>Slutligen kontrollera, att cellerna H43 - K43 är lika stora än cellerna H49 - K49 i 3. T3 BALANS.</t>
        </r>
      </text>
    </comment>
    <comment ref="J43" authorId="1" shapeId="0" xr:uid="{899AD2A6-7EB9-4E1E-979E-9BF524FF67C1}">
      <text>
        <r>
          <rPr>
            <b/>
            <sz val="10"/>
            <color indexed="8"/>
            <rFont val="Tahoma"/>
            <family val="2"/>
          </rPr>
          <t>Slutligen kontrollera, att cellerna H43 - K43 är lika stora än cellerna H49 - K49 i 3. T3 BALANS.</t>
        </r>
      </text>
    </comment>
    <comment ref="K43" authorId="1" shapeId="0" xr:uid="{04230180-AD04-4304-B13B-AA54C1A41BA1}">
      <text>
        <r>
          <rPr>
            <b/>
            <sz val="10"/>
            <color indexed="8"/>
            <rFont val="Tahoma"/>
            <family val="2"/>
          </rPr>
          <t>Slutligen kontrollera, att cellerna H43 - K43 är lika stora än cellerna H49 - K49 i 3. T3 BALANS.</t>
        </r>
      </text>
    </comment>
    <comment ref="M43" authorId="1" shapeId="0" xr:uid="{9C90CB86-2A90-460D-A963-6DBD7D502761}">
      <text>
        <r>
          <rPr>
            <sz val="10"/>
            <color indexed="81"/>
            <rFont val="Tahoma"/>
            <family val="2"/>
          </rPr>
          <t>Alla personalkostnader, också frivilliga pensionskostnader.</t>
        </r>
      </text>
    </comment>
    <comment ref="C44" authorId="1" shapeId="0" xr:uid="{74DBC1CF-95B8-487D-9F41-FF991767A1AE}">
      <text>
        <r>
          <rPr>
            <sz val="10"/>
            <color indexed="81"/>
            <rFont val="Tahoma"/>
            <family val="2"/>
          </rPr>
          <t>Siffran berättar hur många dagar "Kumulativt under-/överskott" räcker till fasta kostnader. Borde vara minst 30 dagar.
Formel</t>
        </r>
        <r>
          <rPr>
            <b/>
            <sz val="10"/>
            <color indexed="81"/>
            <rFont val="Tahoma"/>
            <family val="2"/>
          </rPr>
          <t xml:space="preserve">:
</t>
        </r>
        <r>
          <rPr>
            <sz val="10"/>
            <color indexed="81"/>
            <rFont val="Tahoma"/>
            <family val="2"/>
          </rPr>
          <t>Kumulativt under-/överskott/Övriga fasta kostnader
(1. E1 VERKSAMHETSKOSTN. rad 45) * 365</t>
        </r>
      </text>
    </comment>
    <comment ref="M44" authorId="1" shapeId="0" xr:uid="{011BC54B-5979-4F01-8A45-45A1B97EAEB9}">
      <text>
        <r>
          <rPr>
            <b/>
            <sz val="10"/>
            <color indexed="81"/>
            <rFont val="Tahoma"/>
            <family val="2"/>
          </rPr>
          <t>Krisparameter Z =</t>
        </r>
        <r>
          <rPr>
            <sz val="10"/>
            <color indexed="81"/>
            <rFont val="Tahoma"/>
            <family val="2"/>
          </rPr>
          <t xml:space="preserve">
Z = 1,77 * finansieringsresultats-% + 14,14 * quick ratio + 0,54 * soliditets-%
Riktvärde: Över 28 är Bra, 18 - 28 tillfredställande och 5 - 18 Svag</t>
        </r>
      </text>
    </comment>
    <comment ref="M49" authorId="1" shapeId="0" xr:uid="{B416C8EB-33FC-46EA-AF36-E2231E2B58F1}">
      <text>
        <r>
          <rPr>
            <b/>
            <sz val="10"/>
            <color indexed="81"/>
            <rFont val="Tahoma"/>
            <family val="2"/>
          </rPr>
          <t>Firma-företagsform</t>
        </r>
        <r>
          <rPr>
            <sz val="10"/>
            <color indexed="81"/>
            <rFont val="Tahoma"/>
            <family val="2"/>
          </rPr>
          <t xml:space="preserve">
Endast kontanta medel iakttagas vid nettoförmögenhetkalkylering.</t>
        </r>
      </text>
    </comment>
    <comment ref="C50" authorId="1" shapeId="0" xr:uid="{5A12DAD5-254E-4981-B666-9A5B8FEE6EB6}">
      <text>
        <r>
          <rPr>
            <sz val="10"/>
            <color indexed="81"/>
            <rFont val="Tahoma"/>
            <family val="2"/>
          </rPr>
          <t xml:space="preserve">Siffran berättar hur stor andel av omsättning är bunden i lagret. 
</t>
        </r>
        <r>
          <rPr>
            <b/>
            <sz val="10"/>
            <color indexed="81"/>
            <rFont val="Tahoma"/>
            <family val="2"/>
          </rPr>
          <t>Formel:</t>
        </r>
        <r>
          <rPr>
            <sz val="10"/>
            <color indexed="81"/>
            <rFont val="Tahoma"/>
            <family val="2"/>
          </rPr>
          <t xml:space="preserve">
100 *</t>
        </r>
        <r>
          <rPr>
            <b/>
            <sz val="10"/>
            <color indexed="81"/>
            <rFont val="Tahoma"/>
            <family val="2"/>
          </rPr>
          <t xml:space="preserve"> </t>
        </r>
        <r>
          <rPr>
            <sz val="10"/>
            <color indexed="81"/>
            <rFont val="Tahoma"/>
            <family val="2"/>
          </rPr>
          <t xml:space="preserve">(Omsättningstillgångar/Omsättning (12 månader) </t>
        </r>
      </text>
    </comment>
    <comment ref="H50" authorId="0" shapeId="0" xr:uid="{E96B28F8-D01B-47F8-987D-7674F1A63BE4}">
      <text>
        <r>
          <rPr>
            <sz val="10"/>
            <color indexed="81"/>
            <rFont val="Tahoma"/>
            <family val="2"/>
          </rPr>
          <t>Industri, handel och byggande är branscher som alltid har omsättningstillgångar i lager.
Till exempel betyder 8% en månads lager.
Inom tjänstebranscher är omsättningstillgångar nästan noll.</t>
        </r>
      </text>
    </comment>
    <comment ref="M50" authorId="1" shapeId="0" xr:uid="{6A2B3D06-0D8B-4EF6-BA40-7344F19C1CBA}">
      <text>
        <r>
          <rPr>
            <sz val="10"/>
            <color indexed="81"/>
            <rFont val="Tahoma"/>
            <family val="2"/>
          </rPr>
          <t>Om aktieägaren/bolagsmannen bor i företagets bostad, minskas bostadens värde av nettoförmögenhet.</t>
        </r>
      </text>
    </comment>
    <comment ref="C52" authorId="1" shapeId="0" xr:uid="{6340A4D8-6CAC-4DDE-955C-8F683A97A9CF}">
      <text>
        <r>
          <rPr>
            <sz val="10"/>
            <color indexed="81"/>
            <rFont val="Tahoma"/>
            <family val="2"/>
          </rPr>
          <t xml:space="preserve">Siffran berättar, hur snabbt kunden betalar din faktura.
</t>
        </r>
        <r>
          <rPr>
            <b/>
            <i/>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H52" authorId="1" shapeId="0" xr:uid="{00000000-0006-0000-0500-00002F000000}">
      <text>
        <r>
          <rPr>
            <sz val="10"/>
            <color indexed="81"/>
            <rFont val="Tahoma"/>
            <family val="2"/>
          </rPr>
          <t>Omloppstiden noll dagar, om bara kontantförsäljning.</t>
        </r>
      </text>
    </comment>
    <comment ref="R52" authorId="1" shapeId="0" xr:uid="{77F1F948-D85F-4C32-A07B-B9A305B9C271}">
      <text>
        <r>
          <rPr>
            <b/>
            <sz val="10"/>
            <color indexed="81"/>
            <rFont val="Tahoma"/>
            <family val="2"/>
          </rPr>
          <t>Siffrorna här förflyttar sig till cellen H39 - K39 på vänster.</t>
        </r>
        <r>
          <rPr>
            <sz val="10"/>
            <color indexed="81"/>
            <rFont val="Tahoma"/>
            <family val="2"/>
          </rPr>
          <t xml:space="preserve">
Dividend kalkyleras färdigt enligt 8 %. Kan förändras. 
Från dividend av onoterad aktiebolag betalas 7,5 % skatt ändå till 8 % av nettoförmögenhet. Det är alltid förnuftigt att betala 8 % dividend. Beloppet kalkyleras av förra årets nettoförmögenhet.
</t>
        </r>
        <r>
          <rPr>
            <b/>
            <sz val="10"/>
            <color indexed="81"/>
            <rFont val="Tahoma"/>
            <family val="2"/>
          </rPr>
          <t xml:space="preserve">Firma, Kb och Öb
</t>
        </r>
        <r>
          <rPr>
            <sz val="10"/>
            <color indexed="81"/>
            <rFont val="Tahoma"/>
            <family val="2"/>
          </rPr>
          <t>Privata uttag.</t>
        </r>
      </text>
    </comment>
    <comment ref="C57" authorId="1" shapeId="0" xr:uid="{96FB529C-A41F-49E4-98A0-818BECF9E564}">
      <text>
        <r>
          <rPr>
            <sz val="10"/>
            <color indexed="81"/>
            <rFont val="Tahoma"/>
            <family val="2"/>
          </rPr>
          <t xml:space="preserve">Siffran berättar, hur snabbt ni betalar fakturan. 
</t>
        </r>
        <r>
          <rPr>
            <b/>
            <i/>
            <sz val="10"/>
            <color indexed="81"/>
            <rFont val="Tahoma"/>
            <family val="2"/>
          </rPr>
          <t>Formel:</t>
        </r>
        <r>
          <rPr>
            <sz val="10"/>
            <color indexed="81"/>
            <rFont val="Tahoma"/>
            <family val="2"/>
          </rPr>
          <t xml:space="preserve">
Inköpsskulder/inköpen slgt (12 månader)  * 365</t>
        </r>
      </text>
    </comment>
    <comment ref="H57" authorId="1" shapeId="0" xr:uid="{00000000-0006-0000-0500-000031000000}">
      <text>
        <r>
          <rPr>
            <sz val="10"/>
            <color indexed="81"/>
            <rFont val="Tahoma"/>
            <family val="2"/>
          </rPr>
          <t>Omloppstiden är noll dagar, om betalning vid köpning. Är omloppstiden av inköpsskulden sanningsenlig?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Företagstolken</author>
    <author>Ari Järvinen</author>
    <author>Jadelcons</author>
  </authors>
  <commentList>
    <comment ref="A3" authorId="0" shapeId="0" xr:uid="{8F4C8E49-9F46-46CC-B6B2-98796536082E}">
      <text>
        <r>
          <rPr>
            <b/>
            <sz val="12"/>
            <color indexed="81"/>
            <rFont val="Tahoma"/>
            <family val="2"/>
          </rPr>
          <t xml:space="preserve">Du kan upprätta kassabudgeten för prognos år 1 och prognos år 2. 
</t>
        </r>
        <r>
          <rPr>
            <sz val="10"/>
            <color indexed="81"/>
            <rFont val="Tahoma"/>
            <family val="2"/>
          </rPr>
          <t xml:space="preserve">
</t>
        </r>
        <r>
          <rPr>
            <b/>
            <sz val="10"/>
            <color indexed="81"/>
            <rFont val="Tahoma"/>
            <family val="2"/>
          </rPr>
          <t>Viktigt! Bedöma andel av kontant- och fakturaförsäljning samt försäljning / månad i procentar (slgt 100 %). Använd riktiga Moms-procentar!</t>
        </r>
        <r>
          <rPr>
            <sz val="10"/>
            <color indexed="81"/>
            <rFont val="Tahoma"/>
            <family val="2"/>
          </rPr>
          <t xml:space="preserve">
</t>
        </r>
        <r>
          <rPr>
            <b/>
            <sz val="10"/>
            <color indexed="81"/>
            <rFont val="Tahoma"/>
            <family val="2"/>
          </rPr>
          <t>4.  Extraordinära intäkter</t>
        </r>
        <r>
          <rPr>
            <sz val="10"/>
            <color indexed="81"/>
            <rFont val="Tahoma"/>
            <family val="2"/>
          </rPr>
          <t xml:space="preserve">
- Om maskiner eller anläggningar säljs, lägg försäljningspriset TILL PUNKT 4. Priset hittas från tabell 
  1. T1 INVSTERINGSPLAN punkt "15. Övrig egen finansiering".
</t>
        </r>
        <r>
          <rPr>
            <b/>
            <sz val="10"/>
            <color indexed="81"/>
            <rFont val="Tahoma"/>
            <family val="2"/>
          </rPr>
          <t>6. Materialbruk och varor</t>
        </r>
        <r>
          <rPr>
            <sz val="10"/>
            <color indexed="81"/>
            <rFont val="Tahoma"/>
            <family val="2"/>
          </rPr>
          <t xml:space="preserve">
Placera till rätt månad.</t>
        </r>
        <r>
          <rPr>
            <b/>
            <sz val="10"/>
            <color indexed="81"/>
            <rFont val="Tahoma"/>
            <family val="2"/>
          </rPr>
          <t xml:space="preserve">
9. Investeringar inkl. moms (punkt 23.) och investeringar moms 0 % (punkt 24.)</t>
        </r>
        <r>
          <rPr>
            <sz val="10"/>
            <color indexed="81"/>
            <rFont val="Tahoma"/>
            <family val="2"/>
          </rPr>
          <t xml:space="preserve">
- Om investeringar finansieras med leasing, kom ihåg att minska leasingfinansieringens värde.
</t>
        </r>
        <r>
          <rPr>
            <b/>
            <sz val="10"/>
            <color indexed="81"/>
            <rFont val="Tahoma"/>
            <family val="2"/>
          </rPr>
          <t>25. Anskaffning av aktier till affärslägenhet</t>
        </r>
        <r>
          <rPr>
            <sz val="10"/>
            <color indexed="81"/>
            <rFont val="Tahoma"/>
            <family val="2"/>
          </rPr>
          <t xml:space="preserve">
- Priset finns i tabell T1 INVESTERINGSPLAN punkt "8. Placeringar
</t>
        </r>
        <r>
          <rPr>
            <b/>
            <sz val="10"/>
            <color indexed="81"/>
            <rFont val="Tahoma"/>
            <family val="2"/>
          </rPr>
          <t>30. Dividender/Privata uttag</t>
        </r>
        <r>
          <rPr>
            <sz val="10"/>
            <color indexed="81"/>
            <rFont val="Tahoma"/>
            <family val="2"/>
          </rPr>
          <t xml:space="preserve">
- LÄGG TILL I PUNKT 30: Privata uttag / dividendbetalning</t>
        </r>
      </text>
    </comment>
    <comment ref="G9" authorId="1" shapeId="0" xr:uid="{F3D8509A-1636-4C27-9EF8-77B15F940E9F}">
      <text>
        <r>
          <rPr>
            <sz val="10"/>
            <color indexed="81"/>
            <rFont val="Tahoma"/>
            <family val="2"/>
          </rPr>
          <t>Första månaden av räkenskapsperioden.</t>
        </r>
      </text>
    </comment>
    <comment ref="G10" authorId="1" shapeId="0" xr:uid="{FAF21D60-FA8C-4073-8D84-27D9B25530FD}">
      <text>
        <r>
          <rPr>
            <sz val="10"/>
            <color indexed="81"/>
            <rFont val="Tahoma"/>
            <family val="2"/>
          </rPr>
          <t xml:space="preserve">Aktivt företag:
- likvida medel från sista periodens bokslut </t>
        </r>
      </text>
    </comment>
    <comment ref="G11" authorId="1" shapeId="0" xr:uid="{BD108EA9-75DB-47D8-B166-B8079C24F36C}">
      <text>
        <r>
          <rPr>
            <sz val="10"/>
            <color indexed="81"/>
            <rFont val="Tahoma"/>
            <family val="2"/>
          </rPr>
          <t>Siffran beräknas enligt omloppstiden av kundfordringar i tabell 3. T3 BALANS, cell G42 eller H42.</t>
        </r>
      </text>
    </comment>
    <comment ref="E12" authorId="1" shapeId="0" xr:uid="{FF2DD442-B63B-40AD-89B7-F8B3677896E5}">
      <text>
        <r>
          <rPr>
            <sz val="10"/>
            <color indexed="81"/>
            <rFont val="Tahoma"/>
            <family val="2"/>
          </rPr>
          <t>Skriv här kontantförsäljningens procentuellt antal av totalförsäljningen.</t>
        </r>
      </text>
    </comment>
    <comment ref="G13" authorId="1" shapeId="0" xr:uid="{16FC427C-D82A-4908-83E5-D421E9D3033A}">
      <text>
        <r>
          <rPr>
            <sz val="10"/>
            <color indexed="81"/>
            <rFont val="Tahoma"/>
            <family val="2"/>
          </rPr>
          <t xml:space="preserve">Procentsiffran betyder månadens försäljningsandel av hela årets försäljning. Om försäljningen är jämnstor i varje månad, är siffran 8,3 %.  </t>
        </r>
      </text>
    </comment>
    <comment ref="S14" authorId="0" shapeId="0" xr:uid="{5D3F1429-8E03-46DD-8EDC-EE8ECACD3CEE}">
      <text>
        <r>
          <rPr>
            <sz val="10"/>
            <color indexed="81"/>
            <rFont val="Tahoma"/>
            <family val="2"/>
          </rPr>
          <t>Beräknad fakturaårsförsjälning enligt försäljningsprognos 6. E2 OMSÄTTNING</t>
        </r>
      </text>
    </comment>
    <comment ref="G15" authorId="1" shapeId="0" xr:uid="{1B4F5D5D-3394-49BB-B7DF-D18801D82574}">
      <text>
        <r>
          <rPr>
            <sz val="10"/>
            <color indexed="81"/>
            <rFont val="Tahoma"/>
            <family val="2"/>
          </rPr>
          <t xml:space="preserve">Procentsiffran betyder månadens försäljningsandel av hela årets försäljning. Om försäljningen är jämnstor i varje månad, är siffran 8,3 %.  </t>
        </r>
      </text>
    </comment>
    <comment ref="E16" authorId="1" shapeId="0" xr:uid="{2ECC604D-EF2A-4DF1-AFF0-78866E844F48}">
      <text>
        <r>
          <rPr>
            <sz val="10"/>
            <color indexed="81"/>
            <rFont val="Tahoma"/>
            <family val="2"/>
          </rPr>
          <t>Genomsnittlig betalningstid för realiserade försäljningsfakturor. Den längsta betalningstiden är 180 dagar.</t>
        </r>
      </text>
    </comment>
    <comment ref="C17" authorId="2" shapeId="0" xr:uid="{4AB101D8-0AE7-4881-A6C2-CD33F2D461D4}">
      <text>
        <r>
          <rPr>
            <sz val="10"/>
            <color indexed="81"/>
            <rFont val="Tahoma"/>
            <family val="2"/>
          </rPr>
          <t xml:space="preserve">T.ex. vid företagssanering sålda  maskiner, produkträttigheter o.d. </t>
        </r>
      </text>
    </comment>
    <comment ref="G18" authorId="2" shapeId="0" xr:uid="{A86589C9-A424-4C10-B49C-3A62D9595F50}">
      <text>
        <r>
          <rPr>
            <sz val="10"/>
            <color indexed="81"/>
            <rFont val="Tahoma"/>
            <family val="2"/>
          </rPr>
          <t>Programmet beräknar färdigt Övriga rörelseintäkter (Tabell 2. T2 RESULTATBUDGET, punkt 2) samt uppbärning av placeringar. Komplettera övriga intäkter.</t>
        </r>
      </text>
    </comment>
    <comment ref="M18" authorId="1" shapeId="0" xr:uid="{B1471D65-0223-4112-A25A-3BB640157F76}">
      <text>
        <r>
          <rPr>
            <sz val="10"/>
            <color indexed="81"/>
            <rFont val="Tahoma"/>
            <family val="2"/>
          </rPr>
          <t>Innehåller upptagning av företagsbidragen.</t>
        </r>
      </text>
    </comment>
    <comment ref="F22" authorId="1" shapeId="0" xr:uid="{82565A8D-471B-4D5F-AB0F-2325779D480F}">
      <text>
        <r>
          <rPr>
            <sz val="10"/>
            <color indexed="81"/>
            <rFont val="Tahoma"/>
            <family val="2"/>
          </rPr>
          <t>Momsprocent. Om flera momssatser, uppskatta det vägda genomsnittet.</t>
        </r>
      </text>
    </comment>
    <comment ref="G22" authorId="2" shapeId="0" xr:uid="{7471C7BF-72DC-4B23-8221-4202F4701A49}">
      <text>
        <r>
          <rPr>
            <sz val="10"/>
            <color indexed="81"/>
            <rFont val="Tahoma"/>
            <family val="2"/>
          </rPr>
          <t>Programmet beräknar nödvändiga inköp av material och förnödenheter efter försäljning. Hur stora är inköpen och för vilka månader kommer fakturorna? Förändra om behövs.</t>
        </r>
      </text>
    </comment>
    <comment ref="T22" authorId="1" shapeId="0" xr:uid="{ED7BFFE1-63AC-454F-B33E-40FE4E25446A}">
      <text>
        <r>
          <rPr>
            <sz val="10"/>
            <color indexed="81"/>
            <rFont val="Tahoma"/>
            <family val="2"/>
          </rPr>
          <t>Skillnaden mellan kassabudgeten och målet för budgetåret.</t>
        </r>
      </text>
    </comment>
    <comment ref="E23" authorId="2" shapeId="0" xr:uid="{42593C44-1EAE-43C2-868F-9D8251E94D23}">
      <text>
        <r>
          <rPr>
            <sz val="10"/>
            <color indexed="81"/>
            <rFont val="Tahoma"/>
            <family val="2"/>
          </rPr>
          <t>Omloppstiden för skulder till leverantörer är samma som vid 8. T4 FINANSIERINGSB. cell H57. Den längsta betalningstidem är 90 dagar.</t>
        </r>
      </text>
    </comment>
    <comment ref="G24" authorId="2" shapeId="0" xr:uid="{9CD7462D-D336-48FF-8616-3E44D3CDB308}">
      <text>
        <r>
          <rPr>
            <sz val="10"/>
            <color indexed="81"/>
            <rFont val="Tahoma"/>
            <family val="2"/>
          </rPr>
          <t>Siffran är överförd från tabell 1. T1 INVESTERINGSP. punkt 10. Köp av omsättningstillgångar vid företagsförvärv moms 0 %. Om flera momssatser, uppskatta det vägda genomsnittet.</t>
        </r>
      </text>
    </comment>
    <comment ref="AV25" authorId="0" shapeId="0" xr:uid="{DEF98397-3512-440D-8FDB-D1C5183E9BA2}">
      <text>
        <r>
          <rPr>
            <sz val="9"/>
            <color indexed="81"/>
            <rFont val="Tahoma"/>
            <family val="2"/>
          </rPr>
          <t>2025 Sairausvakuutusmaksu 1,87 %
2026 1,91 %</t>
        </r>
      </text>
    </comment>
    <comment ref="AW25" authorId="0" shapeId="0" xr:uid="{A2E12D80-2E7D-4F2C-A34C-BE3734EFFD5D}">
      <text>
        <r>
          <rPr>
            <b/>
            <sz val="9"/>
            <color indexed="81"/>
            <rFont val="Tahoma"/>
            <family val="2"/>
          </rPr>
          <t>2021:
TyEL ja TT-vakuutusmaksu yrittäjällä 0 %</t>
        </r>
        <r>
          <rPr>
            <sz val="9"/>
            <color indexed="81"/>
            <rFont val="Tahoma"/>
            <family val="2"/>
          </rPr>
          <t xml:space="preserve">
</t>
        </r>
      </text>
    </comment>
    <comment ref="BD25" authorId="0" shapeId="0" xr:uid="{16DEE4DC-9576-4D35-A1A0-0485734596A1}">
      <text>
        <r>
          <rPr>
            <b/>
            <sz val="9"/>
            <color indexed="81"/>
            <rFont val="Tahoma"/>
            <family val="2"/>
          </rPr>
          <t>2026:
Työntekijä maksaa:
Työttömyysvakuutusmaksu 0,89 % + TyEL-maksu 7,3 %</t>
        </r>
        <r>
          <rPr>
            <sz val="9"/>
            <color indexed="81"/>
            <rFont val="Tahoma"/>
            <family val="2"/>
          </rPr>
          <t xml:space="preserve">
</t>
        </r>
        <r>
          <rPr>
            <b/>
            <sz val="9"/>
            <color indexed="81"/>
            <rFont val="Tahoma"/>
            <family val="2"/>
          </rPr>
          <t xml:space="preserve">= 8,19 %
</t>
        </r>
      </text>
    </comment>
    <comment ref="G26" authorId="3" shapeId="0" xr:uid="{BF18F83E-8860-42A9-9CBC-3BFAFF3FDA7B}">
      <text>
        <r>
          <rPr>
            <sz val="10"/>
            <color indexed="81"/>
            <rFont val="Tahoma"/>
            <family val="2"/>
          </rPr>
          <t>Lägg till moms-investeringar från tabell
1. T1 INVESTERINGSPLAN. Kom ihåg minska leasingfinansieringens andel. Dela i rätta månader.
Om i tabell 1. T1 Investeringsplan -&gt; Övriga materiella tillgångar är skattefria, flytta då dessa investeringar till punkt 22. Investeringar Moms 0%</t>
        </r>
      </text>
    </comment>
    <comment ref="AW26" authorId="0" shapeId="0" xr:uid="{2637E025-4241-4E5C-B790-835A1A292785}">
      <text>
        <r>
          <rPr>
            <b/>
            <sz val="9"/>
            <color indexed="81"/>
            <rFont val="Tahoma"/>
            <family val="2"/>
          </rPr>
          <t>2021:
TyEL ja TT-vakuutusmaksu yrittäjällä 0 %</t>
        </r>
        <r>
          <rPr>
            <sz val="9"/>
            <color indexed="81"/>
            <rFont val="Tahoma"/>
            <family val="2"/>
          </rPr>
          <t xml:space="preserve">
</t>
        </r>
      </text>
    </comment>
    <comment ref="AW27" authorId="0" shapeId="0" xr:uid="{B0E66862-2E58-48A7-BECD-2A13F2F1EFBB}">
      <text>
        <r>
          <rPr>
            <b/>
            <sz val="9"/>
            <color indexed="81"/>
            <rFont val="Tahoma"/>
            <family val="2"/>
          </rPr>
          <t>2021:
TyEL ja TT-vakuutusmaksu yrittäjällä 0 %</t>
        </r>
        <r>
          <rPr>
            <sz val="9"/>
            <color indexed="81"/>
            <rFont val="Tahoma"/>
            <family val="2"/>
          </rPr>
          <t xml:space="preserve">
</t>
        </r>
      </text>
    </comment>
    <comment ref="F29" authorId="3" shapeId="0" xr:uid="{2A173542-13CA-4D88-8AE8-ECB4EDFF06F7}">
      <text>
        <r>
          <rPr>
            <b/>
            <sz val="10"/>
            <color indexed="81"/>
            <rFont val="Tahoma"/>
            <family val="2"/>
          </rPr>
          <t xml:space="preserve"> Beräknad vägda genomsnittet.</t>
        </r>
      </text>
    </comment>
    <comment ref="C30" authorId="1" shapeId="0" xr:uid="{C03C159C-726B-4CAC-AC99-E0A811EBC93D}">
      <text>
        <r>
          <rPr>
            <sz val="10"/>
            <color indexed="81"/>
            <rFont val="Tahoma"/>
            <family val="2"/>
          </rPr>
          <t>Programmet beräknar momsen på grund av intäkter och utgifter inklusive moms, som bildade två månader tidigare.
- Skattbara försäljningar är intäkter från kundfordringar och 
  kontantförsäljning
- Avdragbara utgifter är raderna 6 - 12
Obs!  Beräkning kan inte avkasta fullständigt rätt resultat på grund av fördröjningar vid betalningar, men noggrannheten är tillräckligt.</t>
        </r>
      </text>
    </comment>
    <comment ref="M31" authorId="0" shapeId="0" xr:uid="{69FBBDA1-CE1C-46AE-8C6F-4134193FC54A}">
      <text>
        <r>
          <rPr>
            <sz val="10"/>
            <color indexed="81"/>
            <rFont val="Tahoma"/>
            <family val="2"/>
          </rPr>
          <t>Lönen för den månad då semesterlönen betalas ut motsvarar 1,5 gånger månadslönen</t>
        </r>
      </text>
    </comment>
    <comment ref="F32" authorId="1" shapeId="0" xr:uid="{A76D8A18-F825-4114-A23B-DB88013C9815}">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M33" authorId="0" shapeId="0" xr:uid="{08889137-689E-4090-84D5-CF66B6DAC3BA}">
      <text>
        <r>
          <rPr>
            <sz val="10"/>
            <color indexed="81"/>
            <rFont val="Tahoma"/>
            <family val="2"/>
          </rPr>
          <t>Lönen för den månad då semesterlönen betalas ut motsvarar 1,5 gånger månadslönen</t>
        </r>
      </text>
    </comment>
    <comment ref="T33" authorId="0" shapeId="0" xr:uid="{96B1CE86-32C4-4840-9D8E-A21F6110AFCD}">
      <text>
        <r>
          <rPr>
            <sz val="10"/>
            <color indexed="81"/>
            <rFont val="Tahoma"/>
            <family val="2"/>
          </rPr>
          <t xml:space="preserve">Om siffran är negativ, lägg till lönekostnaderna i punkterna 1.2 och/eller 1.3 i tabell 5. E1 VERKSAMHETSKOSTNADER.  
Om siffran är positiv, dra av lönekostnaderna i punkterna 1.2 och/eller 1.3 i tabell 5. E1 VERKSAMHETSKOSTNADER.  </t>
        </r>
      </text>
    </comment>
    <comment ref="F35" authorId="0" shapeId="0" xr:uid="{7AA887E2-01E0-48F1-A3B0-F5A45430EBEE}">
      <text>
        <r>
          <rPr>
            <b/>
            <sz val="10"/>
            <color indexed="81"/>
            <rFont val="Tahoma"/>
            <family val="2"/>
          </rPr>
          <t>2026
Företaget betalar genomsnittligt:</t>
        </r>
        <r>
          <rPr>
            <sz val="10"/>
            <color indexed="81"/>
            <rFont val="Tahoma"/>
            <family val="2"/>
          </rPr>
          <t xml:space="preserve"> 
- ArPL-avgift 17,1 % 
- Olyckfallsförsäkringsavgift 0,5 - 5 % (för olycksbenägen bransch större, t.ex bygnadsbranschen 1 - 3 %)
- Grupplivsförsäkringsavgift 0,06 % 
- Arbertslöshetsförsäkringsavgift 1,2 %  
</t>
        </r>
        <r>
          <rPr>
            <b/>
            <sz val="10"/>
            <color indexed="81"/>
            <rFont val="Tahoma"/>
            <family val="2"/>
          </rPr>
          <t xml:space="preserve">Tillsammans 18,9  - 23,4 % </t>
        </r>
      </text>
    </comment>
    <comment ref="C39" authorId="2" shapeId="0" xr:uid="{3EDE3A7F-5C87-4688-BB93-FEE7929B3F7F}">
      <text>
        <r>
          <rPr>
            <sz val="10"/>
            <color indexed="81"/>
            <rFont val="Tahoma"/>
            <family val="2"/>
          </rPr>
          <t xml:space="preserve">Innehåller inte räntor av avbetalningsskulder, som finns i punkten 27. </t>
        </r>
      </text>
    </comment>
    <comment ref="G41" authorId="2" shapeId="0" xr:uid="{A3BD870E-01D9-4C99-8EBE-9F99373496E5}">
      <text>
        <r>
          <rPr>
            <sz val="10"/>
            <color indexed="81"/>
            <rFont val="Tahoma"/>
            <family val="2"/>
          </rPr>
          <t xml:space="preserve">Fördela investeringarna på rätt månader och minska andelen investeringar som finansieras genom leasing.
</t>
        </r>
        <r>
          <rPr>
            <b/>
            <sz val="10"/>
            <color indexed="81"/>
            <rFont val="Tahoma"/>
            <family val="2"/>
          </rPr>
          <t>Observera mervärdesskatt!</t>
        </r>
        <r>
          <rPr>
            <sz val="10"/>
            <color indexed="81"/>
            <rFont val="Tahoma"/>
            <family val="2"/>
          </rPr>
          <t xml:space="preserve">  Kontrollera om punkt 7 i 1. T1 INVESTERINGSPLAN (Immateriella tillgångar) innehåller mervärdesskatt. Om så är fallet, flytta dessa investeringar till punkt 9 i kassabudgeten (Investeringar inkl. mervärdesskatt). </t>
        </r>
      </text>
    </comment>
    <comment ref="AK43" authorId="1" shapeId="0" xr:uid="{7AEC326E-B2C7-4073-AF0A-E96E19523368}">
      <text>
        <r>
          <rPr>
            <sz val="10"/>
            <color indexed="81"/>
            <rFont val="Tahoma"/>
            <family val="2"/>
          </rPr>
          <t xml:space="preserve">Kontanter i slutet av den sista prognosmånaden för innevarande år. </t>
        </r>
      </text>
    </comment>
    <comment ref="G48" authorId="1" shapeId="0" xr:uid="{5668684F-70D8-4FB9-935D-65BD00CA3007}">
      <text>
        <r>
          <rPr>
            <sz val="10"/>
            <color indexed="81"/>
            <rFont val="Tahoma"/>
            <family val="2"/>
          </rPr>
          <t>Programmet beräknar jämnstora månatliga rater. Förändra om behövs.</t>
        </r>
      </text>
    </comment>
    <comment ref="G49" authorId="2" shapeId="0" xr:uid="{F0CBA710-A17D-4AA4-957C-9EC1474AB998}">
      <text>
        <r>
          <rPr>
            <sz val="10"/>
            <color indexed="81"/>
            <rFont val="Tahoma"/>
            <family val="2"/>
          </rPr>
          <t>Lyft av lån och avbetalningar för hela året från tabell 4. T7 LÅN. Placera till rätt månad!</t>
        </r>
      </text>
    </comment>
    <comment ref="L50" authorId="1" shapeId="0" xr:uid="{1C3A0B0C-E8D5-47BE-BAD8-7EE80C4E8076}">
      <text>
        <r>
          <rPr>
            <sz val="10"/>
            <color indexed="81"/>
            <rFont val="Tahoma"/>
            <family val="2"/>
          </rPr>
          <t>Programmet beräknar amorteringar 2 rater per år. Kan förändras som blir sant. Öka återbetalningarna på kortfristiga skulder och andra lån utan säkerhet.</t>
        </r>
      </text>
    </comment>
    <comment ref="R50" authorId="1" shapeId="0" xr:uid="{25A9C1DD-191C-41C5-BA3C-1309C9CE14F7}">
      <text>
        <r>
          <rPr>
            <sz val="10"/>
            <color indexed="81"/>
            <rFont val="Tahoma"/>
            <family val="2"/>
          </rPr>
          <t>Programmet beräknar amorteringar 2 rater per år. Kan förändras som blir sant. Öka återbetalningarna på kortfristiga skulder och andra lån utan säkerhet.</t>
        </r>
      </text>
    </comment>
    <comment ref="G51" authorId="2" shapeId="0" xr:uid="{CE38304E-4720-4BE3-9C6D-39624E666B53}">
      <text>
        <r>
          <rPr>
            <sz val="10"/>
            <color indexed="81"/>
            <rFont val="Tahoma"/>
            <family val="2"/>
          </rPr>
          <t xml:space="preserve">Lägg till dividendbetalning och privata uttag. </t>
        </r>
      </text>
    </comment>
    <comment ref="G52" authorId="2" shapeId="0" xr:uid="{C872229D-0BCC-4AE5-95BA-E9DF0348295F}">
      <text>
        <r>
          <rPr>
            <sz val="10"/>
            <color indexed="81"/>
            <rFont val="Tahoma"/>
            <family val="2"/>
          </rPr>
          <t>Ägarnas ytterligare placeringar från 1. T1 INVESTERINGSPLAN punkt 13.
Placera till rätt månad!</t>
        </r>
      </text>
    </comment>
    <comment ref="G53" authorId="1" shapeId="0" xr:uid="{8A763549-94E0-45DF-B56F-166D1E92C4A3}">
      <text>
        <r>
          <rPr>
            <sz val="10"/>
            <color indexed="81"/>
            <rFont val="Tahoma"/>
            <family val="2"/>
          </rPr>
          <t>Övrig kapitalinskott i företaget från tabell 
1. T1 INVESTERINGSPLAN punkt 15. Förflytta till rätt månad!</t>
        </r>
      </text>
    </comment>
    <comment ref="R57" authorId="1" shapeId="0" xr:uid="{13474E9C-A6A3-4361-AA6B-AF8A97BC93DD}">
      <text>
        <r>
          <rPr>
            <sz val="10"/>
            <color indexed="81"/>
            <rFont val="Tahoma"/>
            <family val="2"/>
          </rPr>
          <t>Kontanter i slutet av den sista prognosmånaden för innevarande år. Samtidigt kontanter i början av år 2. Skriv ner läsningen för år 1 och ange cell G11 för år 2.</t>
        </r>
      </text>
    </comment>
    <comment ref="G66" authorId="1" shapeId="0" xr:uid="{18B01D27-F1E2-4451-B928-18AF497D4E42}">
      <text>
        <r>
          <rPr>
            <sz val="10"/>
            <color indexed="81"/>
            <rFont val="Tahoma"/>
            <family val="2"/>
          </rPr>
          <t>Första månaden av räkenskapsperioden.</t>
        </r>
      </text>
    </comment>
    <comment ref="G67" authorId="1" shapeId="0" xr:uid="{5B9FCDC7-FAFF-44EB-B679-4275A5E8ADAC}">
      <text>
        <r>
          <rPr>
            <sz val="10"/>
            <color indexed="81"/>
            <rFont val="Tahoma"/>
            <family val="2"/>
          </rPr>
          <t xml:space="preserve">Aktivt företag:
- likvida medel från sista periodens bokslut </t>
        </r>
      </text>
    </comment>
    <comment ref="G68" authorId="1" shapeId="0" xr:uid="{0955FC8D-84CD-4846-8BED-8864152F2675}">
      <text>
        <r>
          <rPr>
            <sz val="10"/>
            <color indexed="81"/>
            <rFont val="Tahoma"/>
            <family val="2"/>
          </rPr>
          <t>Siffran beräknas enligt omloppstiden av kundfordringar i tabell 3. T3 BALANS, cell G42 eller H42.</t>
        </r>
      </text>
    </comment>
    <comment ref="E69" authorId="1" shapeId="0" xr:uid="{EDBB3327-2786-4997-A695-9945C665973D}">
      <text>
        <r>
          <rPr>
            <sz val="10"/>
            <color indexed="81"/>
            <rFont val="Tahoma"/>
            <family val="2"/>
          </rPr>
          <t>Skriv här kontantförsäljningens procentuellt antal av totalförsäljningen.</t>
        </r>
      </text>
    </comment>
    <comment ref="G70" authorId="1" shapeId="0" xr:uid="{46A78750-5591-466A-83E2-5CB0C65E580E}">
      <text>
        <r>
          <rPr>
            <sz val="10"/>
            <color indexed="81"/>
            <rFont val="Tahoma"/>
            <family val="2"/>
          </rPr>
          <t xml:space="preserve">Procentsiffran betyder månadens försäljningsandel av hela årets försäljning. Om försäljningen är jämnstor i varje månad, är siffran 8,3 %.  </t>
        </r>
      </text>
    </comment>
    <comment ref="S71" authorId="0" shapeId="0" xr:uid="{C290DD74-DDDA-4D83-9025-50BC78488894}">
      <text>
        <r>
          <rPr>
            <sz val="10"/>
            <color indexed="81"/>
            <rFont val="Tahoma"/>
            <family val="2"/>
          </rPr>
          <t>Beräknad årsförsäljning enligt försäljningsprognos 6. E2 OMSÄTTNING.</t>
        </r>
      </text>
    </comment>
    <comment ref="G72" authorId="1" shapeId="0" xr:uid="{ECA01099-72F0-4F84-80AF-EA8F523D73DB}">
      <text>
        <r>
          <rPr>
            <sz val="10"/>
            <color indexed="81"/>
            <rFont val="Tahoma"/>
            <family val="2"/>
          </rPr>
          <t xml:space="preserve">Procentsiffran betyder månadens försäljningsandel av hela årets försäljning. Om försäljningen är jämnstor i varje månad, är siffran 8,3 %.  </t>
        </r>
      </text>
    </comment>
    <comment ref="E73" authorId="1" shapeId="0" xr:uid="{C0504F44-B839-406A-A908-E59509157060}">
      <text>
        <r>
          <rPr>
            <sz val="10"/>
            <color indexed="81"/>
            <rFont val="Tahoma"/>
            <family val="2"/>
          </rPr>
          <t>Genomsnittlig betalningstid för realiserade försäljningsfakturor. Den längsta betalningstiden är 180 dagar.</t>
        </r>
      </text>
    </comment>
    <comment ref="C74" authorId="2" shapeId="0" xr:uid="{F876F105-28ED-426D-BEF4-7DC882651D2D}">
      <text>
        <r>
          <rPr>
            <sz val="10"/>
            <color indexed="81"/>
            <rFont val="Tahoma"/>
            <family val="2"/>
          </rPr>
          <t xml:space="preserve">T.ex. vid företagssanering sålda  maskiner, produkträttigheter o.d. </t>
        </r>
      </text>
    </comment>
    <comment ref="G75" authorId="2" shapeId="0" xr:uid="{3B7B22EE-6C94-4FA2-A4A9-FB1D83157991}">
      <text>
        <r>
          <rPr>
            <sz val="10"/>
            <color indexed="81"/>
            <rFont val="Tahoma"/>
            <family val="2"/>
          </rPr>
          <t>Programmet beräknar färdigt Övriga rörelseintäkter (Tabell 2. T2 RESULTATBUDGET, punkt 2) samt uppbärning av placeringar. Komplettera övriga intäkter.</t>
        </r>
      </text>
    </comment>
    <comment ref="M75" authorId="1" shapeId="0" xr:uid="{B7D3FAD2-9818-495C-B5DF-FAC32EE19F91}">
      <text>
        <r>
          <rPr>
            <sz val="10"/>
            <color indexed="81"/>
            <rFont val="Tahoma"/>
            <family val="2"/>
          </rPr>
          <t>Innehåller upptagning av företagsbidragen.</t>
        </r>
      </text>
    </comment>
    <comment ref="F79" authorId="1" shapeId="0" xr:uid="{6ED99DB2-9C7B-422D-81D3-F3A0EDBA1D09}">
      <text>
        <r>
          <rPr>
            <sz val="10"/>
            <color indexed="81"/>
            <rFont val="Tahoma"/>
            <family val="2"/>
          </rPr>
          <t>Momsprocent. Om flera momssatser, uppskatta det vägda genomsnittet.</t>
        </r>
      </text>
    </comment>
    <comment ref="G79" authorId="2" shapeId="0" xr:uid="{65BB1423-B100-495C-A0DB-832CD54321BD}">
      <text>
        <r>
          <rPr>
            <sz val="10"/>
            <color indexed="81"/>
            <rFont val="Tahoma"/>
            <family val="2"/>
          </rPr>
          <t>Programmet beräknar nödvändiga inköp av material och förnödenheter efter försäljning. Hur stora är inköpen och för vilka månader kommer fakturorna? Förändra om behövs.</t>
        </r>
      </text>
    </comment>
    <comment ref="E80" authorId="2" shapeId="0" xr:uid="{D30A2212-EAC8-426E-B479-7B1D81443EB6}">
      <text>
        <r>
          <rPr>
            <sz val="10"/>
            <color indexed="81"/>
            <rFont val="Tahoma"/>
            <family val="2"/>
          </rPr>
          <t>Omloppstiden för skulder till leverantörer är samma som vid 8. T4 FINANSIERINGSB. cell H57. Den längsta betalningstiden är 90 dagar.</t>
        </r>
      </text>
    </comment>
    <comment ref="G81" authorId="2" shapeId="0" xr:uid="{AD8D2523-3B34-439E-A2A6-D4E9476E0CBB}">
      <text>
        <r>
          <rPr>
            <sz val="10"/>
            <color indexed="81"/>
            <rFont val="Tahoma"/>
            <family val="2"/>
          </rPr>
          <t>Siffran är överförd från tabell 1. T1 INVESTERINGSP. punkt 10. Köp av omsättningstillgångar vid företagsförvärv moms 0 %. Om flera momssatser, uppskatta det vägda genomsnittet.</t>
        </r>
      </text>
    </comment>
    <comment ref="G83" authorId="3" shapeId="0" xr:uid="{6A0C7870-D22E-4620-96F1-BFEF89030358}">
      <text>
        <r>
          <rPr>
            <sz val="10"/>
            <color indexed="81"/>
            <rFont val="Tahoma"/>
            <family val="2"/>
          </rPr>
          <t>Lägg till moms-investeringar från tabell
1. T1 INVESTERINGSPLAN. Kom ihåg minska leasingfinansieringens andel. Dela i rätta månader.
Om i tabell 1. T1 Investeringsplan -&gt; Övriga materiella tillgångar är skattefria, flytta då dessa investeringar till punkt 22. Investeringar Moms 0%</t>
        </r>
      </text>
    </comment>
    <comment ref="F86" authorId="3" shapeId="0" xr:uid="{2E21E606-38CA-4D63-8047-B6B4706C5DB7}">
      <text>
        <r>
          <rPr>
            <b/>
            <sz val="10"/>
            <color indexed="81"/>
            <rFont val="Tahoma"/>
            <family val="2"/>
          </rPr>
          <t xml:space="preserve"> Beräknad vägda genomsnittet.</t>
        </r>
      </text>
    </comment>
    <comment ref="C87" authorId="1" shapeId="0" xr:uid="{A7D65C0E-C55E-45BE-B7F9-626734D96D73}">
      <text>
        <r>
          <rPr>
            <sz val="10"/>
            <color indexed="81"/>
            <rFont val="Tahoma"/>
            <family val="2"/>
          </rPr>
          <t>Programmet beräknar momsen på grund av intäkter och utgifter inklusive moms, som bildade två månader tidigare.
- Skattbara försäljningar är intäkter från kundfordringar och 
  kontantförsäljning
- Avdragbara utgifter är raderna 6 - 12
Obs!  Beräkning kan inte avkasta fullständigt rätt resultat på grund av fördröjningar vid betalningar, men noggrannheten är tillräckligt.</t>
        </r>
      </text>
    </comment>
    <comment ref="M88" authorId="0" shapeId="0" xr:uid="{DE23CDEE-E422-4CA9-A030-5DBB588A6B5E}">
      <text>
        <r>
          <rPr>
            <sz val="10"/>
            <color indexed="81"/>
            <rFont val="Tahoma"/>
            <family val="2"/>
          </rPr>
          <t>Lönen för den månad då semesterlönen betalas ut motsvarar 1,5 gånger månadslönen</t>
        </r>
      </text>
    </comment>
    <comment ref="F89" authorId="1" shapeId="0" xr:uid="{5C4722D7-4EE2-4997-BE25-07BFDEC0AEF2}">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M90" authorId="0" shapeId="0" xr:uid="{193258D0-844F-4FBE-95EF-8BF044E70158}">
      <text>
        <r>
          <rPr>
            <sz val="10"/>
            <color indexed="81"/>
            <rFont val="Tahoma"/>
            <family val="2"/>
          </rPr>
          <t>Lönen för den månad då semesterlönen betalas ut motsvarar 1,5 gånger månadslönen</t>
        </r>
      </text>
    </comment>
    <comment ref="T90" authorId="0" shapeId="0" xr:uid="{384FCBB0-BC85-4C15-83AF-4EC6099DFEC2}">
      <text>
        <r>
          <rPr>
            <sz val="10"/>
            <color indexed="81"/>
            <rFont val="Tahoma"/>
            <family val="2"/>
          </rPr>
          <t xml:space="preserve">Om siffran är negativ, lägg till lönekostnaderna i punkterna 1.2 och/eller 1.3 i tabell 5. E1 VERKSAMHETSKOSTNADER.  
Om siffran är positiv, dra av lönekostnaderna i punkterna 1.2 och/eller 1.3 i tabell 5. E1 VERKSAMHETSKOSTNADER.  </t>
        </r>
      </text>
    </comment>
    <comment ref="F92" authorId="0" shapeId="0" xr:uid="{934438BA-0FE8-4FFA-83C7-F43139260CAD}">
      <text>
        <r>
          <rPr>
            <b/>
            <sz val="10"/>
            <color indexed="81"/>
            <rFont val="Tahoma"/>
            <family val="2"/>
          </rPr>
          <t>2026
Företaget betalar genomsnittligt:</t>
        </r>
        <r>
          <rPr>
            <sz val="10"/>
            <color indexed="81"/>
            <rFont val="Tahoma"/>
            <family val="2"/>
          </rPr>
          <t xml:space="preserve"> 
- ArPL-avgift 17,1 % 
- Olycksfallsförsäkringspremie 0,5 - 5 % (för olycksbenägen bransch större, t.ex. byggnadsbranschen 1 - 3 %)
- Grupplivsförsäkringsavgift 0,06 % 
- Arbetslöshetsförsäkringsavgift 1,2 %  
</t>
        </r>
        <r>
          <rPr>
            <b/>
            <sz val="10"/>
            <color indexed="81"/>
            <rFont val="Tahoma"/>
            <family val="2"/>
          </rPr>
          <t xml:space="preserve">Tillsammans 18,9  - 23,4 % </t>
        </r>
      </text>
    </comment>
    <comment ref="C96" authorId="2" shapeId="0" xr:uid="{F4DB0C4C-F126-4ECF-9B5B-C3494B76FF0A}">
      <text>
        <r>
          <rPr>
            <sz val="10"/>
            <color indexed="81"/>
            <rFont val="Tahoma"/>
            <family val="2"/>
          </rPr>
          <t xml:space="preserve">Innehåller inte räntor av avbetalningsskulder, som finns i punkten 27. </t>
        </r>
      </text>
    </comment>
    <comment ref="G98" authorId="2" shapeId="0" xr:uid="{CFB23822-C562-44B7-8ACD-D8F4B4AD7D0D}">
      <text>
        <r>
          <rPr>
            <sz val="10"/>
            <color indexed="81"/>
            <rFont val="Tahoma"/>
            <family val="2"/>
          </rPr>
          <t xml:space="preserve">Fördela investeringarna på rätt månader och minska andelen investeringar som finansieras genom leasing.
</t>
        </r>
        <r>
          <rPr>
            <b/>
            <sz val="10"/>
            <color indexed="81"/>
            <rFont val="Tahoma"/>
            <family val="2"/>
          </rPr>
          <t>Observera mervärdesskatt!</t>
        </r>
        <r>
          <rPr>
            <sz val="10"/>
            <color indexed="81"/>
            <rFont val="Tahoma"/>
            <family val="2"/>
          </rPr>
          <t xml:space="preserve">  Kontrollera om punkt 7 i 1. T1 INVESTERINGSPLAN (Immateriella tillgångar) innehåller mervärdesskatt. Om så är fallet, flytta dessa investeringar till punkt 9 i kassabudgeten (Investeringar inkl. mervärdesskatt). </t>
        </r>
      </text>
    </comment>
    <comment ref="AL103" authorId="1" shapeId="0" xr:uid="{E3435AC6-A9C5-4FBD-9840-0AC8B60D9738}">
      <text>
        <r>
          <rPr>
            <sz val="10"/>
            <color indexed="81"/>
            <rFont val="Tahoma"/>
            <family val="2"/>
          </rPr>
          <t xml:space="preserve">Kontanter i slutet av den sista prognosmånaden för innevarande år. </t>
        </r>
      </text>
    </comment>
    <comment ref="G105" authorId="1" shapeId="0" xr:uid="{F14B3941-186F-453C-A351-90F6CAE195AC}">
      <text>
        <r>
          <rPr>
            <sz val="10"/>
            <color indexed="81"/>
            <rFont val="Tahoma"/>
            <family val="2"/>
          </rPr>
          <t>Programmet beräknar jämnstora månatliga rater. Förändra om behövs.</t>
        </r>
      </text>
    </comment>
    <comment ref="G106" authorId="2" shapeId="0" xr:uid="{46B6EE5B-A4ED-439C-8E4D-0A02A52D7C5C}">
      <text>
        <r>
          <rPr>
            <sz val="10"/>
            <color indexed="81"/>
            <rFont val="Tahoma"/>
            <family val="2"/>
          </rPr>
          <t>Lyft av lån och avbetalningar för hela året från tabell 4. T7 LÅN. Placera till rätt månad!</t>
        </r>
      </text>
    </comment>
    <comment ref="L107" authorId="1" shapeId="0" xr:uid="{09A9942D-7F3A-46D6-9828-C9BC3B136448}">
      <text>
        <r>
          <rPr>
            <sz val="10"/>
            <color indexed="81"/>
            <rFont val="Tahoma"/>
            <family val="2"/>
          </rPr>
          <t>Programmet beräknar amorteringar 2 rater per år. Kan förändras som blir sant. Öka återbetalningarna på kortfristiga skulder och andra lån utan säkerhet.</t>
        </r>
      </text>
    </comment>
    <comment ref="R107" authorId="1" shapeId="0" xr:uid="{BBA6EAFF-FD83-4CE0-AF87-B65D59657760}">
      <text>
        <r>
          <rPr>
            <sz val="10"/>
            <color indexed="81"/>
            <rFont val="Tahoma"/>
            <family val="2"/>
          </rPr>
          <t>Programmet beräknar amorteringar 2 rater per år. Kan förändras som blir sant. Öka återbetalningarna på kortfristiga skulder och andra lån utan säkerhet.</t>
        </r>
      </text>
    </comment>
    <comment ref="G108" authorId="2" shapeId="0" xr:uid="{63E36A2F-2B9F-468A-959E-B6B5C94E7C38}">
      <text>
        <r>
          <rPr>
            <sz val="10"/>
            <color indexed="81"/>
            <rFont val="Tahoma"/>
            <family val="2"/>
          </rPr>
          <t xml:space="preserve">Lägg till dividendbetalning och privata uttag. </t>
        </r>
      </text>
    </comment>
    <comment ref="G109" authorId="2" shapeId="0" xr:uid="{E574C3E5-1D35-4C92-AFA4-FE763409A4A9}">
      <text>
        <r>
          <rPr>
            <sz val="10"/>
            <color indexed="81"/>
            <rFont val="Tahoma"/>
            <family val="2"/>
          </rPr>
          <t>Ägarnas ytterligare placeringar från 1. T1 INVESTERINGSPLAN punkt 13. Placera till rätt månad!</t>
        </r>
      </text>
    </comment>
    <comment ref="G110" authorId="1" shapeId="0" xr:uid="{E88A3D49-CDA5-475E-861A-5F66DA0ED54D}">
      <text>
        <r>
          <rPr>
            <sz val="10"/>
            <color indexed="81"/>
            <rFont val="Tahoma"/>
            <family val="2"/>
          </rPr>
          <t>Övrig kapitalinskott i företaget från tabell 
1. T1 INVESTERINGSPLAN punkt 15. Förflytta till rätt månad!</t>
        </r>
      </text>
    </comment>
    <comment ref="R114" authorId="1" shapeId="0" xr:uid="{B80CD7E1-B60A-4F85-A1E1-01E7D25402D0}">
      <text>
        <r>
          <rPr>
            <sz val="10"/>
            <color indexed="81"/>
            <rFont val="Tahoma"/>
            <family val="2"/>
          </rPr>
          <t>Kontanter i slutet av den sista prognosmånaden för innevarande år. Samtidigt kontanter i början av år 2. Skriv ner läsningen för år 1 och ange cell G11 för år 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Ari Järvinen</author>
    <author>Omistaja</author>
  </authors>
  <commentList>
    <comment ref="I30" authorId="0" shapeId="0" xr:uid="{00000000-0006-0000-0D00-000001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30" authorId="0" shapeId="0" xr:uid="{00000000-0006-0000-0D00-000002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30" authorId="0" shapeId="0" xr:uid="{00000000-0006-0000-0D00-000003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30" authorId="0" shapeId="0" xr:uid="{00000000-0006-0000-0D00-000004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30" authorId="0" shapeId="0" xr:uid="{00000000-0006-0000-0D00-000005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30" authorId="0" shapeId="0" xr:uid="{00000000-0006-0000-0D00-000006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I59" authorId="0" shapeId="0" xr:uid="{00000000-0006-0000-0D00-000007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59" authorId="0" shapeId="0" xr:uid="{00000000-0006-0000-0D00-000008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59" authorId="0" shapeId="0" xr:uid="{00000000-0006-0000-0D00-000009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59" authorId="0" shapeId="0" xr:uid="{00000000-0006-0000-0D00-00000A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59" authorId="0" shapeId="0" xr:uid="{00000000-0006-0000-0D00-00000B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59" authorId="0" shapeId="0" xr:uid="{00000000-0006-0000-0D00-00000C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B73" authorId="1" shapeId="0" xr:uid="{BD4029EB-A653-4315-B07E-0B8466A9E335}">
      <text>
        <r>
          <rPr>
            <b/>
            <sz val="9"/>
            <color indexed="81"/>
            <rFont val="Tahoma"/>
            <family val="2"/>
          </rPr>
          <t>Omistaja:</t>
        </r>
        <r>
          <rPr>
            <sz val="9"/>
            <color indexed="81"/>
            <rFont val="Tahoma"/>
            <family val="2"/>
          </rPr>
          <t xml:space="preserve">
Ilman toimitilavuokria
</t>
        </r>
      </text>
    </comment>
    <comment ref="B74" authorId="1" shapeId="0" xr:uid="{FDC69C16-E02B-4270-9644-F3C9561CF2D3}">
      <text>
        <r>
          <rPr>
            <b/>
            <sz val="9"/>
            <color indexed="81"/>
            <rFont val="Tahoma"/>
            <family val="2"/>
          </rPr>
          <t>Omistaja:</t>
        </r>
        <r>
          <rPr>
            <sz val="9"/>
            <color indexed="81"/>
            <rFont val="Tahoma"/>
            <family val="2"/>
          </rPr>
          <t xml:space="preserve">
Ilman toimitilavuokria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<sst xmlns="http://schemas.openxmlformats.org/spreadsheetml/2006/main" count="1912" uniqueCount="814">
  <si>
    <t xml:space="preserve"> </t>
  </si>
  <si>
    <t xml:space="preserve">2. VUOSI </t>
  </si>
  <si>
    <t>1.</t>
  </si>
  <si>
    <t>2.</t>
  </si>
  <si>
    <t>3.</t>
  </si>
  <si>
    <t>4.</t>
  </si>
  <si>
    <t>5.</t>
  </si>
  <si>
    <t>6.</t>
  </si>
  <si>
    <t>7.</t>
  </si>
  <si>
    <t>8.</t>
  </si>
  <si>
    <t>9.</t>
  </si>
  <si>
    <t>10.</t>
  </si>
  <si>
    <t xml:space="preserve">3. VUOSI </t>
  </si>
  <si>
    <t>%</t>
  </si>
  <si>
    <t xml:space="preserve">1. VUOSI </t>
  </si>
  <si>
    <t>Euroa</t>
  </si>
  <si>
    <t>YHTEENSÄ</t>
  </si>
  <si>
    <t>+</t>
  </si>
  <si>
    <t>-</t>
  </si>
  <si>
    <t xml:space="preserve">    </t>
  </si>
  <si>
    <t>+/-</t>
  </si>
  <si>
    <t>Ennuste 2</t>
  </si>
  <si>
    <t>Ennuste 3</t>
  </si>
  <si>
    <t>Ennuste 1</t>
  </si>
  <si>
    <t xml:space="preserve">   </t>
  </si>
  <si>
    <t>Käyttöpääoman muutos</t>
  </si>
  <si>
    <t>Lyhennys</t>
  </si>
  <si>
    <t>Korko</t>
  </si>
  <si>
    <t>UUDET LAINAT</t>
  </si>
  <si>
    <t>Määrä</t>
  </si>
  <si>
    <t>Nosto</t>
  </si>
  <si>
    <t>PO loppu</t>
  </si>
  <si>
    <t>Uudet lainat yhteensä</t>
  </si>
  <si>
    <t>Lyhen.</t>
  </si>
  <si>
    <t>aika'</t>
  </si>
  <si>
    <t>Laina-</t>
  </si>
  <si>
    <t>PO ka.</t>
  </si>
  <si>
    <t>=</t>
  </si>
  <si>
    <t xml:space="preserve"> Osingot, yksityiskäyttö</t>
  </si>
  <si>
    <t xml:space="preserve"> Omistajien lisäsijoitukset</t>
  </si>
  <si>
    <t xml:space="preserve"> Muu pääomarahoitus</t>
  </si>
  <si>
    <t>Pidätys-%</t>
  </si>
  <si>
    <t>Alv -%</t>
  </si>
  <si>
    <t>11.</t>
  </si>
  <si>
    <t>12.</t>
  </si>
  <si>
    <t>14.</t>
  </si>
  <si>
    <t>15.</t>
  </si>
  <si>
    <t>16.</t>
  </si>
  <si>
    <t>17.</t>
  </si>
  <si>
    <t>18.</t>
  </si>
  <si>
    <t>19.</t>
  </si>
  <si>
    <t>Raha-</t>
  </si>
  <si>
    <t>Verottaja-</t>
  </si>
  <si>
    <t>Netto-</t>
  </si>
  <si>
    <t>palkat</t>
  </si>
  <si>
    <t>edut</t>
  </si>
  <si>
    <t>tilitykset</t>
  </si>
  <si>
    <t>Yhteensä</t>
  </si>
  <si>
    <t xml:space="preserve">YEL-henkilöt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</si>
  <si>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</si>
  <si>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</si>
  <si>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</si>
  <si>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</si>
  <si>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</si>
  <si>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</si>
  <si>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</si>
  <si>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</si>
  <si>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</si>
  <si>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B.</t>
  </si>
  <si>
    <t>A.</t>
  </si>
  <si>
    <t xml:space="preserve">C. </t>
  </si>
  <si>
    <t xml:space="preserve">D. </t>
  </si>
  <si>
    <t>Vanhat osamaksuvelat</t>
  </si>
  <si>
    <t>Ensimmäinen kausi</t>
  </si>
  <si>
    <t>Viimeinen kausi</t>
  </si>
  <si>
    <t>Uudet osamaksuvelat 1</t>
  </si>
  <si>
    <t>Uudet osamaksuvelat 2</t>
  </si>
  <si>
    <t>Uudet osamaksuvelat 3</t>
  </si>
  <si>
    <t>E.</t>
  </si>
  <si>
    <t xml:space="preserve"> - arvon avustuksen jälkeen alv 0</t>
  </si>
  <si>
    <t>Osamaksuvelat yhteensä</t>
  </si>
  <si>
    <t>Ennuste 4</t>
  </si>
  <si>
    <t>VANHAT LAINAT</t>
  </si>
  <si>
    <t xml:space="preserve"> +/-</t>
  </si>
  <si>
    <t>Oma pääoma</t>
  </si>
  <si>
    <t>Vanhat yhteensä</t>
  </si>
  <si>
    <t xml:space="preserve"> -/+</t>
  </si>
  <si>
    <t>Ennuste 5</t>
  </si>
  <si>
    <t>Uudet osamaksuvelat 4</t>
  </si>
  <si>
    <t>4. VUOSI</t>
  </si>
  <si>
    <t>LIIKETOIMINNAN LAAJUUS</t>
  </si>
  <si>
    <t>LIIKETOIMINNAN KANNATTAVUUS</t>
  </si>
  <si>
    <t xml:space="preserve"> Quick ratio</t>
  </si>
  <si>
    <t xml:space="preserve"> Current ratio</t>
  </si>
  <si>
    <t>Yhteens</t>
  </si>
  <si>
    <t>LAINAT TASEESSA</t>
  </si>
  <si>
    <t>Vanhat lainat</t>
  </si>
  <si>
    <t>Lyhytaik.</t>
  </si>
  <si>
    <t>Pitkäaik.</t>
  </si>
  <si>
    <t>kaudella</t>
  </si>
  <si>
    <t>OSAMAKSUVELAT TASEESSA KO. VUONNA</t>
  </si>
  <si>
    <t>Lainat taseessa ko. vuonna</t>
  </si>
  <si>
    <t>NETTOVARALLISUUSLASKELMA</t>
  </si>
  <si>
    <t xml:space="preserve"> Lainojen nostot ja osamaksujen lisäykset</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</si>
  <si>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</si>
  <si>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</si>
  <si>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</si>
  <si>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F.</t>
  </si>
  <si>
    <t>G.</t>
  </si>
  <si>
    <t xml:space="preserve">  </t>
  </si>
  <si>
    <t>aika</t>
  </si>
  <si>
    <t>Ennuste 5 ei näkyvissä</t>
  </si>
  <si>
    <t xml:space="preserve"> Lainojen lyhennykset </t>
  </si>
  <si>
    <t>Alv-laskelma kassabudj.</t>
  </si>
  <si>
    <t>Alv:n osuus</t>
  </si>
  <si>
    <t>ALV myynnistä</t>
  </si>
  <si>
    <t>Alv ostoista</t>
  </si>
  <si>
    <t>Veron määrä</t>
  </si>
  <si>
    <t>13.</t>
  </si>
  <si>
    <t>Kassaan 1. kk</t>
  </si>
  <si>
    <t>Kassaan 2. kk</t>
  </si>
  <si>
    <t>Kassaan 3. kk</t>
  </si>
  <si>
    <t>Kassaan 4. kk</t>
  </si>
  <si>
    <t>Kassaan 5. kk</t>
  </si>
  <si>
    <t>Kassaan 6. kk</t>
  </si>
  <si>
    <t>&lt;31 pv</t>
  </si>
  <si>
    <t>Kassaan 7. kk</t>
  </si>
  <si>
    <t>Maksut tilille myynneistä</t>
  </si>
  <si>
    <t>Maksut yhteensä</t>
  </si>
  <si>
    <t>31 - 60 pv</t>
  </si>
  <si>
    <t>61 - 90 pv</t>
  </si>
  <si>
    <t>91 - 120 pv</t>
  </si>
  <si>
    <t>121 - 150 pv</t>
  </si>
  <si>
    <t>150  - 180 pv</t>
  </si>
  <si>
    <t>Maksuehto  &lt; 30 pv</t>
  </si>
  <si>
    <t>Maksuehto 31 - 60 pv</t>
  </si>
  <si>
    <t>Maksuehto 61 - 90 pv</t>
  </si>
  <si>
    <t>Maksuehto 91 - 120 pv</t>
  </si>
  <si>
    <t>Maksuehto 121 - 150 pv</t>
  </si>
  <si>
    <t>Maksuehto 151 - 180 pv</t>
  </si>
  <si>
    <t>12</t>
  </si>
  <si>
    <t>Toteutunut</t>
  </si>
  <si>
    <t>Myyntisaatavien kiertoaika</t>
  </si>
  <si>
    <t>Toteutunut maksuaika pv</t>
  </si>
  <si>
    <t>Myyntisaamiset edell. tilikausi</t>
  </si>
  <si>
    <t xml:space="preserve">Myyntisaamiset/pv  </t>
  </si>
  <si>
    <t>Myynti tilikaudella</t>
  </si>
  <si>
    <t>I.</t>
  </si>
  <si>
    <t>II.</t>
  </si>
  <si>
    <t>III.</t>
  </si>
  <si>
    <t>I .</t>
  </si>
  <si>
    <t>IV.</t>
  </si>
  <si>
    <t xml:space="preserve">- </t>
  </si>
  <si>
    <t>1000 €</t>
  </si>
  <si>
    <t>20.</t>
  </si>
  <si>
    <t>Jos kuvat eivät lataudu niin pyöräytä hiiren rullaa tai paina F1.</t>
  </si>
  <si>
    <t>Vähennetään leasingrahoitus T1:stä</t>
  </si>
  <si>
    <t xml:space="preserve"> - Poistettava kalusto sis. alv</t>
  </si>
  <si>
    <t xml:space="preserve"> - Poistettava kalusto ilman alv</t>
  </si>
  <si>
    <t>21.</t>
  </si>
  <si>
    <t>22.</t>
  </si>
  <si>
    <t>23.</t>
  </si>
  <si>
    <t xml:space="preserve"> - poistoarvo avustuksen jälkeen</t>
  </si>
  <si>
    <t xml:space="preserve"> - Poistettava kalusto alv 0 %</t>
  </si>
  <si>
    <t xml:space="preserve"> Muut kiinteät kulut alv 0 %</t>
  </si>
  <si>
    <t xml:space="preserve"> Osamaksujen kuukausierät</t>
  </si>
  <si>
    <t>YT22 Toimivan yrityksen tulossuunnitelma</t>
  </si>
  <si>
    <t xml:space="preserve">                                                                                          </t>
  </si>
  <si>
    <t xml:space="preserve">                                                                                                             </t>
  </si>
  <si>
    <t>Sijoitetun pääoman  tuoton laskenta</t>
  </si>
  <si>
    <t>Nettotulos = Liiketulos+rahoitustuotot-rahoituskulut-verot</t>
  </si>
  <si>
    <t xml:space="preserve">Nettotulos =  </t>
  </si>
  <si>
    <t>Oma pääoma alussa</t>
  </si>
  <si>
    <t>Oma pääoma lopussa</t>
  </si>
  <si>
    <t>1. Oma pääoma keskimäärin</t>
  </si>
  <si>
    <t>Sijoitettu korollinen vieras pääoma alussa</t>
  </si>
  <si>
    <t>Sijoitettu korollinen vieras pääoma lopussa</t>
  </si>
  <si>
    <t>2. Sijoitettu korollinen vieras pääoma keskimäärin</t>
  </si>
  <si>
    <t>3. Sijoitettu pääoma keskimäärin (1 + 2)</t>
  </si>
  <si>
    <t>Net gearing - laskenta</t>
  </si>
  <si>
    <t xml:space="preserve">Korollinen vieras pääoma </t>
  </si>
  <si>
    <t>Rahat ja arvopaperit</t>
  </si>
  <si>
    <t>TyEL-työntekijät</t>
  </si>
  <si>
    <t>TyEL toimihenkilöt</t>
  </si>
  <si>
    <t>Luontois-</t>
  </si>
  <si>
    <t>Ennustevuosi 1</t>
  </si>
  <si>
    <t>Ennustevuosi 2</t>
  </si>
  <si>
    <t>Korollinen vieras pääoma = Pitkäaikainen vieras pääoma pl. Saadut ennakot+korolliset lyhytaikaiset velat+Muut korolliset sisäiset velat</t>
  </si>
  <si>
    <t>Taulukkoon</t>
  </si>
  <si>
    <t>Soluun</t>
  </si>
  <si>
    <t>Korjauspvm</t>
  </si>
  <si>
    <t>Mitä tehty</t>
  </si>
  <si>
    <t>T4</t>
  </si>
  <si>
    <t>K24</t>
  </si>
  <si>
    <t>Kaava korjattu</t>
  </si>
  <si>
    <t>E1</t>
  </si>
  <si>
    <t>rivit 116-123</t>
  </si>
  <si>
    <t>Fonttikoko korjattu 8</t>
  </si>
  <si>
    <t>E2</t>
  </si>
  <si>
    <t>Lisätty poispudonneita kaavoja</t>
  </si>
  <si>
    <t>T1</t>
  </si>
  <si>
    <t>Kommentit tarkistettu (viittaukset toisiin taulukoihin) D56 ja D57</t>
  </si>
  <si>
    <t>T5</t>
  </si>
  <si>
    <t>Ohje korjattu, poistettu palkat oikealla.</t>
  </si>
  <si>
    <t>T3</t>
  </si>
  <si>
    <t>Kommentteihin lisätty tasapoiston kirjaustapa</t>
  </si>
  <si>
    <t>Otsikkoteksti "- vähennykset tilikaudella/tasapoisto"</t>
  </si>
  <si>
    <t>€</t>
  </si>
  <si>
    <t>Tyont.</t>
  </si>
  <si>
    <t>maksut</t>
  </si>
  <si>
    <t>24.</t>
  </si>
  <si>
    <t>Ostovelat edell. tilikausi</t>
  </si>
  <si>
    <t xml:space="preserve">Ostovelat/pv  </t>
  </si>
  <si>
    <t>25.</t>
  </si>
  <si>
    <t>26.</t>
  </si>
  <si>
    <t>27.</t>
  </si>
  <si>
    <t>28.</t>
  </si>
  <si>
    <t>29.</t>
  </si>
  <si>
    <t>30.</t>
  </si>
  <si>
    <t>31.</t>
  </si>
  <si>
    <t>32.</t>
  </si>
  <si>
    <t>33.</t>
  </si>
  <si>
    <t>34.</t>
  </si>
  <si>
    <t>Käteismyynti</t>
  </si>
  <si>
    <t>Laskutusmyynti</t>
  </si>
  <si>
    <t>Aineet, tarvikkeet</t>
  </si>
  <si>
    <t>Ulkopuoliset palveut</t>
  </si>
  <si>
    <t>Investoinnit sis. alv</t>
  </si>
  <si>
    <t>Muut kiinteät kulut sis. Alv</t>
  </si>
  <si>
    <t>ALV%</t>
  </si>
  <si>
    <t>Satunnaiset tulot, omaisuuden myynti</t>
  </si>
  <si>
    <t>Liiket. Tavaravarasto, alkuvarasto</t>
  </si>
  <si>
    <t>Vuokrat ja vastikkeet sis. alv</t>
  </si>
  <si>
    <t>Ajoneuvojen leasing- ja vuokrakulut, liikekäyttö</t>
  </si>
  <si>
    <t>ALV ostoista</t>
  </si>
  <si>
    <t>35.</t>
  </si>
  <si>
    <t xml:space="preserve"> Alv-%</t>
  </si>
  <si>
    <t>TILIKAUSI</t>
  </si>
  <si>
    <t>Laskutusmyynti kaudella</t>
  </si>
  <si>
    <t>Lainojen  lyhennykset</t>
  </si>
  <si>
    <t>Investointien omarahoitus, tulorahoitus</t>
  </si>
  <si>
    <t>Voitonjako omalle pääomalle = 10 %</t>
  </si>
  <si>
    <t>Rahoitustuloksen riittävyyden laskenta</t>
  </si>
  <si>
    <t xml:space="preserve"> Muut kiinteät kulut sis. Arvonlisäveron kassabudjettiin</t>
  </si>
  <si>
    <t>ALV-vähennyskelpoiset kulut, hinta</t>
  </si>
  <si>
    <t>Tilatus lehdet</t>
  </si>
  <si>
    <t>Alv-vähennyskelpoiset kulut sis. Alv yhteensä</t>
  </si>
  <si>
    <t>Keskimääräinen alv-%</t>
  </si>
  <si>
    <t>Ostoihin sisältyvät alv</t>
  </si>
  <si>
    <t>Alv-vähennyskelpoiset kulut  Alv 0 % yhteensä</t>
  </si>
  <si>
    <t>Kirjat, matkaliput, majoitus, muut matkak.</t>
  </si>
  <si>
    <t>Kirjat, matkaliput, majoitus, muut matkak., hinta</t>
  </si>
  <si>
    <t>Liikevaihto €</t>
  </si>
  <si>
    <t>FT22 Det aktiva företagets resultatplan</t>
  </si>
  <si>
    <t>T1 INVESTERINGSPLAN</t>
  </si>
  <si>
    <t>Företag</t>
  </si>
  <si>
    <t>Utförare</t>
  </si>
  <si>
    <t>Projekt</t>
  </si>
  <si>
    <t>Datum</t>
  </si>
  <si>
    <t>E-postadress</t>
  </si>
  <si>
    <t>Telefon</t>
  </si>
  <si>
    <t>Startdatum</t>
  </si>
  <si>
    <t>Beräknas vara färdigt</t>
  </si>
  <si>
    <t xml:space="preserve"> Jordområden, anslutningar o.d</t>
  </si>
  <si>
    <t xml:space="preserve"> - area (m2)</t>
  </si>
  <si>
    <t xml:space="preserve"> - bidrags-%</t>
  </si>
  <si>
    <t xml:space="preserve"> - area / volym (m2 / m3)</t>
  </si>
  <si>
    <t xml:space="preserve"> - Moms-%</t>
  </si>
  <si>
    <t>Byggnader och konstruktioner Moms 0 %</t>
  </si>
  <si>
    <t>Maskiner och anläggningar inkl. Moms</t>
  </si>
  <si>
    <t xml:space="preserve">Immateriella nyttigheter </t>
  </si>
  <si>
    <t>Placeringar</t>
  </si>
  <si>
    <t>Ökning av rörelsekapital</t>
  </si>
  <si>
    <t>Omsättningstillgångar vid företagsförvärv, varulager i början</t>
  </si>
  <si>
    <t>Kapitalbehov sammanlagt</t>
  </si>
  <si>
    <t xml:space="preserve"> KAPITALBEHOV (Euro)</t>
  </si>
  <si>
    <t>Prognos 1</t>
  </si>
  <si>
    <t>Prognos 2</t>
  </si>
  <si>
    <t>Prognos 3</t>
  </si>
  <si>
    <t>Prognos 4</t>
  </si>
  <si>
    <t>Sammanlagt</t>
  </si>
  <si>
    <t xml:space="preserve"> Egen finansiering</t>
  </si>
  <si>
    <t>Ägarnas kapitalplaceringar</t>
  </si>
  <si>
    <t>Ökning av aktiekapital</t>
  </si>
  <si>
    <t>Placering i SVOP-fonden</t>
  </si>
  <si>
    <t>Internfinansiering</t>
  </si>
  <si>
    <t>Kapitallån</t>
  </si>
  <si>
    <t>Övrig egen finansiering</t>
  </si>
  <si>
    <t xml:space="preserve"> Lånefinansiering</t>
  </si>
  <si>
    <t>Kreditgivare</t>
  </si>
  <si>
    <t>Leasing för punkt 4. Maskiner och anläggn. inkl. Moms</t>
  </si>
  <si>
    <t>Leasing för punkt 5. Maskiner och anläggn. Moms 0 %</t>
  </si>
  <si>
    <t>Avdrag för mervärdesskatt</t>
  </si>
  <si>
    <t>Bidragen (punkter 1 - 7) utan bidrag av leasingfinansier.</t>
  </si>
  <si>
    <t>Finansiering sammanlagt</t>
  </si>
  <si>
    <t>Av investeringen orsakad ökning av omsättningen/år</t>
  </si>
  <si>
    <t>ANTECKNINGAR</t>
  </si>
  <si>
    <t>Guide</t>
  </si>
  <si>
    <t>Räkenskapsperiodens längd (månader)</t>
  </si>
  <si>
    <t>OMSÄTTNING</t>
  </si>
  <si>
    <t>Övriga rörelseintäkter</t>
  </si>
  <si>
    <t>Tillverkning för eget bruk</t>
  </si>
  <si>
    <t>RÖRELSEINTÄKTER SAMMANLAGT</t>
  </si>
  <si>
    <t>Material och varor, under räkenskapsperioden</t>
  </si>
  <si>
    <t>Köpta tjänster</t>
  </si>
  <si>
    <t>Personalkostnader</t>
  </si>
  <si>
    <t>Övriga rörelsekostnader</t>
  </si>
  <si>
    <t>Ökning/minskning av färdig- och halvfabrikat</t>
  </si>
  <si>
    <t>DRIFTSBIDRAG</t>
  </si>
  <si>
    <t>Avskrivningar enligt plan</t>
  </si>
  <si>
    <t>RÖRELSERESULTAT</t>
  </si>
  <si>
    <t>Intäkter av andelar och övriga placeringar</t>
  </si>
  <si>
    <t>Ränteintäkter och finansiella intäkter</t>
  </si>
  <si>
    <t>Räntekostnader och övriga finansiella kostnader</t>
  </si>
  <si>
    <t>VINST (FÖRLUST) FÖRE BOKSLUTFLYTTNINGAR OCH SKATTER</t>
  </si>
  <si>
    <t>Direkta skatter</t>
  </si>
  <si>
    <t>Inkomstskatteprocent</t>
  </si>
  <si>
    <t>Ökning/minskning av avskrivning differens</t>
  </si>
  <si>
    <t>Skattebaserade reserveringar</t>
  </si>
  <si>
    <t>TOTALRESULTAT</t>
  </si>
  <si>
    <t>ANTAL ANSTÄLLDA I GENOMSNITT</t>
  </si>
  <si>
    <t>Realiserad</t>
  </si>
  <si>
    <t>T2 RESULTATBUDGET</t>
  </si>
  <si>
    <t>Anteckningar</t>
  </si>
  <si>
    <t xml:space="preserve"> Övriga rörelseintäkter, årlig ändrings-%</t>
  </si>
  <si>
    <t>Ansvar av programmets rättighet och resultatet</t>
  </si>
  <si>
    <t xml:space="preserve">Användaren är medveten, att programmet kan innehålla fel och ge felaktiga resultatet. </t>
  </si>
  <si>
    <t xml:space="preserve">Resultatet är riktningsgivande och användaren har eget ansvar om tolkning av resultatet. </t>
  </si>
  <si>
    <t>T3 BALANS</t>
  </si>
  <si>
    <t>BESTÅENDE AKTIVA</t>
  </si>
  <si>
    <t>Immateriella nyttigheter</t>
  </si>
  <si>
    <t xml:space="preserve"> - Tillägg under räkenskapsperioden</t>
  </si>
  <si>
    <t xml:space="preserve"> - Minskningar under räkenskapsperiod.</t>
  </si>
  <si>
    <t xml:space="preserve"> - Avskrivningar</t>
  </si>
  <si>
    <t>Årligen</t>
  </si>
  <si>
    <t>Materiella nyttigheter</t>
  </si>
  <si>
    <t xml:space="preserve">1. Jord- och vattenområde </t>
  </si>
  <si>
    <t>2. Byggnader och konstruktioner</t>
  </si>
  <si>
    <t xml:space="preserve">3. Maskiner och anläggningar </t>
  </si>
  <si>
    <t xml:space="preserve"> - Minskningar under räkenskapsperioden</t>
  </si>
  <si>
    <t>4. Övriga materiella nyttigheter</t>
  </si>
  <si>
    <t>Investering i bruk under räkenskapsperioden (månader)</t>
  </si>
  <si>
    <t>Realiserad räkenskapsperiod, resultats regleringarnas %-andel av omsättning</t>
  </si>
  <si>
    <t>RÖRLIGA AKTIVA</t>
  </si>
  <si>
    <t>Omsättningstillgångar</t>
  </si>
  <si>
    <t>Omsättningstillgångar/omsättning (%)</t>
  </si>
  <si>
    <t>Fordringar</t>
  </si>
  <si>
    <t>1. Kundfordringar</t>
  </si>
  <si>
    <t>Omloppstid av kundfordringar (dagar)</t>
  </si>
  <si>
    <t>2. Fordringar av deldebitering</t>
  </si>
  <si>
    <t>Deldebiteringar, andel av omsättning (%)</t>
  </si>
  <si>
    <t>3. Övriga fordringar</t>
  </si>
  <si>
    <t>4. Resultatregleringar</t>
  </si>
  <si>
    <t>Finansieringsvärdepapper</t>
  </si>
  <si>
    <t>Pengar och banktillgodohavanden</t>
  </si>
  <si>
    <t>PASSIVA</t>
  </si>
  <si>
    <t xml:space="preserve"> C. </t>
  </si>
  <si>
    <t>EGET KAPITAL</t>
  </si>
  <si>
    <t xml:space="preserve">1. Aktiekapital mm. </t>
  </si>
  <si>
    <t>2. Vinster av föregående räkenskapsperioder</t>
  </si>
  <si>
    <t>3. Dividender, privata uttag</t>
  </si>
  <si>
    <t xml:space="preserve">4. Vinst/förlust av räkenskapsperioden </t>
  </si>
  <si>
    <t xml:space="preserve">5. Fond av investerad fritt eget kapital </t>
  </si>
  <si>
    <t xml:space="preserve"> D. </t>
  </si>
  <si>
    <t>KUMULAT. BOKSLUTÖVERFÖRINGAR</t>
  </si>
  <si>
    <t>1. Avskrivningsdifferens</t>
  </si>
  <si>
    <t>2. Skattebaserade reserveringar</t>
  </si>
  <si>
    <t xml:space="preserve"> - procent av betalda löner </t>
  </si>
  <si>
    <t>OBLIGATORISKA RESERVERINGAR</t>
  </si>
  <si>
    <t>LÅNGFRISTIG FRÄMMANDE KAPITAL</t>
  </si>
  <si>
    <t>1. Lån av penningväsenden</t>
  </si>
  <si>
    <t xml:space="preserve">2. Kapitallån </t>
  </si>
  <si>
    <t xml:space="preserve"> - kapitallånets ackord</t>
  </si>
  <si>
    <t>3. Leverantörsskulder</t>
  </si>
  <si>
    <t xml:space="preserve"> - Leverantörsskulder</t>
  </si>
  <si>
    <t xml:space="preserve"> - Avbetalningsskulder</t>
  </si>
  <si>
    <t>4. Övriga långfristiga lån</t>
  </si>
  <si>
    <t>KORTFRISTIG FRÄMMANDE KAPITAL</t>
  </si>
  <si>
    <t xml:space="preserve">1. Lån av penningväsenden </t>
  </si>
  <si>
    <t xml:space="preserve"> - Amorteringar av långfristiga lånen</t>
  </si>
  <si>
    <t xml:space="preserve"> - Kortfristiga lån av penningväsenden</t>
  </si>
  <si>
    <t>3. Skulder till leverantörer</t>
  </si>
  <si>
    <t xml:space="preserve"> - skulder till leverantörer</t>
  </si>
  <si>
    <t>omloppstid av leverantörsskulder (dagar)</t>
  </si>
  <si>
    <t xml:space="preserve"> - amortering av avbetalningsskulder</t>
  </si>
  <si>
    <t>4. Övriga kortfristiga lån</t>
  </si>
  <si>
    <t xml:space="preserve"> - förskottsinnehållningsskuld (eller förskottsinnehållnings- och socialskydds-avgiftskuld på Skattekonto/Minskat)</t>
  </si>
  <si>
    <t>skatteavdragsprocent i medeltal</t>
  </si>
  <si>
    <t xml:space="preserve"> - socialskyddsavgiftsskuld</t>
  </si>
  <si>
    <t xml:space="preserve"> - moms-skuld</t>
  </si>
  <si>
    <t>moms-skuld / omsättning (%)</t>
  </si>
  <si>
    <t xml:space="preserve"> - övriga kortfristiga lån</t>
  </si>
  <si>
    <t>5. Resultatregleringsskulder</t>
  </si>
  <si>
    <t xml:space="preserve"> - resultatregleringsskulder</t>
  </si>
  <si>
    <t xml:space="preserve"> - semesterlöneskulder</t>
  </si>
  <si>
    <t xml:space="preserve"> - beräknad pensions- och bikostnadsskuld</t>
  </si>
  <si>
    <t xml:space="preserve"> pensions- och bikostnadsskuld (%)</t>
  </si>
  <si>
    <t>6. Erhållna förskott</t>
  </si>
  <si>
    <t xml:space="preserve">               PASSIVA TOTALT</t>
  </si>
  <si>
    <t xml:space="preserve">                         AKTIVA TOTALT</t>
  </si>
  <si>
    <t>SIFFRORNA I DENNA RAD FÖRFLYTTAR SIG SENARE FRÅN TABELL 8. T4 FINANSIERINGSBUDGET.</t>
  </si>
  <si>
    <t>T7  LÅN</t>
  </si>
  <si>
    <t xml:space="preserve">  ÅRLIGA AMORTERINGAR OCH RÄNTOR</t>
  </si>
  <si>
    <t xml:space="preserve">NUVARANDE LÅNGFRISTIGA LÅN </t>
  </si>
  <si>
    <t>Lånebelopp enligt senaste bokslut</t>
  </si>
  <si>
    <t>Återstå-ende lånetid (år)</t>
  </si>
  <si>
    <t>Ränte-%</t>
  </si>
  <si>
    <t>(Ej kapitallån)</t>
  </si>
  <si>
    <t xml:space="preserve"> Limitkredit</t>
  </si>
  <si>
    <t xml:space="preserve"> Nuvarande lån sammanlagt</t>
  </si>
  <si>
    <t xml:space="preserve"> Nuvarande avbetalningslån</t>
  </si>
  <si>
    <t>NYA LÅN (Ej kapitallån)</t>
  </si>
  <si>
    <t>Lånets belopp</t>
  </si>
  <si>
    <t>Lånetid (år)</t>
  </si>
  <si>
    <t>Lyft</t>
  </si>
  <si>
    <t>Amort.</t>
  </si>
  <si>
    <t>Ränta</t>
  </si>
  <si>
    <t xml:space="preserve"> Lånen som ska lyftas under 1. året</t>
  </si>
  <si>
    <t xml:space="preserve"> Lånen som ska lyftas under 2. året</t>
  </si>
  <si>
    <r>
      <t xml:space="preserve"> </t>
    </r>
    <r>
      <rPr>
        <b/>
        <sz val="8"/>
        <color theme="0"/>
        <rFont val="Arial"/>
        <family val="2"/>
      </rPr>
      <t>Lånen som ska lyftas under 3. året</t>
    </r>
  </si>
  <si>
    <r>
      <t xml:space="preserve"> </t>
    </r>
    <r>
      <rPr>
        <b/>
        <sz val="8"/>
        <color theme="0"/>
        <rFont val="Arial"/>
        <family val="2"/>
      </rPr>
      <t>Lånen som ska lyftas under 4. året</t>
    </r>
  </si>
  <si>
    <t xml:space="preserve"> Långivaren/avsedd användning</t>
  </si>
  <si>
    <t xml:space="preserve"> NYA AVBETALNINGSSKULDER</t>
  </si>
  <si>
    <t xml:space="preserve"> Nya lån sammanlagt</t>
  </si>
  <si>
    <t xml:space="preserve">PRIS MOMS 0 % </t>
  </si>
  <si>
    <t>E1 VERKSAMHETSKOSTNADER</t>
  </si>
  <si>
    <r>
      <t xml:space="preserve">Räkenskapsperiodens längd </t>
    </r>
    <r>
      <rPr>
        <sz val="9"/>
        <color theme="0"/>
        <rFont val="Arial"/>
        <family val="2"/>
      </rPr>
      <t>(månader)</t>
    </r>
  </si>
  <si>
    <t>LÖNER OCH ARVODER</t>
  </si>
  <si>
    <t>1.1 FöPL-företagarna</t>
  </si>
  <si>
    <t xml:space="preserve"> - FöPL-företagarnas penninglöner / månad brutto</t>
  </si>
  <si>
    <t xml:space="preserve"> - FöPL-företagarnas naturaförmåner / månad</t>
  </si>
  <si>
    <t xml:space="preserve"> - antalet lönebetalningsmånader</t>
  </si>
  <si>
    <t xml:space="preserve"> - FöPL-företagarnas genomsnittlig skatteavdrags-%</t>
  </si>
  <si>
    <t xml:space="preserve">1.2 Arbetstagarna med timlön </t>
  </si>
  <si>
    <t xml:space="preserve"> - grundlön i medeltal i timme / person</t>
  </si>
  <si>
    <t xml:space="preserve"> - arbetstimmar / månad / person</t>
  </si>
  <si>
    <t xml:space="preserve"> - antalet personer</t>
  </si>
  <si>
    <t xml:space="preserve"> - antalet lönebetalningsmånader / person</t>
  </si>
  <si>
    <t xml:space="preserve"> - naturaförmåner sammanlagt i ett år </t>
  </si>
  <si>
    <t xml:space="preserve"> - Genomsnittlig skatteavdrags-% för arbetstagargrupp 1.2</t>
  </si>
  <si>
    <t>1.3 Tjänstemän / ArPL-företagarna</t>
  </si>
  <si>
    <t xml:space="preserve"> - tjänstemänlöner i medeltal i månad / person</t>
  </si>
  <si>
    <t xml:space="preserve"> - antalet tjänstemän</t>
  </si>
  <si>
    <t xml:space="preserve"> - Genomsnittlig skatteavdrags-% för arbetstagargrupp 1.3</t>
  </si>
  <si>
    <t>1.4 Erhållna försäkringsersättningar</t>
  </si>
  <si>
    <t>PERSONALBIKOSTNADER</t>
  </si>
  <si>
    <t xml:space="preserve"> 2.1 Pensionskostnader</t>
  </si>
  <si>
    <t xml:space="preserve"> - Arbetstagarens andel av ArPL-betalning</t>
  </si>
  <si>
    <t xml:space="preserve"> - Arbetsgivarens ArPL-betalningar</t>
  </si>
  <si>
    <t xml:space="preserve"> - FöPL-arbetsinkomster slgt,  alla FöPL-företagare</t>
  </si>
  <si>
    <t xml:space="preserve"> - FöPL-försäkringsprocent </t>
  </si>
  <si>
    <t xml:space="preserve"> - FöPL-avgifter</t>
  </si>
  <si>
    <t xml:space="preserve"> - frivilliga pensionsavgifter</t>
  </si>
  <si>
    <t xml:space="preserve">2.2 Övriga personalbikostnader </t>
  </si>
  <si>
    <t xml:space="preserve"> - Arbetstagarens sjukdomsförsäkr., arbetslösh. och livförsäkr. avgift-%</t>
  </si>
  <si>
    <t>2.3 FöPL-företagarnas socialförsäkringsavgifter</t>
  </si>
  <si>
    <t>2.4 FöPL-företagarnas livförsäkringsavgifter</t>
  </si>
  <si>
    <t xml:space="preserve">2.5 Övriga personförsäkringsavgifter </t>
  </si>
  <si>
    <t>PESONALKOSTNADER SAMMANLAGT</t>
  </si>
  <si>
    <t>ÖVR. KOSTN. AV AFFÄRSVERKSAMHETEN</t>
  </si>
  <si>
    <t>3.1 Övriga personalkostnader</t>
  </si>
  <si>
    <t xml:space="preserve"> - utbildning av personal</t>
  </si>
  <si>
    <t xml:space="preserve"> - rekreations- och intresseverksamhet</t>
  </si>
  <si>
    <t xml:space="preserve"> - arbetshälsovård </t>
  </si>
  <si>
    <t xml:space="preserve"> - arbetskläder och skyddsmedel </t>
  </si>
  <si>
    <t xml:space="preserve"> - övriga frivilliga personalkostnader</t>
  </si>
  <si>
    <t>3.2 Affärslokaler</t>
  </si>
  <si>
    <t xml:space="preserve"> - hyror och vederlag inkl. Moms</t>
  </si>
  <si>
    <t xml:space="preserve"> - el och gas </t>
  </si>
  <si>
    <t xml:space="preserve"> - vatten och avloppsvatten</t>
  </si>
  <si>
    <t xml:space="preserve"> - värme </t>
  </si>
  <si>
    <t xml:space="preserve"> - städning, rengöring, underhållning av uteområden </t>
  </si>
  <si>
    <t xml:space="preserve"> - reparationskostnader</t>
  </si>
  <si>
    <t xml:space="preserve"> - avfallsservice</t>
  </si>
  <si>
    <t xml:space="preserve"> - bevakning, lås tjänster </t>
  </si>
  <si>
    <t xml:space="preserve"> - fastighetsförsäkringar</t>
  </si>
  <si>
    <t xml:space="preserve"> - fastighetsskatt, övriga kostnader</t>
  </si>
  <si>
    <t>3.3 Fordons, affärsbruk</t>
  </si>
  <si>
    <t xml:space="preserve"> - leasing- och hyreskostnader </t>
  </si>
  <si>
    <t xml:space="preserve"> - bränsle</t>
  </si>
  <si>
    <t xml:space="preserve"> - service, reparationer och besiktning</t>
  </si>
  <si>
    <t xml:space="preserve"> - försäkrings- och bruksavgifter </t>
  </si>
  <si>
    <t xml:space="preserve"> - övriga maskinkostnader</t>
  </si>
  <si>
    <t>3.4 Datorutrustning och datorprogram</t>
  </si>
  <si>
    <t xml:space="preserve"> - program och uppdatering </t>
  </si>
  <si>
    <t xml:space="preserve"> - dator och datorutrustning (brukstid &lt; 3 år)</t>
  </si>
  <si>
    <t xml:space="preserve"> - övriga datorutrustning kostnader </t>
  </si>
  <si>
    <t>3.5 Övriga maskin- och apparaturkostnader</t>
  </si>
  <si>
    <t xml:space="preserve"> - service och reparationer</t>
  </si>
  <si>
    <t xml:space="preserve"> - inventarieanskaffningar (brukstid &lt; 3 år) </t>
  </si>
  <si>
    <t xml:space="preserve"> - övriga maskin- och inventariekostnader</t>
  </si>
  <si>
    <t>3.6 Resekostnader</t>
  </si>
  <si>
    <t xml:space="preserve"> - resebiljetter och inkvarteringskostnader</t>
  </si>
  <si>
    <t xml:space="preserve"> - måltid under resan </t>
  </si>
  <si>
    <t xml:space="preserve"> - övriga resekostnader</t>
  </si>
  <si>
    <t xml:space="preserve">3.7 Reseersättningar </t>
  </si>
  <si>
    <t xml:space="preserve"> - dagtraktamenten, måltidsersättningar o.d.</t>
  </si>
  <si>
    <t xml:space="preserve"> - kilometerersättningar</t>
  </si>
  <si>
    <t>3.8 Representationskostnader</t>
  </si>
  <si>
    <t>3.9 Försäljningskostnader (mm. provisioner)</t>
  </si>
  <si>
    <t>3.10 Marknadsföringskostnader</t>
  </si>
  <si>
    <t xml:space="preserve"> - reklambyråtjänster</t>
  </si>
  <si>
    <t xml:space="preserve"> - direkt- och annonsreklam</t>
  </si>
  <si>
    <t xml:space="preserve"> -  TV-, radio- och internetreklam</t>
  </si>
  <si>
    <t xml:space="preserve"> - mässa, utställning, Salés promotion</t>
  </si>
  <si>
    <t xml:space="preserve"> - övriga marknadsföringskostnader (bl.a. Grämes)</t>
  </si>
  <si>
    <t>3.11 Forsknings- och produktutvecklingskost.</t>
  </si>
  <si>
    <t xml:space="preserve"> - produktutvecklings- och testningstjänster</t>
  </si>
  <si>
    <t xml:space="preserve"> - produktutvecklingens myndighetsavgifter</t>
  </si>
  <si>
    <t xml:space="preserve"> - certifikaten och kvalitetsbetyg</t>
  </si>
  <si>
    <t xml:space="preserve"> - övriga utvecklingskostnader </t>
  </si>
  <si>
    <t xml:space="preserve">3.12 Administrationstjänster </t>
  </si>
  <si>
    <t xml:space="preserve"> - hyror av arbetskraft </t>
  </si>
  <si>
    <t xml:space="preserve"> - ekonomiförvaltningstjänster, revision</t>
  </si>
  <si>
    <t xml:space="preserve"> - lag-, indrivnings och konsulttjänster</t>
  </si>
  <si>
    <t xml:space="preserve"> - myndighetsavgifter och -tillstånd</t>
  </si>
  <si>
    <t>3.13 Faktainsamling</t>
  </si>
  <si>
    <t xml:space="preserve"> - böcker</t>
  </si>
  <si>
    <t xml:space="preserve"> - beställda tidningar</t>
  </si>
  <si>
    <t xml:space="preserve"> - medlemsavgifter av Företagarförening o.d.</t>
  </si>
  <si>
    <t xml:space="preserve">3.14 Datakommunikation och penningrörelse </t>
  </si>
  <si>
    <t xml:space="preserve"> - telefon- och mobiltelefonkostnader</t>
  </si>
  <si>
    <t xml:space="preserve"> - dataöverföringskostnader </t>
  </si>
  <si>
    <t xml:space="preserve"> - post- och kurirkostnader</t>
  </si>
  <si>
    <t xml:space="preserve"> - kostnader av penningrörelse</t>
  </si>
  <si>
    <t>3.15 Försäkringar och skadeersättningar</t>
  </si>
  <si>
    <t xml:space="preserve"> - ansvarsförsäkringar, betalda skadeersättningar</t>
  </si>
  <si>
    <t xml:space="preserve"> - sakförsäkringar, maskinskada mm.</t>
  </si>
  <si>
    <t xml:space="preserve"> - övriga försäkringar, avbrottsförsäkring</t>
  </si>
  <si>
    <t>3.16 Kontorstillbehör</t>
  </si>
  <si>
    <t>3.17 Mötes- och förhandlingskostnader</t>
  </si>
  <si>
    <t>3.18 Fordon- och maskinkostnader, privatbruk</t>
  </si>
  <si>
    <t>3.19 Leasingkostnader, privatbruk</t>
  </si>
  <si>
    <t>3.20 Köpta tjänster inkl. Moms</t>
  </si>
  <si>
    <t>3.21 Hyror, vederlag, övr. kostnader Moms 0 %</t>
  </si>
  <si>
    <t xml:space="preserve">3.22 Övr. Moms-avdragbara affärskostnader </t>
  </si>
  <si>
    <t xml:space="preserve">3.23 Övr. inte Moms-avdragbara affärskostn. </t>
  </si>
  <si>
    <t>SAMMANLAGT</t>
  </si>
  <si>
    <t xml:space="preserve"> Om semesterlönereservering inte görs, nollställ raden 93 i tabell T3 BALANS.</t>
  </si>
  <si>
    <t xml:space="preserve"> Om semesterlönereservering inte görs, nollställ raden 93 i tabell T3 BALANS</t>
  </si>
  <si>
    <t xml:space="preserve"> Försäljningsmängd i enheter </t>
  </si>
  <si>
    <t xml:space="preserve"> Faktureringspris/enhet Moms 0 %</t>
  </si>
  <si>
    <t xml:space="preserve"> Materialbruk/anskaffningar i procentar</t>
  </si>
  <si>
    <t xml:space="preserve"> Materialbruk/anskaffningar  </t>
  </si>
  <si>
    <t>E2 HUR OMSÄTTNINGEN UPPSTÅR</t>
  </si>
  <si>
    <t>MATERIALBRUK</t>
  </si>
  <si>
    <t>MATERIALBRUK - %</t>
  </si>
  <si>
    <t>MOMS SLGT AV FÖRSÄLJNING</t>
  </si>
  <si>
    <t>MOMS SLGT AV ANSKAFFNINGAR</t>
  </si>
  <si>
    <t xml:space="preserve"> Anteckningar</t>
  </si>
  <si>
    <t>Omsättning</t>
  </si>
  <si>
    <t>st</t>
  </si>
  <si>
    <t>Moms-%</t>
  </si>
  <si>
    <t>Årlig ändringsprocent</t>
  </si>
  <si>
    <t>T4 FINANSIERINGSBUDGET</t>
  </si>
  <si>
    <t xml:space="preserve">TILLFÖRDA OCH DISPONERADE MEDEL </t>
  </si>
  <si>
    <t xml:space="preserve">   TILLFÖRDA MEDEL</t>
  </si>
  <si>
    <t>Finansieringsresultat</t>
  </si>
  <si>
    <t>Ägarnas kapitaltillskott</t>
  </si>
  <si>
    <t>Upptagning av långfristiga lån och leverantörsskulder</t>
  </si>
  <si>
    <t>Upptagning av avbetalningsskulder (T7)</t>
  </si>
  <si>
    <t>Upptagning av kortfristiga lån</t>
  </si>
  <si>
    <t>Bidrag, ökning av kapitallån, upptagning av placeringar, försäljning av egendom, konvertering av kapitallån</t>
  </si>
  <si>
    <t xml:space="preserve">  DISPONERADE MEDEL</t>
  </si>
  <si>
    <t>Jordområden</t>
  </si>
  <si>
    <t>Byggnader och konstruktioner inkl. Moms</t>
  </si>
  <si>
    <t xml:space="preserve">Maskiner och anläggningar </t>
  </si>
  <si>
    <t>Övriga investeringar</t>
  </si>
  <si>
    <t>Förändring av rörelsekapitalet (rad 35)</t>
  </si>
  <si>
    <t>Förändring av finansieringstillgångarna</t>
  </si>
  <si>
    <t>Amortering av långfristiga lån av finansiärer</t>
  </si>
  <si>
    <t>SVOP-återbetalning</t>
  </si>
  <si>
    <t>Amortering av kapitallån</t>
  </si>
  <si>
    <t>Långfr. leverantörsskulder, minskning</t>
  </si>
  <si>
    <t>Övriga långfristiga lån, minskning</t>
  </si>
  <si>
    <t xml:space="preserve">Långfr. lån/förändringar av låneamorteringar          </t>
  </si>
  <si>
    <t>Amortering av avbetalningsskulder</t>
  </si>
  <si>
    <t xml:space="preserve">Ökning/minskning av övrigt främmande kapital           </t>
  </si>
  <si>
    <t>Amortering av kortfristiga lån</t>
  </si>
  <si>
    <t>Dividendutbetalning/privatuttag</t>
  </si>
  <si>
    <t>Över-/underskott (7 - 25)</t>
  </si>
  <si>
    <t>Kumulativt under-/överskott</t>
  </si>
  <si>
    <t>Tillräcklighet av kassan/Övriga fasta kostnader (dagar)</t>
  </si>
  <si>
    <t xml:space="preserve"> RÖRELSEKAPITAL</t>
  </si>
  <si>
    <t>Omsättningstillgångar / omsättning (%)</t>
  </si>
  <si>
    <t>Kundfordringar</t>
  </si>
  <si>
    <t>Övriga fordringar</t>
  </si>
  <si>
    <t>Fordr. fr. intäkter enligt färdighetsgrad</t>
  </si>
  <si>
    <t>Fordringar, andel av omsättning (%)</t>
  </si>
  <si>
    <t>Inköpsskulder</t>
  </si>
  <si>
    <t>Omloppstid av inköpsskulder (dagar)</t>
  </si>
  <si>
    <t>Erhållna förskott</t>
  </si>
  <si>
    <t>Erhållna förskott, andel av omsättning</t>
  </si>
  <si>
    <t>Rörelsekapital</t>
  </si>
  <si>
    <t>Ökning/minskning av rörelsekapital</t>
  </si>
  <si>
    <t xml:space="preserve"> EKONOMISKA PARAMETRAR</t>
  </si>
  <si>
    <t xml:space="preserve"> AFFÄRSVERKSAMHETENS VOLYM </t>
  </si>
  <si>
    <t xml:space="preserve"> Omsättning</t>
  </si>
  <si>
    <t xml:space="preserve"> Omsättning/person</t>
  </si>
  <si>
    <t xml:space="preserve"> Personal</t>
  </si>
  <si>
    <t xml:space="preserve"> Investerad kapital</t>
  </si>
  <si>
    <t xml:space="preserve"> AFFÄRSVERKSAMHETENS LÖNSAMHET</t>
  </si>
  <si>
    <t xml:space="preserve"> Driftsbidrag (EBITDA)</t>
  </si>
  <si>
    <t xml:space="preserve"> Driftsbidrags-%</t>
  </si>
  <si>
    <t xml:space="preserve"> Rörelseresultat (EBIT)</t>
  </si>
  <si>
    <t xml:space="preserve"> Rörelseresultats-%</t>
  </si>
  <si>
    <t>Vitsord</t>
  </si>
  <si>
    <t xml:space="preserve"> LIKVIDITET</t>
  </si>
  <si>
    <t xml:space="preserve"> Återbetalningstid för främmande kapital</t>
  </si>
  <si>
    <t xml:space="preserve"> Lånetäckningsgrad</t>
  </si>
  <si>
    <t xml:space="preserve"> SOLIDITET</t>
  </si>
  <si>
    <t xml:space="preserve"> Soliditet i procentar</t>
  </si>
  <si>
    <t xml:space="preserve"> Net Gearing (nettoskuldsättningsgrad)</t>
  </si>
  <si>
    <t xml:space="preserve"> ÖVRIGA PARAMETRAR</t>
  </si>
  <si>
    <t xml:space="preserve"> Obligatoriska personalkostnader/person</t>
  </si>
  <si>
    <t xml:space="preserve"> Alla personalkostnader/person</t>
  </si>
  <si>
    <t xml:space="preserve"> Krisparameter Z, 3 faktor</t>
  </si>
  <si>
    <t xml:space="preserve"> Bolagstillgångar</t>
  </si>
  <si>
    <t xml:space="preserve"> Nettoförmögenhet</t>
  </si>
  <si>
    <t xml:space="preserve"> Dividendutbetalning eller privatuttag</t>
  </si>
  <si>
    <t xml:space="preserve"> Vitsord</t>
  </si>
  <si>
    <t xml:space="preserve"> Skulder</t>
  </si>
  <si>
    <t xml:space="preserve"> Bankkonto</t>
  </si>
  <si>
    <t xml:space="preserve"> Bostad ägt av företaget</t>
  </si>
  <si>
    <t xml:space="preserve"> Dividendens/privatuttagets andel av nettoförmögenhet.</t>
  </si>
  <si>
    <t xml:space="preserve"> Dividendens/privatuttagets andel av periodens vinst</t>
  </si>
  <si>
    <t xml:space="preserve"> AFFÄRVERKSAMHETENS INTÄKTER</t>
  </si>
  <si>
    <t xml:space="preserve">T5 KASSABUDGET </t>
  </si>
  <si>
    <t xml:space="preserve"> Kassa i början</t>
  </si>
  <si>
    <t xml:space="preserve"> Försäljningsfordringar </t>
  </si>
  <si>
    <t xml:space="preserve"> Kontantbetalning, andel av försäljning</t>
  </si>
  <si>
    <t xml:space="preserve"> - månatlig försäljning</t>
  </si>
  <si>
    <t xml:space="preserve"> Fakturaförsäljning</t>
  </si>
  <si>
    <t xml:space="preserve"> - realiserad betalningstid</t>
  </si>
  <si>
    <t>dag</t>
  </si>
  <si>
    <t xml:space="preserve"> Extraordinära intäkter, försäljning av egendom</t>
  </si>
  <si>
    <t xml:space="preserve"> Företagsbidrag, övriga Moms 0 % intäkter</t>
  </si>
  <si>
    <t xml:space="preserve"> AFFÄRVERKSAMHETENS SAMMANLAGT</t>
  </si>
  <si>
    <t>JAN</t>
  </si>
  <si>
    <t>FEB</t>
  </si>
  <si>
    <t>MARS</t>
  </si>
  <si>
    <t>APRIL</t>
  </si>
  <si>
    <t>MAJ</t>
  </si>
  <si>
    <t>JUNI</t>
  </si>
  <si>
    <t>JULI</t>
  </si>
  <si>
    <t>AUG</t>
  </si>
  <si>
    <t>SEP</t>
  </si>
  <si>
    <t>OKT</t>
  </si>
  <si>
    <t>NOV</t>
  </si>
  <si>
    <t>DEC</t>
  </si>
  <si>
    <t>SLGT</t>
  </si>
  <si>
    <t xml:space="preserve"> AFFÄRVERKSAMHETENS UTGIFTER</t>
  </si>
  <si>
    <t xml:space="preserve"> Materialbruk och varor</t>
  </si>
  <si>
    <t xml:space="preserve"> Skulder till leverantörer, betalningsvillkor</t>
  </si>
  <si>
    <t xml:space="preserve"> Varulagret vid företagsförvärv eller i början</t>
  </si>
  <si>
    <t xml:space="preserve"> Köpta tjänster</t>
  </si>
  <si>
    <t xml:space="preserve"> Investeringar inkl. Moms</t>
  </si>
  <si>
    <t xml:space="preserve"> Lokalhyror inklusive Moms</t>
  </si>
  <si>
    <t xml:space="preserve"> Fordonleasingkostnader, affärsbruk</t>
  </si>
  <si>
    <t xml:space="preserve"> Övriga fasta kostnader inkl. Moms</t>
  </si>
  <si>
    <t xml:space="preserve"> Förfallen Moms</t>
  </si>
  <si>
    <t xml:space="preserve"> Frivilliga pension- och personförsäkringsavgifter</t>
  </si>
  <si>
    <t xml:space="preserve"> Hyror och vederlag Moms 0 %</t>
  </si>
  <si>
    <t xml:space="preserve"> Övriga fasta kostnader Moms 0 %</t>
  </si>
  <si>
    <t xml:space="preserve"> Finansieringskostnader</t>
  </si>
  <si>
    <t xml:space="preserve"> Skatter</t>
  </si>
  <si>
    <t xml:space="preserve"> Investeringar Moms 0 %</t>
  </si>
  <si>
    <t xml:space="preserve"> Leasingkostnader, privatbruk</t>
  </si>
  <si>
    <t xml:space="preserve"> Anskaffning av aktier till affärslägenhet</t>
  </si>
  <si>
    <t xml:space="preserve"> Restskuld </t>
  </si>
  <si>
    <t>AFFÄRVERKSAMHETENS UTGIFTER SAMMANLAGT</t>
  </si>
  <si>
    <t xml:space="preserve"> KAPITALFINANSIERING: INTÄKTER OCH UTGIFTER</t>
  </si>
  <si>
    <t xml:space="preserve"> Amortering av avbetalningsskulder </t>
  </si>
  <si>
    <t xml:space="preserve"> Lyft av lån och tillägg av avbetalningar </t>
  </si>
  <si>
    <t xml:space="preserve"> Amortering av lån </t>
  </si>
  <si>
    <t xml:space="preserve"> Dividender, privata uttag</t>
  </si>
  <si>
    <t xml:space="preserve"> Ägarnas ytterligare placeringar</t>
  </si>
  <si>
    <t xml:space="preserve"> Övriga kapitalinskott</t>
  </si>
  <si>
    <t>Skillnad</t>
  </si>
  <si>
    <t>PROGNOSÅR</t>
  </si>
  <si>
    <t xml:space="preserve"> INTÄKTER - UTGIFTER</t>
  </si>
  <si>
    <t xml:space="preserve"> KUMALATIVT KASSA I SLUTET AV MÅNADEN</t>
  </si>
  <si>
    <t>T5 KASSABUDGET</t>
  </si>
  <si>
    <t>KAPITALFINANSIERING, NETTO</t>
  </si>
  <si>
    <t xml:space="preserve"> KUMALATIVT KASSA</t>
  </si>
  <si>
    <t>E-mail</t>
  </si>
  <si>
    <t>Prog. 1</t>
  </si>
  <si>
    <t>Prog. 2</t>
  </si>
  <si>
    <t>Prog. 3</t>
  </si>
  <si>
    <t>Prog. 4</t>
  </si>
  <si>
    <t xml:space="preserve">  KAPITALBEHOV (1000 euro)</t>
  </si>
  <si>
    <t xml:space="preserve">  Förklaring</t>
  </si>
  <si>
    <t>Maskiner och anläggningar Moms 0 %</t>
  </si>
  <si>
    <t>Övriga materiella investeringar</t>
  </si>
  <si>
    <t>Varulager vid företagsförvärv och i början</t>
  </si>
  <si>
    <r>
      <t xml:space="preserve">  FINANSIERING </t>
    </r>
    <r>
      <rPr>
        <sz val="9"/>
        <color theme="0"/>
        <rFont val="Arial"/>
        <family val="2"/>
      </rPr>
      <t>(1000 euroa)</t>
    </r>
  </si>
  <si>
    <t>Bidragen (punkter 1 - 7)</t>
  </si>
  <si>
    <t xml:space="preserve">  T2 RESULTATBUDGET (1000 euro)</t>
  </si>
  <si>
    <t>Materialförbrukning, varor</t>
  </si>
  <si>
    <t>Övr. ränteintäkter och finansiella intäkter</t>
  </si>
  <si>
    <t>Räntekostn. och övriga finansiella kostnader</t>
  </si>
  <si>
    <t>VINST (FÖRLUST) FÖRE BOKSLUT-FLYTTNINGAR OCH SKATTER</t>
  </si>
  <si>
    <t>OMSÄTTNING/PERSON Euro</t>
  </si>
  <si>
    <t xml:space="preserve">  BALANS AKTIVA (1000 euro)</t>
  </si>
  <si>
    <t>I. Immateriella nyttigheter</t>
  </si>
  <si>
    <t>II. Materiella nyttigheter</t>
  </si>
  <si>
    <t xml:space="preserve">4. Övriga immateriella nyttigheter </t>
  </si>
  <si>
    <t>II. Placeringar</t>
  </si>
  <si>
    <t>I. Omsättningstillgångar</t>
  </si>
  <si>
    <t>II. Fordringar</t>
  </si>
  <si>
    <t xml:space="preserve">3. Övriga fordringar </t>
  </si>
  <si>
    <t>III. Finansieringsvärdepapper</t>
  </si>
  <si>
    <t>IV. Pengar och banktillgodohavanden</t>
  </si>
  <si>
    <t>AKTIVA SAMMANLAGT</t>
  </si>
  <si>
    <t xml:space="preserve">  BALANS PASSIVA (1000 euro)</t>
  </si>
  <si>
    <t>4. Vinst/förlust av räkenskapsperioden</t>
  </si>
  <si>
    <t>5. Fond av investerad fritt eget kapital</t>
  </si>
  <si>
    <t>KUMULATIVA BOKSLUTÖVERFÖRINGAR</t>
  </si>
  <si>
    <t>2. Kapitallån</t>
  </si>
  <si>
    <t>2. Kapital</t>
  </si>
  <si>
    <t>6. Erhållna försköt</t>
  </si>
  <si>
    <t>PASSIVA SAMMANLAGT</t>
  </si>
  <si>
    <t xml:space="preserve">  T4 FINANSIERINGSBUDGET (1000 euro)</t>
  </si>
  <si>
    <t>1. Finansieringsresultat</t>
  </si>
  <si>
    <t>2. Ägarnas kapitalskot</t>
  </si>
  <si>
    <t>3. Upptagning av långfristiga lån</t>
  </si>
  <si>
    <t>4. Upptagning av avbetalningsskulder</t>
  </si>
  <si>
    <t>5. Upptagning av kortfristiga lån</t>
  </si>
  <si>
    <t>6. Bidrag, ökning av kapitallån, upptagning av placeringar, ackord</t>
  </si>
  <si>
    <t>TILLFÖRDA MEDEL</t>
  </si>
  <si>
    <t>DISPONERADE MEDEL</t>
  </si>
  <si>
    <t>8. Investeringar</t>
  </si>
  <si>
    <t xml:space="preserve">9. Förändring av rörelsekapitalet </t>
  </si>
  <si>
    <t>10. Förändring av finansieringstillgångarna</t>
  </si>
  <si>
    <t>11. Amortering av långfristiga lån av finansiärer</t>
  </si>
  <si>
    <t>12. SVOP-återbetalning och amortering av kapitallån</t>
  </si>
  <si>
    <t>13. Förändring av finansieringstillgångarna</t>
  </si>
  <si>
    <t>14. Amortering av långfristiga lån av finansiärer</t>
  </si>
  <si>
    <t>15. SVOP-återbetalning</t>
  </si>
  <si>
    <t>16. Amortering av kapitallån</t>
  </si>
  <si>
    <t>17. Långfristiga leverantörsskulder, minskning</t>
  </si>
  <si>
    <t>18. Övriga långfristiga lån, minskning</t>
  </si>
  <si>
    <t>19. Placeringar</t>
  </si>
  <si>
    <t>20. SAMMANLAGT</t>
  </si>
  <si>
    <t>21. Över-/underskott (7 - 25)</t>
  </si>
  <si>
    <t>22. Kumulativt under-/överskott</t>
  </si>
  <si>
    <t>T4 FINANSIERINGSPLAN / RÖRELSEKAPITAL (1000 €)</t>
  </si>
  <si>
    <t>28 Omsättningstillgångar</t>
  </si>
  <si>
    <t>29 Kundfordringar</t>
  </si>
  <si>
    <t>30 Övriga fordringar</t>
  </si>
  <si>
    <t>31 Fordr. fr. intäkter enligt färdighetsgrad</t>
  </si>
  <si>
    <t>32 Inköpsskulder</t>
  </si>
  <si>
    <t>33 Erhållna förskott</t>
  </si>
  <si>
    <t>Erhållna förskott, andel av omsättning (%)</t>
  </si>
  <si>
    <t>34 Rörelsekapital</t>
  </si>
  <si>
    <t>35 Ökning/minskning av rörelsekapital</t>
  </si>
  <si>
    <t xml:space="preserve">T7 LÅN </t>
  </si>
  <si>
    <t>NUVARANDE LÅNGFRISTIGA
 LÅN (1000 euro)</t>
  </si>
  <si>
    <t>Amortering</t>
  </si>
  <si>
    <t>NYA LÅN</t>
  </si>
  <si>
    <t>Låne-
tid (år)</t>
  </si>
  <si>
    <t>Amort</t>
  </si>
  <si>
    <t>ÖVRIGA PARAMETRAR</t>
  </si>
  <si>
    <t>AKTIVA</t>
  </si>
  <si>
    <t xml:space="preserve"> RAHOITUS (Euroa)</t>
  </si>
  <si>
    <t>Lånebelopp enligt
senaste bokslut</t>
  </si>
  <si>
    <t>Procentuell ökning och minskning</t>
  </si>
  <si>
    <t>Ansvar av programmets rättighet och resultaten</t>
  </si>
  <si>
    <t xml:space="preserve">Användaren är medveten, att programmet kan innehålla fel och ge felaktiga resultaten. </t>
  </si>
  <si>
    <t xml:space="preserve">Resultatet är riktningsgivande och användaren har eget ansvar om tolkning av resultaten. </t>
  </si>
  <si>
    <t xml:space="preserve"> Produkt/prestation</t>
  </si>
  <si>
    <t>Investerat kapital</t>
  </si>
  <si>
    <t>Driftsbidrag-%</t>
  </si>
  <si>
    <t>Rörelseresultat EBIT-%</t>
  </si>
  <si>
    <t>Räkenskapsperiodens vinst-%</t>
  </si>
  <si>
    <t>Avkastning på investerat kapital</t>
  </si>
  <si>
    <t>Tillgånger</t>
  </si>
  <si>
    <t>Skulder</t>
  </si>
  <si>
    <t>Nettoförmögenhet</t>
  </si>
  <si>
    <t>Balanssumma</t>
  </si>
  <si>
    <t xml:space="preserve"> Periodens vinst </t>
  </si>
  <si>
    <t xml:space="preserve"> Periodens vinst-%</t>
  </si>
  <si>
    <t xml:space="preserve"> Avkastning på investerat kapital (ROI)</t>
  </si>
  <si>
    <t xml:space="preserve"> Finansiellt resultat %</t>
  </si>
  <si>
    <t xml:space="preserve"> - moms-%</t>
  </si>
  <si>
    <t xml:space="preserve"> Byggnader och konstruktioner inkl. moms </t>
  </si>
  <si>
    <t>Byggnader och konstruktioner moms 0 %</t>
  </si>
  <si>
    <t>Maskiner och anläggningar inkl. moms</t>
  </si>
  <si>
    <t xml:space="preserve">Maskiner och anläggningar moms 0 % </t>
  </si>
  <si>
    <t>Euro</t>
  </si>
  <si>
    <t xml:space="preserve"> - hyror och leasingkostnader</t>
  </si>
  <si>
    <t>7. SAMMANLAGT</t>
  </si>
  <si>
    <t xml:space="preserve"> Ny avbetalningsskuld år 1</t>
  </si>
  <si>
    <t xml:space="preserve"> Ny avbetalningsskuld år 2</t>
  </si>
  <si>
    <t xml:space="preserve"> Ny avbetalningsskuld år 3</t>
  </si>
  <si>
    <t xml:space="preserve"> Ny avbetalningsskuld år 4</t>
  </si>
  <si>
    <t xml:space="preserve">Övriga materiella nyttigheter </t>
  </si>
  <si>
    <t>KONTROLLERA: "AKTIVA TOTALT" OCH "PASSIVA TOTALT" MÅSTE VARA LIKA STORA.</t>
  </si>
  <si>
    <t>Räntor på övriga långfristiga lån,
utan skuldebrev</t>
  </si>
  <si>
    <t>Räntor på kapitallån</t>
  </si>
  <si>
    <t>Räntor på kortfristiga lån</t>
  </si>
  <si>
    <t>Nya avbetalningslån slgt</t>
  </si>
  <si>
    <t>Expeditionsavgifter, bankgarantiavgifter</t>
  </si>
  <si>
    <t>TOTALT</t>
  </si>
  <si>
    <t xml:space="preserve"> NETTOFÖRMÖGENHETSKALKYL</t>
  </si>
  <si>
    <t xml:space="preserve"> FöPL-företagarnas bruttolöner</t>
  </si>
  <si>
    <t xml:space="preserve"> Bikostnader av FöPL-löner</t>
  </si>
  <si>
    <t xml:space="preserve"> ArPL-arbetstagarnas bruttolöner (heltiduppgifter)</t>
  </si>
  <si>
    <t xml:space="preserve"> ArPL-arbetstagarnas bruttolöner (deltiduppgifter)</t>
  </si>
  <si>
    <t xml:space="preserve"> Bikostnader av ArPL-löner</t>
  </si>
  <si>
    <t xml:space="preserve"> Mäl utgifter under perioden
 inkl. Moms</t>
  </si>
  <si>
    <t xml:space="preserve"> Målutgifter under perioden</t>
  </si>
  <si>
    <t>Bank, Finnvera etc.</t>
  </si>
  <si>
    <t>FöretagsLojo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</si>
</sst>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0\ &quot;€&quot;;[Red]\-#,##0\ &quot;€&quot;"/>
    <numFmt numFmtId="164" formatCode="0.0\ %"/>
    <numFmt numFmtId="165" formatCode="#,##0_ ;[Red]\-#,##0\ "/>
    <numFmt numFmtId="166" formatCode="0.0"/>
    <numFmt numFmtId="167" formatCode="#,##0.0"/>
    <numFmt numFmtId="168" formatCode="#,##0\ &quot;€&quot;"/>
    <numFmt numFmtId="169" formatCode="d\.m\.yyyy;@"/>
    <numFmt numFmtId="170" formatCode="#,##0.0_ ;[Red]\-#,##0.0\ "/>
  </numFmts>
  <fonts count="95" x14ac:knownFonts="1">
    <font>
      <sz val="10"/>
      <name val="Arial"/>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sz val="8"/>
      <name val="Verdana"/>
      <family val="2"/>
    </font>
    <font>
      <b/>
      <sz val="10"/>
      <name val="Tahoma"/>
      <family val="2"/>
    </font>
    <font>
      <b/>
      <sz val="9"/>
      <color indexed="18"/>
      <name val="Arial"/>
      <family val="2"/>
    </font>
    <font>
      <b/>
      <i/>
      <sz val="8"/>
      <name val="Verdana"/>
      <family val="2"/>
    </font>
    <font>
      <sz val="9"/>
      <color indexed="10"/>
      <name val="Arial"/>
      <family val="2"/>
    </font>
    <font>
      <b/>
      <i/>
      <sz val="9"/>
      <name val="Arial"/>
      <family val="2"/>
    </font>
    <font>
      <i/>
      <sz val="9"/>
      <name val="Arial"/>
      <family val="2"/>
    </font>
    <font>
      <b/>
      <u/>
      <sz val="8"/>
      <name val="Arial"/>
      <family val="2"/>
    </font>
    <font>
      <b/>
      <sz val="10"/>
      <color rgb="FFFF0000"/>
      <name val="Arial"/>
      <family val="2"/>
    </font>
    <font>
      <b/>
      <sz val="9"/>
      <color rgb="FFFF0000"/>
      <name val="Arial"/>
      <family val="2"/>
    </font>
    <font>
      <sz val="9"/>
      <color rgb="FFFF0000"/>
      <name val="Arial"/>
      <family val="2"/>
    </font>
    <font>
      <sz val="9"/>
      <color rgb="FF000080"/>
      <name val="Arial"/>
      <family val="2"/>
    </font>
    <font>
      <sz val="9"/>
      <color theme="1"/>
      <name val="Arial"/>
      <family val="2"/>
    </font>
    <font>
      <i/>
      <sz val="9"/>
      <color rgb="FF002060"/>
      <name val="Arial"/>
      <family val="2"/>
    </font>
    <font>
      <u/>
      <sz val="10"/>
      <color rgb="FFFF0000"/>
      <name val="Arial"/>
      <family val="2"/>
    </font>
    <font>
      <sz val="10"/>
      <color rgb="FFFF0000"/>
      <name val="Arial"/>
      <family val="2"/>
    </font>
    <font>
      <u/>
      <sz val="9"/>
      <color rgb="FFFF0000"/>
      <name val="Arial"/>
      <family val="2"/>
    </font>
    <font>
      <b/>
      <strike/>
      <sz val="10"/>
      <color rgb="FFFF0000"/>
      <name val="Arial"/>
      <family val="2"/>
    </font>
    <font>
      <b/>
      <strike/>
      <u/>
      <sz val="10"/>
      <color rgb="FFFF0000"/>
      <name val="Arial"/>
      <family val="2"/>
    </font>
    <font>
      <strike/>
      <sz val="10"/>
      <color rgb="FFFF0000"/>
      <name val="Arial"/>
      <family val="2"/>
    </font>
    <font>
      <i/>
      <sz val="8"/>
      <color rgb="FF002060"/>
      <name val="Arial"/>
      <family val="2"/>
    </font>
    <font>
      <b/>
      <sz val="10"/>
      <color theme="1"/>
      <name val="Arial"/>
      <family val="2"/>
    </font>
    <font>
      <sz val="10"/>
      <color theme="1"/>
      <name val="Arial"/>
      <family val="2"/>
    </font>
    <font>
      <b/>
      <sz val="9"/>
      <color rgb="FF000080"/>
      <name val="Arial"/>
      <family val="2"/>
    </font>
    <font>
      <b/>
      <sz val="9"/>
      <color rgb="FF000066"/>
      <name val="Arial"/>
      <family val="2"/>
    </font>
    <font>
      <b/>
      <sz val="9"/>
      <color theme="1"/>
      <name val="Arial"/>
      <family val="2"/>
    </font>
    <font>
      <b/>
      <sz val="10"/>
      <color theme="3"/>
      <name val="Arial"/>
      <family val="2"/>
    </font>
    <font>
      <sz val="8"/>
      <color rgb="FFFF0000"/>
      <name val="Arial"/>
      <family val="2"/>
    </font>
    <font>
      <i/>
      <sz val="8"/>
      <color theme="3"/>
      <name val="Arial"/>
      <family val="2"/>
    </font>
    <font>
      <sz val="9"/>
      <color rgb="FF000066"/>
      <name val="Arial"/>
      <family val="2"/>
    </font>
    <font>
      <sz val="9"/>
      <color rgb="FF002060"/>
      <name val="Arial"/>
      <family val="2"/>
    </font>
    <font>
      <b/>
      <sz val="10"/>
      <color theme="0"/>
      <name val="Arial"/>
      <family val="2"/>
    </font>
    <font>
      <b/>
      <sz val="10"/>
      <color indexed="81"/>
      <name val="Tahoma"/>
      <family val="2"/>
    </font>
    <font>
      <b/>
      <i/>
      <sz val="10"/>
      <color indexed="81"/>
      <name val="Tahoma"/>
      <family val="2"/>
    </font>
    <font>
      <sz val="10"/>
      <color indexed="81"/>
      <name val="Tahoma"/>
      <family val="2"/>
    </font>
    <font>
      <b/>
      <u/>
      <sz val="10"/>
      <color indexed="81"/>
      <name val="Tahoma"/>
      <family val="2"/>
    </font>
    <font>
      <sz val="8"/>
      <name val="Arial Narrow"/>
      <family val="2"/>
    </font>
    <font>
      <b/>
      <i/>
      <sz val="8"/>
      <color rgb="FF002060"/>
      <name val="Arial"/>
      <family val="2"/>
    </font>
    <font>
      <b/>
      <i/>
      <sz val="8"/>
      <color theme="3"/>
      <name val="Arial"/>
      <family val="2"/>
    </font>
    <font>
      <b/>
      <sz val="9"/>
      <color theme="3"/>
      <name val="Arial"/>
      <family val="2"/>
    </font>
    <font>
      <b/>
      <i/>
      <sz val="10"/>
      <color theme="3"/>
      <name val="Arial"/>
      <family val="2"/>
    </font>
    <font>
      <b/>
      <sz val="8"/>
      <color theme="1"/>
      <name val="Arial"/>
      <family val="2"/>
    </font>
    <font>
      <i/>
      <sz val="9"/>
      <color theme="3"/>
      <name val="Arial"/>
      <family val="2"/>
    </font>
    <font>
      <b/>
      <i/>
      <sz val="8"/>
      <color theme="1"/>
      <name val="Arial"/>
      <family val="2"/>
    </font>
    <font>
      <i/>
      <sz val="8"/>
      <color theme="3" tint="-0.249977111117893"/>
      <name val="Arial"/>
      <family val="2"/>
    </font>
    <font>
      <b/>
      <sz val="11"/>
      <color rgb="FFFF0000"/>
      <name val="Arial"/>
      <family val="2"/>
    </font>
    <font>
      <b/>
      <sz val="9"/>
      <color theme="9" tint="-0.249977111117893"/>
      <name val="Arial"/>
      <family val="2"/>
    </font>
    <font>
      <sz val="9"/>
      <color theme="9" tint="-0.249977111117893"/>
      <name val="Arial"/>
      <family val="2"/>
    </font>
    <font>
      <i/>
      <sz val="8"/>
      <color rgb="FF000080"/>
      <name val="Arial"/>
      <family val="2"/>
    </font>
    <font>
      <sz val="10"/>
      <color theme="0"/>
      <name val="Arial"/>
      <family val="2"/>
    </font>
    <font>
      <b/>
      <sz val="11"/>
      <color theme="0"/>
      <name val="Arial"/>
      <family val="2"/>
    </font>
    <font>
      <b/>
      <sz val="9"/>
      <color theme="0"/>
      <name val="Arial"/>
      <family val="2"/>
    </font>
    <font>
      <sz val="9"/>
      <color theme="0"/>
      <name val="Arial"/>
      <family val="2"/>
    </font>
    <font>
      <b/>
      <sz val="12"/>
      <color theme="0"/>
      <name val="Arial"/>
      <family val="2"/>
    </font>
    <font>
      <b/>
      <sz val="8"/>
      <color theme="0"/>
      <name val="Arial"/>
      <family val="2"/>
    </font>
    <font>
      <sz val="11"/>
      <color theme="0"/>
      <name val="Arial"/>
      <family val="2"/>
    </font>
    <font>
      <sz val="8"/>
      <color theme="0"/>
      <name val="Arial"/>
      <family val="2"/>
    </font>
    <font>
      <sz val="11"/>
      <color theme="1"/>
      <name val="Arial"/>
      <family val="2"/>
    </font>
    <font>
      <b/>
      <i/>
      <sz val="8"/>
      <color theme="0"/>
      <name val="Arial"/>
      <family val="2"/>
    </font>
    <font>
      <sz val="8"/>
      <color rgb="FF002060"/>
      <name val="Arial"/>
      <family val="2"/>
    </font>
    <font>
      <u/>
      <sz val="10"/>
      <color theme="10"/>
      <name val="Arial"/>
      <family val="2"/>
    </font>
    <font>
      <i/>
      <sz val="8"/>
      <color theme="1"/>
      <name val="Arial"/>
      <family val="2"/>
    </font>
    <font>
      <b/>
      <sz val="12"/>
      <color indexed="81"/>
      <name val="Tahoma"/>
      <family val="2"/>
    </font>
    <font>
      <i/>
      <sz val="9"/>
      <color theme="1"/>
      <name val="Arial"/>
      <family val="2"/>
    </font>
    <font>
      <b/>
      <sz val="10"/>
      <color indexed="8"/>
      <name val="Tahoma"/>
      <family val="2"/>
    </font>
    <font>
      <sz val="10"/>
      <color rgb="FF000066"/>
      <name val="Arial"/>
      <family val="2"/>
    </font>
    <font>
      <b/>
      <i/>
      <sz val="9"/>
      <color rgb="FFFF0000"/>
      <name val="Arial"/>
      <family val="2"/>
    </font>
  </fonts>
  <fills count="17">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rgb="FFFFC000"/>
        <bgColor indexed="64"/>
      </patternFill>
    </fill>
    <fill>
      <patternFill patternType="solid">
        <fgColor rgb="FF0152A1"/>
        <bgColor indexed="64"/>
      </patternFill>
    </fill>
    <fill>
      <patternFill patternType="solid">
        <fgColor rgb="FFFFFF00"/>
        <bgColor indexed="64"/>
      </patternFill>
    </fill>
    <fill>
      <patternFill patternType="solid">
        <fgColor theme="4"/>
        <bgColor indexed="64"/>
      </patternFill>
    </fill>
    <fill>
      <patternFill patternType="solid">
        <fgColor theme="0" tint="-0.249977111117893"/>
        <bgColor indexed="64"/>
      </patternFill>
    </fill>
  </fills>
  <borders count="248">
    <border>
      <left/>
      <right/>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thin">
        <color indexed="64"/>
      </bottom>
      <diagonal/>
    </border>
    <border>
      <left style="thin">
        <color indexed="64"/>
      </left>
      <right/>
      <top/>
      <bottom style="double">
        <color indexed="64"/>
      </bottom>
      <diagonal/>
    </border>
    <border>
      <left/>
      <right/>
      <top style="dotted">
        <color indexed="64"/>
      </top>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double">
        <color indexed="64"/>
      </bottom>
      <diagonal/>
    </border>
    <border>
      <left style="thin">
        <color indexed="64"/>
      </left>
      <right/>
      <top/>
      <bottom style="thin">
        <color theme="3" tint="0.59996337778862885"/>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theme="0" tint="-0.499984740745262"/>
      </top>
      <bottom/>
      <diagonal/>
    </border>
    <border>
      <left style="thin">
        <color indexed="64"/>
      </left>
      <right style="thin">
        <color indexed="64"/>
      </right>
      <top style="medium">
        <color theme="0" tint="-0.499984740745262"/>
      </top>
      <bottom/>
      <diagonal/>
    </border>
    <border>
      <left style="thin">
        <color indexed="64"/>
      </left>
      <right/>
      <top style="medium">
        <color theme="0" tint="-0.499984740745262"/>
      </top>
      <bottom/>
      <diagonal/>
    </border>
    <border>
      <left style="thin">
        <color indexed="64"/>
      </left>
      <right style="medium">
        <color theme="0" tint="-0.499984740745262"/>
      </right>
      <top style="medium">
        <color theme="0" tint="-0.499984740745262"/>
      </top>
      <bottom/>
      <diagonal/>
    </border>
    <border>
      <left/>
      <right style="thin">
        <color indexed="64"/>
      </right>
      <top/>
      <bottom style="medium">
        <color theme="0" tint="-0.499984740745262"/>
      </bottom>
      <diagonal/>
    </border>
    <border>
      <left style="thin">
        <color indexed="64"/>
      </left>
      <right style="medium">
        <color indexed="64"/>
      </right>
      <top style="medium">
        <color theme="0" tint="-0.499984740745262"/>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tted">
        <color indexed="64"/>
      </top>
      <bottom style="dotted">
        <color indexed="64"/>
      </bottom>
      <diagonal/>
    </border>
    <border>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thin">
        <color theme="0" tint="-0.24994659260841701"/>
      </left>
      <right style="thin">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hair">
        <color theme="3" tint="-0.249977111117893"/>
      </bottom>
      <diagonal/>
    </border>
    <border>
      <left/>
      <right/>
      <top style="hair">
        <color theme="3" tint="-0.249977111117893"/>
      </top>
      <bottom style="hair">
        <color theme="3" tint="-0.249977111117893"/>
      </bottom>
      <diagonal/>
    </border>
    <border>
      <left style="hair">
        <color theme="3" tint="-0.249977111117893"/>
      </left>
      <right style="hair">
        <color theme="3" tint="-0.249977111117893"/>
      </right>
      <top style="hair">
        <color theme="3" tint="-0.249977111117893"/>
      </top>
      <bottom style="hair">
        <color theme="3" tint="-0.249977111117893"/>
      </bottom>
      <diagonal/>
    </border>
    <border>
      <left/>
      <right style="hair">
        <color theme="3" tint="-0.249977111117893"/>
      </right>
      <top/>
      <bottom style="hair">
        <color theme="3" tint="-0.249977111117893"/>
      </bottom>
      <diagonal/>
    </border>
    <border>
      <left/>
      <right style="hair">
        <color theme="3" tint="-0.249977111117893"/>
      </right>
      <top style="hair">
        <color theme="3" tint="-0.249977111117893"/>
      </top>
      <bottom style="hair">
        <color theme="3" tint="-0.249977111117893"/>
      </bottom>
      <diagonal/>
    </border>
    <border>
      <left/>
      <right/>
      <top style="hair">
        <color theme="3" tint="-0.249977111117893"/>
      </top>
      <bottom/>
      <diagonal/>
    </border>
    <border>
      <left/>
      <right style="hair">
        <color theme="3" tint="-0.249977111117893"/>
      </right>
      <top style="hair">
        <color theme="3" tint="-0.249977111117893"/>
      </top>
      <bottom/>
      <diagonal/>
    </border>
    <border>
      <left style="hair">
        <color theme="3" tint="-0.249977111117893"/>
      </left>
      <right style="hair">
        <color theme="3" tint="-0.249977111117893"/>
      </right>
      <top style="hair">
        <color theme="3" tint="-0.249977111117893"/>
      </top>
      <bottom/>
      <diagonal/>
    </border>
    <border>
      <left style="hair">
        <color indexed="64"/>
      </left>
      <right style="hair">
        <color indexed="64"/>
      </right>
      <top style="hair">
        <color indexed="64"/>
      </top>
      <bottom style="hair">
        <color indexed="64"/>
      </bottom>
      <diagonal/>
    </border>
    <border>
      <left/>
      <right style="hair">
        <color theme="3" tint="-0.249977111117893"/>
      </right>
      <top style="hair">
        <color theme="3" tint="-0.249977111117893"/>
      </top>
      <bottom style="hair">
        <color indexed="64"/>
      </bottom>
      <diagonal/>
    </border>
    <border>
      <left/>
      <right/>
      <top style="hair">
        <color theme="3" tint="-0.249977111117893"/>
      </top>
      <bottom style="hair">
        <color indexed="64"/>
      </bottom>
      <diagonal/>
    </border>
    <border>
      <left style="thin">
        <color indexed="64"/>
      </left>
      <right style="medium">
        <color theme="0" tint="-0.499984740745262"/>
      </right>
      <top/>
      <bottom/>
      <diagonal/>
    </border>
    <border>
      <left style="thin">
        <color indexed="64"/>
      </left>
      <right style="thin">
        <color indexed="64"/>
      </right>
      <top/>
      <bottom style="medium">
        <color theme="0" tint="-0.499984740745262"/>
      </bottom>
      <diagonal/>
    </border>
    <border>
      <left style="thin">
        <color indexed="64"/>
      </left>
      <right/>
      <top/>
      <bottom style="medium">
        <color theme="0" tint="-0.499984740745262"/>
      </bottom>
      <diagonal/>
    </border>
    <border>
      <left style="thin">
        <color indexed="64"/>
      </left>
      <right style="medium">
        <color indexed="64"/>
      </right>
      <top/>
      <bottom style="medium">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theme="0"/>
      </top>
      <bottom style="thin">
        <color theme="0"/>
      </bottom>
      <diagonal/>
    </border>
    <border>
      <left/>
      <right/>
      <top style="thin">
        <color theme="0"/>
      </top>
      <bottom/>
      <diagonal/>
    </border>
    <border>
      <left/>
      <right/>
      <top style="thin">
        <color theme="0"/>
      </top>
      <bottom style="thin">
        <color indexed="64"/>
      </bottom>
      <diagonal/>
    </border>
    <border>
      <left style="hair">
        <color theme="3" tint="-0.249977111117893"/>
      </left>
      <right style="hair">
        <color theme="3" tint="-0.249977111117893"/>
      </right>
      <top/>
      <bottom style="hair">
        <color theme="3" tint="-0.249977111117893"/>
      </bottom>
      <diagonal/>
    </border>
    <border>
      <left style="hair">
        <color theme="3" tint="-0.249977111117893"/>
      </left>
      <right style="hair">
        <color theme="3" tint="-0.249977111117893"/>
      </right>
      <top style="hair">
        <color theme="3" tint="-0.249977111117893"/>
      </top>
      <bottom style="double">
        <color theme="0" tint="-0.34998626667073579"/>
      </bottom>
      <diagonal/>
    </border>
    <border>
      <left style="thin">
        <color indexed="64"/>
      </left>
      <right style="thin">
        <color indexed="64"/>
      </right>
      <top/>
      <bottom style="thin">
        <color theme="4" tint="0.399945066682943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bottom/>
      <diagonal/>
    </border>
    <border>
      <left/>
      <right style="thin">
        <color theme="0" tint="-0.34998626667073579"/>
      </right>
      <top/>
      <bottom/>
      <diagonal/>
    </border>
    <border>
      <left style="hair">
        <color theme="3" tint="-0.249977111117893"/>
      </left>
      <right style="thin">
        <color theme="0" tint="-0.34998626667073579"/>
      </right>
      <top style="hair">
        <color theme="3" tint="-0.249977111117893"/>
      </top>
      <bottom style="hair">
        <color theme="3" tint="-0.249977111117893"/>
      </bottom>
      <diagonal/>
    </border>
    <border>
      <left/>
      <right style="thin">
        <color theme="0" tint="-0.34998626667073579"/>
      </right>
      <top style="hair">
        <color theme="3" tint="-0.249977111117893"/>
      </top>
      <bottom style="hair">
        <color theme="3" tint="-0.249977111117893"/>
      </bottom>
      <diagonal/>
    </border>
    <border>
      <left/>
      <right style="hair">
        <color theme="3" tint="-0.249977111117893"/>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right/>
      <top style="hair">
        <color theme="3" tint="-0.249977111117893"/>
      </top>
      <bottom style="hair">
        <color theme="0" tint="-0.34998626667073579"/>
      </bottom>
      <diagonal/>
    </border>
    <border>
      <left style="hair">
        <color theme="3" tint="-0.249977111117893"/>
      </left>
      <right style="hair">
        <color theme="3" tint="-0.249977111117893"/>
      </right>
      <top style="hair">
        <color theme="3" tint="-0.249977111117893"/>
      </top>
      <bottom style="hair">
        <color theme="0" tint="-0.34998626667073579"/>
      </bottom>
      <diagonal/>
    </border>
    <border>
      <left/>
      <right/>
      <top style="double">
        <color theme="0" tint="-0.34998626667073579"/>
      </top>
      <bottom style="hair">
        <color theme="0" tint="-0.34998626667073579"/>
      </bottom>
      <diagonal/>
    </border>
    <border>
      <left style="hair">
        <color theme="3" tint="-0.249977111117893"/>
      </left>
      <right style="hair">
        <color theme="3" tint="-0.249977111117893"/>
      </right>
      <top style="double">
        <color theme="0" tint="-0.34998626667073579"/>
      </top>
      <bottom style="hair">
        <color theme="0" tint="-0.34998626667073579"/>
      </bottom>
      <diagonal/>
    </border>
    <border>
      <left/>
      <right style="thin">
        <color indexed="64"/>
      </right>
      <top/>
      <bottom style="dotted">
        <color indexed="64"/>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hair">
        <color theme="3" tint="-0.249977111117893"/>
      </right>
      <top style="hair">
        <color theme="3" tint="-0.249977111117893"/>
      </top>
      <bottom style="double">
        <color theme="0" tint="-0.34998626667073579"/>
      </bottom>
      <diagonal/>
    </border>
    <border>
      <left/>
      <right style="hair">
        <color theme="3" tint="-0.249977111117893"/>
      </right>
      <top style="double">
        <color theme="0" tint="-0.34998626667073579"/>
      </top>
      <bottom style="hair">
        <color theme="0" tint="-0.34998626667073579"/>
      </bottom>
      <diagonal/>
    </border>
    <border>
      <left style="hair">
        <color theme="3" tint="-0.249977111117893"/>
      </left>
      <right style="hair">
        <color theme="3" tint="-0.249977111117893"/>
      </right>
      <top style="hair">
        <color theme="0" tint="-0.34998626667073579"/>
      </top>
      <bottom style="hair">
        <color theme="0" tint="-0.34998626667073579"/>
      </bottom>
      <diagonal/>
    </border>
    <border>
      <left/>
      <right style="thin">
        <color indexed="64"/>
      </right>
      <top style="medium">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right style="thin">
        <color theme="0" tint="-0.499984740745262"/>
      </right>
      <top/>
      <bottom/>
      <diagonal/>
    </border>
    <border>
      <left style="hair">
        <color theme="3" tint="-0.249977111117893"/>
      </left>
      <right style="thin">
        <color theme="0" tint="-0.499984740745262"/>
      </right>
      <top style="hair">
        <color theme="3" tint="-0.249977111117893"/>
      </top>
      <bottom style="hair">
        <color theme="3" tint="-0.249977111117893"/>
      </bottom>
      <diagonal/>
    </border>
    <border>
      <left style="hair">
        <color theme="3" tint="-0.249977111117893"/>
      </left>
      <right style="thin">
        <color theme="0" tint="-0.499984740745262"/>
      </right>
      <top style="hair">
        <color theme="3" tint="-0.249977111117893"/>
      </top>
      <bottom style="double">
        <color theme="0" tint="-0.34998626667073579"/>
      </bottom>
      <diagonal/>
    </border>
    <border>
      <left style="hair">
        <color theme="3" tint="-0.249977111117893"/>
      </left>
      <right style="thin">
        <color theme="0" tint="-0.499984740745262"/>
      </right>
      <top/>
      <bottom style="hair">
        <color theme="3" tint="-0.249977111117893"/>
      </bottom>
      <diagonal/>
    </border>
    <border>
      <left style="thin">
        <color theme="0" tint="-0.499984740745262"/>
      </left>
      <right/>
      <top/>
      <bottom/>
      <diagonal/>
    </border>
    <border>
      <left style="thin">
        <color theme="0" tint="-0.499984740745262"/>
      </left>
      <right style="hair">
        <color theme="3" tint="-0.249977111117893"/>
      </right>
      <top style="hair">
        <color theme="3" tint="-0.249977111117893"/>
      </top>
      <bottom style="hair">
        <color theme="3" tint="-0.249977111117893"/>
      </bottom>
      <diagonal/>
    </border>
    <border>
      <left style="thin">
        <color theme="0" tint="-0.499984740745262"/>
      </left>
      <right style="hair">
        <color theme="3" tint="-0.249977111117893"/>
      </right>
      <top style="hair">
        <color theme="3" tint="-0.249977111117893"/>
      </top>
      <bottom style="double">
        <color theme="0" tint="-0.34998626667073579"/>
      </bottom>
      <diagonal/>
    </border>
    <border>
      <left style="thin">
        <color theme="0" tint="-0.499984740745262"/>
      </left>
      <right style="hair">
        <color theme="3" tint="-0.249977111117893"/>
      </right>
      <top/>
      <bottom style="hair">
        <color theme="3" tint="-0.249977111117893"/>
      </bottom>
      <diagonal/>
    </border>
    <border>
      <left/>
      <right style="thin">
        <color theme="0" tint="-0.499984740745262"/>
      </right>
      <top style="hair">
        <color theme="3" tint="-0.249977111117893"/>
      </top>
      <bottom style="hair">
        <color theme="3" tint="-0.249977111117893"/>
      </bottom>
      <diagonal/>
    </border>
    <border>
      <left/>
      <right style="thin">
        <color theme="0" tint="-0.499984740745262"/>
      </right>
      <top/>
      <bottom style="hair">
        <color theme="3" tint="-0.249977111117893"/>
      </bottom>
      <diagonal/>
    </border>
    <border>
      <left/>
      <right style="thin">
        <color theme="0" tint="-0.499984740745262"/>
      </right>
      <top style="hair">
        <color theme="3" tint="-0.249977111117893"/>
      </top>
      <bottom style="double">
        <color theme="0" tint="-0.34998626667073579"/>
      </bottom>
      <diagonal/>
    </border>
    <border>
      <left/>
      <right style="thin">
        <color theme="0" tint="-0.499984740745262"/>
      </right>
      <top style="hair">
        <color theme="3" tint="-0.249977111117893"/>
      </top>
      <bottom/>
      <diagonal/>
    </border>
    <border>
      <left style="thin">
        <color theme="0" tint="-0.499984740745262"/>
      </left>
      <right style="hair">
        <color theme="3" tint="-0.249977111117893"/>
      </right>
      <top style="hair">
        <color theme="3" tint="-0.249977111117893"/>
      </top>
      <bottom/>
      <diagonal/>
    </border>
    <border>
      <left style="hair">
        <color theme="3" tint="-0.249977111117893"/>
      </left>
      <right style="thin">
        <color theme="0" tint="-0.499984740745262"/>
      </right>
      <top style="hair">
        <color theme="3" tint="-0.249977111117893"/>
      </top>
      <bottom/>
      <diagonal/>
    </border>
    <border>
      <left/>
      <right style="thin">
        <color theme="0" tint="-0.499984740745262"/>
      </right>
      <top style="double">
        <color theme="0" tint="-0.34998626667073579"/>
      </top>
      <bottom style="hair">
        <color theme="0" tint="-0.34998626667073579"/>
      </bottom>
      <diagonal/>
    </border>
    <border>
      <left style="thin">
        <color theme="0" tint="-0.499984740745262"/>
      </left>
      <right style="hair">
        <color theme="3" tint="-0.249977111117893"/>
      </right>
      <top style="double">
        <color theme="0" tint="-0.34998626667073579"/>
      </top>
      <bottom style="hair">
        <color theme="0" tint="-0.34998626667073579"/>
      </bottom>
      <diagonal/>
    </border>
    <border>
      <left style="hair">
        <color theme="3" tint="-0.249977111117893"/>
      </left>
      <right style="thin">
        <color theme="0" tint="-0.34998626667073579"/>
      </right>
      <top style="hair">
        <color theme="3" tint="-0.249977111117893"/>
      </top>
      <bottom style="double">
        <color theme="0" tint="-0.34998626667073579"/>
      </bottom>
      <diagonal/>
    </border>
    <border>
      <left style="hair">
        <color theme="3" tint="-0.249977111117893"/>
      </left>
      <right style="thin">
        <color theme="0" tint="-0.34998626667073579"/>
      </right>
      <top style="double">
        <color theme="0" tint="-0.34998626667073579"/>
      </top>
      <bottom style="hair">
        <color theme="0" tint="-0.34998626667073579"/>
      </bottom>
      <diagonal/>
    </border>
    <border>
      <left style="hair">
        <color theme="3" tint="-0.249977111117893"/>
      </left>
      <right style="thin">
        <color theme="0" tint="-0.34998626667073579"/>
      </right>
      <top/>
      <bottom style="hair">
        <color theme="3" tint="-0.249977111117893"/>
      </bottom>
      <diagonal/>
    </border>
    <border>
      <left style="hair">
        <color theme="3" tint="-0.249977111117893"/>
      </left>
      <right style="thin">
        <color theme="0" tint="-0.34998626667073579"/>
      </right>
      <top style="hair">
        <color theme="3" tint="-0.249977111117893"/>
      </top>
      <bottom style="hair">
        <color theme="0" tint="-0.34998626667073579"/>
      </bottom>
      <diagonal/>
    </border>
    <border>
      <left style="thin">
        <color theme="0" tint="-0.34998626667073579"/>
      </left>
      <right style="hair">
        <color theme="3" tint="-0.249977111117893"/>
      </right>
      <top style="hair">
        <color theme="3" tint="-0.249977111117893"/>
      </top>
      <bottom style="hair">
        <color theme="3" tint="-0.249977111117893"/>
      </bottom>
      <diagonal/>
    </border>
    <border>
      <left style="thin">
        <color theme="0" tint="-0.34998626667073579"/>
      </left>
      <right style="hair">
        <color theme="3" tint="-0.249977111117893"/>
      </right>
      <top style="hair">
        <color theme="3" tint="-0.249977111117893"/>
      </top>
      <bottom style="double">
        <color theme="0" tint="-0.34998626667073579"/>
      </bottom>
      <diagonal/>
    </border>
    <border>
      <left style="thin">
        <color theme="0" tint="-0.34998626667073579"/>
      </left>
      <right style="hair">
        <color theme="3" tint="-0.249977111117893"/>
      </right>
      <top style="double">
        <color theme="0" tint="-0.34998626667073579"/>
      </top>
      <bottom style="hair">
        <color theme="0" tint="-0.34998626667073579"/>
      </bottom>
      <diagonal/>
    </border>
    <border>
      <left style="thin">
        <color theme="0" tint="-0.34998626667073579"/>
      </left>
      <right/>
      <top/>
      <bottom style="hair">
        <color theme="0" tint="-0.34998626667073579"/>
      </bottom>
      <diagonal/>
    </border>
    <border>
      <left style="hair">
        <color theme="3" tint="-0.249977111117893"/>
      </left>
      <right style="thin">
        <color theme="0" tint="-0.34998626667073579"/>
      </right>
      <top style="hair">
        <color theme="0" tint="-0.34998626667073579"/>
      </top>
      <bottom style="hair">
        <color theme="0" tint="-0.34998626667073579"/>
      </bottom>
      <diagonal/>
    </border>
    <border>
      <left style="hair">
        <color theme="3" tint="-0.249977111117893"/>
      </left>
      <right style="thin">
        <color theme="0" tint="-0.499984740745262"/>
      </right>
      <top style="hair">
        <color theme="0" tint="-0.34998626667073579"/>
      </top>
      <bottom style="hair">
        <color theme="0" tint="-0.34998626667073579"/>
      </bottom>
      <diagonal/>
    </border>
    <border>
      <left style="thin">
        <color theme="0" tint="-0.34998626667073579"/>
      </left>
      <right style="thin">
        <color theme="0" tint="-0.34998626667073579"/>
      </right>
      <top/>
      <bottom/>
      <diagonal/>
    </border>
    <border>
      <left/>
      <right/>
      <top style="hair">
        <color theme="0" tint="-0.34998626667073579"/>
      </top>
      <bottom style="hair">
        <color theme="3" tint="-0.249977111117893"/>
      </bottom>
      <diagonal/>
    </border>
    <border>
      <left/>
      <right style="thin">
        <color theme="0" tint="-0.34998626667073579"/>
      </right>
      <top style="hair">
        <color theme="0" tint="-0.34998626667073579"/>
      </top>
      <bottom style="hair">
        <color theme="3" tint="-0.249977111117893"/>
      </bottom>
      <diagonal/>
    </border>
    <border>
      <left/>
      <right style="thin">
        <color theme="0" tint="-0.34998626667073579"/>
      </right>
      <top style="hair">
        <color theme="3" tint="-0.249977111117893"/>
      </top>
      <bottom style="hair">
        <color theme="0" tint="-0.34998626667073579"/>
      </bottom>
      <diagonal/>
    </border>
    <border>
      <left/>
      <right/>
      <top style="thin">
        <color theme="0" tint="-0.499984740745262"/>
      </top>
      <bottom style="thin">
        <color theme="0" tint="-0.499984740745262"/>
      </bottom>
      <diagonal/>
    </border>
    <border>
      <left/>
      <right/>
      <top style="thin">
        <color theme="0" tint="-0.499984740745262"/>
      </top>
      <bottom style="thin">
        <color auto="1"/>
      </bottom>
      <diagonal/>
    </border>
    <border>
      <left style="thin">
        <color theme="0" tint="-0.34998626667073579"/>
      </left>
      <right/>
      <top/>
      <bottom style="thin">
        <color indexed="64"/>
      </bottom>
      <diagonal/>
    </border>
    <border>
      <left/>
      <right style="thin">
        <color theme="0" tint="-0.34998626667073579"/>
      </right>
      <top/>
      <bottom style="thin">
        <color indexed="64"/>
      </bottom>
      <diagonal/>
    </border>
    <border>
      <left/>
      <right/>
      <top/>
      <bottom style="hair">
        <color theme="0" tint="-0.24994659260841701"/>
      </bottom>
      <diagonal/>
    </border>
    <border>
      <left/>
      <right/>
      <top/>
      <bottom style="hair">
        <color theme="0" tint="-0.14996795556505021"/>
      </bottom>
      <diagonal/>
    </border>
    <border>
      <left/>
      <right style="hair">
        <color theme="0" tint="-0.499984740745262"/>
      </right>
      <top/>
      <bottom/>
      <diagonal/>
    </border>
    <border>
      <left style="hair">
        <color theme="3" tint="-0.249977111117893"/>
      </left>
      <right style="hair">
        <color theme="0" tint="-0.499984740745262"/>
      </right>
      <top style="hair">
        <color theme="3" tint="-0.249977111117893"/>
      </top>
      <bottom style="hair">
        <color theme="3" tint="-0.249977111117893"/>
      </bottom>
      <diagonal/>
    </border>
    <border>
      <left style="hair">
        <color theme="3" tint="-0.249977111117893"/>
      </left>
      <right style="hair">
        <color theme="0" tint="-0.499984740745262"/>
      </right>
      <top style="hair">
        <color theme="3" tint="-0.249977111117893"/>
      </top>
      <bottom style="double">
        <color theme="0" tint="-0.34998626667073579"/>
      </bottom>
      <diagonal/>
    </border>
    <border>
      <left style="hair">
        <color theme="3" tint="-0.249977111117893"/>
      </left>
      <right style="hair">
        <color theme="0" tint="-0.499984740745262"/>
      </right>
      <top/>
      <bottom style="hair">
        <color theme="3" tint="-0.249977111117893"/>
      </bottom>
      <diagonal/>
    </border>
    <border>
      <left/>
      <right/>
      <top style="hair">
        <color theme="3" tint="-0.249977111117893"/>
      </top>
      <bottom style="double">
        <color theme="0" tint="-0.34998626667073579"/>
      </bottom>
      <diagonal/>
    </border>
    <border>
      <left style="hair">
        <color theme="3" tint="-0.249977111117893"/>
      </left>
      <right style="hair">
        <color theme="0" tint="-0.499984740745262"/>
      </right>
      <top style="thin">
        <color indexed="64"/>
      </top>
      <bottom style="hair">
        <color theme="3" tint="-0.249977111117893"/>
      </bottom>
      <diagonal/>
    </border>
    <border>
      <left style="hair">
        <color theme="3" tint="-0.249977111117893"/>
      </left>
      <right style="hair">
        <color theme="0" tint="-0.499984740745262"/>
      </right>
      <top style="hair">
        <color theme="3" tint="-0.249977111117893"/>
      </top>
      <bottom style="thin">
        <color theme="0" tint="-0.499984740745262"/>
      </bottom>
      <diagonal/>
    </border>
    <border>
      <left style="hair">
        <color theme="3" tint="-0.249977111117893"/>
      </left>
      <right style="hair">
        <color theme="0" tint="-0.499984740745262"/>
      </right>
      <top style="thin">
        <color theme="0" tint="-0.499984740745262"/>
      </top>
      <bottom style="hair">
        <color theme="3" tint="-0.249977111117893"/>
      </bottom>
      <diagonal/>
    </border>
    <border>
      <left style="hair">
        <color theme="3" tint="-0.249977111117893"/>
      </left>
      <right style="hair">
        <color theme="0" tint="-0.499984740745262"/>
      </right>
      <top style="hair">
        <color theme="0" tint="-0.34998626667073579"/>
      </top>
      <bottom style="hair">
        <color theme="0" tint="-0.34998626667073579"/>
      </bottom>
      <diagonal/>
    </border>
    <border>
      <left style="thin">
        <color indexed="64"/>
      </left>
      <right style="thin">
        <color indexed="64"/>
      </right>
      <top style="thin">
        <color theme="0" tint="-0.34998626667073579"/>
      </top>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style="thin">
        <color theme="4" tint="0.39994506668294322"/>
      </top>
      <bottom/>
      <diagonal/>
    </border>
    <border>
      <left style="thin">
        <color theme="0" tint="-0.24994659260841701"/>
      </left>
      <right/>
      <top/>
      <bottom/>
      <diagonal/>
    </border>
    <border>
      <left style="thin">
        <color theme="0" tint="-0.24994659260841701"/>
      </left>
      <right/>
      <top/>
      <bottom style="thin">
        <color indexed="64"/>
      </bottom>
      <diagonal/>
    </border>
    <border>
      <left style="thin">
        <color theme="0" tint="-0.24994659260841701"/>
      </left>
      <right/>
      <top style="thin">
        <color indexed="64"/>
      </top>
      <bottom/>
      <diagonal/>
    </border>
    <border>
      <left/>
      <right style="thin">
        <color theme="0" tint="-0.24994659260841701"/>
      </right>
      <top/>
      <bottom style="thin">
        <color indexed="64"/>
      </bottom>
      <diagonal/>
    </border>
    <border>
      <left style="thin">
        <color theme="0" tint="-0.24994659260841701"/>
      </left>
      <right/>
      <top/>
      <bottom style="thin">
        <color theme="1"/>
      </bottom>
      <diagonal/>
    </border>
    <border>
      <left/>
      <right/>
      <top/>
      <bottom style="thin">
        <color theme="1"/>
      </bottom>
      <diagonal/>
    </border>
    <border>
      <left/>
      <right style="thin">
        <color theme="0" tint="-0.24994659260841701"/>
      </right>
      <top/>
      <bottom style="thin">
        <color theme="1"/>
      </bottom>
      <diagonal/>
    </border>
    <border>
      <left/>
      <right style="thin">
        <color theme="0" tint="-0.24994659260841701"/>
      </right>
      <top/>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style="hair">
        <color theme="1"/>
      </left>
      <right style="hair">
        <color theme="1"/>
      </right>
      <top/>
      <bottom style="hair">
        <color theme="1"/>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s>
  <cellStyleXfs count="4">
    <xf numFmtId="0" fontId="0" fillId="0" borderId="0"/>
    <xf numFmtId="0" fontId="4" fillId="0" borderId="0"/>
    <xf numFmtId="9" fontId="2" fillId="0" borderId="0" applyFont="0" applyFill="0" applyBorder="0" applyAlignment="0" applyProtection="0"/>
    <xf numFmtId="0" fontId="88" fillId="0" borderId="0" applyNumberFormat="0" applyFill="0" applyBorder="0" applyAlignment="0" applyProtection="0"/>
  </cellStyleXfs>
  <cellXfs count="2313">
    <xf numFmtId="0" fontId="0" fillId="0" borderId="0" xfId="0"/>
    <xf numFmtId="0" fontId="4" fillId="0" borderId="0" xfId="0" applyFont="1"/>
    <xf numFmtId="0" fontId="5" fillId="0" borderId="0" xfId="0" applyFont="1"/>
    <xf numFmtId="3" fontId="5" fillId="0" borderId="0" xfId="0" applyNumberFormat="1" applyFont="1" applyProtection="1">
      <protection hidden="1"/>
    </xf>
    <xf numFmtId="0" fontId="11" fillId="0" borderId="0" xfId="0" applyFont="1"/>
    <xf numFmtId="14" fontId="5" fillId="0" borderId="0" xfId="0" applyNumberFormat="1" applyFont="1" applyAlignment="1">
      <alignment horizontal="center"/>
    </xf>
    <xf numFmtId="0" fontId="5" fillId="0" borderId="0" xfId="0" applyFont="1" applyAlignment="1">
      <alignment horizontal="center"/>
    </xf>
    <xf numFmtId="3" fontId="4" fillId="0" borderId="0" xfId="0" applyNumberFormat="1" applyFont="1" applyProtection="1">
      <protection hidden="1"/>
    </xf>
    <xf numFmtId="0" fontId="0" fillId="2" borderId="0" xfId="0" applyFill="1"/>
    <xf numFmtId="3" fontId="5" fillId="2" borderId="0" xfId="0" applyNumberFormat="1" applyFont="1" applyFill="1" applyProtection="1">
      <protection hidden="1"/>
    </xf>
    <xf numFmtId="0" fontId="5" fillId="2" borderId="0" xfId="0" applyFont="1" applyFill="1" applyProtection="1">
      <protection hidden="1"/>
    </xf>
    <xf numFmtId="4" fontId="5" fillId="2" borderId="0" xfId="0" applyNumberFormat="1" applyFont="1" applyFill="1" applyProtection="1">
      <protection hidden="1"/>
    </xf>
    <xf numFmtId="167" fontId="5" fillId="2" borderId="0" xfId="0" applyNumberFormat="1" applyFont="1" applyFill="1" applyProtection="1">
      <protection hidden="1"/>
    </xf>
    <xf numFmtId="14" fontId="0" fillId="0" borderId="0" xfId="0" applyNumberFormat="1"/>
    <xf numFmtId="0" fontId="14" fillId="0" borderId="0" xfId="0" applyFont="1"/>
    <xf numFmtId="0" fontId="4" fillId="2" borderId="0" xfId="0" applyFont="1" applyFill="1"/>
    <xf numFmtId="1" fontId="0" fillId="0" borderId="0" xfId="0" applyNumberFormat="1"/>
    <xf numFmtId="0" fontId="0" fillId="0" borderId="0" xfId="0" applyAlignment="1">
      <alignment horizontal="right" vertical="top" wrapText="1"/>
    </xf>
    <xf numFmtId="3" fontId="18" fillId="2" borderId="0" xfId="0" applyNumberFormat="1" applyFont="1" applyFill="1" applyProtection="1">
      <protection hidden="1"/>
    </xf>
    <xf numFmtId="0" fontId="7" fillId="0" borderId="0" xfId="0" applyFont="1"/>
    <xf numFmtId="0" fontId="3" fillId="0" borderId="0" xfId="0" applyFont="1" applyAlignment="1">
      <alignment horizontal="center"/>
    </xf>
    <xf numFmtId="1" fontId="5" fillId="0" borderId="0" xfId="0" applyNumberFormat="1" applyFont="1" applyAlignment="1">
      <alignment horizontal="center"/>
    </xf>
    <xf numFmtId="164" fontId="4" fillId="0" borderId="0" xfId="0" applyNumberFormat="1" applyFont="1"/>
    <xf numFmtId="0" fontId="15" fillId="2" borderId="0" xfId="0" applyFont="1" applyFill="1"/>
    <xf numFmtId="0" fontId="14" fillId="0" borderId="0" xfId="0" applyFont="1" applyAlignment="1">
      <alignment horizontal="right"/>
    </xf>
    <xf numFmtId="0" fontId="10" fillId="0" borderId="0" xfId="0" applyFont="1"/>
    <xf numFmtId="3" fontId="11" fillId="0" borderId="0" xfId="0" applyNumberFormat="1" applyFont="1" applyProtection="1">
      <protection hidden="1"/>
    </xf>
    <xf numFmtId="3" fontId="11" fillId="0" borderId="0" xfId="0" applyNumberFormat="1" applyFont="1"/>
    <xf numFmtId="0" fontId="4" fillId="2" borderId="0" xfId="0" applyFont="1" applyFill="1" applyAlignment="1">
      <alignment horizontal="right"/>
    </xf>
    <xf numFmtId="0" fontId="5" fillId="2" borderId="0" xfId="0" applyFont="1" applyFill="1"/>
    <xf numFmtId="0" fontId="5" fillId="2" borderId="0" xfId="0" applyFont="1" applyFill="1" applyAlignment="1">
      <alignment horizontal="right"/>
    </xf>
    <xf numFmtId="0" fontId="5" fillId="2" borderId="0" xfId="0" applyFont="1" applyFill="1" applyAlignment="1">
      <alignment horizontal="left"/>
    </xf>
    <xf numFmtId="3" fontId="0" fillId="0" borderId="0" xfId="0" applyNumberFormat="1"/>
    <xf numFmtId="0" fontId="0" fillId="0" borderId="0" xfId="0" applyAlignment="1">
      <alignment horizontal="center"/>
    </xf>
    <xf numFmtId="0" fontId="9" fillId="0" borderId="0" xfId="0" applyFont="1" applyAlignment="1">
      <alignment horizontal="left"/>
    </xf>
    <xf numFmtId="0" fontId="4" fillId="0" borderId="0" xfId="0" applyFont="1" applyAlignment="1">
      <alignment horizontal="center"/>
    </xf>
    <xf numFmtId="0" fontId="4" fillId="0" borderId="0" xfId="0" applyFont="1" applyAlignment="1" applyProtection="1">
      <alignment horizontal="left" vertical="center"/>
      <protection locked="0"/>
    </xf>
    <xf numFmtId="0" fontId="4" fillId="0" borderId="0" xfId="0" applyFont="1" applyAlignment="1">
      <alignment horizontal="left" vertical="center"/>
    </xf>
    <xf numFmtId="0" fontId="8" fillId="0" borderId="0" xfId="0" applyFont="1"/>
    <xf numFmtId="0" fontId="14" fillId="0" borderId="0" xfId="0" applyFont="1" applyAlignment="1">
      <alignment vertical="center"/>
    </xf>
    <xf numFmtId="0" fontId="3" fillId="3" borderId="1" xfId="0" applyFont="1" applyFill="1" applyBorder="1" applyAlignment="1">
      <alignment horizontal="center"/>
    </xf>
    <xf numFmtId="0" fontId="8" fillId="0" borderId="0" xfId="0" applyFont="1" applyAlignment="1">
      <alignment horizontal="left"/>
    </xf>
    <xf numFmtId="0" fontId="6" fillId="0" borderId="0" xfId="0" applyFont="1" applyAlignment="1">
      <alignment vertical="center"/>
    </xf>
    <xf numFmtId="3" fontId="10" fillId="0" borderId="0" xfId="0" applyNumberFormat="1" applyFont="1" applyProtection="1">
      <protection hidden="1"/>
    </xf>
    <xf numFmtId="0" fontId="10" fillId="0" borderId="2" xfId="0" applyFont="1" applyBorder="1"/>
    <xf numFmtId="0" fontId="6" fillId="0" borderId="0" xfId="0" applyFont="1"/>
    <xf numFmtId="0" fontId="0" fillId="0" borderId="0" xfId="0" applyAlignment="1">
      <alignment vertical="center"/>
    </xf>
    <xf numFmtId="0" fontId="14" fillId="0" borderId="0" xfId="0" applyFont="1" applyAlignment="1">
      <alignment horizontal="center"/>
    </xf>
    <xf numFmtId="3" fontId="6" fillId="0" borderId="0" xfId="0" applyNumberFormat="1" applyFont="1"/>
    <xf numFmtId="3" fontId="3" fillId="0" borderId="0" xfId="0" applyNumberFormat="1" applyFont="1" applyProtection="1">
      <protection hidden="1"/>
    </xf>
    <xf numFmtId="3" fontId="6" fillId="0" borderId="0" xfId="0" applyNumberFormat="1" applyFont="1" applyProtection="1">
      <protection hidden="1"/>
    </xf>
    <xf numFmtId="0" fontId="8" fillId="0" borderId="0" xfId="0" applyFont="1" applyAlignment="1">
      <alignment horizontal="center"/>
    </xf>
    <xf numFmtId="0" fontId="11" fillId="0" borderId="0" xfId="0" applyFont="1" applyAlignment="1">
      <alignment horizontal="center"/>
    </xf>
    <xf numFmtId="0" fontId="21" fillId="0" borderId="0" xfId="0" applyFont="1" applyAlignment="1">
      <alignment horizontal="right"/>
    </xf>
    <xf numFmtId="49" fontId="5" fillId="0" borderId="0" xfId="0" applyNumberFormat="1" applyFont="1"/>
    <xf numFmtId="6" fontId="5" fillId="0" borderId="0" xfId="0" applyNumberFormat="1" applyFont="1" applyAlignment="1">
      <alignment horizontal="center" vertical="center"/>
    </xf>
    <xf numFmtId="0" fontId="18" fillId="0" borderId="7" xfId="0" applyFont="1" applyBorder="1"/>
    <xf numFmtId="0" fontId="18" fillId="0" borderId="0" xfId="0" applyFont="1"/>
    <xf numFmtId="0" fontId="23" fillId="0" borderId="0" xfId="0" applyFont="1"/>
    <xf numFmtId="14" fontId="7" fillId="0" borderId="0" xfId="0" applyNumberFormat="1" applyFont="1" applyAlignment="1">
      <alignment horizontal="center"/>
    </xf>
    <xf numFmtId="3" fontId="0" fillId="0" borderId="0" xfId="0" applyNumberFormat="1" applyAlignment="1">
      <alignment horizontal="center" vertical="center"/>
    </xf>
    <xf numFmtId="3" fontId="7" fillId="0" borderId="0" xfId="0" applyNumberFormat="1" applyFont="1" applyAlignment="1">
      <alignment horizontal="center" vertical="center"/>
    </xf>
    <xf numFmtId="0" fontId="0" fillId="0" borderId="0" xfId="0" applyAlignment="1">
      <alignment horizontal="left" vertical="center"/>
    </xf>
    <xf numFmtId="0" fontId="19" fillId="0" borderId="0" xfId="0" applyFont="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6" fillId="0" borderId="0" xfId="0" applyFont="1" applyAlignment="1">
      <alignment horizontal="center" vertical="center"/>
    </xf>
    <xf numFmtId="0" fontId="4" fillId="0" borderId="0" xfId="0" applyFont="1" applyAlignment="1">
      <alignment vertical="center"/>
    </xf>
    <xf numFmtId="0" fontId="6" fillId="0" borderId="0" xfId="0" applyFont="1" applyAlignment="1">
      <alignment horizontal="left"/>
    </xf>
    <xf numFmtId="0" fontId="22" fillId="0" borderId="0" xfId="0" applyFont="1" applyAlignment="1">
      <alignment horizontal="left"/>
    </xf>
    <xf numFmtId="0" fontId="22" fillId="0" borderId="0" xfId="0" applyFont="1"/>
    <xf numFmtId="0" fontId="0" fillId="0" borderId="0" xfId="0" applyAlignment="1">
      <alignment horizontal="left"/>
    </xf>
    <xf numFmtId="0" fontId="4" fillId="0" borderId="0" xfId="0" applyFont="1" applyAlignment="1">
      <alignment horizontal="center" vertical="center"/>
    </xf>
    <xf numFmtId="0" fontId="21" fillId="0" borderId="0" xfId="0" applyFont="1" applyAlignment="1">
      <alignment horizontal="center"/>
    </xf>
    <xf numFmtId="0" fontId="11" fillId="0" borderId="15" xfId="0" applyFont="1" applyBorder="1" applyAlignment="1">
      <alignment horizontal="center" vertical="center"/>
    </xf>
    <xf numFmtId="167" fontId="4" fillId="0" borderId="0" xfId="0" applyNumberFormat="1" applyFont="1" applyAlignment="1">
      <alignment horizontal="center"/>
    </xf>
    <xf numFmtId="14" fontId="5" fillId="0" borderId="0" xfId="0" applyNumberFormat="1" applyFont="1"/>
    <xf numFmtId="0" fontId="0" fillId="0" borderId="17" xfId="0" applyBorder="1"/>
    <xf numFmtId="0" fontId="6" fillId="0" borderId="0" xfId="0" applyFont="1" applyAlignment="1">
      <alignment horizontal="right" vertical="center"/>
    </xf>
    <xf numFmtId="0" fontId="17" fillId="0" borderId="0" xfId="0" applyFont="1"/>
    <xf numFmtId="0" fontId="6" fillId="0" borderId="0" xfId="0" applyFont="1" applyAlignment="1">
      <alignment horizontal="center"/>
    </xf>
    <xf numFmtId="166" fontId="0" fillId="0" borderId="0" xfId="0" applyNumberFormat="1"/>
    <xf numFmtId="0" fontId="7" fillId="0" borderId="0" xfId="0" applyFont="1" applyAlignment="1">
      <alignment horizontal="left"/>
    </xf>
    <xf numFmtId="0" fontId="5" fillId="0" borderId="19" xfId="0" applyFont="1" applyBorder="1" applyAlignment="1">
      <alignment horizontal="center" vertical="center"/>
    </xf>
    <xf numFmtId="166" fontId="0" fillId="0" borderId="17" xfId="0" applyNumberFormat="1" applyBorder="1"/>
    <xf numFmtId="164" fontId="0" fillId="0" borderId="20" xfId="2" applyNumberFormat="1" applyFont="1" applyBorder="1"/>
    <xf numFmtId="0" fontId="5" fillId="0" borderId="8"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36" fillId="0" borderId="0" xfId="0" applyFont="1" applyAlignment="1" applyProtection="1">
      <alignment vertical="center"/>
      <protection hidden="1"/>
    </xf>
    <xf numFmtId="167" fontId="0" fillId="0" borderId="0" xfId="0" applyNumberFormat="1"/>
    <xf numFmtId="0" fontId="24" fillId="2" borderId="0" xfId="0" applyFont="1" applyFill="1"/>
    <xf numFmtId="0" fontId="25" fillId="2" borderId="0" xfId="0" applyFont="1" applyFill="1" applyAlignment="1" applyProtection="1">
      <alignment horizontal="left" vertical="center"/>
      <protection hidden="1"/>
    </xf>
    <xf numFmtId="0" fontId="24" fillId="2" borderId="0" xfId="0" applyFont="1" applyFill="1" applyAlignment="1">
      <alignment horizontal="center"/>
    </xf>
    <xf numFmtId="0" fontId="22" fillId="2" borderId="0" xfId="0" applyFont="1" applyFill="1"/>
    <xf numFmtId="49" fontId="4" fillId="2" borderId="0" xfId="0" applyNumberFormat="1" applyFont="1" applyFill="1" applyAlignment="1">
      <alignment horizontal="right" vertical="center"/>
    </xf>
    <xf numFmtId="3" fontId="4" fillId="0" borderId="0" xfId="0" applyNumberFormat="1" applyFont="1"/>
    <xf numFmtId="0" fontId="8" fillId="0" borderId="0" xfId="0" applyFont="1" applyAlignment="1">
      <alignment horizontal="right"/>
    </xf>
    <xf numFmtId="3" fontId="28" fillId="0" borderId="0" xfId="0" applyNumberFormat="1" applyFont="1"/>
    <xf numFmtId="0" fontId="29" fillId="0" borderId="0" xfId="0" applyFont="1" applyAlignment="1">
      <alignment horizontal="center"/>
    </xf>
    <xf numFmtId="0" fontId="5" fillId="0" borderId="2" xfId="0" applyFont="1" applyBorder="1" applyAlignment="1">
      <alignment vertical="center"/>
    </xf>
    <xf numFmtId="0" fontId="5" fillId="0" borderId="25" xfId="0" applyFont="1" applyBorder="1"/>
    <xf numFmtId="0" fontId="4" fillId="0" borderId="0" xfId="0" applyFont="1" applyAlignment="1" applyProtection="1">
      <alignment horizontal="left"/>
      <protection hidden="1"/>
    </xf>
    <xf numFmtId="0" fontId="4" fillId="0" borderId="25" xfId="0" applyFont="1" applyBorder="1"/>
    <xf numFmtId="0" fontId="4" fillId="0" borderId="25" xfId="0" applyFont="1" applyBorder="1" applyAlignment="1" applyProtection="1">
      <alignment horizontal="center"/>
      <protection hidden="1"/>
    </xf>
    <xf numFmtId="0" fontId="4" fillId="0" borderId="25" xfId="0" applyFont="1" applyBorder="1" applyAlignment="1" applyProtection="1">
      <alignment horizontal="left"/>
      <protection hidden="1"/>
    </xf>
    <xf numFmtId="0" fontId="5" fillId="0" borderId="25" xfId="0" applyFont="1" applyBorder="1" applyAlignment="1" applyProtection="1">
      <alignment horizontal="left"/>
      <protection hidden="1"/>
    </xf>
    <xf numFmtId="1" fontId="4"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4" fillId="0" borderId="0" xfId="0" applyNumberFormat="1" applyFont="1" applyAlignment="1">
      <alignment horizontal="right"/>
    </xf>
    <xf numFmtId="165" fontId="5" fillId="0" borderId="0" xfId="0" applyNumberFormat="1" applyFont="1" applyAlignment="1">
      <alignment horizontal="right"/>
    </xf>
    <xf numFmtId="1" fontId="5" fillId="0" borderId="0" xfId="0" applyNumberFormat="1" applyFont="1" applyAlignment="1" applyProtection="1">
      <alignment horizontal="center"/>
      <protection hidden="1"/>
    </xf>
    <xf numFmtId="1" fontId="23" fillId="0" borderId="0" xfId="0" applyNumberFormat="1" applyFont="1" applyAlignment="1" applyProtection="1">
      <alignment horizontal="center"/>
      <protection hidden="1"/>
    </xf>
    <xf numFmtId="0" fontId="25" fillId="2" borderId="0" xfId="0" applyFont="1" applyFill="1" applyAlignment="1" applyProtection="1">
      <alignment horizontal="center" vertical="center"/>
      <protection hidden="1"/>
    </xf>
    <xf numFmtId="0" fontId="0" fillId="0" borderId="0" xfId="0" applyProtection="1">
      <protection hidden="1"/>
    </xf>
    <xf numFmtId="0" fontId="11" fillId="0" borderId="0" xfId="0" applyFont="1" applyAlignment="1" applyProtection="1">
      <alignment horizontal="center" vertical="center"/>
      <protection hidden="1"/>
    </xf>
    <xf numFmtId="0" fontId="11" fillId="0" borderId="0" xfId="0" applyFont="1" applyProtection="1">
      <protection hidden="1"/>
    </xf>
    <xf numFmtId="3" fontId="0" fillId="0" borderId="0" xfId="0" applyNumberFormat="1" applyAlignment="1" applyProtection="1">
      <alignment horizontal="right"/>
      <protection hidden="1"/>
    </xf>
    <xf numFmtId="0" fontId="10" fillId="0" borderId="0" xfId="0" applyFont="1" applyAlignment="1" applyProtection="1">
      <alignment horizontal="center"/>
      <protection hidden="1"/>
    </xf>
    <xf numFmtId="0" fontId="11" fillId="0" borderId="0" xfId="0" applyFont="1" applyAlignment="1" applyProtection="1">
      <alignment horizontal="left"/>
      <protection hidden="1"/>
    </xf>
    <xf numFmtId="0" fontId="0" fillId="0" borderId="0" xfId="0" applyAlignment="1" applyProtection="1">
      <alignment horizontal="center"/>
      <protection hidden="1"/>
    </xf>
    <xf numFmtId="0" fontId="4" fillId="0" borderId="0" xfId="0" applyFont="1" applyProtection="1">
      <protection hidden="1"/>
    </xf>
    <xf numFmtId="164" fontId="4" fillId="0" borderId="0" xfId="0" applyNumberFormat="1" applyFont="1" applyAlignment="1" applyProtection="1">
      <alignment horizontal="right"/>
      <protection hidden="1"/>
    </xf>
    <xf numFmtId="0" fontId="8" fillId="0" borderId="0" xfId="0" applyFont="1" applyProtection="1">
      <protection hidden="1"/>
    </xf>
    <xf numFmtId="0" fontId="4" fillId="0" borderId="0" xfId="0" applyFont="1" applyAlignment="1" applyProtection="1">
      <alignment horizontal="center"/>
      <protection hidden="1"/>
    </xf>
    <xf numFmtId="0" fontId="8" fillId="0" borderId="0" xfId="0" applyFont="1" applyAlignment="1" applyProtection="1">
      <alignment horizontal="center"/>
      <protection hidden="1"/>
    </xf>
    <xf numFmtId="0" fontId="4" fillId="0" borderId="0" xfId="0" applyFont="1" applyAlignment="1" applyProtection="1">
      <alignment horizontal="left" vertical="center"/>
      <protection hidden="1"/>
    </xf>
    <xf numFmtId="14" fontId="4" fillId="0" borderId="0" xfId="0" applyNumberFormat="1" applyFont="1" applyAlignment="1" applyProtection="1">
      <alignment horizontal="center" vertical="center"/>
      <protection hidden="1"/>
    </xf>
    <xf numFmtId="0" fontId="4" fillId="0" borderId="0" xfId="0" applyFont="1" applyAlignment="1" applyProtection="1">
      <alignment horizontal="center" vertical="center"/>
      <protection hidden="1"/>
    </xf>
    <xf numFmtId="0" fontId="20" fillId="0" borderId="0" xfId="0" applyFont="1" applyAlignment="1" applyProtection="1">
      <alignment horizontal="left" vertical="center"/>
      <protection hidden="1"/>
    </xf>
    <xf numFmtId="1" fontId="10" fillId="0" borderId="0" xfId="0" applyNumberFormat="1" applyFont="1" applyAlignment="1" applyProtection="1">
      <alignment horizontal="center"/>
      <protection hidden="1"/>
    </xf>
    <xf numFmtId="0" fontId="11" fillId="0" borderId="0" xfId="0" applyFont="1" applyAlignment="1" applyProtection="1">
      <alignment horizontal="right"/>
      <protection hidden="1"/>
    </xf>
    <xf numFmtId="3" fontId="11" fillId="0" borderId="0" xfId="0" applyNumberFormat="1" applyFont="1" applyAlignment="1" applyProtection="1">
      <alignment horizontal="right" vertical="center"/>
      <protection hidden="1"/>
    </xf>
    <xf numFmtId="0" fontId="11" fillId="0" borderId="0" xfId="0" applyFont="1" applyAlignment="1" applyProtection="1">
      <alignment horizontal="center"/>
      <protection hidden="1"/>
    </xf>
    <xf numFmtId="0" fontId="11" fillId="0" borderId="0" xfId="0" applyFont="1" applyAlignment="1" applyProtection="1">
      <alignment horizontal="right" vertical="center"/>
      <protection hidden="1"/>
    </xf>
    <xf numFmtId="1" fontId="11" fillId="0" borderId="0" xfId="0" applyNumberFormat="1" applyFont="1" applyAlignment="1" applyProtection="1">
      <alignment horizontal="right"/>
      <protection hidden="1"/>
    </xf>
    <xf numFmtId="3" fontId="11" fillId="0" borderId="0" xfId="0" applyNumberFormat="1" applyFont="1" applyAlignment="1" applyProtection="1">
      <alignment horizontal="right"/>
      <protection hidden="1"/>
    </xf>
    <xf numFmtId="0" fontId="11" fillId="0" borderId="0" xfId="0" applyFont="1" applyAlignment="1" applyProtection="1">
      <alignment vertical="center"/>
      <protection hidden="1"/>
    </xf>
    <xf numFmtId="0" fontId="6" fillId="0" borderId="0" xfId="0" applyFont="1" applyAlignment="1">
      <alignment horizontal="right"/>
    </xf>
    <xf numFmtId="0" fontId="6" fillId="2" borderId="0" xfId="0" applyFont="1" applyFill="1"/>
    <xf numFmtId="3" fontId="6" fillId="0" borderId="0" xfId="0" applyNumberFormat="1" applyFont="1" applyAlignment="1">
      <alignment horizontal="right"/>
    </xf>
    <xf numFmtId="0" fontId="31" fillId="0" borderId="0" xfId="0" applyFont="1"/>
    <xf numFmtId="0" fontId="31" fillId="0" borderId="0" xfId="0" applyFont="1" applyAlignment="1">
      <alignment horizontal="center"/>
    </xf>
    <xf numFmtId="0" fontId="4" fillId="0" borderId="2" xfId="0" applyFont="1" applyBorder="1" applyAlignment="1" applyProtection="1">
      <alignment horizontal="left" vertical="center"/>
      <protection hidden="1"/>
    </xf>
    <xf numFmtId="0" fontId="0" fillId="0" borderId="9" xfId="0" applyBorder="1" applyAlignment="1">
      <alignment vertical="center"/>
    </xf>
    <xf numFmtId="0" fontId="24" fillId="2" borderId="0" xfId="0" applyFont="1" applyFill="1" applyAlignment="1">
      <alignment horizontal="left"/>
    </xf>
    <xf numFmtId="0" fontId="24" fillId="0" borderId="0" xfId="0" applyFont="1" applyAlignment="1">
      <alignment horizontal="center" vertical="center"/>
    </xf>
    <xf numFmtId="0" fontId="8" fillId="0" borderId="0" xfId="0" applyFont="1" applyAlignment="1">
      <alignment horizontal="left" vertical="center"/>
    </xf>
    <xf numFmtId="0" fontId="19" fillId="0" borderId="0" xfId="0" applyFont="1"/>
    <xf numFmtId="0" fontId="5" fillId="0" borderId="27" xfId="0" applyFont="1" applyBorder="1" applyAlignment="1" applyProtection="1">
      <alignment horizontal="left" vertical="center"/>
      <protection hidden="1"/>
    </xf>
    <xf numFmtId="0" fontId="11" fillId="0" borderId="0" xfId="0" applyFont="1" applyAlignment="1">
      <alignment vertical="center"/>
    </xf>
    <xf numFmtId="0" fontId="11" fillId="0" borderId="0" xfId="0" applyFont="1" applyAlignment="1">
      <alignment horizontal="center" vertical="center"/>
    </xf>
    <xf numFmtId="0" fontId="5" fillId="0" borderId="0" xfId="0" applyFont="1" applyAlignment="1">
      <alignment horizontal="right"/>
    </xf>
    <xf numFmtId="0" fontId="16" fillId="0" borderId="2" xfId="0" applyFont="1" applyBorder="1"/>
    <xf numFmtId="0" fontId="0" fillId="0" borderId="28" xfId="0" applyBorder="1"/>
    <xf numFmtId="3" fontId="0" fillId="0" borderId="35" xfId="0" applyNumberFormat="1" applyBorder="1"/>
    <xf numFmtId="3" fontId="0" fillId="0" borderId="38" xfId="0" applyNumberFormat="1" applyBorder="1"/>
    <xf numFmtId="3" fontId="5" fillId="0" borderId="0" xfId="0" applyNumberFormat="1" applyFont="1"/>
    <xf numFmtId="0" fontId="3" fillId="0" borderId="27" xfId="0" applyFont="1" applyBorder="1" applyAlignment="1">
      <alignment horizontal="center"/>
    </xf>
    <xf numFmtId="1" fontId="5" fillId="3" borderId="40" xfId="0" applyNumberFormat="1" applyFont="1" applyFill="1" applyBorder="1" applyAlignment="1">
      <alignment horizontal="center"/>
    </xf>
    <xf numFmtId="0" fontId="11" fillId="0" borderId="17" xfId="0" applyFont="1" applyBorder="1"/>
    <xf numFmtId="164" fontId="11" fillId="0" borderId="17" xfId="2" applyNumberFormat="1" applyFont="1" applyBorder="1"/>
    <xf numFmtId="3" fontId="11" fillId="0" borderId="17" xfId="2" applyNumberFormat="1" applyFont="1" applyBorder="1"/>
    <xf numFmtId="164" fontId="0" fillId="0" borderId="17" xfId="2" applyNumberFormat="1" applyFont="1" applyBorder="1"/>
    <xf numFmtId="0" fontId="11" fillId="0" borderId="41" xfId="0" applyFont="1" applyBorder="1" applyAlignment="1">
      <alignment horizontal="center" vertical="center"/>
    </xf>
    <xf numFmtId="0" fontId="11" fillId="0" borderId="16" xfId="0" applyFont="1" applyBorder="1" applyAlignment="1">
      <alignment vertical="center"/>
    </xf>
    <xf numFmtId="3" fontId="11" fillId="0" borderId="0" xfId="0" applyNumberFormat="1" applyFont="1" applyAlignment="1">
      <alignment horizontal="center" vertical="center"/>
    </xf>
    <xf numFmtId="3" fontId="10" fillId="0" borderId="0" xfId="0" applyNumberFormat="1" applyFont="1" applyAlignment="1">
      <alignment horizontal="center" vertical="center"/>
    </xf>
    <xf numFmtId="0" fontId="5" fillId="0" borderId="0" xfId="0" applyFont="1" applyAlignment="1">
      <alignment vertical="center"/>
    </xf>
    <xf numFmtId="0" fontId="0" fillId="0" borderId="34" xfId="0" applyBorder="1"/>
    <xf numFmtId="0" fontId="5" fillId="0" borderId="31" xfId="0" applyFont="1" applyBorder="1" applyAlignment="1">
      <alignment horizontal="right" vertical="center"/>
    </xf>
    <xf numFmtId="9" fontId="0" fillId="0" borderId="0" xfId="2" applyFont="1"/>
    <xf numFmtId="167" fontId="5" fillId="0" borderId="0" xfId="0" applyNumberFormat="1" applyFont="1"/>
    <xf numFmtId="0" fontId="0" fillId="0" borderId="0" xfId="0" applyAlignment="1">
      <alignment horizontal="right"/>
    </xf>
    <xf numFmtId="3" fontId="4" fillId="5" borderId="16" xfId="0" applyNumberFormat="1" applyFont="1" applyFill="1" applyBorder="1" applyAlignment="1">
      <alignment horizontal="right" vertical="center"/>
    </xf>
    <xf numFmtId="3" fontId="4" fillId="5" borderId="33" xfId="0" applyNumberFormat="1" applyFont="1" applyFill="1" applyBorder="1" applyAlignment="1">
      <alignment horizontal="right" vertical="center"/>
    </xf>
    <xf numFmtId="0" fontId="10" fillId="0" borderId="11" xfId="0" applyFont="1" applyBorder="1" applyAlignment="1">
      <alignment horizontal="center" vertical="center"/>
    </xf>
    <xf numFmtId="0" fontId="10" fillId="0" borderId="7" xfId="0" applyFont="1" applyBorder="1" applyAlignment="1">
      <alignment vertical="center"/>
    </xf>
    <xf numFmtId="0" fontId="10" fillId="0" borderId="8" xfId="0" applyFont="1" applyBorder="1" applyAlignment="1">
      <alignment horizontal="right" vertical="center"/>
    </xf>
    <xf numFmtId="0" fontId="11" fillId="0" borderId="27" xfId="0" applyFont="1" applyBorder="1" applyAlignment="1">
      <alignment horizontal="center" vertical="center"/>
    </xf>
    <xf numFmtId="0" fontId="11" fillId="0" borderId="16" xfId="0" applyFont="1" applyBorder="1" applyAlignment="1">
      <alignment horizontal="right" vertical="center"/>
    </xf>
    <xf numFmtId="0" fontId="10" fillId="0" borderId="27" xfId="0" applyFont="1" applyBorder="1" applyAlignment="1">
      <alignment horizontal="center" vertical="center"/>
    </xf>
    <xf numFmtId="3" fontId="0" fillId="0" borderId="17" xfId="0" applyNumberFormat="1" applyBorder="1"/>
    <xf numFmtId="0" fontId="5" fillId="0" borderId="20" xfId="0" applyFont="1" applyBorder="1" applyAlignment="1">
      <alignment horizontal="right"/>
    </xf>
    <xf numFmtId="0" fontId="5" fillId="0" borderId="10" xfId="0" applyFont="1" applyBorder="1"/>
    <xf numFmtId="0" fontId="16" fillId="0" borderId="10" xfId="0" applyFont="1" applyBorder="1"/>
    <xf numFmtId="167" fontId="5" fillId="0" borderId="10" xfId="0" applyNumberFormat="1" applyFont="1" applyBorder="1"/>
    <xf numFmtId="3" fontId="5" fillId="0" borderId="10" xfId="0" applyNumberFormat="1" applyFont="1" applyBorder="1"/>
    <xf numFmtId="3" fontId="4" fillId="0" borderId="0" xfId="0" applyNumberFormat="1" applyFont="1" applyAlignment="1">
      <alignment horizontal="center"/>
    </xf>
    <xf numFmtId="164" fontId="4" fillId="0" borderId="0" xfId="2" applyNumberFormat="1" applyFont="1" applyAlignment="1">
      <alignment horizontal="center"/>
    </xf>
    <xf numFmtId="3" fontId="5" fillId="0" borderId="21" xfId="0" applyNumberFormat="1" applyFont="1" applyBorder="1" applyAlignment="1" applyProtection="1">
      <alignment horizontal="center" vertical="center"/>
      <protection hidden="1"/>
    </xf>
    <xf numFmtId="3" fontId="5" fillId="0" borderId="19" xfId="0" applyNumberFormat="1" applyFont="1" applyBorder="1" applyAlignment="1" applyProtection="1">
      <alignment horizontal="center" vertical="center"/>
      <protection hidden="1"/>
    </xf>
    <xf numFmtId="3" fontId="5" fillId="0" borderId="22" xfId="0" applyNumberFormat="1" applyFont="1" applyBorder="1" applyAlignment="1" applyProtection="1">
      <alignment horizontal="center" vertical="center"/>
      <protection hidden="1"/>
    </xf>
    <xf numFmtId="3" fontId="5" fillId="0" borderId="8" xfId="0" applyNumberFormat="1"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4" xfId="0" applyFont="1" applyBorder="1" applyAlignment="1" applyProtection="1">
      <alignment vertical="center"/>
      <protection hidden="1"/>
    </xf>
    <xf numFmtId="0" fontId="10" fillId="0" borderId="4" xfId="0" applyFont="1" applyBorder="1" applyAlignment="1" applyProtection="1">
      <alignment horizontal="right" vertical="center"/>
      <protection hidden="1"/>
    </xf>
    <xf numFmtId="166" fontId="10" fillId="0" borderId="4" xfId="0" applyNumberFormat="1" applyFont="1" applyBorder="1" applyAlignment="1" applyProtection="1">
      <alignment horizontal="right" vertical="center"/>
      <protection hidden="1"/>
    </xf>
    <xf numFmtId="3" fontId="10" fillId="0" borderId="4" xfId="0" applyNumberFormat="1" applyFont="1" applyBorder="1" applyAlignment="1" applyProtection="1">
      <alignment vertical="center"/>
      <protection hidden="1"/>
    </xf>
    <xf numFmtId="3" fontId="0" fillId="0" borderId="38" xfId="2" applyNumberFormat="1" applyFont="1" applyBorder="1"/>
    <xf numFmtId="3" fontId="0" fillId="0" borderId="44" xfId="0" applyNumberFormat="1" applyBorder="1"/>
    <xf numFmtId="0" fontId="36" fillId="0" borderId="0" xfId="0" applyFont="1" applyProtection="1">
      <protection hidden="1"/>
    </xf>
    <xf numFmtId="0" fontId="10" fillId="0" borderId="13" xfId="0" applyFont="1" applyBorder="1" applyAlignment="1">
      <alignment horizontal="center" vertical="center"/>
    </xf>
    <xf numFmtId="0" fontId="10" fillId="0" borderId="34" xfId="0" applyFont="1" applyBorder="1" applyAlignment="1">
      <alignment vertical="center"/>
    </xf>
    <xf numFmtId="0" fontId="10" fillId="0" borderId="43" xfId="0" applyFont="1" applyBorder="1" applyAlignment="1">
      <alignment horizontal="right" vertical="center"/>
    </xf>
    <xf numFmtId="0" fontId="11" fillId="0" borderId="45" xfId="0" applyFont="1" applyBorder="1" applyAlignment="1">
      <alignment vertical="center"/>
    </xf>
    <xf numFmtId="0" fontId="10" fillId="0" borderId="46" xfId="0" applyFont="1" applyBorder="1" applyAlignment="1">
      <alignment horizontal="right" vertical="center"/>
    </xf>
    <xf numFmtId="0" fontId="5" fillId="0" borderId="46" xfId="0" applyFont="1" applyBorder="1" applyAlignment="1">
      <alignment horizontal="right" vertical="center"/>
    </xf>
    <xf numFmtId="0" fontId="11" fillId="0" borderId="46" xfId="0" applyFont="1" applyBorder="1" applyAlignment="1">
      <alignment horizontal="right" vertical="center"/>
    </xf>
    <xf numFmtId="0" fontId="10" fillId="0" borderId="46" xfId="0" applyFont="1" applyBorder="1" applyAlignment="1">
      <alignment vertical="center"/>
    </xf>
    <xf numFmtId="0" fontId="11" fillId="0" borderId="45" xfId="0" applyFont="1" applyBorder="1" applyAlignment="1">
      <alignment horizontal="right" vertical="center"/>
    </xf>
    <xf numFmtId="0" fontId="10" fillId="0" borderId="45" xfId="0" applyFont="1" applyBorder="1" applyAlignment="1">
      <alignment vertical="center"/>
    </xf>
    <xf numFmtId="3" fontId="5" fillId="0" borderId="50" xfId="0" applyNumberFormat="1" applyFont="1" applyBorder="1" applyAlignment="1" applyProtection="1">
      <alignment vertical="center"/>
      <protection hidden="1"/>
    </xf>
    <xf numFmtId="167" fontId="5" fillId="0" borderId="51" xfId="0" applyNumberFormat="1" applyFont="1" applyBorder="1" applyAlignment="1" applyProtection="1">
      <alignment vertical="center"/>
      <protection hidden="1"/>
    </xf>
    <xf numFmtId="167" fontId="6" fillId="3" borderId="38" xfId="0" applyNumberFormat="1" applyFont="1" applyFill="1" applyBorder="1" applyAlignment="1" applyProtection="1">
      <alignment vertical="center"/>
      <protection hidden="1"/>
    </xf>
    <xf numFmtId="167" fontId="6" fillId="3" borderId="35" xfId="0" applyNumberFormat="1" applyFont="1" applyFill="1" applyBorder="1" applyAlignment="1" applyProtection="1">
      <alignment vertical="center"/>
      <protection hidden="1"/>
    </xf>
    <xf numFmtId="3" fontId="6" fillId="3" borderId="38" xfId="0" applyNumberFormat="1" applyFont="1" applyFill="1" applyBorder="1" applyAlignment="1" applyProtection="1">
      <alignment vertical="center"/>
      <protection hidden="1"/>
    </xf>
    <xf numFmtId="3" fontId="5" fillId="0" borderId="48" xfId="0" applyNumberFormat="1" applyFont="1" applyBorder="1" applyAlignment="1" applyProtection="1">
      <alignment vertical="center"/>
      <protection hidden="1"/>
    </xf>
    <xf numFmtId="167" fontId="11" fillId="3" borderId="35" xfId="0" applyNumberFormat="1" applyFont="1" applyFill="1" applyBorder="1" applyAlignment="1" applyProtection="1">
      <alignment vertical="center"/>
      <protection hidden="1"/>
    </xf>
    <xf numFmtId="9" fontId="6" fillId="3" borderId="38" xfId="0" applyNumberFormat="1" applyFont="1" applyFill="1" applyBorder="1" applyAlignment="1" applyProtection="1">
      <alignment vertical="center"/>
      <protection hidden="1"/>
    </xf>
    <xf numFmtId="164" fontId="6" fillId="3" borderId="35" xfId="0" applyNumberFormat="1" applyFont="1" applyFill="1" applyBorder="1" applyAlignment="1" applyProtection="1">
      <alignment vertical="center"/>
      <protection hidden="1"/>
    </xf>
    <xf numFmtId="164" fontId="6" fillId="3" borderId="38" xfId="0" applyNumberFormat="1" applyFont="1" applyFill="1" applyBorder="1" applyAlignment="1" applyProtection="1">
      <alignment vertical="center"/>
      <protection hidden="1"/>
    </xf>
    <xf numFmtId="0" fontId="6" fillId="0" borderId="25" xfId="0" applyFont="1" applyBorder="1" applyAlignment="1">
      <alignment vertical="center"/>
    </xf>
    <xf numFmtId="3" fontId="6" fillId="0" borderId="39" xfId="0" applyNumberFormat="1" applyFont="1" applyBorder="1" applyAlignment="1" applyProtection="1">
      <alignment vertical="center"/>
      <protection hidden="1"/>
    </xf>
    <xf numFmtId="167" fontId="6" fillId="0" borderId="37" xfId="0" applyNumberFormat="1" applyFont="1" applyBorder="1" applyAlignment="1" applyProtection="1">
      <alignment vertical="center"/>
      <protection hidden="1"/>
    </xf>
    <xf numFmtId="0" fontId="0" fillId="0" borderId="0" xfId="0" applyAlignment="1">
      <alignment horizontal="center" vertical="center"/>
    </xf>
    <xf numFmtId="0" fontId="8" fillId="0" borderId="7" xfId="0" applyFont="1" applyBorder="1" applyAlignment="1">
      <alignment vertical="center"/>
    </xf>
    <xf numFmtId="0" fontId="4" fillId="0" borderId="0" xfId="0" applyFont="1" applyAlignment="1">
      <alignment horizontal="left" vertical="center" wrapText="1"/>
    </xf>
    <xf numFmtId="167" fontId="6" fillId="3" borderId="33" xfId="0" applyNumberFormat="1" applyFont="1" applyFill="1" applyBorder="1" applyAlignment="1" applyProtection="1">
      <alignment vertical="center"/>
      <protection hidden="1"/>
    </xf>
    <xf numFmtId="0" fontId="0" fillId="0" borderId="4" xfId="0" applyBorder="1" applyAlignment="1" applyProtection="1">
      <alignment horizontal="center" vertical="center"/>
      <protection hidden="1"/>
    </xf>
    <xf numFmtId="0" fontId="4" fillId="0" borderId="4" xfId="0" applyFont="1" applyBorder="1" applyAlignment="1" applyProtection="1">
      <alignment vertical="center"/>
      <protection hidden="1"/>
    </xf>
    <xf numFmtId="0" fontId="4" fillId="0" borderId="4" xfId="0" applyFont="1" applyBorder="1" applyAlignment="1" applyProtection="1">
      <alignment horizontal="right" vertical="center"/>
      <protection hidden="1"/>
    </xf>
    <xf numFmtId="166" fontId="0" fillId="0" borderId="4" xfId="0" applyNumberFormat="1" applyBorder="1" applyAlignment="1" applyProtection="1">
      <alignment horizontal="right" vertical="center"/>
      <protection hidden="1"/>
    </xf>
    <xf numFmtId="0" fontId="0" fillId="0" borderId="13" xfId="0" applyBorder="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vertical="center"/>
      <protection hidden="1"/>
    </xf>
    <xf numFmtId="166" fontId="0" fillId="0" borderId="0" xfId="0" applyNumberFormat="1" applyAlignment="1" applyProtection="1">
      <alignment horizontal="right" vertical="center"/>
      <protection hidden="1"/>
    </xf>
    <xf numFmtId="3" fontId="4" fillId="0" borderId="0" xfId="0" applyNumberFormat="1" applyFont="1" applyAlignment="1" applyProtection="1">
      <alignment vertical="center"/>
      <protection hidden="1"/>
    </xf>
    <xf numFmtId="0" fontId="6" fillId="0" borderId="0" xfId="0" applyFont="1" applyAlignment="1" applyProtection="1">
      <alignment horizontal="left"/>
      <protection hidden="1"/>
    </xf>
    <xf numFmtId="0" fontId="5" fillId="0" borderId="12" xfId="0" applyFont="1" applyBorder="1" applyAlignment="1">
      <alignment horizontal="right"/>
    </xf>
    <xf numFmtId="3" fontId="5" fillId="0" borderId="2" xfId="0" applyNumberFormat="1" applyFont="1" applyBorder="1"/>
    <xf numFmtId="9" fontId="5" fillId="0" borderId="2" xfId="2" applyFont="1" applyBorder="1"/>
    <xf numFmtId="0" fontId="5" fillId="0" borderId="2" xfId="0" applyFont="1" applyBorder="1"/>
    <xf numFmtId="167" fontId="5" fillId="0" borderId="2" xfId="0" applyNumberFormat="1" applyFont="1" applyBorder="1"/>
    <xf numFmtId="3" fontId="5" fillId="0" borderId="1" xfId="0" applyNumberFormat="1" applyFont="1" applyBorder="1"/>
    <xf numFmtId="0" fontId="0" fillId="0" borderId="27" xfId="0" applyBorder="1" applyAlignment="1">
      <alignment horizontal="right"/>
    </xf>
    <xf numFmtId="0" fontId="4" fillId="0" borderId="13" xfId="0" applyFont="1" applyBorder="1" applyAlignment="1">
      <alignment horizontal="right"/>
    </xf>
    <xf numFmtId="0" fontId="17" fillId="0" borderId="34" xfId="0" applyFont="1" applyBorder="1"/>
    <xf numFmtId="167" fontId="0" fillId="0" borderId="34" xfId="0" applyNumberFormat="1" applyBorder="1"/>
    <xf numFmtId="3" fontId="0" fillId="0" borderId="34" xfId="0" applyNumberFormat="1" applyBorder="1"/>
    <xf numFmtId="3" fontId="4" fillId="0" borderId="34" xfId="0" applyNumberFormat="1" applyFont="1" applyBorder="1"/>
    <xf numFmtId="9" fontId="11" fillId="0" borderId="17" xfId="2" applyFont="1" applyBorder="1"/>
    <xf numFmtId="0" fontId="4" fillId="0" borderId="64" xfId="0" applyFont="1" applyBorder="1" applyAlignment="1" applyProtection="1">
      <alignment horizontal="left" vertical="center"/>
      <protection hidden="1"/>
    </xf>
    <xf numFmtId="1" fontId="5" fillId="3" borderId="62" xfId="0" applyNumberFormat="1" applyFont="1" applyFill="1" applyBorder="1" applyAlignment="1" applyProtection="1">
      <alignment horizontal="center" vertical="center"/>
      <protection hidden="1"/>
    </xf>
    <xf numFmtId="0" fontId="5" fillId="0" borderId="12" xfId="0" applyFont="1" applyBorder="1" applyAlignment="1" applyProtection="1">
      <alignment horizontal="left" vertical="center"/>
      <protection hidden="1"/>
    </xf>
    <xf numFmtId="3" fontId="0" fillId="0" borderId="0" xfId="0" applyNumberFormat="1" applyAlignment="1">
      <alignment vertical="center"/>
    </xf>
    <xf numFmtId="0" fontId="3" fillId="0" borderId="34" xfId="0" applyFont="1" applyBorder="1" applyAlignment="1">
      <alignment horizontal="center"/>
    </xf>
    <xf numFmtId="167" fontId="6" fillId="3" borderId="67" xfId="0" applyNumberFormat="1" applyFont="1" applyFill="1" applyBorder="1" applyAlignment="1" applyProtection="1">
      <alignment vertical="center"/>
      <protection hidden="1"/>
    </xf>
    <xf numFmtId="0" fontId="0" fillId="0" borderId="4" xfId="0" applyBorder="1" applyAlignment="1">
      <alignment horizontal="center" vertical="center"/>
    </xf>
    <xf numFmtId="0" fontId="0" fillId="0" borderId="4" xfId="0" applyBorder="1" applyAlignment="1">
      <alignment horizontal="left" vertical="center"/>
    </xf>
    <xf numFmtId="0" fontId="0" fillId="0" borderId="4" xfId="0" applyBorder="1" applyAlignment="1">
      <alignment horizontal="right" vertical="center"/>
    </xf>
    <xf numFmtId="0" fontId="5" fillId="0" borderId="18" xfId="0" applyFont="1" applyBorder="1" applyProtection="1">
      <protection locked="0"/>
    </xf>
    <xf numFmtId="0" fontId="4" fillId="0" borderId="7" xfId="0" applyFont="1" applyBorder="1" applyProtection="1">
      <protection locked="0"/>
    </xf>
    <xf numFmtId="0" fontId="16" fillId="0" borderId="7" xfId="0" applyFont="1" applyBorder="1" applyProtection="1">
      <protection locked="0"/>
    </xf>
    <xf numFmtId="1" fontId="10" fillId="0" borderId="17" xfId="0" applyNumberFormat="1" applyFont="1" applyBorder="1" applyAlignment="1" applyProtection="1">
      <alignment horizontal="center"/>
      <protection hidden="1"/>
    </xf>
    <xf numFmtId="1" fontId="10" fillId="0" borderId="17" xfId="0" applyNumberFormat="1" applyFont="1" applyBorder="1" applyAlignment="1">
      <alignment horizontal="center"/>
    </xf>
    <xf numFmtId="3" fontId="5" fillId="0" borderId="0" xfId="0" applyNumberFormat="1" applyFont="1" applyAlignment="1">
      <alignment horizontal="center"/>
    </xf>
    <xf numFmtId="164" fontId="5" fillId="0" borderId="0" xfId="2" applyNumberFormat="1" applyFont="1" applyAlignment="1">
      <alignment horizontal="center"/>
    </xf>
    <xf numFmtId="166" fontId="5" fillId="0" borderId="0" xfId="0" applyNumberFormat="1" applyFont="1"/>
    <xf numFmtId="0" fontId="16" fillId="0" borderId="0" xfId="0" applyFont="1"/>
    <xf numFmtId="0" fontId="5" fillId="8" borderId="27" xfId="0" applyFont="1" applyFill="1" applyBorder="1" applyAlignment="1">
      <alignment horizontal="center" vertical="center"/>
    </xf>
    <xf numFmtId="0" fontId="5" fillId="8" borderId="0" xfId="0" applyFont="1" applyFill="1" applyAlignment="1">
      <alignment horizontal="center" vertical="center"/>
    </xf>
    <xf numFmtId="0" fontId="5" fillId="8" borderId="28" xfId="0" applyFont="1" applyFill="1" applyBorder="1" applyAlignment="1">
      <alignment horizontal="center" vertical="center"/>
    </xf>
    <xf numFmtId="166" fontId="5" fillId="0" borderId="0" xfId="0" applyNumberFormat="1" applyFont="1" applyAlignment="1">
      <alignment horizontal="center"/>
    </xf>
    <xf numFmtId="3" fontId="5" fillId="0" borderId="0" xfId="0" applyNumberFormat="1" applyFont="1" applyAlignment="1">
      <alignment horizontal="right"/>
    </xf>
    <xf numFmtId="3" fontId="5" fillId="0" borderId="19" xfId="0" applyNumberFormat="1" applyFont="1" applyBorder="1" applyAlignment="1" applyProtection="1">
      <alignment horizontal="right"/>
      <protection hidden="1"/>
    </xf>
    <xf numFmtId="3" fontId="5" fillId="0" borderId="7" xfId="0" applyNumberFormat="1" applyFont="1" applyBorder="1"/>
    <xf numFmtId="3" fontId="5" fillId="0" borderId="68" xfId="0" applyNumberFormat="1" applyFont="1" applyBorder="1"/>
    <xf numFmtId="3" fontId="5" fillId="0" borderId="67" xfId="0" applyNumberFormat="1" applyFont="1" applyBorder="1"/>
    <xf numFmtId="3" fontId="5" fillId="0" borderId="58" xfId="0" applyNumberFormat="1" applyFont="1" applyBorder="1"/>
    <xf numFmtId="3" fontId="5" fillId="0" borderId="41" xfId="0" applyNumberFormat="1" applyFont="1" applyBorder="1"/>
    <xf numFmtId="3" fontId="5" fillId="0" borderId="16" xfId="0" applyNumberFormat="1" applyFont="1" applyBorder="1"/>
    <xf numFmtId="3" fontId="5" fillId="0" borderId="69" xfId="0" applyNumberFormat="1" applyFont="1" applyBorder="1"/>
    <xf numFmtId="3" fontId="5" fillId="0" borderId="12" xfId="0" applyNumberFormat="1" applyFont="1" applyBorder="1"/>
    <xf numFmtId="0" fontId="5" fillId="0" borderId="2" xfId="0" applyFont="1" applyBorder="1" applyAlignment="1">
      <alignment horizontal="center"/>
    </xf>
    <xf numFmtId="166" fontId="5" fillId="0" borderId="2" xfId="0" applyNumberFormat="1" applyFont="1" applyBorder="1"/>
    <xf numFmtId="3" fontId="5" fillId="0" borderId="13" xfId="0" applyNumberFormat="1" applyFont="1" applyBorder="1"/>
    <xf numFmtId="3" fontId="5" fillId="0" borderId="34" xfId="0" applyNumberFormat="1" applyFont="1" applyBorder="1"/>
    <xf numFmtId="0" fontId="5" fillId="0" borderId="34" xfId="0" applyFont="1" applyBorder="1" applyAlignment="1">
      <alignment horizontal="center"/>
    </xf>
    <xf numFmtId="0" fontId="5" fillId="0" borderId="62" xfId="0" applyFont="1" applyBorder="1" applyAlignment="1">
      <alignment horizontal="center" vertical="center"/>
    </xf>
    <xf numFmtId="3" fontId="5" fillId="0" borderId="26" xfId="0" applyNumberFormat="1" applyFont="1" applyBorder="1"/>
    <xf numFmtId="3" fontId="5" fillId="0" borderId="13" xfId="0" applyNumberFormat="1" applyFont="1" applyBorder="1" applyAlignment="1">
      <alignment horizontal="center"/>
    </xf>
    <xf numFmtId="0" fontId="11" fillId="0" borderId="0" xfId="0" applyFont="1" applyAlignment="1" applyProtection="1">
      <alignment horizontal="left" vertical="center"/>
      <protection hidden="1"/>
    </xf>
    <xf numFmtId="0" fontId="11" fillId="0" borderId="0" xfId="0" applyFont="1" applyAlignment="1" applyProtection="1">
      <alignment horizontal="left" vertical="center"/>
      <protection locked="0"/>
    </xf>
    <xf numFmtId="0" fontId="11" fillId="0" borderId="0" xfId="0" applyFont="1" applyAlignment="1">
      <alignment horizontal="left" vertical="center"/>
    </xf>
    <xf numFmtId="0" fontId="11" fillId="0" borderId="71" xfId="0" applyFont="1" applyBorder="1" applyProtection="1">
      <protection hidden="1"/>
    </xf>
    <xf numFmtId="0" fontId="11" fillId="0" borderId="73" xfId="0" applyFont="1" applyBorder="1" applyProtection="1">
      <protection hidden="1"/>
    </xf>
    <xf numFmtId="0" fontId="11" fillId="0" borderId="0" xfId="0" applyFont="1" applyAlignment="1" applyProtection="1">
      <alignment vertical="center"/>
      <protection locked="0"/>
    </xf>
    <xf numFmtId="1" fontId="10" fillId="5" borderId="33" xfId="0" applyNumberFormat="1" applyFont="1" applyFill="1" applyBorder="1" applyAlignment="1" applyProtection="1">
      <alignment horizontal="center" vertical="center"/>
      <protection hidden="1"/>
    </xf>
    <xf numFmtId="0" fontId="11" fillId="0" borderId="45" xfId="0" applyFont="1" applyBorder="1" applyAlignment="1" applyProtection="1">
      <alignment vertical="center"/>
      <protection hidden="1"/>
    </xf>
    <xf numFmtId="0" fontId="10" fillId="0" borderId="75" xfId="0" applyFont="1" applyBorder="1" applyAlignment="1">
      <alignment horizontal="right" vertical="center"/>
    </xf>
    <xf numFmtId="166" fontId="11" fillId="5" borderId="35" xfId="0" applyNumberFormat="1" applyFont="1" applyFill="1" applyBorder="1" applyAlignment="1" applyProtection="1">
      <alignment horizontal="center" vertical="center"/>
      <protection hidden="1"/>
    </xf>
    <xf numFmtId="0" fontId="10" fillId="0" borderId="45" xfId="0" applyFont="1" applyBorder="1" applyAlignment="1" applyProtection="1">
      <alignment vertical="center"/>
      <protection hidden="1"/>
    </xf>
    <xf numFmtId="0" fontId="11" fillId="0" borderId="75" xfId="0" applyFont="1" applyBorder="1" applyAlignment="1">
      <alignment horizontal="right" vertical="center"/>
    </xf>
    <xf numFmtId="3" fontId="10" fillId="0" borderId="35" xfId="0" applyNumberFormat="1" applyFont="1" applyBorder="1" applyAlignment="1" applyProtection="1">
      <alignment horizontal="center" vertical="center"/>
      <protection hidden="1"/>
    </xf>
    <xf numFmtId="166" fontId="11" fillId="0" borderId="35" xfId="0" applyNumberFormat="1" applyFont="1" applyBorder="1" applyAlignment="1" applyProtection="1">
      <alignment horizontal="center" vertical="center"/>
      <protection hidden="1"/>
    </xf>
    <xf numFmtId="0" fontId="11" fillId="0" borderId="45" xfId="0" applyFont="1" applyBorder="1" applyAlignment="1" applyProtection="1">
      <alignment horizontal="left" vertical="center"/>
      <protection hidden="1"/>
    </xf>
    <xf numFmtId="0" fontId="10" fillId="0" borderId="75" xfId="0" quotePrefix="1" applyFont="1" applyBorder="1" applyAlignment="1">
      <alignment horizontal="right" vertical="center"/>
    </xf>
    <xf numFmtId="0" fontId="10" fillId="0" borderId="45" xfId="0" applyFont="1" applyBorder="1" applyAlignment="1" applyProtection="1">
      <alignment horizontal="left" vertical="center"/>
      <protection hidden="1"/>
    </xf>
    <xf numFmtId="0" fontId="11" fillId="0" borderId="75" xfId="0" applyFont="1" applyBorder="1" applyAlignment="1" applyProtection="1">
      <alignment horizontal="right" vertical="center"/>
      <protection hidden="1"/>
    </xf>
    <xf numFmtId="0" fontId="10" fillId="0" borderId="75" xfId="0" applyFont="1" applyBorder="1" applyAlignment="1" applyProtection="1">
      <alignment horizontal="right" vertical="center"/>
      <protection hidden="1"/>
    </xf>
    <xf numFmtId="0" fontId="11" fillId="0" borderId="76" xfId="0" applyFont="1" applyBorder="1" applyAlignment="1" applyProtection="1">
      <alignment vertical="center"/>
      <protection hidden="1"/>
    </xf>
    <xf numFmtId="0" fontId="10" fillId="0" borderId="28" xfId="0" applyFont="1" applyBorder="1" applyAlignment="1">
      <alignment horizontal="right" vertical="center"/>
    </xf>
    <xf numFmtId="0" fontId="11" fillId="0" borderId="13" xfId="0" applyFont="1" applyBorder="1" applyAlignment="1" applyProtection="1">
      <alignment horizontal="center" vertical="center"/>
      <protection hidden="1"/>
    </xf>
    <xf numFmtId="0" fontId="33" fillId="0" borderId="0" xfId="0" applyFont="1"/>
    <xf numFmtId="167" fontId="11" fillId="0" borderId="0" xfId="0" applyNumberFormat="1" applyFont="1" applyAlignment="1">
      <alignment horizontal="center"/>
    </xf>
    <xf numFmtId="164" fontId="11" fillId="0" borderId="0" xfId="0" applyNumberFormat="1" applyFont="1" applyAlignment="1" applyProtection="1">
      <alignment horizontal="right"/>
      <protection hidden="1"/>
    </xf>
    <xf numFmtId="0" fontId="33" fillId="0" borderId="0" xfId="0" applyFont="1" applyProtection="1">
      <protection hidden="1"/>
    </xf>
    <xf numFmtId="0" fontId="11" fillId="0" borderId="31" xfId="0" applyFont="1" applyBorder="1" applyAlignment="1">
      <alignment vertical="center"/>
    </xf>
    <xf numFmtId="0" fontId="11" fillId="0" borderId="77" xfId="0" applyFont="1" applyBorder="1" applyAlignment="1">
      <alignment vertical="center"/>
    </xf>
    <xf numFmtId="0" fontId="11" fillId="0" borderId="46" xfId="0" quotePrefix="1" applyFont="1" applyBorder="1" applyAlignment="1">
      <alignment horizontal="right" vertical="center"/>
    </xf>
    <xf numFmtId="0" fontId="11" fillId="0" borderId="13" xfId="0" applyFont="1" applyBorder="1" applyAlignment="1">
      <alignment horizontal="center" vertical="center"/>
    </xf>
    <xf numFmtId="9" fontId="11" fillId="3" borderId="17" xfId="0" applyNumberFormat="1" applyFont="1" applyFill="1" applyBorder="1" applyAlignment="1">
      <alignment horizontal="center" vertical="center"/>
    </xf>
    <xf numFmtId="0" fontId="6" fillId="0" borderId="17" xfId="0" applyFont="1" applyBorder="1" applyAlignment="1">
      <alignment horizontal="center" vertical="center"/>
    </xf>
    <xf numFmtId="0" fontId="11" fillId="0" borderId="64" xfId="0" applyFont="1" applyBorder="1" applyAlignment="1">
      <alignment horizontal="center" vertical="center"/>
    </xf>
    <xf numFmtId="0" fontId="4" fillId="2" borderId="0" xfId="0" applyFont="1" applyFill="1" applyAlignment="1">
      <alignment vertical="center"/>
    </xf>
    <xf numFmtId="0" fontId="4" fillId="2" borderId="0" xfId="0" applyFont="1" applyFill="1" applyAlignment="1">
      <alignment horizontal="center" vertical="center"/>
    </xf>
    <xf numFmtId="3" fontId="0" fillId="0" borderId="0" xfId="0" applyNumberFormat="1" applyAlignment="1" applyProtection="1">
      <alignment vertical="center"/>
      <protection hidden="1"/>
    </xf>
    <xf numFmtId="0" fontId="11" fillId="0" borderId="34" xfId="0" applyFont="1" applyBorder="1" applyAlignment="1" applyProtection="1">
      <alignment horizontal="right" vertical="center"/>
      <protection hidden="1"/>
    </xf>
    <xf numFmtId="0" fontId="11" fillId="0" borderId="17" xfId="0" applyFont="1" applyBorder="1" applyAlignment="1" applyProtection="1">
      <alignment horizontal="center" vertical="center"/>
      <protection hidden="1"/>
    </xf>
    <xf numFmtId="0" fontId="5" fillId="0" borderId="27" xfId="0" applyFont="1" applyBorder="1" applyProtection="1">
      <protection hidden="1"/>
    </xf>
    <xf numFmtId="0" fontId="11" fillId="0" borderId="31" xfId="0" applyFont="1" applyBorder="1" applyAlignment="1">
      <alignment horizontal="right" vertical="center"/>
    </xf>
    <xf numFmtId="3" fontId="11" fillId="0" borderId="43" xfId="0" applyNumberFormat="1" applyFont="1" applyBorder="1" applyAlignment="1" applyProtection="1">
      <alignment vertical="center"/>
      <protection hidden="1"/>
    </xf>
    <xf numFmtId="0" fontId="11" fillId="0" borderId="82" xfId="0" applyFont="1" applyBorder="1" applyProtection="1">
      <protection hidden="1"/>
    </xf>
    <xf numFmtId="167" fontId="4" fillId="0" borderId="0" xfId="0" applyNumberFormat="1" applyFont="1" applyAlignment="1" applyProtection="1">
      <alignment vertical="center"/>
      <protection hidden="1"/>
    </xf>
    <xf numFmtId="0" fontId="11" fillId="0" borderId="10" xfId="0" applyFont="1" applyBorder="1" applyAlignment="1">
      <alignment vertical="center"/>
    </xf>
    <xf numFmtId="0" fontId="11" fillId="0" borderId="27" xfId="0" applyFont="1" applyBorder="1" applyAlignment="1">
      <alignment horizontal="center"/>
    </xf>
    <xf numFmtId="0" fontId="11" fillId="0" borderId="60" xfId="0" applyFont="1" applyBorder="1" applyProtection="1">
      <protection hidden="1"/>
    </xf>
    <xf numFmtId="0" fontId="11" fillId="0" borderId="25" xfId="0" applyFont="1" applyBorder="1" applyProtection="1">
      <protection hidden="1"/>
    </xf>
    <xf numFmtId="9" fontId="40" fillId="7" borderId="17" xfId="0" applyNumberFormat="1" applyFont="1" applyFill="1" applyBorder="1" applyAlignment="1" applyProtection="1">
      <alignment horizontal="center" vertical="center"/>
      <protection locked="0"/>
    </xf>
    <xf numFmtId="166" fontId="40" fillId="7" borderId="17" xfId="0" applyNumberFormat="1" applyFont="1" applyFill="1" applyBorder="1" applyAlignment="1" applyProtection="1">
      <alignment horizontal="center" vertical="center"/>
      <protection locked="0"/>
    </xf>
    <xf numFmtId="0" fontId="40" fillId="0" borderId="20" xfId="0" applyFont="1" applyBorder="1" applyAlignment="1">
      <alignment horizontal="center" vertical="center"/>
    </xf>
    <xf numFmtId="166" fontId="40" fillId="7" borderId="20" xfId="0" applyNumberFormat="1" applyFont="1" applyFill="1" applyBorder="1" applyAlignment="1" applyProtection="1">
      <alignment horizontal="center" vertical="center"/>
      <protection locked="0"/>
    </xf>
    <xf numFmtId="0" fontId="40" fillId="0" borderId="10" xfId="0" applyFont="1" applyBorder="1" applyAlignment="1">
      <alignment horizontal="left" vertical="center"/>
    </xf>
    <xf numFmtId="1" fontId="40" fillId="7" borderId="17" xfId="0" applyNumberFormat="1" applyFont="1" applyFill="1" applyBorder="1" applyAlignment="1" applyProtection="1">
      <alignment horizontal="center" vertical="center"/>
      <protection locked="0"/>
    </xf>
    <xf numFmtId="0" fontId="40" fillId="0" borderId="44" xfId="0" applyFont="1" applyBorder="1" applyAlignment="1">
      <alignment horizontal="center" vertical="center"/>
    </xf>
    <xf numFmtId="0" fontId="40" fillId="0" borderId="83" xfId="0" applyFont="1" applyBorder="1" applyAlignment="1">
      <alignment horizontal="center" vertical="center"/>
    </xf>
    <xf numFmtId="0" fontId="11" fillId="0" borderId="7" xfId="0" applyFont="1" applyBorder="1" applyAlignment="1" applyProtection="1">
      <alignment horizontal="left" vertical="center"/>
      <protection locked="0"/>
    </xf>
    <xf numFmtId="0" fontId="11" fillId="0" borderId="27" xfId="0" applyFont="1" applyBorder="1"/>
    <xf numFmtId="0" fontId="11" fillId="0" borderId="25" xfId="0" applyFont="1" applyBorder="1" applyAlignment="1" applyProtection="1">
      <alignment vertical="center"/>
      <protection locked="0"/>
    </xf>
    <xf numFmtId="167" fontId="6" fillId="3" borderId="44" xfId="0" applyNumberFormat="1" applyFont="1" applyFill="1" applyBorder="1" applyAlignment="1" applyProtection="1">
      <alignment vertical="center"/>
      <protection hidden="1"/>
    </xf>
    <xf numFmtId="0" fontId="34" fillId="0" borderId="73" xfId="0" applyFont="1" applyBorder="1"/>
    <xf numFmtId="164" fontId="11" fillId="7" borderId="17" xfId="0" applyNumberFormat="1" applyFont="1" applyFill="1" applyBorder="1" applyAlignment="1" applyProtection="1">
      <alignment horizontal="center" vertical="center"/>
      <protection locked="0"/>
    </xf>
    <xf numFmtId="0" fontId="11" fillId="0" borderId="27" xfId="0" applyFont="1" applyBorder="1" applyAlignment="1" applyProtection="1">
      <alignment vertical="center"/>
      <protection locked="0"/>
    </xf>
    <xf numFmtId="0" fontId="7" fillId="2" borderId="0" xfId="0" applyFont="1" applyFill="1" applyAlignment="1">
      <alignment horizontal="center" vertical="center"/>
    </xf>
    <xf numFmtId="0" fontId="42" fillId="0" borderId="0" xfId="0" applyFont="1" applyAlignment="1">
      <alignment vertical="center"/>
    </xf>
    <xf numFmtId="0" fontId="43" fillId="0" borderId="0" xfId="0" applyFont="1"/>
    <xf numFmtId="0" fontId="43" fillId="0" borderId="0" xfId="0" applyFont="1" applyAlignment="1">
      <alignment vertical="center"/>
    </xf>
    <xf numFmtId="0" fontId="44" fillId="0" borderId="0" xfId="0" applyFont="1" applyAlignment="1">
      <alignment vertical="center"/>
    </xf>
    <xf numFmtId="0" fontId="38" fillId="0" borderId="0" xfId="0" applyFont="1"/>
    <xf numFmtId="0" fontId="38" fillId="0" borderId="0" xfId="0" applyFont="1" applyAlignment="1">
      <alignment vertical="center"/>
    </xf>
    <xf numFmtId="3" fontId="5" fillId="10" borderId="21" xfId="0" applyNumberFormat="1" applyFont="1" applyFill="1" applyBorder="1" applyAlignment="1" applyProtection="1">
      <alignment horizontal="center" vertical="center"/>
      <protection hidden="1"/>
    </xf>
    <xf numFmtId="3" fontId="5" fillId="10" borderId="19" xfId="0" applyNumberFormat="1" applyFont="1" applyFill="1" applyBorder="1" applyAlignment="1" applyProtection="1">
      <alignment horizontal="center" vertical="center"/>
      <protection hidden="1"/>
    </xf>
    <xf numFmtId="3" fontId="4" fillId="10" borderId="17" xfId="0" applyNumberFormat="1" applyFont="1" applyFill="1" applyBorder="1" applyProtection="1">
      <protection hidden="1"/>
    </xf>
    <xf numFmtId="3" fontId="5" fillId="10" borderId="22" xfId="0" applyNumberFormat="1" applyFont="1" applyFill="1" applyBorder="1" applyAlignment="1" applyProtection="1">
      <alignment horizontal="center" vertical="center"/>
      <protection hidden="1"/>
    </xf>
    <xf numFmtId="0" fontId="35" fillId="0" borderId="0" xfId="0" applyFont="1"/>
    <xf numFmtId="0" fontId="6" fillId="0" borderId="0" xfId="0" applyFont="1" applyProtection="1">
      <protection hidden="1"/>
    </xf>
    <xf numFmtId="0" fontId="5" fillId="0" borderId="0" xfId="0" applyFont="1" applyProtection="1">
      <protection hidden="1"/>
    </xf>
    <xf numFmtId="0" fontId="6" fillId="0" borderId="23" xfId="0" applyFont="1" applyBorder="1" applyAlignment="1">
      <alignment horizontal="center" vertical="center"/>
    </xf>
    <xf numFmtId="0" fontId="11" fillId="0" borderId="17" xfId="0" applyFont="1" applyBorder="1" applyAlignment="1">
      <alignment horizontal="center" vertical="center"/>
    </xf>
    <xf numFmtId="3" fontId="0" fillId="0" borderId="0" xfId="0" applyNumberFormat="1" applyProtection="1">
      <protection hidden="1"/>
    </xf>
    <xf numFmtId="0" fontId="45" fillId="0" borderId="0" xfId="0" applyFont="1"/>
    <xf numFmtId="166" fontId="45" fillId="0" borderId="0" xfId="0" applyNumberFormat="1" applyFont="1"/>
    <xf numFmtId="0" fontId="46" fillId="0" borderId="0" xfId="0" applyFont="1"/>
    <xf numFmtId="166" fontId="45" fillId="0" borderId="0" xfId="0" applyNumberFormat="1" applyFont="1" applyAlignment="1">
      <alignment horizontal="center"/>
    </xf>
    <xf numFmtId="3" fontId="45" fillId="0" borderId="0" xfId="0" applyNumberFormat="1" applyFont="1"/>
    <xf numFmtId="0" fontId="45" fillId="0" borderId="0" xfId="0" applyFont="1" applyAlignment="1">
      <alignment horizontal="center"/>
    </xf>
    <xf numFmtId="0" fontId="45" fillId="0" borderId="19" xfId="0" applyFont="1" applyBorder="1" applyAlignment="1">
      <alignment horizontal="center" vertical="center"/>
    </xf>
    <xf numFmtId="0" fontId="47" fillId="0" borderId="0" xfId="0" applyFont="1"/>
    <xf numFmtId="0" fontId="47" fillId="0" borderId="17" xfId="0" applyFont="1" applyBorder="1"/>
    <xf numFmtId="1" fontId="10" fillId="0" borderId="17" xfId="0" applyNumberFormat="1" applyFont="1" applyBorder="1" applyAlignment="1">
      <alignment horizontal="center" vertical="center"/>
    </xf>
    <xf numFmtId="1" fontId="11" fillId="7" borderId="17" xfId="0" applyNumberFormat="1" applyFont="1" applyFill="1" applyBorder="1" applyAlignment="1" applyProtection="1">
      <alignment horizontal="center" vertical="center"/>
      <protection locked="0"/>
    </xf>
    <xf numFmtId="0" fontId="10" fillId="0" borderId="0" xfId="0"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3" fontId="11" fillId="5" borderId="32" xfId="0" applyNumberFormat="1" applyFont="1" applyFill="1" applyBorder="1" applyAlignment="1" applyProtection="1">
      <alignment horizontal="center" vertical="center"/>
      <protection hidden="1"/>
    </xf>
    <xf numFmtId="0" fontId="11" fillId="0" borderId="25" xfId="0" applyFont="1" applyBorder="1" applyAlignment="1">
      <alignment vertical="center"/>
    </xf>
    <xf numFmtId="0" fontId="6" fillId="7" borderId="32" xfId="0" applyFont="1" applyFill="1" applyBorder="1" applyAlignment="1" applyProtection="1">
      <alignment horizontal="center" vertical="center"/>
      <protection locked="0"/>
    </xf>
    <xf numFmtId="0" fontId="6" fillId="7" borderId="17" xfId="0" applyFont="1" applyFill="1" applyBorder="1" applyAlignment="1" applyProtection="1">
      <alignment horizontal="center" vertical="center"/>
      <protection locked="0"/>
    </xf>
    <xf numFmtId="0" fontId="6" fillId="7" borderId="84" xfId="0" applyFont="1" applyFill="1" applyBorder="1" applyAlignment="1" applyProtection="1">
      <alignment horizontal="center" vertical="center"/>
      <protection locked="0"/>
    </xf>
    <xf numFmtId="1" fontId="6" fillId="7" borderId="32" xfId="0" applyNumberFormat="1" applyFont="1" applyFill="1" applyBorder="1" applyAlignment="1" applyProtection="1">
      <alignment horizontal="center" vertical="center"/>
      <protection locked="0"/>
    </xf>
    <xf numFmtId="1" fontId="6" fillId="7" borderId="17" xfId="0" applyNumberFormat="1" applyFont="1" applyFill="1" applyBorder="1" applyAlignment="1" applyProtection="1">
      <alignment horizontal="center" vertical="center"/>
      <protection locked="0"/>
    </xf>
    <xf numFmtId="1" fontId="6" fillId="7" borderId="84" xfId="0" applyNumberFormat="1" applyFont="1" applyFill="1" applyBorder="1" applyAlignment="1" applyProtection="1">
      <alignment horizontal="center" vertical="center"/>
      <protection locked="0"/>
    </xf>
    <xf numFmtId="1" fontId="3" fillId="8" borderId="62" xfId="0" applyNumberFormat="1" applyFont="1" applyFill="1" applyBorder="1" applyAlignment="1" applyProtection="1">
      <alignment horizontal="center" vertical="center"/>
      <protection hidden="1"/>
    </xf>
    <xf numFmtId="0" fontId="3" fillId="5" borderId="4" xfId="0" applyFont="1" applyFill="1" applyBorder="1" applyAlignment="1" applyProtection="1">
      <alignment vertical="center"/>
      <protection hidden="1"/>
    </xf>
    <xf numFmtId="167" fontId="6" fillId="0" borderId="0" xfId="0" applyNumberFormat="1" applyFont="1" applyAlignment="1">
      <alignment horizontal="center"/>
    </xf>
    <xf numFmtId="0" fontId="11" fillId="0" borderId="2" xfId="0" applyFont="1" applyBorder="1" applyAlignment="1" applyProtection="1">
      <alignment vertical="center"/>
      <protection locked="0"/>
    </xf>
    <xf numFmtId="0" fontId="3" fillId="0" borderId="0" xfId="0" applyFont="1" applyAlignment="1">
      <alignment horizontal="left" vertical="center"/>
    </xf>
    <xf numFmtId="1" fontId="5" fillId="3" borderId="0" xfId="0" applyNumberFormat="1" applyFont="1" applyFill="1" applyAlignment="1">
      <alignment horizontal="center"/>
    </xf>
    <xf numFmtId="164" fontId="0" fillId="0" borderId="0" xfId="2" applyNumberFormat="1" applyFont="1"/>
    <xf numFmtId="164" fontId="11" fillId="0" borderId="0" xfId="2" applyNumberFormat="1" applyFont="1"/>
    <xf numFmtId="3" fontId="11" fillId="0" borderId="0" xfId="2" applyNumberFormat="1" applyFont="1"/>
    <xf numFmtId="9" fontId="11" fillId="0" borderId="0" xfId="2" applyFont="1"/>
    <xf numFmtId="1" fontId="5" fillId="0" borderId="0" xfId="0" applyNumberFormat="1" applyFont="1" applyAlignment="1">
      <alignment horizontal="left"/>
    </xf>
    <xf numFmtId="0" fontId="0" fillId="0" borderId="0" xfId="0" applyAlignment="1">
      <alignment horizontal="right" vertical="center"/>
    </xf>
    <xf numFmtId="3" fontId="36" fillId="0" borderId="0" xfId="0" applyNumberFormat="1" applyFont="1" applyAlignment="1">
      <alignment horizontal="right"/>
    </xf>
    <xf numFmtId="0" fontId="36" fillId="0" borderId="0" xfId="0" applyFont="1"/>
    <xf numFmtId="1" fontId="36" fillId="0" borderId="0" xfId="0" applyNumberFormat="1" applyFont="1" applyAlignment="1">
      <alignment horizontal="right"/>
    </xf>
    <xf numFmtId="0" fontId="11" fillId="0" borderId="16" xfId="0" applyFont="1" applyBorder="1" applyAlignment="1">
      <alignment horizontal="left" vertical="center"/>
    </xf>
    <xf numFmtId="0" fontId="22" fillId="0" borderId="0" xfId="0" applyFont="1" applyAlignment="1">
      <alignment horizontal="left" vertical="center" wrapText="1"/>
    </xf>
    <xf numFmtId="0" fontId="11" fillId="0" borderId="76" xfId="0" applyFont="1" applyBorder="1" applyAlignment="1">
      <alignment vertical="center"/>
    </xf>
    <xf numFmtId="0" fontId="11" fillId="0" borderId="77" xfId="0" applyFont="1" applyBorder="1" applyAlignment="1">
      <alignment horizontal="right" vertical="center"/>
    </xf>
    <xf numFmtId="0" fontId="10" fillId="0" borderId="0" xfId="0" applyFont="1" applyAlignment="1">
      <alignment horizontal="left" vertical="center"/>
    </xf>
    <xf numFmtId="0" fontId="10" fillId="0" borderId="31" xfId="0" applyFont="1" applyBorder="1" applyAlignment="1">
      <alignment vertical="center"/>
    </xf>
    <xf numFmtId="0" fontId="10" fillId="0" borderId="92" xfId="0" applyFont="1" applyBorder="1" applyAlignment="1">
      <alignment vertical="center"/>
    </xf>
    <xf numFmtId="0" fontId="10" fillId="0" borderId="93" xfId="0" applyFont="1" applyBorder="1" applyAlignment="1">
      <alignment horizontal="right" vertical="center"/>
    </xf>
    <xf numFmtId="0" fontId="10" fillId="0" borderId="92" xfId="0" applyFont="1" applyBorder="1" applyAlignment="1">
      <alignment horizontal="right" vertical="center"/>
    </xf>
    <xf numFmtId="0" fontId="37" fillId="0" borderId="0" xfId="0" applyFont="1" applyAlignment="1" applyProtection="1">
      <alignment vertical="center"/>
      <protection hidden="1"/>
    </xf>
    <xf numFmtId="0" fontId="0" fillId="0" borderId="2" xfId="0" applyBorder="1" applyAlignment="1">
      <alignment vertical="center"/>
    </xf>
    <xf numFmtId="0" fontId="5" fillId="0" borderId="12" xfId="0" applyFont="1" applyBorder="1" applyAlignment="1">
      <alignment vertical="center"/>
    </xf>
    <xf numFmtId="3" fontId="11" fillId="0" borderId="34" xfId="0" applyNumberFormat="1" applyFont="1" applyBorder="1" applyAlignment="1" applyProtection="1">
      <alignment vertical="center"/>
      <protection hidden="1"/>
    </xf>
    <xf numFmtId="0" fontId="11" fillId="0" borderId="94" xfId="0" applyFont="1" applyBorder="1" applyAlignment="1">
      <alignment vertical="center"/>
    </xf>
    <xf numFmtId="0" fontId="5" fillId="0" borderId="95" xfId="0" applyFont="1" applyBorder="1" applyAlignment="1">
      <alignment horizontal="right" vertical="center"/>
    </xf>
    <xf numFmtId="0" fontId="11" fillId="0" borderId="46" xfId="0" applyFont="1" applyBorder="1" applyAlignment="1" applyProtection="1">
      <alignment vertical="center"/>
      <protection hidden="1"/>
    </xf>
    <xf numFmtId="0" fontId="11" fillId="0" borderId="94" xfId="0" applyFont="1" applyBorder="1" applyAlignment="1" applyProtection="1">
      <alignment vertical="center"/>
      <protection hidden="1"/>
    </xf>
    <xf numFmtId="0" fontId="11" fillId="0" borderId="95" xfId="0" applyFont="1" applyBorder="1" applyAlignment="1" applyProtection="1">
      <alignment vertical="center"/>
      <protection hidden="1"/>
    </xf>
    <xf numFmtId="0" fontId="17" fillId="0" borderId="7" xfId="0" applyFont="1" applyBorder="1" applyAlignment="1" applyProtection="1">
      <alignment vertical="center"/>
      <protection locked="0"/>
    </xf>
    <xf numFmtId="0" fontId="4" fillId="0" borderId="7" xfId="0" applyFont="1" applyBorder="1" applyAlignment="1" applyProtection="1">
      <alignment vertical="center"/>
      <protection locked="0"/>
    </xf>
    <xf numFmtId="0" fontId="4" fillId="2" borderId="7" xfId="0" applyFont="1" applyFill="1" applyBorder="1" applyAlignment="1" applyProtection="1">
      <alignment vertical="center"/>
      <protection locked="0"/>
    </xf>
    <xf numFmtId="0" fontId="4" fillId="0" borderId="8" xfId="0" applyFont="1" applyBorder="1" applyAlignment="1" applyProtection="1">
      <alignment vertical="center"/>
      <protection locked="0"/>
    </xf>
    <xf numFmtId="0" fontId="11" fillId="2" borderId="0" xfId="0" applyFont="1" applyFill="1" applyAlignment="1" applyProtection="1">
      <alignment vertical="center"/>
      <protection locked="0"/>
    </xf>
    <xf numFmtId="0" fontId="11" fillId="0" borderId="31" xfId="0" applyFont="1" applyBorder="1" applyAlignment="1" applyProtection="1">
      <alignment vertical="center"/>
      <protection locked="0"/>
    </xf>
    <xf numFmtId="0" fontId="11" fillId="0" borderId="16" xfId="0" applyFont="1" applyBorder="1" applyAlignment="1" applyProtection="1">
      <alignment vertical="center"/>
      <protection locked="0"/>
    </xf>
    <xf numFmtId="0" fontId="11" fillId="2" borderId="16" xfId="0" applyFont="1" applyFill="1" applyBorder="1" applyAlignment="1" applyProtection="1">
      <alignment vertical="center"/>
      <protection locked="0"/>
    </xf>
    <xf numFmtId="0" fontId="11" fillId="0" borderId="59" xfId="0" applyFont="1" applyBorder="1" applyAlignment="1" applyProtection="1">
      <alignment vertical="center"/>
      <protection locked="0"/>
    </xf>
    <xf numFmtId="0" fontId="11" fillId="2" borderId="31" xfId="0" applyFont="1" applyFill="1" applyBorder="1" applyAlignment="1" applyProtection="1">
      <alignment vertical="center"/>
      <protection locked="0"/>
    </xf>
    <xf numFmtId="3" fontId="2" fillId="2" borderId="0" xfId="0" applyNumberFormat="1" applyFont="1" applyFill="1" applyProtection="1">
      <protection hidden="1"/>
    </xf>
    <xf numFmtId="17" fontId="5" fillId="0" borderId="0" xfId="0" applyNumberFormat="1" applyFont="1"/>
    <xf numFmtId="17" fontId="10" fillId="0" borderId="0" xfId="0" applyNumberFormat="1" applyFont="1"/>
    <xf numFmtId="1" fontId="10" fillId="0" borderId="0" xfId="0" applyNumberFormat="1" applyFont="1"/>
    <xf numFmtId="3" fontId="10" fillId="0" borderId="0" xfId="0" applyNumberFormat="1" applyFont="1"/>
    <xf numFmtId="0" fontId="11" fillId="11" borderId="0" xfId="0" applyFont="1" applyFill="1"/>
    <xf numFmtId="3" fontId="11" fillId="11" borderId="0" xfId="0" applyNumberFormat="1" applyFont="1" applyFill="1"/>
    <xf numFmtId="0" fontId="2" fillId="0" borderId="0" xfId="0" applyFont="1"/>
    <xf numFmtId="0" fontId="10" fillId="0" borderId="0" xfId="0" applyFont="1" applyAlignment="1">
      <alignment horizontal="center"/>
    </xf>
    <xf numFmtId="0" fontId="10" fillId="0" borderId="12" xfId="0" applyFont="1" applyBorder="1"/>
    <xf numFmtId="17" fontId="10" fillId="0" borderId="2" xfId="0" applyNumberFormat="1" applyFont="1" applyBorder="1"/>
    <xf numFmtId="17" fontId="10" fillId="0" borderId="1" xfId="0" applyNumberFormat="1" applyFont="1" applyBorder="1"/>
    <xf numFmtId="0" fontId="10" fillId="0" borderId="27" xfId="0" applyFont="1" applyBorder="1" applyAlignment="1">
      <alignment horizontal="center"/>
    </xf>
    <xf numFmtId="1" fontId="10" fillId="0" borderId="28" xfId="0" applyNumberFormat="1" applyFont="1" applyBorder="1"/>
    <xf numFmtId="0" fontId="10" fillId="0" borderId="28" xfId="0" applyFont="1" applyBorder="1"/>
    <xf numFmtId="0" fontId="11" fillId="0" borderId="28" xfId="0" applyFont="1" applyBorder="1"/>
    <xf numFmtId="0" fontId="11" fillId="0" borderId="13" xfId="0" applyFont="1" applyBorder="1"/>
    <xf numFmtId="0" fontId="10" fillId="0" borderId="34" xfId="0" applyFont="1" applyBorder="1" applyAlignment="1">
      <alignment horizontal="right"/>
    </xf>
    <xf numFmtId="3" fontId="10" fillId="0" borderId="34" xfId="0" applyNumberFormat="1" applyFont="1" applyBorder="1"/>
    <xf numFmtId="0" fontId="0" fillId="0" borderId="0" xfId="0" applyProtection="1">
      <protection locked="0"/>
    </xf>
    <xf numFmtId="0" fontId="11" fillId="0" borderId="34" xfId="0" applyFont="1" applyBorder="1" applyAlignment="1" applyProtection="1">
      <alignment horizontal="left" vertical="center"/>
      <protection hidden="1"/>
    </xf>
    <xf numFmtId="0" fontId="5" fillId="0" borderId="27" xfId="0" applyFont="1" applyBorder="1" applyAlignment="1">
      <alignment horizontal="center"/>
    </xf>
    <xf numFmtId="9" fontId="11" fillId="3" borderId="38" xfId="0" applyNumberFormat="1" applyFont="1" applyFill="1" applyBorder="1" applyAlignment="1" applyProtection="1">
      <alignment vertical="center"/>
      <protection hidden="1"/>
    </xf>
    <xf numFmtId="0" fontId="2" fillId="0" borderId="0" xfId="0" applyFont="1" applyAlignment="1">
      <alignment horizontal="right"/>
    </xf>
    <xf numFmtId="0" fontId="8" fillId="0" borderId="0" xfId="0" applyFont="1" applyAlignment="1">
      <alignment vertical="center"/>
    </xf>
    <xf numFmtId="2" fontId="4" fillId="0" borderId="0" xfId="0" applyNumberFormat="1" applyFont="1" applyAlignment="1">
      <alignment horizontal="left" vertical="center"/>
    </xf>
    <xf numFmtId="0" fontId="11" fillId="0" borderId="7" xfId="0" applyFont="1" applyBorder="1" applyAlignment="1" applyProtection="1">
      <alignment vertical="center"/>
      <protection locked="0"/>
    </xf>
    <xf numFmtId="0" fontId="0" fillId="0" borderId="73" xfId="0" applyBorder="1"/>
    <xf numFmtId="0" fontId="10" fillId="0" borderId="0" xfId="0" applyFont="1" applyAlignment="1" applyProtection="1">
      <alignment horizontal="center" vertical="center"/>
      <protection hidden="1"/>
    </xf>
    <xf numFmtId="0" fontId="5" fillId="0" borderId="0" xfId="0" applyFont="1" applyAlignment="1" applyProtection="1">
      <alignment horizontal="center"/>
      <protection hidden="1"/>
    </xf>
    <xf numFmtId="0" fontId="11" fillId="0" borderId="70" xfId="0" applyFont="1" applyBorder="1" applyAlignment="1" applyProtection="1">
      <alignment horizontal="left" vertical="center"/>
      <protection hidden="1"/>
    </xf>
    <xf numFmtId="0" fontId="11" fillId="0" borderId="71" xfId="0" applyFont="1" applyBorder="1" applyAlignment="1" applyProtection="1">
      <alignment horizontal="left" vertical="center"/>
      <protection hidden="1"/>
    </xf>
    <xf numFmtId="0" fontId="11" fillId="0" borderId="72" xfId="0" applyFont="1" applyBorder="1" applyAlignment="1" applyProtection="1">
      <alignment horizontal="left" vertical="center"/>
      <protection hidden="1"/>
    </xf>
    <xf numFmtId="0" fontId="11" fillId="0" borderId="73" xfId="0" applyFont="1" applyBorder="1" applyAlignment="1" applyProtection="1">
      <alignment horizontal="left" vertical="center"/>
      <protection hidden="1"/>
    </xf>
    <xf numFmtId="0" fontId="11" fillId="0" borderId="72" xfId="0" applyFont="1" applyBorder="1" applyAlignment="1" applyProtection="1">
      <alignment vertical="center"/>
      <protection hidden="1"/>
    </xf>
    <xf numFmtId="0" fontId="17" fillId="0" borderId="0" xfId="0" applyFont="1" applyAlignment="1">
      <alignment vertical="center"/>
    </xf>
    <xf numFmtId="3" fontId="11" fillId="0" borderId="45" xfId="0" applyNumberFormat="1" applyFont="1" applyBorder="1" applyAlignment="1" applyProtection="1">
      <alignment horizontal="right" vertical="center" wrapText="1"/>
      <protection hidden="1"/>
    </xf>
    <xf numFmtId="0" fontId="11" fillId="0" borderId="43" xfId="0" applyFont="1" applyBorder="1" applyAlignment="1" applyProtection="1">
      <alignment horizontal="right" vertical="center"/>
      <protection hidden="1"/>
    </xf>
    <xf numFmtId="0" fontId="11" fillId="2" borderId="0" xfId="0" applyFont="1" applyFill="1" applyAlignment="1" applyProtection="1">
      <alignment vertical="center"/>
      <protection hidden="1"/>
    </xf>
    <xf numFmtId="0" fontId="11" fillId="0" borderId="31" xfId="0" applyFont="1" applyBorder="1" applyAlignment="1" applyProtection="1">
      <alignment vertical="center"/>
      <protection hidden="1"/>
    </xf>
    <xf numFmtId="0" fontId="36" fillId="0" borderId="0" xfId="0" applyFont="1" applyAlignment="1" applyProtection="1">
      <alignment horizontal="left" vertical="center"/>
      <protection hidden="1"/>
    </xf>
    <xf numFmtId="1" fontId="11" fillId="3" borderId="17" xfId="0" applyNumberFormat="1" applyFont="1" applyFill="1" applyBorder="1" applyAlignment="1" applyProtection="1">
      <alignment horizontal="center" vertical="center"/>
      <protection hidden="1"/>
    </xf>
    <xf numFmtId="0" fontId="6" fillId="0" borderId="0" xfId="0" applyFont="1" applyAlignment="1" applyProtection="1">
      <alignment horizontal="center"/>
      <protection hidden="1"/>
    </xf>
    <xf numFmtId="0" fontId="3" fillId="0" borderId="0" xfId="0" applyFont="1" applyProtection="1">
      <protection hidden="1"/>
    </xf>
    <xf numFmtId="0" fontId="5" fillId="0" borderId="31" xfId="0" applyFont="1" applyBorder="1" applyAlignment="1">
      <alignment vertical="center"/>
    </xf>
    <xf numFmtId="0" fontId="11" fillId="0" borderId="0" xfId="0" applyFont="1" applyAlignment="1">
      <alignment horizontal="left" vertical="center" wrapText="1"/>
    </xf>
    <xf numFmtId="0" fontId="5" fillId="0" borderId="0" xfId="0" applyFont="1" applyAlignment="1" applyProtection="1">
      <alignment horizontal="left" vertical="center"/>
      <protection hidden="1"/>
    </xf>
    <xf numFmtId="0" fontId="11" fillId="0" borderId="20" xfId="0" applyFont="1" applyBorder="1" applyAlignment="1">
      <alignment horizontal="left" vertical="center"/>
    </xf>
    <xf numFmtId="0" fontId="2" fillId="0" borderId="10" xfId="0" applyFont="1" applyBorder="1" applyAlignment="1">
      <alignment horizontal="left" vertical="center"/>
    </xf>
    <xf numFmtId="0" fontId="2" fillId="0" borderId="44" xfId="0" applyFont="1" applyBorder="1" applyAlignment="1">
      <alignment horizontal="left" vertical="center"/>
    </xf>
    <xf numFmtId="0" fontId="3" fillId="0" borderId="54" xfId="0" applyFont="1" applyBorder="1" applyAlignment="1">
      <alignment horizontal="center" vertical="center"/>
    </xf>
    <xf numFmtId="167" fontId="5" fillId="0" borderId="0" xfId="0" applyNumberFormat="1" applyFont="1" applyAlignment="1">
      <alignment horizontal="center"/>
    </xf>
    <xf numFmtId="167" fontId="0" fillId="0" borderId="17" xfId="0" applyNumberFormat="1" applyBorder="1"/>
    <xf numFmtId="0" fontId="11" fillId="0" borderId="25" xfId="0" applyFont="1" applyBorder="1" applyAlignment="1">
      <alignment horizontal="left"/>
    </xf>
    <xf numFmtId="0" fontId="11" fillId="0" borderId="0" xfId="0" applyFont="1" applyAlignment="1">
      <alignment horizontal="left"/>
    </xf>
    <xf numFmtId="0" fontId="11" fillId="2" borderId="0" xfId="0" applyFont="1" applyFill="1" applyAlignment="1">
      <alignment vertical="center"/>
    </xf>
    <xf numFmtId="3" fontId="11" fillId="0" borderId="17" xfId="0" applyNumberFormat="1" applyFont="1" applyBorder="1"/>
    <xf numFmtId="0" fontId="37" fillId="0" borderId="20" xfId="0" applyFont="1" applyBorder="1" applyAlignment="1" applyProtection="1">
      <alignment vertical="center"/>
      <protection hidden="1"/>
    </xf>
    <xf numFmtId="4" fontId="36" fillId="0" borderId="0" xfId="0" applyNumberFormat="1" applyFont="1" applyAlignment="1">
      <alignment vertical="center"/>
    </xf>
    <xf numFmtId="0" fontId="11" fillId="0" borderId="45" xfId="0" applyFont="1" applyBorder="1" applyAlignment="1">
      <alignment horizontal="left" vertical="center" wrapText="1"/>
    </xf>
    <xf numFmtId="1" fontId="6" fillId="7" borderId="60" xfId="0" applyNumberFormat="1" applyFont="1" applyFill="1" applyBorder="1" applyAlignment="1" applyProtection="1">
      <alignment horizontal="center" vertical="center"/>
      <protection locked="0"/>
    </xf>
    <xf numFmtId="0" fontId="10" fillId="0" borderId="0" xfId="0" applyFont="1" applyAlignment="1">
      <alignment horizontal="right" vertical="top" wrapText="1"/>
    </xf>
    <xf numFmtId="0" fontId="3" fillId="7" borderId="47" xfId="0" applyFont="1" applyFill="1" applyBorder="1" applyAlignment="1" applyProtection="1">
      <alignment horizontal="center" vertical="center"/>
      <protection locked="0"/>
    </xf>
    <xf numFmtId="1" fontId="6" fillId="7" borderId="36" xfId="0" applyNumberFormat="1" applyFont="1" applyFill="1" applyBorder="1" applyAlignment="1" applyProtection="1">
      <alignment horizontal="center" vertical="center"/>
      <protection locked="0"/>
    </xf>
    <xf numFmtId="0" fontId="3" fillId="5" borderId="34" xfId="0" applyFont="1" applyFill="1" applyBorder="1" applyAlignment="1" applyProtection="1">
      <alignment vertical="center"/>
      <protection hidden="1"/>
    </xf>
    <xf numFmtId="3" fontId="5" fillId="0" borderId="17" xfId="0" applyNumberFormat="1" applyFont="1" applyBorder="1" applyAlignment="1" applyProtection="1">
      <alignment horizontal="center" vertical="center"/>
      <protection hidden="1"/>
    </xf>
    <xf numFmtId="0" fontId="11" fillId="0" borderId="10" xfId="0" applyFont="1" applyBorder="1" applyAlignment="1" applyProtection="1">
      <alignment vertical="center"/>
      <protection hidden="1"/>
    </xf>
    <xf numFmtId="164" fontId="0" fillId="0" borderId="17" xfId="0" applyNumberFormat="1" applyBorder="1"/>
    <xf numFmtId="0" fontId="11" fillId="0" borderId="23" xfId="0" applyFont="1" applyBorder="1" applyAlignment="1" applyProtection="1">
      <alignment vertical="center"/>
      <protection locked="0"/>
    </xf>
    <xf numFmtId="0" fontId="11" fillId="7" borderId="17" xfId="0" applyFont="1" applyFill="1" applyBorder="1" applyAlignment="1" applyProtection="1">
      <alignment horizontal="center" vertical="center"/>
      <protection locked="0"/>
    </xf>
    <xf numFmtId="0" fontId="11" fillId="0" borderId="118" xfId="0" applyFont="1" applyBorder="1" applyAlignment="1" applyProtection="1">
      <alignment vertical="center"/>
      <protection hidden="1"/>
    </xf>
    <xf numFmtId="0" fontId="10" fillId="0" borderId="119" xfId="0" applyFont="1" applyBorder="1" applyAlignment="1">
      <alignment horizontal="right" vertical="center"/>
    </xf>
    <xf numFmtId="0" fontId="10" fillId="0" borderId="120" xfId="0" quotePrefix="1" applyFont="1" applyBorder="1" applyAlignment="1">
      <alignment horizontal="right" vertical="center"/>
    </xf>
    <xf numFmtId="0" fontId="4" fillId="0" borderId="16" xfId="0" applyFont="1" applyBorder="1" applyAlignment="1">
      <alignment horizontal="left" vertical="center"/>
    </xf>
    <xf numFmtId="0" fontId="5" fillId="0" borderId="16" xfId="0" applyFont="1" applyBorder="1" applyAlignment="1">
      <alignment horizontal="left" vertical="center"/>
    </xf>
    <xf numFmtId="14" fontId="0" fillId="0" borderId="0" xfId="0" applyNumberFormat="1" applyAlignment="1">
      <alignment horizontal="center" vertical="center"/>
    </xf>
    <xf numFmtId="14" fontId="4" fillId="0" borderId="0" xfId="0" applyNumberFormat="1" applyFont="1" applyAlignment="1">
      <alignment horizontal="left" vertical="center"/>
    </xf>
    <xf numFmtId="0" fontId="5" fillId="0" borderId="0" xfId="0" applyFont="1" applyAlignment="1">
      <alignment horizontal="left" vertical="center"/>
    </xf>
    <xf numFmtId="14" fontId="5" fillId="0" borderId="16" xfId="0" applyNumberFormat="1" applyFont="1" applyBorder="1" applyAlignment="1">
      <alignment horizontal="left" vertical="center"/>
    </xf>
    <xf numFmtId="0" fontId="16" fillId="0" borderId="0" xfId="0" applyFont="1" applyAlignment="1">
      <alignment vertical="center"/>
    </xf>
    <xf numFmtId="3" fontId="4" fillId="0" borderId="0" xfId="0" applyNumberFormat="1" applyFont="1" applyAlignment="1">
      <alignment vertical="center"/>
    </xf>
    <xf numFmtId="2" fontId="4" fillId="0" borderId="0" xfId="0" applyNumberFormat="1" applyFont="1" applyAlignment="1">
      <alignment vertical="center"/>
    </xf>
    <xf numFmtId="14" fontId="5" fillId="0" borderId="16" xfId="0" applyNumberFormat="1" applyFont="1" applyBorder="1" applyAlignment="1" applyProtection="1">
      <alignment horizontal="left" vertical="center"/>
      <protection hidden="1"/>
    </xf>
    <xf numFmtId="0" fontId="0" fillId="0" borderId="0" xfId="0" applyAlignment="1" applyProtection="1">
      <alignment horizontal="left" vertical="center"/>
      <protection hidden="1"/>
    </xf>
    <xf numFmtId="0" fontId="8" fillId="0" borderId="0" xfId="0" applyFont="1" applyAlignment="1" applyProtection="1">
      <alignment horizontal="left"/>
      <protection hidden="1"/>
    </xf>
    <xf numFmtId="0" fontId="8" fillId="0" borderId="0" xfId="0" applyFont="1" applyAlignment="1" applyProtection="1">
      <alignment horizontal="left" vertical="center"/>
      <protection hidden="1"/>
    </xf>
    <xf numFmtId="1" fontId="4" fillId="0" borderId="0" xfId="0" applyNumberFormat="1" applyFont="1" applyAlignment="1" applyProtection="1">
      <alignment horizontal="left" vertical="center"/>
      <protection hidden="1"/>
    </xf>
    <xf numFmtId="3" fontId="6" fillId="0" borderId="30" xfId="0" applyNumberFormat="1" applyFont="1" applyBorder="1" applyAlignment="1" applyProtection="1">
      <alignment horizontal="center" vertical="center"/>
      <protection hidden="1"/>
    </xf>
    <xf numFmtId="3" fontId="6" fillId="0" borderId="57" xfId="0" applyNumberFormat="1" applyFont="1" applyBorder="1" applyAlignment="1" applyProtection="1">
      <alignment horizontal="center" vertical="center"/>
      <protection hidden="1"/>
    </xf>
    <xf numFmtId="3" fontId="6" fillId="0" borderId="35" xfId="0" applyNumberFormat="1" applyFont="1" applyBorder="1" applyAlignment="1" applyProtection="1">
      <alignment horizontal="center" vertical="center"/>
      <protection hidden="1"/>
    </xf>
    <xf numFmtId="3" fontId="6" fillId="0" borderId="88" xfId="0" applyNumberFormat="1" applyFont="1" applyBorder="1" applyAlignment="1" applyProtection="1">
      <alignment horizontal="center" vertical="center"/>
      <protection hidden="1"/>
    </xf>
    <xf numFmtId="3" fontId="3" fillId="0" borderId="116" xfId="0" applyNumberFormat="1" applyFont="1" applyBorder="1" applyAlignment="1" applyProtection="1">
      <alignment horizontal="center" vertical="center"/>
      <protection hidden="1"/>
    </xf>
    <xf numFmtId="3" fontId="6" fillId="7" borderId="32" xfId="0" applyNumberFormat="1" applyFont="1" applyFill="1" applyBorder="1" applyAlignment="1" applyProtection="1">
      <alignment horizontal="center" vertical="center"/>
      <protection locked="0"/>
    </xf>
    <xf numFmtId="164" fontId="6" fillId="7" borderId="33" xfId="2" applyNumberFormat="1" applyFont="1" applyFill="1" applyBorder="1" applyAlignment="1" applyProtection="1">
      <alignment horizontal="center" vertical="center"/>
      <protection locked="0"/>
    </xf>
    <xf numFmtId="3" fontId="6" fillId="7" borderId="17" xfId="0" applyNumberFormat="1" applyFont="1" applyFill="1" applyBorder="1" applyAlignment="1" applyProtection="1">
      <alignment horizontal="center" vertical="center"/>
      <protection locked="0"/>
    </xf>
    <xf numFmtId="164" fontId="6" fillId="7" borderId="35" xfId="2" applyNumberFormat="1" applyFont="1" applyFill="1" applyBorder="1" applyAlignment="1" applyProtection="1">
      <alignment horizontal="center" vertical="center"/>
      <protection locked="0"/>
    </xf>
    <xf numFmtId="3" fontId="6" fillId="7" borderId="84" xfId="0" applyNumberFormat="1" applyFont="1" applyFill="1" applyBorder="1" applyAlignment="1" applyProtection="1">
      <alignment horizontal="center" vertical="center"/>
      <protection locked="0"/>
    </xf>
    <xf numFmtId="164" fontId="6" fillId="7" borderId="88" xfId="2" applyNumberFormat="1" applyFont="1" applyFill="1" applyBorder="1" applyAlignment="1" applyProtection="1">
      <alignment horizontal="center" vertical="center"/>
      <protection locked="0"/>
    </xf>
    <xf numFmtId="0" fontId="3" fillId="3" borderId="115" xfId="0" applyFont="1" applyFill="1" applyBorder="1" applyAlignment="1">
      <alignment horizontal="center" vertical="center"/>
    </xf>
    <xf numFmtId="0" fontId="3" fillId="3" borderId="116" xfId="0" applyFont="1" applyFill="1" applyBorder="1" applyAlignment="1">
      <alignment horizontal="center" vertical="center"/>
    </xf>
    <xf numFmtId="3" fontId="6" fillId="7" borderId="53" xfId="0" applyNumberFormat="1" applyFont="1" applyFill="1" applyBorder="1" applyAlignment="1" applyProtection="1">
      <alignment horizontal="center" vertical="center"/>
      <protection locked="0"/>
    </xf>
    <xf numFmtId="3" fontId="6" fillId="7" borderId="16" xfId="0" applyNumberFormat="1" applyFont="1" applyFill="1" applyBorder="1" applyAlignment="1" applyProtection="1">
      <alignment horizontal="center" vertical="center"/>
      <protection locked="0"/>
    </xf>
    <xf numFmtId="3" fontId="6" fillId="0" borderId="23" xfId="0" applyNumberFormat="1" applyFont="1" applyBorder="1" applyAlignment="1" applyProtection="1">
      <alignment horizontal="center" vertical="center"/>
      <protection hidden="1"/>
    </xf>
    <xf numFmtId="3" fontId="6" fillId="0" borderId="53" xfId="0" applyNumberFormat="1" applyFont="1" applyBorder="1" applyAlignment="1" applyProtection="1">
      <alignment horizontal="center" vertical="center"/>
      <protection hidden="1"/>
    </xf>
    <xf numFmtId="3" fontId="6" fillId="0" borderId="33" xfId="0" applyNumberFormat="1" applyFont="1" applyBorder="1" applyAlignment="1" applyProtection="1">
      <alignment horizontal="center" vertical="center"/>
      <protection hidden="1"/>
    </xf>
    <xf numFmtId="3" fontId="6" fillId="7" borderId="52" xfId="0" applyNumberFormat="1" applyFont="1" applyFill="1" applyBorder="1" applyAlignment="1" applyProtection="1">
      <alignment horizontal="center" vertical="center"/>
      <protection locked="0"/>
    </xf>
    <xf numFmtId="3" fontId="6" fillId="0" borderId="25" xfId="0" applyNumberFormat="1" applyFont="1" applyBorder="1" applyAlignment="1" applyProtection="1">
      <alignment horizontal="center" vertical="center"/>
      <protection hidden="1"/>
    </xf>
    <xf numFmtId="3" fontId="6" fillId="0" borderId="52" xfId="0" applyNumberFormat="1" applyFont="1" applyBorder="1" applyAlignment="1" applyProtection="1">
      <alignment horizontal="center" vertical="center"/>
      <protection hidden="1"/>
    </xf>
    <xf numFmtId="3" fontId="6" fillId="0" borderId="16" xfId="0" applyNumberFormat="1" applyFont="1" applyBorder="1" applyAlignment="1" applyProtection="1">
      <alignment horizontal="center" vertical="center"/>
      <protection hidden="1"/>
    </xf>
    <xf numFmtId="3" fontId="6" fillId="0" borderId="39" xfId="0" applyNumberFormat="1" applyFont="1" applyBorder="1" applyAlignment="1" applyProtection="1">
      <alignment horizontal="center" vertical="center"/>
      <protection hidden="1"/>
    </xf>
    <xf numFmtId="3" fontId="6" fillId="0" borderId="14" xfId="0" applyNumberFormat="1" applyFont="1" applyBorder="1" applyAlignment="1">
      <alignment horizontal="center" vertical="center"/>
    </xf>
    <xf numFmtId="3" fontId="6" fillId="0" borderId="56" xfId="0" applyNumberFormat="1" applyFont="1" applyBorder="1" applyAlignment="1">
      <alignment horizontal="center" vertical="center"/>
    </xf>
    <xf numFmtId="3" fontId="6" fillId="0" borderId="14" xfId="0" applyNumberFormat="1" applyFont="1" applyBorder="1" applyAlignment="1" applyProtection="1">
      <alignment horizontal="center" vertical="center"/>
      <protection hidden="1"/>
    </xf>
    <xf numFmtId="3" fontId="6" fillId="0" borderId="56" xfId="0" applyNumberFormat="1" applyFont="1" applyBorder="1" applyAlignment="1" applyProtection="1">
      <alignment horizontal="center" vertical="center"/>
      <protection hidden="1"/>
    </xf>
    <xf numFmtId="3" fontId="6" fillId="7" borderId="39" xfId="0" applyNumberFormat="1" applyFont="1" applyFill="1" applyBorder="1" applyAlignment="1" applyProtection="1">
      <alignment horizontal="center" vertical="center"/>
      <protection locked="0"/>
    </xf>
    <xf numFmtId="3" fontId="6" fillId="7" borderId="14" xfId="0" applyNumberFormat="1" applyFont="1" applyFill="1" applyBorder="1" applyAlignment="1" applyProtection="1">
      <alignment horizontal="center" vertical="center"/>
      <protection locked="0"/>
    </xf>
    <xf numFmtId="3" fontId="6" fillId="0" borderId="37" xfId="0" applyNumberFormat="1" applyFont="1" applyBorder="1" applyAlignment="1" applyProtection="1">
      <alignment horizontal="center" vertical="center"/>
      <protection hidden="1"/>
    </xf>
    <xf numFmtId="3" fontId="6" fillId="5" borderId="38" xfId="0" applyNumberFormat="1" applyFont="1" applyFill="1" applyBorder="1" applyAlignment="1">
      <alignment horizontal="center" vertical="center"/>
    </xf>
    <xf numFmtId="3" fontId="6" fillId="0" borderId="16" xfId="0" applyNumberFormat="1" applyFont="1" applyBorder="1" applyAlignment="1">
      <alignment horizontal="center" vertical="center"/>
    </xf>
    <xf numFmtId="3" fontId="6" fillId="0" borderId="23" xfId="0" applyNumberFormat="1" applyFont="1" applyBorder="1" applyAlignment="1">
      <alignment horizontal="center" vertical="center"/>
    </xf>
    <xf numFmtId="3" fontId="6" fillId="7" borderId="38" xfId="0" applyNumberFormat="1" applyFont="1" applyFill="1" applyBorder="1" applyAlignment="1" applyProtection="1">
      <alignment horizontal="center" vertical="center"/>
      <protection locked="0"/>
    </xf>
    <xf numFmtId="3" fontId="6" fillId="0" borderId="25" xfId="0" applyNumberFormat="1" applyFont="1" applyBorder="1" applyAlignment="1">
      <alignment horizontal="center" vertical="center"/>
    </xf>
    <xf numFmtId="3" fontId="6" fillId="5" borderId="87" xfId="0" applyNumberFormat="1" applyFont="1" applyFill="1" applyBorder="1" applyAlignment="1">
      <alignment horizontal="center" vertical="center"/>
    </xf>
    <xf numFmtId="3" fontId="6" fillId="5" borderId="90" xfId="0" applyNumberFormat="1" applyFont="1" applyFill="1" applyBorder="1" applyAlignment="1">
      <alignment horizontal="center" vertical="center"/>
    </xf>
    <xf numFmtId="3" fontId="6" fillId="0" borderId="87" xfId="0" applyNumberFormat="1" applyFont="1" applyBorder="1" applyAlignment="1" applyProtection="1">
      <alignment horizontal="center" vertical="center"/>
      <protection hidden="1"/>
    </xf>
    <xf numFmtId="3" fontId="6" fillId="0" borderId="90" xfId="0" applyNumberFormat="1" applyFont="1" applyBorder="1" applyAlignment="1">
      <alignment horizontal="center" vertical="center"/>
    </xf>
    <xf numFmtId="3" fontId="6" fillId="0" borderId="89" xfId="0" applyNumberFormat="1" applyFont="1" applyBorder="1" applyAlignment="1">
      <alignment horizontal="center" vertical="center"/>
    </xf>
    <xf numFmtId="3" fontId="6" fillId="0" borderId="89" xfId="0" applyNumberFormat="1" applyFont="1" applyBorder="1" applyAlignment="1" applyProtection="1">
      <alignment horizontal="center" vertical="center"/>
      <protection hidden="1"/>
    </xf>
    <xf numFmtId="3" fontId="6" fillId="7" borderId="87" xfId="0" applyNumberFormat="1" applyFont="1" applyFill="1" applyBorder="1" applyAlignment="1" applyProtection="1">
      <alignment horizontal="center" vertical="center"/>
      <protection locked="0"/>
    </xf>
    <xf numFmtId="3" fontId="3" fillId="0" borderId="54" xfId="0" applyNumberFormat="1" applyFont="1" applyBorder="1" applyAlignment="1" applyProtection="1">
      <alignment horizontal="center" vertical="center"/>
      <protection hidden="1"/>
    </xf>
    <xf numFmtId="3" fontId="3" fillId="0" borderId="62" xfId="0" applyNumberFormat="1" applyFont="1" applyBorder="1" applyAlignment="1" applyProtection="1">
      <alignment horizontal="center" vertical="center"/>
      <protection hidden="1"/>
    </xf>
    <xf numFmtId="3" fontId="3" fillId="0" borderId="66" xfId="0" applyNumberFormat="1" applyFont="1" applyBorder="1" applyAlignment="1" applyProtection="1">
      <alignment horizontal="center" vertical="center"/>
      <protection hidden="1"/>
    </xf>
    <xf numFmtId="3" fontId="3" fillId="0" borderId="63" xfId="0" applyNumberFormat="1" applyFont="1" applyBorder="1" applyAlignment="1" applyProtection="1">
      <alignment horizontal="center" vertical="center"/>
      <protection hidden="1"/>
    </xf>
    <xf numFmtId="3" fontId="3" fillId="0" borderId="43" xfId="0" applyNumberFormat="1" applyFont="1" applyBorder="1" applyAlignment="1" applyProtection="1">
      <alignment horizontal="center" vertical="center"/>
      <protection hidden="1"/>
    </xf>
    <xf numFmtId="3" fontId="6" fillId="8" borderId="16" xfId="0" applyNumberFormat="1" applyFont="1" applyFill="1" applyBorder="1" applyAlignment="1" applyProtection="1">
      <alignment horizontal="center" vertical="center"/>
      <protection hidden="1"/>
    </xf>
    <xf numFmtId="3" fontId="6" fillId="8" borderId="33" xfId="0" applyNumberFormat="1" applyFont="1" applyFill="1" applyBorder="1" applyAlignment="1" applyProtection="1">
      <alignment horizontal="center" vertical="center"/>
      <protection hidden="1"/>
    </xf>
    <xf numFmtId="3" fontId="6" fillId="8" borderId="59" xfId="0" applyNumberFormat="1" applyFont="1" applyFill="1" applyBorder="1" applyAlignment="1" applyProtection="1">
      <alignment horizontal="center" vertical="center"/>
      <protection hidden="1"/>
    </xf>
    <xf numFmtId="3" fontId="6" fillId="8" borderId="53" xfId="0" applyNumberFormat="1" applyFont="1" applyFill="1" applyBorder="1" applyAlignment="1" applyProtection="1">
      <alignment horizontal="center" vertical="center"/>
      <protection hidden="1"/>
    </xf>
    <xf numFmtId="3" fontId="6" fillId="5" borderId="53" xfId="0" applyNumberFormat="1" applyFont="1" applyFill="1" applyBorder="1" applyAlignment="1" applyProtection="1">
      <alignment horizontal="center" vertical="center"/>
      <protection hidden="1"/>
    </xf>
    <xf numFmtId="3" fontId="6" fillId="5" borderId="16" xfId="0" applyNumberFormat="1" applyFont="1" applyFill="1" applyBorder="1" applyAlignment="1" applyProtection="1">
      <alignment horizontal="center" vertical="center"/>
      <protection hidden="1"/>
    </xf>
    <xf numFmtId="3" fontId="6" fillId="5" borderId="23" xfId="0" applyNumberFormat="1" applyFont="1" applyFill="1" applyBorder="1" applyAlignment="1" applyProtection="1">
      <alignment horizontal="center" vertical="center"/>
      <protection hidden="1"/>
    </xf>
    <xf numFmtId="3" fontId="6" fillId="5" borderId="10" xfId="0" applyNumberFormat="1" applyFont="1" applyFill="1" applyBorder="1" applyAlignment="1">
      <alignment horizontal="center" vertical="center"/>
    </xf>
    <xf numFmtId="3" fontId="6" fillId="5" borderId="20" xfId="0" applyNumberFormat="1" applyFont="1" applyFill="1" applyBorder="1" applyAlignment="1">
      <alignment horizontal="center" vertical="center"/>
    </xf>
    <xf numFmtId="3" fontId="6" fillId="5" borderId="10" xfId="0" applyNumberFormat="1" applyFont="1" applyFill="1" applyBorder="1" applyAlignment="1" applyProtection="1">
      <alignment horizontal="center" vertical="center"/>
      <protection hidden="1"/>
    </xf>
    <xf numFmtId="3" fontId="6" fillId="5" borderId="35" xfId="0" applyNumberFormat="1" applyFont="1" applyFill="1" applyBorder="1" applyAlignment="1" applyProtection="1">
      <alignment horizontal="center" vertical="center"/>
      <protection hidden="1"/>
    </xf>
    <xf numFmtId="3" fontId="6" fillId="8" borderId="10" xfId="0" applyNumberFormat="1" applyFont="1" applyFill="1" applyBorder="1" applyAlignment="1" applyProtection="1">
      <alignment horizontal="center" vertical="center"/>
      <protection hidden="1"/>
    </xf>
    <xf numFmtId="3" fontId="6" fillId="0" borderId="38" xfId="0" applyNumberFormat="1" applyFont="1" applyBorder="1" applyAlignment="1">
      <alignment horizontal="center" vertical="center"/>
    </xf>
    <xf numFmtId="3" fontId="6" fillId="5" borderId="91" xfId="0" applyNumberFormat="1" applyFont="1" applyFill="1" applyBorder="1" applyAlignment="1">
      <alignment horizontal="center" vertical="center"/>
    </xf>
    <xf numFmtId="3" fontId="6" fillId="5" borderId="89" xfId="0" applyNumberFormat="1" applyFont="1" applyFill="1" applyBorder="1" applyAlignment="1">
      <alignment horizontal="center" vertical="center"/>
    </xf>
    <xf numFmtId="3" fontId="6" fillId="5" borderId="90" xfId="0" applyNumberFormat="1" applyFont="1" applyFill="1" applyBorder="1" applyAlignment="1" applyProtection="1">
      <alignment horizontal="center" vertical="center"/>
      <protection hidden="1"/>
    </xf>
    <xf numFmtId="3" fontId="6" fillId="5" borderId="88" xfId="0" applyNumberFormat="1" applyFont="1" applyFill="1" applyBorder="1" applyAlignment="1" applyProtection="1">
      <alignment horizontal="center" vertical="center"/>
      <protection hidden="1"/>
    </xf>
    <xf numFmtId="3" fontId="6" fillId="0" borderId="91" xfId="0" applyNumberFormat="1" applyFont="1" applyBorder="1" applyAlignment="1">
      <alignment horizontal="center" vertical="center"/>
    </xf>
    <xf numFmtId="3" fontId="6" fillId="8" borderId="90" xfId="0" applyNumberFormat="1" applyFont="1" applyFill="1" applyBorder="1" applyAlignment="1" applyProtection="1">
      <alignment horizontal="center" vertical="center"/>
      <protection hidden="1"/>
    </xf>
    <xf numFmtId="3" fontId="3" fillId="8" borderId="54" xfId="0" applyNumberFormat="1" applyFont="1" applyFill="1" applyBorder="1" applyAlignment="1" applyProtection="1">
      <alignment horizontal="center" vertical="center"/>
      <protection hidden="1"/>
    </xf>
    <xf numFmtId="3" fontId="3" fillId="8" borderId="66" xfId="0" applyNumberFormat="1" applyFont="1" applyFill="1" applyBorder="1" applyAlignment="1" applyProtection="1">
      <alignment horizontal="center" vertical="center"/>
      <protection hidden="1"/>
    </xf>
    <xf numFmtId="3" fontId="3" fillId="8" borderId="62" xfId="0" applyNumberFormat="1" applyFont="1" applyFill="1" applyBorder="1" applyAlignment="1" applyProtection="1">
      <alignment horizontal="center" vertical="center"/>
      <protection hidden="1"/>
    </xf>
    <xf numFmtId="3" fontId="3" fillId="8" borderId="43" xfId="0" applyNumberFormat="1" applyFont="1" applyFill="1" applyBorder="1" applyAlignment="1" applyProtection="1">
      <alignment horizontal="center" vertical="center"/>
      <protection hidden="1"/>
    </xf>
    <xf numFmtId="3" fontId="3" fillId="5" borderId="3" xfId="0" applyNumberFormat="1" applyFont="1" applyFill="1" applyBorder="1" applyAlignment="1">
      <alignment horizontal="center" vertical="center"/>
    </xf>
    <xf numFmtId="3" fontId="3" fillId="5" borderId="47" xfId="0" applyNumberFormat="1" applyFont="1" applyFill="1" applyBorder="1" applyAlignment="1">
      <alignment horizontal="center" vertical="center"/>
    </xf>
    <xf numFmtId="3" fontId="3" fillId="0" borderId="5" xfId="0" applyNumberFormat="1" applyFont="1" applyBorder="1" applyAlignment="1" applyProtection="1">
      <alignment horizontal="center" vertical="center"/>
      <protection hidden="1"/>
    </xf>
    <xf numFmtId="166" fontId="11" fillId="7" borderId="35" xfId="0" applyNumberFormat="1" applyFont="1" applyFill="1" applyBorder="1" applyAlignment="1" applyProtection="1">
      <alignment horizontal="center" vertical="center"/>
      <protection locked="0"/>
    </xf>
    <xf numFmtId="164" fontId="6" fillId="7" borderId="23" xfId="0" applyNumberFormat="1" applyFont="1" applyFill="1" applyBorder="1" applyAlignment="1" applyProtection="1">
      <alignment horizontal="center" vertical="center"/>
      <protection locked="0"/>
    </xf>
    <xf numFmtId="3" fontId="6" fillId="7" borderId="60" xfId="0" applyNumberFormat="1" applyFont="1" applyFill="1" applyBorder="1" applyAlignment="1" applyProtection="1">
      <alignment horizontal="center" vertical="center"/>
      <protection locked="0"/>
    </xf>
    <xf numFmtId="164" fontId="6" fillId="7" borderId="25" xfId="0" applyNumberFormat="1" applyFont="1" applyFill="1" applyBorder="1" applyAlignment="1" applyProtection="1">
      <alignment horizontal="center" vertical="center"/>
      <protection locked="0"/>
    </xf>
    <xf numFmtId="3" fontId="6" fillId="7" borderId="36" xfId="0" applyNumberFormat="1" applyFont="1" applyFill="1" applyBorder="1" applyAlignment="1" applyProtection="1">
      <alignment horizontal="center" vertical="center"/>
      <protection locked="0"/>
    </xf>
    <xf numFmtId="164" fontId="6" fillId="7" borderId="56" xfId="0" applyNumberFormat="1" applyFont="1" applyFill="1" applyBorder="1" applyAlignment="1" applyProtection="1">
      <alignment horizontal="center" vertical="center"/>
      <protection locked="0"/>
    </xf>
    <xf numFmtId="164" fontId="6" fillId="7" borderId="20" xfId="0" applyNumberFormat="1" applyFont="1" applyFill="1" applyBorder="1" applyAlignment="1" applyProtection="1">
      <alignment horizontal="center" vertical="center"/>
      <protection locked="0"/>
    </xf>
    <xf numFmtId="164" fontId="6" fillId="7" borderId="89" xfId="0" applyNumberFormat="1" applyFont="1" applyFill="1" applyBorder="1" applyAlignment="1" applyProtection="1">
      <alignment horizontal="center" vertical="center"/>
      <protection locked="0"/>
    </xf>
    <xf numFmtId="3" fontId="11" fillId="0" borderId="17" xfId="0" applyNumberFormat="1" applyFont="1" applyBorder="1" applyAlignment="1" applyProtection="1">
      <alignment horizontal="center" vertical="center"/>
      <protection hidden="1"/>
    </xf>
    <xf numFmtId="3" fontId="11" fillId="0" borderId="35" xfId="0" applyNumberFormat="1" applyFont="1" applyBorder="1" applyAlignment="1" applyProtection="1">
      <alignment horizontal="center" vertical="center"/>
      <protection hidden="1"/>
    </xf>
    <xf numFmtId="164" fontId="11" fillId="0" borderId="17" xfId="2" applyNumberFormat="1" applyFont="1" applyBorder="1" applyAlignment="1" applyProtection="1">
      <alignment horizontal="center"/>
      <protection hidden="1"/>
    </xf>
    <xf numFmtId="164" fontId="11" fillId="0" borderId="17" xfId="2" applyNumberFormat="1" applyFont="1" applyBorder="1" applyAlignment="1" applyProtection="1">
      <alignment horizontal="center" vertical="center"/>
      <protection hidden="1"/>
    </xf>
    <xf numFmtId="4" fontId="11" fillId="0" borderId="17" xfId="0" applyNumberFormat="1" applyFont="1" applyBorder="1" applyAlignment="1" applyProtection="1">
      <alignment horizontal="center"/>
      <protection hidden="1"/>
    </xf>
    <xf numFmtId="0" fontId="41" fillId="0" borderId="17" xfId="0" applyFont="1" applyBorder="1" applyAlignment="1" applyProtection="1">
      <alignment horizontal="center" vertical="center"/>
      <protection hidden="1"/>
    </xf>
    <xf numFmtId="4" fontId="11" fillId="0" borderId="17" xfId="0" applyNumberFormat="1" applyFont="1" applyBorder="1" applyAlignment="1" applyProtection="1">
      <alignment horizontal="center" vertical="center"/>
      <protection hidden="1"/>
    </xf>
    <xf numFmtId="4" fontId="11" fillId="5" borderId="17" xfId="0" applyNumberFormat="1" applyFont="1" applyFill="1" applyBorder="1" applyAlignment="1" applyProtection="1">
      <alignment horizontal="center"/>
      <protection hidden="1"/>
    </xf>
    <xf numFmtId="0" fontId="11" fillId="5" borderId="17" xfId="0" applyFont="1" applyFill="1" applyBorder="1" applyAlignment="1">
      <alignment horizontal="center" vertical="center"/>
    </xf>
    <xf numFmtId="0" fontId="41" fillId="5" borderId="17" xfId="0" applyFont="1" applyFill="1" applyBorder="1" applyAlignment="1" applyProtection="1">
      <alignment horizontal="center" vertical="center"/>
      <protection hidden="1"/>
    </xf>
    <xf numFmtId="2" fontId="11" fillId="0" borderId="17" xfId="2" applyNumberFormat="1" applyFont="1" applyBorder="1" applyAlignment="1" applyProtection="1">
      <alignment horizontal="center" vertical="center"/>
      <protection hidden="1"/>
    </xf>
    <xf numFmtId="3" fontId="11" fillId="0" borderId="17" xfId="0" applyNumberFormat="1" applyFont="1" applyBorder="1" applyAlignment="1" applyProtection="1">
      <alignment horizontal="center"/>
      <protection hidden="1"/>
    </xf>
    <xf numFmtId="164" fontId="56" fillId="5" borderId="17" xfId="0" applyNumberFormat="1" applyFont="1" applyFill="1" applyBorder="1" applyAlignment="1" applyProtection="1">
      <alignment horizontal="center"/>
      <protection hidden="1"/>
    </xf>
    <xf numFmtId="3" fontId="11" fillId="7" borderId="17" xfId="0" applyNumberFormat="1" applyFont="1" applyFill="1" applyBorder="1" applyAlignment="1" applyProtection="1">
      <alignment horizontal="center" vertical="center"/>
      <protection locked="0"/>
    </xf>
    <xf numFmtId="3" fontId="11" fillId="7" borderId="35" xfId="0" applyNumberFormat="1" applyFont="1" applyFill="1" applyBorder="1" applyAlignment="1" applyProtection="1">
      <alignment horizontal="center" vertical="center"/>
      <protection locked="0"/>
    </xf>
    <xf numFmtId="3" fontId="11" fillId="0" borderId="19" xfId="0" applyNumberFormat="1" applyFont="1" applyBorder="1" applyAlignment="1" applyProtection="1">
      <alignment horizontal="center" vertical="center"/>
      <protection hidden="1"/>
    </xf>
    <xf numFmtId="3" fontId="40" fillId="5" borderId="60" xfId="0" applyNumberFormat="1" applyFont="1" applyFill="1" applyBorder="1" applyAlignment="1" applyProtection="1">
      <alignment horizontal="center" vertical="center"/>
      <protection hidden="1"/>
    </xf>
    <xf numFmtId="3" fontId="39" fillId="5" borderId="17" xfId="0" applyNumberFormat="1" applyFont="1" applyFill="1" applyBorder="1" applyAlignment="1" applyProtection="1">
      <alignment horizontal="center" vertical="center"/>
      <protection hidden="1"/>
    </xf>
    <xf numFmtId="3" fontId="40" fillId="0" borderId="17" xfId="0" applyNumberFormat="1" applyFont="1" applyBorder="1" applyAlignment="1" applyProtection="1">
      <alignment horizontal="center" vertical="center"/>
      <protection hidden="1"/>
    </xf>
    <xf numFmtId="3" fontId="40" fillId="5" borderId="17" xfId="0" applyNumberFormat="1" applyFont="1" applyFill="1" applyBorder="1" applyAlignment="1" applyProtection="1">
      <alignment horizontal="center" vertical="center"/>
      <protection hidden="1"/>
    </xf>
    <xf numFmtId="164" fontId="40" fillId="7" borderId="17" xfId="0" applyNumberFormat="1" applyFont="1" applyFill="1" applyBorder="1" applyAlignment="1" applyProtection="1">
      <alignment horizontal="center" vertical="center"/>
      <protection locked="0"/>
    </xf>
    <xf numFmtId="164" fontId="40" fillId="5" borderId="17" xfId="2" applyNumberFormat="1" applyFont="1" applyFill="1" applyBorder="1" applyAlignment="1" applyProtection="1">
      <alignment horizontal="center" vertical="center"/>
      <protection hidden="1"/>
    </xf>
    <xf numFmtId="164" fontId="40" fillId="7" borderId="17" xfId="0" applyNumberFormat="1" applyFont="1" applyFill="1" applyBorder="1" applyAlignment="1" applyProtection="1">
      <alignment horizontal="center"/>
      <protection locked="0"/>
    </xf>
    <xf numFmtId="3" fontId="4" fillId="2" borderId="0" xfId="0" applyNumberFormat="1" applyFont="1" applyFill="1" applyAlignment="1">
      <alignment horizontal="center" vertical="center"/>
    </xf>
    <xf numFmtId="3" fontId="4" fillId="0" borderId="0" xfId="0" applyNumberFormat="1" applyFont="1" applyAlignment="1" applyProtection="1">
      <alignment horizontal="center" vertical="center"/>
      <protection hidden="1"/>
    </xf>
    <xf numFmtId="3" fontId="39" fillId="7" borderId="17" xfId="0" applyNumberFormat="1" applyFont="1" applyFill="1" applyBorder="1" applyAlignment="1" applyProtection="1">
      <alignment horizontal="center" vertical="center"/>
      <protection locked="0"/>
    </xf>
    <xf numFmtId="3" fontId="39" fillId="0" borderId="17" xfId="0" applyNumberFormat="1" applyFont="1" applyBorder="1" applyAlignment="1" applyProtection="1">
      <alignment horizontal="center" vertical="center"/>
      <protection hidden="1"/>
    </xf>
    <xf numFmtId="3" fontId="39" fillId="5" borderId="84" xfId="0" applyNumberFormat="1" applyFont="1" applyFill="1" applyBorder="1" applyAlignment="1" applyProtection="1">
      <alignment horizontal="center" vertical="center"/>
      <protection hidden="1"/>
    </xf>
    <xf numFmtId="3" fontId="39" fillId="7" borderId="32" xfId="0" applyNumberFormat="1" applyFont="1" applyFill="1" applyBorder="1" applyAlignment="1" applyProtection="1">
      <alignment horizontal="center" vertical="center"/>
      <protection locked="0"/>
    </xf>
    <xf numFmtId="3" fontId="39" fillId="5" borderId="32" xfId="0" applyNumberFormat="1" applyFont="1" applyFill="1" applyBorder="1" applyAlignment="1" applyProtection="1">
      <alignment horizontal="center" vertical="center"/>
      <protection hidden="1"/>
    </xf>
    <xf numFmtId="3" fontId="4" fillId="2" borderId="0" xfId="0" applyNumberFormat="1" applyFont="1" applyFill="1" applyAlignment="1" applyProtection="1">
      <alignment horizontal="center" vertical="center"/>
      <protection hidden="1"/>
    </xf>
    <xf numFmtId="3" fontId="4" fillId="5" borderId="17" xfId="0" applyNumberFormat="1" applyFont="1" applyFill="1" applyBorder="1" applyAlignment="1" applyProtection="1">
      <alignment horizontal="center" vertical="center"/>
      <protection hidden="1"/>
    </xf>
    <xf numFmtId="0" fontId="3" fillId="0" borderId="60" xfId="0" applyFont="1" applyBorder="1" applyAlignment="1" applyProtection="1">
      <alignment horizontal="center" vertical="center"/>
      <protection hidden="1"/>
    </xf>
    <xf numFmtId="0" fontId="3" fillId="5" borderId="25" xfId="0" applyFont="1" applyFill="1" applyBorder="1" applyAlignment="1" applyProtection="1">
      <alignment horizontal="center" vertical="center"/>
      <protection hidden="1"/>
    </xf>
    <xf numFmtId="0" fontId="5" fillId="0" borderId="12" xfId="0" applyFont="1" applyBorder="1" applyAlignment="1">
      <alignment horizontal="left" vertical="center" indent="1"/>
    </xf>
    <xf numFmtId="0" fontId="5" fillId="0" borderId="12" xfId="0" applyFont="1" applyBorder="1" applyAlignment="1">
      <alignment horizontal="center" vertical="center"/>
    </xf>
    <xf numFmtId="3" fontId="4" fillId="0" borderId="0" xfId="0" applyNumberFormat="1" applyFont="1" applyAlignment="1">
      <alignment horizontal="left" vertical="center"/>
    </xf>
    <xf numFmtId="14" fontId="4" fillId="0" borderId="0" xfId="0" applyNumberFormat="1" applyFont="1" applyAlignment="1">
      <alignment horizontal="center"/>
    </xf>
    <xf numFmtId="3" fontId="0" fillId="10" borderId="38" xfId="2" applyNumberFormat="1" applyFont="1" applyFill="1" applyBorder="1"/>
    <xf numFmtId="3" fontId="0" fillId="10" borderId="17" xfId="0" applyNumberFormat="1" applyFill="1" applyBorder="1"/>
    <xf numFmtId="3" fontId="0" fillId="10" borderId="35" xfId="0" applyNumberFormat="1" applyFill="1" applyBorder="1"/>
    <xf numFmtId="164" fontId="3" fillId="7" borderId="5" xfId="2" applyNumberFormat="1" applyFont="1" applyFill="1" applyBorder="1" applyAlignment="1" applyProtection="1">
      <alignment horizontal="center" vertical="center"/>
      <protection locked="0"/>
    </xf>
    <xf numFmtId="14" fontId="6" fillId="0" borderId="0" xfId="0" applyNumberFormat="1" applyFont="1" applyAlignment="1">
      <alignment horizontal="left" vertical="center"/>
    </xf>
    <xf numFmtId="3" fontId="5" fillId="0" borderId="35" xfId="0" applyNumberFormat="1" applyFont="1" applyBorder="1" applyAlignment="1" applyProtection="1">
      <alignment horizontal="center" vertical="center"/>
      <protection hidden="1"/>
    </xf>
    <xf numFmtId="3" fontId="11" fillId="7" borderId="32" xfId="0" applyNumberFormat="1" applyFont="1" applyFill="1" applyBorder="1" applyAlignment="1" applyProtection="1">
      <alignment horizontal="center" vertical="center"/>
      <protection locked="0"/>
    </xf>
    <xf numFmtId="3" fontId="11" fillId="7" borderId="23" xfId="0" applyNumberFormat="1" applyFont="1" applyFill="1" applyBorder="1" applyAlignment="1" applyProtection="1">
      <alignment horizontal="center" vertical="center"/>
      <protection locked="0"/>
    </xf>
    <xf numFmtId="3" fontId="11" fillId="7" borderId="32" xfId="0" applyNumberFormat="1" applyFont="1" applyFill="1" applyBorder="1" applyAlignment="1" applyProtection="1">
      <alignment horizontal="center"/>
      <protection locked="0"/>
    </xf>
    <xf numFmtId="3" fontId="11" fillId="7" borderId="23" xfId="0" applyNumberFormat="1" applyFont="1" applyFill="1" applyBorder="1" applyAlignment="1" applyProtection="1">
      <alignment horizontal="center"/>
      <protection locked="0"/>
    </xf>
    <xf numFmtId="0" fontId="11" fillId="0" borderId="19" xfId="0" applyFont="1" applyBorder="1" applyAlignment="1">
      <alignment horizontal="center"/>
    </xf>
    <xf numFmtId="0" fontId="11" fillId="0" borderId="18" xfId="0" applyFont="1" applyBorder="1" applyAlignment="1">
      <alignment horizontal="center"/>
    </xf>
    <xf numFmtId="0" fontId="11" fillId="0" borderId="60" xfId="0" applyFont="1" applyBorder="1" applyAlignment="1">
      <alignment horizontal="center"/>
    </xf>
    <xf numFmtId="0" fontId="11" fillId="0" borderId="25" xfId="0" applyFont="1" applyBorder="1" applyAlignment="1">
      <alignment horizontal="center"/>
    </xf>
    <xf numFmtId="167" fontId="5" fillId="0" borderId="0" xfId="0" applyNumberFormat="1" applyFont="1" applyAlignment="1">
      <alignment horizontal="center" vertical="center"/>
    </xf>
    <xf numFmtId="3" fontId="3" fillId="0" borderId="0" xfId="0" applyNumberFormat="1" applyFont="1" applyAlignment="1" applyProtection="1">
      <alignment vertical="center"/>
      <protection hidden="1"/>
    </xf>
    <xf numFmtId="0" fontId="3" fillId="0" borderId="0" xfId="0" applyFont="1" applyAlignment="1" applyProtection="1">
      <alignment vertical="center"/>
      <protection hidden="1"/>
    </xf>
    <xf numFmtId="3" fontId="3" fillId="0" borderId="0" xfId="0" applyNumberFormat="1" applyFont="1" applyAlignment="1" applyProtection="1">
      <alignment horizontal="center" vertical="center"/>
      <protection hidden="1"/>
    </xf>
    <xf numFmtId="0" fontId="3" fillId="0" borderId="0" xfId="0" applyFont="1" applyAlignment="1">
      <alignment horizontal="center" vertical="center" wrapText="1"/>
    </xf>
    <xf numFmtId="167" fontId="3" fillId="0" borderId="0" xfId="0" applyNumberFormat="1" applyFont="1" applyAlignment="1">
      <alignment horizontal="center" vertical="center"/>
    </xf>
    <xf numFmtId="166" fontId="3" fillId="0" borderId="0" xfId="0" applyNumberFormat="1" applyFont="1" applyAlignment="1">
      <alignment horizontal="center" vertical="center"/>
    </xf>
    <xf numFmtId="3" fontId="3" fillId="0" borderId="0" xfId="0" applyNumberFormat="1" applyFont="1" applyAlignment="1">
      <alignment horizontal="center" vertical="center"/>
    </xf>
    <xf numFmtId="3" fontId="3" fillId="0" borderId="47" xfId="0" applyNumberFormat="1" applyFont="1" applyBorder="1" applyAlignment="1" applyProtection="1">
      <alignment horizontal="center" vertical="center"/>
      <protection hidden="1"/>
    </xf>
    <xf numFmtId="0" fontId="5" fillId="0" borderId="0" xfId="0" applyFont="1" applyAlignment="1" applyProtection="1">
      <alignment horizontal="left" vertical="center" wrapText="1" indent="3"/>
      <protection hidden="1"/>
    </xf>
    <xf numFmtId="167" fontId="65" fillId="0" borderId="0" xfId="0" applyNumberFormat="1" applyFont="1" applyAlignment="1" applyProtection="1">
      <alignment horizontal="right" vertical="center"/>
      <protection hidden="1"/>
    </xf>
    <xf numFmtId="167" fontId="6" fillId="0" borderId="0" xfId="0" applyNumberFormat="1" applyFont="1" applyAlignment="1" applyProtection="1">
      <alignment horizontal="center" vertical="center"/>
      <protection hidden="1"/>
    </xf>
    <xf numFmtId="167" fontId="6" fillId="0" borderId="0" xfId="0" applyNumberFormat="1" applyFont="1" applyProtection="1">
      <protection hidden="1"/>
    </xf>
    <xf numFmtId="167" fontId="8" fillId="0" borderId="0" xfId="0" applyNumberFormat="1" applyFont="1" applyAlignment="1" applyProtection="1">
      <alignment horizontal="right" vertical="center"/>
      <protection hidden="1"/>
    </xf>
    <xf numFmtId="0" fontId="3" fillId="0" borderId="0" xfId="0" applyFont="1" applyAlignment="1">
      <alignment horizontal="right" vertical="center"/>
    </xf>
    <xf numFmtId="0" fontId="5" fillId="0" borderId="0" xfId="0" applyFont="1" applyAlignment="1">
      <alignment horizontal="left"/>
    </xf>
    <xf numFmtId="3" fontId="11" fillId="5" borderId="17" xfId="0" applyNumberFormat="1" applyFont="1" applyFill="1" applyBorder="1" applyAlignment="1">
      <alignment horizontal="center" vertical="center"/>
    </xf>
    <xf numFmtId="0" fontId="0" fillId="0" borderId="29"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3" fontId="11" fillId="0" borderId="32" xfId="0" applyNumberFormat="1" applyFont="1" applyBorder="1" applyAlignment="1">
      <alignment horizontal="center" vertical="center"/>
    </xf>
    <xf numFmtId="3" fontId="11" fillId="0" borderId="33" xfId="0" applyNumberFormat="1" applyFont="1" applyBorder="1" applyAlignment="1">
      <alignment horizontal="center" vertical="center"/>
    </xf>
    <xf numFmtId="3" fontId="11" fillId="0" borderId="32" xfId="0" applyNumberFormat="1" applyFont="1" applyBorder="1" applyAlignment="1" applyProtection="1">
      <alignment horizontal="center" vertical="center"/>
      <protection hidden="1"/>
    </xf>
    <xf numFmtId="3" fontId="10" fillId="5" borderId="36" xfId="0" applyNumberFormat="1" applyFont="1" applyFill="1" applyBorder="1" applyAlignment="1" applyProtection="1">
      <alignment horizontal="center" vertical="center"/>
      <protection hidden="1"/>
    </xf>
    <xf numFmtId="3" fontId="10" fillId="0" borderId="36" xfId="0" applyNumberFormat="1" applyFont="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3" fontId="5" fillId="0" borderId="4" xfId="0" applyNumberFormat="1" applyFont="1" applyBorder="1" applyAlignment="1">
      <alignment horizontal="center" vertical="center"/>
    </xf>
    <xf numFmtId="3" fontId="5" fillId="0" borderId="4" xfId="0" applyNumberFormat="1" applyFont="1" applyBorder="1" applyAlignment="1" applyProtection="1">
      <alignment horizontal="center" vertical="center"/>
      <protection hidden="1"/>
    </xf>
    <xf numFmtId="3" fontId="5" fillId="0" borderId="2" xfId="0" applyNumberFormat="1" applyFont="1" applyBorder="1" applyAlignment="1" applyProtection="1">
      <alignment horizontal="center" vertical="center"/>
      <protection hidden="1"/>
    </xf>
    <xf numFmtId="3" fontId="5" fillId="0" borderId="55" xfId="0" applyNumberFormat="1" applyFont="1" applyBorder="1" applyAlignment="1" applyProtection="1">
      <alignment horizontal="center" vertical="center"/>
      <protection hidden="1"/>
    </xf>
    <xf numFmtId="3" fontId="5" fillId="0" borderId="29" xfId="0" applyNumberFormat="1" applyFont="1" applyBorder="1" applyAlignment="1" applyProtection="1">
      <alignment horizontal="center" vertical="center"/>
      <protection hidden="1"/>
    </xf>
    <xf numFmtId="3" fontId="5" fillId="0" borderId="30" xfId="0" applyNumberFormat="1" applyFont="1" applyBorder="1" applyAlignment="1" applyProtection="1">
      <alignment horizontal="center" vertical="center"/>
      <protection hidden="1"/>
    </xf>
    <xf numFmtId="3" fontId="11" fillId="5" borderId="36" xfId="0" applyNumberFormat="1" applyFont="1" applyFill="1" applyBorder="1" applyAlignment="1" applyProtection="1">
      <alignment horizontal="center" vertical="center"/>
      <protection hidden="1"/>
    </xf>
    <xf numFmtId="3" fontId="11" fillId="0" borderId="36" xfId="0" applyNumberFormat="1" applyFont="1" applyBorder="1" applyAlignment="1" applyProtection="1">
      <alignment horizontal="center" vertical="center"/>
      <protection hidden="1"/>
    </xf>
    <xf numFmtId="3" fontId="11" fillId="0" borderId="37" xfId="0" applyNumberFormat="1" applyFont="1" applyBorder="1" applyAlignment="1" applyProtection="1">
      <alignment horizontal="center" vertical="center"/>
      <protection hidden="1"/>
    </xf>
    <xf numFmtId="3" fontId="10" fillId="0" borderId="62" xfId="0" applyNumberFormat="1" applyFont="1" applyBorder="1" applyAlignment="1" applyProtection="1">
      <alignment horizontal="center" vertical="center"/>
      <protection hidden="1"/>
    </xf>
    <xf numFmtId="3" fontId="10" fillId="0" borderId="66" xfId="0" applyNumberFormat="1" applyFont="1" applyBorder="1" applyAlignment="1" applyProtection="1">
      <alignment horizontal="center" vertical="center"/>
      <protection hidden="1"/>
    </xf>
    <xf numFmtId="3" fontId="11" fillId="5" borderId="36" xfId="0" applyNumberFormat="1" applyFont="1" applyFill="1" applyBorder="1" applyAlignment="1">
      <alignment horizontal="center" vertical="center"/>
    </xf>
    <xf numFmtId="3" fontId="6" fillId="0" borderId="32" xfId="0" applyNumberFormat="1" applyFont="1" applyBorder="1" applyAlignment="1" applyProtection="1">
      <alignment horizontal="center" vertical="center"/>
      <protection hidden="1"/>
    </xf>
    <xf numFmtId="4" fontId="6" fillId="0" borderId="17" xfId="0" applyNumberFormat="1" applyFont="1" applyBorder="1" applyAlignment="1" applyProtection="1">
      <alignment horizontal="center" vertical="center"/>
      <protection hidden="1"/>
    </xf>
    <xf numFmtId="4" fontId="6" fillId="7" borderId="17" xfId="0" applyNumberFormat="1" applyFont="1" applyFill="1" applyBorder="1" applyAlignment="1" applyProtection="1">
      <alignment horizontal="center" vertical="center"/>
      <protection locked="0"/>
    </xf>
    <xf numFmtId="164" fontId="6" fillId="0" borderId="17" xfId="0" applyNumberFormat="1" applyFont="1" applyBorder="1" applyAlignment="1" applyProtection="1">
      <alignment horizontal="center" vertical="center"/>
      <protection hidden="1"/>
    </xf>
    <xf numFmtId="164" fontId="6" fillId="7" borderId="17" xfId="0" applyNumberFormat="1" applyFont="1" applyFill="1" applyBorder="1" applyAlignment="1" applyProtection="1">
      <alignment horizontal="center" vertical="center"/>
      <protection locked="0"/>
    </xf>
    <xf numFmtId="3" fontId="6" fillId="0" borderId="36" xfId="0" applyNumberFormat="1" applyFont="1" applyBorder="1" applyAlignment="1" applyProtection="1">
      <alignment horizontal="center" vertical="center"/>
      <protection hidden="1"/>
    </xf>
    <xf numFmtId="4" fontId="6" fillId="7" borderId="20" xfId="0" applyNumberFormat="1" applyFont="1" applyFill="1" applyBorder="1" applyAlignment="1" applyProtection="1">
      <alignment horizontal="center" vertical="center"/>
      <protection locked="0"/>
    </xf>
    <xf numFmtId="3" fontId="6" fillId="7" borderId="20" xfId="0" applyNumberFormat="1" applyFont="1" applyFill="1" applyBorder="1" applyAlignment="1" applyProtection="1">
      <alignment horizontal="center" vertical="center"/>
      <protection locked="0"/>
    </xf>
    <xf numFmtId="3" fontId="6" fillId="0" borderId="20" xfId="0" applyNumberFormat="1" applyFont="1" applyBorder="1" applyAlignment="1" applyProtection="1">
      <alignment horizontal="center" vertical="center"/>
      <protection hidden="1"/>
    </xf>
    <xf numFmtId="3" fontId="10" fillId="0" borderId="17" xfId="0" applyNumberFormat="1" applyFont="1" applyBorder="1" applyAlignment="1" applyProtection="1">
      <alignment horizontal="center" vertical="center"/>
      <protection hidden="1"/>
    </xf>
    <xf numFmtId="3" fontId="10" fillId="0" borderId="17" xfId="0" applyNumberFormat="1" applyFont="1" applyBorder="1" applyAlignment="1" applyProtection="1">
      <alignment horizontal="center"/>
      <protection hidden="1"/>
    </xf>
    <xf numFmtId="164" fontId="10" fillId="0" borderId="17" xfId="2" applyNumberFormat="1" applyFont="1" applyBorder="1" applyAlignment="1" applyProtection="1">
      <alignment horizontal="center" vertical="center"/>
      <protection hidden="1"/>
    </xf>
    <xf numFmtId="164" fontId="10" fillId="0" borderId="17" xfId="2" applyNumberFormat="1" applyFont="1" applyBorder="1" applyAlignment="1" applyProtection="1">
      <alignment horizontal="center"/>
      <protection hidden="1"/>
    </xf>
    <xf numFmtId="3" fontId="10" fillId="6" borderId="17" xfId="0" applyNumberFormat="1" applyFont="1" applyFill="1" applyBorder="1" applyAlignment="1" applyProtection="1">
      <alignment horizontal="center" vertical="center"/>
      <protection hidden="1"/>
    </xf>
    <xf numFmtId="0" fontId="43" fillId="0" borderId="0" xfId="0" applyFont="1" applyAlignment="1">
      <alignment horizontal="center" vertical="center"/>
    </xf>
    <xf numFmtId="166" fontId="11" fillId="0" borderId="0" xfId="2" applyNumberFormat="1" applyFont="1" applyBorder="1" applyAlignment="1" applyProtection="1">
      <alignment horizontal="right" vertical="center"/>
      <protection hidden="1"/>
    </xf>
    <xf numFmtId="0" fontId="66" fillId="0" borderId="45" xfId="0" applyFont="1" applyBorder="1" applyAlignment="1" applyProtection="1">
      <alignment horizontal="center" vertical="center"/>
      <protection hidden="1"/>
    </xf>
    <xf numFmtId="0" fontId="67" fillId="0" borderId="45" xfId="0" applyFont="1" applyBorder="1" applyAlignment="1" applyProtection="1">
      <alignment horizontal="right" vertical="center"/>
      <protection hidden="1"/>
    </xf>
    <xf numFmtId="0" fontId="68" fillId="0" borderId="0" xfId="0" applyFont="1"/>
    <xf numFmtId="3" fontId="11" fillId="0" borderId="32" xfId="0" applyNumberFormat="1" applyFont="1" applyBorder="1" applyAlignment="1" applyProtection="1">
      <alignment horizontal="center"/>
      <protection hidden="1"/>
    </xf>
    <xf numFmtId="164" fontId="48" fillId="0" borderId="35" xfId="0" applyNumberFormat="1" applyFont="1" applyBorder="1" applyAlignment="1" applyProtection="1">
      <alignment horizontal="center" vertical="center"/>
      <protection hidden="1"/>
    </xf>
    <xf numFmtId="3" fontId="11" fillId="7" borderId="17" xfId="0" applyNumberFormat="1" applyFont="1" applyFill="1" applyBorder="1" applyAlignment="1" applyProtection="1">
      <alignment horizontal="center" vertical="center"/>
      <protection locked="0" hidden="1"/>
    </xf>
    <xf numFmtId="3" fontId="11" fillId="7" borderId="35" xfId="0" applyNumberFormat="1" applyFont="1" applyFill="1" applyBorder="1" applyAlignment="1" applyProtection="1">
      <alignment horizontal="center" vertical="center"/>
      <protection locked="0" hidden="1"/>
    </xf>
    <xf numFmtId="166" fontId="11" fillId="0" borderId="17" xfId="0" applyNumberFormat="1" applyFont="1" applyBorder="1" applyAlignment="1" applyProtection="1">
      <alignment horizontal="center"/>
      <protection hidden="1"/>
    </xf>
    <xf numFmtId="1" fontId="4" fillId="0" borderId="0" xfId="0" applyNumberFormat="1" applyFont="1" applyAlignment="1" applyProtection="1">
      <alignment vertical="center"/>
      <protection hidden="1"/>
    </xf>
    <xf numFmtId="14" fontId="4" fillId="0" borderId="0" xfId="0" applyNumberFormat="1" applyFont="1" applyAlignment="1" applyProtection="1">
      <alignment horizontal="left" vertical="center"/>
      <protection hidden="1"/>
    </xf>
    <xf numFmtId="3" fontId="0" fillId="0" borderId="17" xfId="0" applyNumberFormat="1" applyBorder="1" applyAlignment="1" applyProtection="1">
      <alignment horizontal="center" vertical="center"/>
      <protection hidden="1"/>
    </xf>
    <xf numFmtId="0" fontId="5" fillId="0" borderId="123" xfId="0" applyFont="1" applyBorder="1" applyAlignment="1" applyProtection="1">
      <alignment horizontal="center" vertical="center"/>
      <protection hidden="1"/>
    </xf>
    <xf numFmtId="0" fontId="49" fillId="0" borderId="125" xfId="0" applyFont="1" applyBorder="1" applyAlignment="1" applyProtection="1">
      <alignment horizontal="center" vertical="center"/>
      <protection hidden="1"/>
    </xf>
    <xf numFmtId="3" fontId="50" fillId="0" borderId="122" xfId="0" applyNumberFormat="1" applyFont="1" applyBorder="1" applyAlignment="1" applyProtection="1">
      <alignment horizontal="center" vertical="center"/>
      <protection hidden="1"/>
    </xf>
    <xf numFmtId="3" fontId="50" fillId="0" borderId="125" xfId="0" applyNumberFormat="1" applyFont="1" applyBorder="1" applyAlignment="1" applyProtection="1">
      <alignment horizontal="center" vertical="center"/>
      <protection hidden="1"/>
    </xf>
    <xf numFmtId="0" fontId="27" fillId="0" borderId="123" xfId="0" applyFont="1" applyBorder="1" applyAlignment="1" applyProtection="1">
      <alignment horizontal="center" vertical="center"/>
      <protection hidden="1"/>
    </xf>
    <xf numFmtId="3" fontId="51" fillId="0" borderId="122" xfId="0" applyNumberFormat="1" applyFont="1" applyBorder="1" applyAlignment="1" applyProtection="1">
      <alignment horizontal="center" vertical="center"/>
      <protection hidden="1"/>
    </xf>
    <xf numFmtId="0" fontId="52" fillId="0" borderId="123" xfId="0" applyFont="1" applyBorder="1" applyAlignment="1" applyProtection="1">
      <alignment horizontal="center" vertical="center"/>
      <protection hidden="1"/>
    </xf>
    <xf numFmtId="3" fontId="39" fillId="0" borderId="122" xfId="0" applyNumberFormat="1" applyFont="1" applyBorder="1" applyAlignment="1" applyProtection="1">
      <alignment horizontal="center" vertical="center"/>
      <protection hidden="1"/>
    </xf>
    <xf numFmtId="3" fontId="39" fillId="5" borderId="122" xfId="0" applyNumberFormat="1" applyFont="1" applyFill="1" applyBorder="1" applyAlignment="1" applyProtection="1">
      <alignment horizontal="center" vertical="center"/>
      <protection hidden="1"/>
    </xf>
    <xf numFmtId="0" fontId="3" fillId="0" borderId="0" xfId="0" applyFont="1" applyAlignment="1" applyProtection="1">
      <alignment horizontal="left" vertical="center"/>
      <protection hidden="1"/>
    </xf>
    <xf numFmtId="0" fontId="8" fillId="2" borderId="0" xfId="0" applyFont="1" applyFill="1" applyAlignment="1" applyProtection="1">
      <alignment horizontal="left" vertical="center"/>
      <protection hidden="1"/>
    </xf>
    <xf numFmtId="0" fontId="24" fillId="2" borderId="0" xfId="0" applyFont="1" applyFill="1" applyAlignment="1" applyProtection="1">
      <alignment horizontal="center"/>
      <protection hidden="1"/>
    </xf>
    <xf numFmtId="0" fontId="27" fillId="0" borderId="17" xfId="0" applyFont="1" applyBorder="1" applyAlignment="1" applyProtection="1">
      <alignment horizontal="center" vertical="center"/>
      <protection hidden="1"/>
    </xf>
    <xf numFmtId="0" fontId="27" fillId="0" borderId="20" xfId="0" applyFont="1" applyBorder="1" applyAlignment="1" applyProtection="1">
      <alignment horizontal="center" vertical="center"/>
      <protection hidden="1"/>
    </xf>
    <xf numFmtId="0" fontId="27" fillId="0" borderId="81" xfId="0" applyFont="1" applyBorder="1" applyAlignment="1" applyProtection="1">
      <alignment horizontal="center" vertical="center"/>
      <protection hidden="1"/>
    </xf>
    <xf numFmtId="0" fontId="4" fillId="2" borderId="0" xfId="0" applyFont="1" applyFill="1" applyAlignment="1" applyProtection="1">
      <alignment vertical="center"/>
      <protection hidden="1"/>
    </xf>
    <xf numFmtId="0" fontId="11" fillId="0" borderId="20" xfId="0" applyFont="1" applyBorder="1" applyAlignment="1" applyProtection="1">
      <alignment horizontal="center" vertical="center"/>
      <protection hidden="1"/>
    </xf>
    <xf numFmtId="0" fontId="11" fillId="0" borderId="100" xfId="0" applyFont="1" applyBorder="1" applyAlignment="1" applyProtection="1">
      <alignment horizontal="center" vertical="center"/>
      <protection hidden="1"/>
    </xf>
    <xf numFmtId="0" fontId="6" fillId="2" borderId="0" xfId="0" applyFont="1" applyFill="1" applyProtection="1">
      <protection hidden="1"/>
    </xf>
    <xf numFmtId="0" fontId="7" fillId="0" borderId="0" xfId="0" applyFont="1" applyProtection="1">
      <protection hidden="1"/>
    </xf>
    <xf numFmtId="0" fontId="7" fillId="0" borderId="0" xfId="0" applyFont="1" applyAlignment="1" applyProtection="1">
      <alignment horizontal="left"/>
      <protection hidden="1"/>
    </xf>
    <xf numFmtId="3" fontId="4" fillId="5" borderId="61" xfId="0" applyNumberFormat="1" applyFont="1" applyFill="1" applyBorder="1" applyAlignment="1" applyProtection="1">
      <alignment vertical="center"/>
      <protection hidden="1"/>
    </xf>
    <xf numFmtId="167" fontId="4" fillId="0" borderId="18" xfId="0" applyNumberFormat="1" applyFont="1" applyBorder="1" applyAlignment="1" applyProtection="1">
      <alignment vertical="center"/>
      <protection hidden="1"/>
    </xf>
    <xf numFmtId="167" fontId="4" fillId="0" borderId="25" xfId="0" applyNumberFormat="1" applyFont="1" applyBorder="1" applyAlignment="1" applyProtection="1">
      <alignment horizontal="center" vertical="center"/>
      <protection hidden="1"/>
    </xf>
    <xf numFmtId="14" fontId="6" fillId="0" borderId="0" xfId="0" applyNumberFormat="1" applyFont="1" applyAlignment="1" applyProtection="1">
      <alignment horizontal="left" vertical="center"/>
      <protection hidden="1"/>
    </xf>
    <xf numFmtId="14" fontId="3" fillId="0" borderId="0" xfId="0" applyNumberFormat="1" applyFont="1" applyAlignment="1">
      <alignment horizontal="left" vertical="center"/>
    </xf>
    <xf numFmtId="0" fontId="5" fillId="0" borderId="0" xfId="0" applyFont="1" applyAlignment="1" applyProtection="1">
      <alignment horizontal="center" vertical="top"/>
      <protection hidden="1"/>
    </xf>
    <xf numFmtId="0" fontId="6"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167" fontId="6" fillId="0" borderId="128" xfId="0" applyNumberFormat="1" applyFont="1" applyBorder="1" applyAlignment="1" applyProtection="1">
      <alignment horizontal="center" vertical="center"/>
      <protection hidden="1"/>
    </xf>
    <xf numFmtId="167" fontId="6" fillId="5" borderId="128" xfId="0" applyNumberFormat="1" applyFont="1" applyFill="1" applyBorder="1" applyAlignment="1" applyProtection="1">
      <alignment horizontal="center" vertical="center"/>
      <protection hidden="1"/>
    </xf>
    <xf numFmtId="0" fontId="3" fillId="0" borderId="130" xfId="0" applyFont="1" applyBorder="1" applyAlignment="1" applyProtection="1">
      <alignment vertical="center"/>
      <protection hidden="1"/>
    </xf>
    <xf numFmtId="167" fontId="3" fillId="0" borderId="128" xfId="0" applyNumberFormat="1"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167" fontId="3" fillId="0" borderId="128" xfId="0" applyNumberFormat="1" applyFont="1" applyBorder="1" applyAlignment="1" applyProtection="1">
      <alignment horizontal="center"/>
      <protection hidden="1"/>
    </xf>
    <xf numFmtId="167" fontId="6" fillId="0" borderId="128" xfId="0" applyNumberFormat="1" applyFont="1" applyBorder="1" applyAlignment="1" applyProtection="1">
      <alignment horizontal="center"/>
      <protection hidden="1"/>
    </xf>
    <xf numFmtId="0" fontId="3" fillId="0" borderId="126" xfId="0" applyFont="1" applyBorder="1" applyAlignment="1" applyProtection="1">
      <alignment vertical="center"/>
      <protection hidden="1"/>
    </xf>
    <xf numFmtId="0" fontId="3" fillId="0" borderId="127" xfId="0" applyFont="1" applyBorder="1" applyAlignment="1" applyProtection="1">
      <alignment vertical="center"/>
      <protection hidden="1"/>
    </xf>
    <xf numFmtId="0" fontId="6" fillId="5" borderId="128" xfId="0" applyFont="1" applyFill="1" applyBorder="1" applyAlignment="1" applyProtection="1">
      <alignment horizontal="center"/>
      <protection hidden="1"/>
    </xf>
    <xf numFmtId="0" fontId="6" fillId="5" borderId="128" xfId="0" applyFont="1" applyFill="1" applyBorder="1" applyAlignment="1" applyProtection="1">
      <alignment horizontal="center" vertical="center"/>
      <protection hidden="1"/>
    </xf>
    <xf numFmtId="167" fontId="66" fillId="0" borderId="128" xfId="0" applyNumberFormat="1" applyFont="1" applyBorder="1" applyAlignment="1" applyProtection="1">
      <alignment horizontal="center" vertical="center"/>
      <protection hidden="1"/>
    </xf>
    <xf numFmtId="167" fontId="6" fillId="5" borderId="128" xfId="0" applyNumberFormat="1" applyFont="1" applyFill="1" applyBorder="1" applyAlignment="1" applyProtection="1">
      <alignment horizontal="center"/>
      <protection hidden="1"/>
    </xf>
    <xf numFmtId="0" fontId="6" fillId="0" borderId="126" xfId="0" applyFont="1" applyBorder="1" applyAlignment="1" applyProtection="1">
      <alignment horizontal="left" vertical="center"/>
      <protection hidden="1"/>
    </xf>
    <xf numFmtId="0" fontId="3" fillId="0" borderId="127" xfId="0" applyFont="1" applyBorder="1" applyAlignment="1" applyProtection="1">
      <alignment horizontal="left" vertical="center"/>
      <protection hidden="1"/>
    </xf>
    <xf numFmtId="0" fontId="3" fillId="0" borderId="127" xfId="0" applyFont="1" applyBorder="1" applyAlignment="1" applyProtection="1">
      <alignment horizontal="right" vertical="center"/>
      <protection hidden="1"/>
    </xf>
    <xf numFmtId="0" fontId="6" fillId="0" borderId="126" xfId="0" applyFont="1" applyBorder="1" applyAlignment="1">
      <alignment vertical="center"/>
    </xf>
    <xf numFmtId="0" fontId="0" fillId="0" borderId="126" xfId="0" applyBorder="1" applyAlignment="1">
      <alignment vertical="center"/>
    </xf>
    <xf numFmtId="0" fontId="6" fillId="0" borderId="127" xfId="0" applyFont="1" applyBorder="1" applyAlignment="1">
      <alignment vertical="center"/>
    </xf>
    <xf numFmtId="0" fontId="0" fillId="0" borderId="127" xfId="0" applyBorder="1" applyAlignment="1">
      <alignment vertical="center"/>
    </xf>
    <xf numFmtId="0" fontId="2" fillId="0" borderId="0" xfId="0" applyFont="1" applyAlignment="1" applyProtection="1">
      <alignment horizontal="center"/>
      <protection hidden="1"/>
    </xf>
    <xf numFmtId="4" fontId="3" fillId="0" borderId="128" xfId="0" applyNumberFormat="1" applyFont="1" applyBorder="1" applyAlignment="1" applyProtection="1">
      <alignment horizontal="center"/>
      <protection hidden="1"/>
    </xf>
    <xf numFmtId="0" fontId="3" fillId="0" borderId="126" xfId="0" applyFont="1" applyBorder="1" applyAlignment="1" applyProtection="1">
      <alignment horizontal="left"/>
      <protection hidden="1"/>
    </xf>
    <xf numFmtId="0" fontId="3" fillId="0" borderId="129" xfId="0" applyFont="1" applyBorder="1" applyAlignment="1" applyProtection="1">
      <alignment horizontal="left"/>
      <protection hidden="1"/>
    </xf>
    <xf numFmtId="0" fontId="3" fillId="0" borderId="127" xfId="0" applyFont="1" applyBorder="1" applyAlignment="1" applyProtection="1">
      <alignment horizontal="left"/>
      <protection hidden="1"/>
    </xf>
    <xf numFmtId="0" fontId="3" fillId="0" borderId="130" xfId="0" applyFont="1" applyBorder="1" applyAlignment="1" applyProtection="1">
      <alignment horizontal="left"/>
      <protection hidden="1"/>
    </xf>
    <xf numFmtId="0" fontId="6" fillId="0" borderId="129" xfId="0" applyFont="1" applyBorder="1" applyAlignment="1" applyProtection="1">
      <alignment horizontal="left"/>
      <protection hidden="1"/>
    </xf>
    <xf numFmtId="3" fontId="3" fillId="6" borderId="0" xfId="0" applyNumberFormat="1" applyFont="1" applyFill="1" applyAlignment="1" applyProtection="1">
      <alignment horizontal="center" vertical="center"/>
      <protection hidden="1"/>
    </xf>
    <xf numFmtId="1" fontId="6" fillId="0" borderId="128" xfId="0" applyNumberFormat="1" applyFont="1" applyBorder="1" applyAlignment="1" applyProtection="1">
      <alignment horizontal="center" vertical="center"/>
      <protection hidden="1"/>
    </xf>
    <xf numFmtId="0" fontId="6" fillId="0" borderId="128" xfId="0" applyFont="1" applyBorder="1" applyAlignment="1" applyProtection="1">
      <alignment horizontal="center" vertical="center"/>
      <protection hidden="1"/>
    </xf>
    <xf numFmtId="167" fontId="69" fillId="0" borderId="0" xfId="0" applyNumberFormat="1" applyFont="1" applyAlignment="1" applyProtection="1">
      <alignment horizontal="right" vertical="center"/>
      <protection hidden="1"/>
    </xf>
    <xf numFmtId="0" fontId="6" fillId="0" borderId="127" xfId="0" applyFont="1" applyBorder="1" applyAlignment="1" applyProtection="1">
      <alignment horizontal="left" vertical="center"/>
      <protection hidden="1"/>
    </xf>
    <xf numFmtId="0" fontId="5" fillId="0" borderId="0" xfId="0" applyFont="1" applyAlignment="1" applyProtection="1">
      <alignment vertical="center" wrapText="1"/>
      <protection hidden="1"/>
    </xf>
    <xf numFmtId="0" fontId="5" fillId="0" borderId="0" xfId="0" applyFont="1" applyAlignment="1" applyProtection="1">
      <alignment horizontal="left" vertical="center" wrapText="1"/>
      <protection hidden="1"/>
    </xf>
    <xf numFmtId="167" fontId="6" fillId="0" borderId="133" xfId="0" applyNumberFormat="1" applyFont="1" applyBorder="1" applyAlignment="1" applyProtection="1">
      <alignment horizontal="center"/>
      <protection hidden="1"/>
    </xf>
    <xf numFmtId="167" fontId="6" fillId="0" borderId="133" xfId="0" applyNumberFormat="1" applyFont="1" applyBorder="1" applyAlignment="1" applyProtection="1">
      <alignment horizontal="center" vertical="center"/>
      <protection hidden="1"/>
    </xf>
    <xf numFmtId="167" fontId="3" fillId="0" borderId="134" xfId="0" applyNumberFormat="1" applyFont="1" applyBorder="1" applyAlignment="1" applyProtection="1">
      <alignment horizontal="center"/>
      <protection hidden="1"/>
    </xf>
    <xf numFmtId="167" fontId="3" fillId="0" borderId="134" xfId="0" applyNumberFormat="1" applyFont="1" applyBorder="1" applyAlignment="1" applyProtection="1">
      <alignment horizontal="center" vertical="center"/>
      <protection hidden="1"/>
    </xf>
    <xf numFmtId="3" fontId="5" fillId="0" borderId="50" xfId="0" applyNumberFormat="1" applyFont="1" applyBorder="1" applyAlignment="1">
      <alignment horizontal="center" vertical="center"/>
    </xf>
    <xf numFmtId="167" fontId="5" fillId="0" borderId="51" xfId="0" applyNumberFormat="1" applyFont="1" applyBorder="1" applyAlignment="1">
      <alignment horizontal="center" vertical="center"/>
    </xf>
    <xf numFmtId="3" fontId="11" fillId="2" borderId="38" xfId="0" applyNumberFormat="1" applyFont="1" applyFill="1" applyBorder="1" applyAlignment="1">
      <alignment horizontal="center" vertical="center"/>
    </xf>
    <xf numFmtId="167" fontId="11" fillId="0" borderId="35" xfId="0" applyNumberFormat="1" applyFont="1" applyBorder="1" applyAlignment="1">
      <alignment horizontal="center" vertical="center"/>
    </xf>
    <xf numFmtId="167" fontId="6" fillId="3" borderId="35" xfId="0" applyNumberFormat="1" applyFont="1" applyFill="1" applyBorder="1" applyAlignment="1">
      <alignment horizontal="center" vertical="center"/>
    </xf>
    <xf numFmtId="167" fontId="6" fillId="7" borderId="38" xfId="0" applyNumberFormat="1" applyFont="1" applyFill="1" applyBorder="1" applyAlignment="1" applyProtection="1">
      <alignment horizontal="center" vertical="center"/>
      <protection locked="0"/>
    </xf>
    <xf numFmtId="3" fontId="11" fillId="0" borderId="38" xfId="0" applyNumberFormat="1" applyFont="1" applyBorder="1" applyAlignment="1">
      <alignment horizontal="center" vertical="center"/>
    </xf>
    <xf numFmtId="3" fontId="11" fillId="7" borderId="52" xfId="0" applyNumberFormat="1" applyFont="1" applyFill="1" applyBorder="1" applyAlignment="1" applyProtection="1">
      <alignment horizontal="center" vertical="center"/>
      <protection locked="0"/>
    </xf>
    <xf numFmtId="167" fontId="11" fillId="3" borderId="33" xfId="0" applyNumberFormat="1" applyFont="1" applyFill="1" applyBorder="1" applyAlignment="1">
      <alignment horizontal="center" vertical="center"/>
    </xf>
    <xf numFmtId="167" fontId="6" fillId="3" borderId="33" xfId="0" applyNumberFormat="1" applyFont="1" applyFill="1" applyBorder="1" applyAlignment="1">
      <alignment horizontal="center" vertical="center"/>
    </xf>
    <xf numFmtId="3" fontId="5" fillId="0" borderId="48" xfId="0" applyNumberFormat="1" applyFont="1" applyBorder="1" applyAlignment="1" applyProtection="1">
      <alignment horizontal="center" vertical="center"/>
      <protection hidden="1"/>
    </xf>
    <xf numFmtId="167" fontId="5" fillId="0" borderId="51" xfId="0" applyNumberFormat="1" applyFont="1" applyBorder="1" applyAlignment="1" applyProtection="1">
      <alignment horizontal="center" vertical="center"/>
      <protection hidden="1"/>
    </xf>
    <xf numFmtId="167" fontId="11" fillId="3" borderId="35" xfId="0" applyNumberFormat="1" applyFont="1" applyFill="1" applyBorder="1" applyAlignment="1">
      <alignment horizontal="center" vertical="center"/>
    </xf>
    <xf numFmtId="10" fontId="6" fillId="7" borderId="106" xfId="0" applyNumberFormat="1" applyFont="1" applyFill="1" applyBorder="1" applyAlignment="1" applyProtection="1">
      <alignment horizontal="center" vertical="center"/>
      <protection locked="0"/>
    </xf>
    <xf numFmtId="164" fontId="6" fillId="3" borderId="35" xfId="0" applyNumberFormat="1" applyFont="1" applyFill="1" applyBorder="1" applyAlignment="1">
      <alignment horizontal="center" vertical="center"/>
    </xf>
    <xf numFmtId="10" fontId="6" fillId="7" borderId="38" xfId="0" applyNumberFormat="1" applyFont="1" applyFill="1" applyBorder="1" applyAlignment="1" applyProtection="1">
      <alignment horizontal="center" vertical="center"/>
      <protection locked="0"/>
    </xf>
    <xf numFmtId="164" fontId="6" fillId="3" borderId="17" xfId="0" applyNumberFormat="1" applyFont="1" applyFill="1" applyBorder="1" applyAlignment="1">
      <alignment horizontal="center" vertical="center"/>
    </xf>
    <xf numFmtId="3" fontId="6" fillId="0" borderId="38" xfId="0" applyNumberFormat="1" applyFont="1" applyBorder="1" applyAlignment="1" applyProtection="1">
      <alignment horizontal="center" vertical="center"/>
      <protection hidden="1"/>
    </xf>
    <xf numFmtId="167" fontId="6" fillId="3" borderId="35" xfId="0" applyNumberFormat="1" applyFont="1" applyFill="1" applyBorder="1" applyAlignment="1" applyProtection="1">
      <alignment horizontal="center" vertical="center"/>
      <protection hidden="1"/>
    </xf>
    <xf numFmtId="167" fontId="6" fillId="3" borderId="17" xfId="0" applyNumberFormat="1" applyFont="1" applyFill="1" applyBorder="1" applyAlignment="1" applyProtection="1">
      <alignment horizontal="center" vertical="center"/>
      <protection hidden="1"/>
    </xf>
    <xf numFmtId="3" fontId="55" fillId="7" borderId="38" xfId="0" applyNumberFormat="1" applyFont="1" applyFill="1" applyBorder="1" applyAlignment="1" applyProtection="1">
      <alignment horizontal="center" vertical="center"/>
      <protection locked="0"/>
    </xf>
    <xf numFmtId="167" fontId="6" fillId="3" borderId="17" xfId="0" applyNumberFormat="1" applyFont="1" applyFill="1" applyBorder="1" applyAlignment="1">
      <alignment horizontal="center" vertical="center"/>
    </xf>
    <xf numFmtId="3" fontId="11" fillId="0" borderId="38" xfId="0" applyNumberFormat="1" applyFont="1" applyBorder="1" applyAlignment="1" applyProtection="1">
      <alignment horizontal="center" vertical="center"/>
      <protection hidden="1"/>
    </xf>
    <xf numFmtId="167" fontId="11" fillId="3" borderId="35" xfId="0" applyNumberFormat="1" applyFont="1" applyFill="1" applyBorder="1" applyAlignment="1" applyProtection="1">
      <alignment horizontal="center" vertical="center"/>
      <protection hidden="1"/>
    </xf>
    <xf numFmtId="167" fontId="11" fillId="3" borderId="17" xfId="0" applyNumberFormat="1" applyFont="1" applyFill="1" applyBorder="1" applyAlignment="1" applyProtection="1">
      <alignment horizontal="center" vertical="center"/>
      <protection hidden="1"/>
    </xf>
    <xf numFmtId="167" fontId="11" fillId="3" borderId="20" xfId="0" applyNumberFormat="1" applyFont="1" applyFill="1" applyBorder="1" applyAlignment="1" applyProtection="1">
      <alignment horizontal="center" vertical="center"/>
      <protection hidden="1"/>
    </xf>
    <xf numFmtId="167" fontId="11" fillId="3" borderId="20" xfId="0" applyNumberFormat="1" applyFont="1" applyFill="1" applyBorder="1" applyAlignment="1">
      <alignment horizontal="center" vertical="center"/>
    </xf>
    <xf numFmtId="3" fontId="11" fillId="7" borderId="38" xfId="0" applyNumberFormat="1" applyFont="1" applyFill="1" applyBorder="1" applyAlignment="1" applyProtection="1">
      <alignment horizontal="center" vertical="center"/>
      <protection locked="0"/>
    </xf>
    <xf numFmtId="3" fontId="6" fillId="0" borderId="39" xfId="0" applyNumberFormat="1" applyFont="1" applyBorder="1" applyAlignment="1">
      <alignment horizontal="center" vertical="center"/>
    </xf>
    <xf numFmtId="167" fontId="6" fillId="0" borderId="37" xfId="0" applyNumberFormat="1" applyFont="1" applyBorder="1" applyAlignment="1">
      <alignment horizontal="center" vertical="center"/>
    </xf>
    <xf numFmtId="3" fontId="11" fillId="0" borderId="50" xfId="0" applyNumberFormat="1" applyFont="1" applyBorder="1" applyAlignment="1">
      <alignment horizontal="center" vertical="center"/>
    </xf>
    <xf numFmtId="167" fontId="11" fillId="0" borderId="51" xfId="0" applyNumberFormat="1" applyFont="1" applyBorder="1" applyAlignment="1" applyProtection="1">
      <alignment horizontal="center" vertical="center"/>
      <protection hidden="1"/>
    </xf>
    <xf numFmtId="167" fontId="6" fillId="3" borderId="22" xfId="0" applyNumberFormat="1" applyFont="1" applyFill="1" applyBorder="1" applyAlignment="1" applyProtection="1">
      <alignment horizontal="center" vertical="center"/>
      <protection hidden="1"/>
    </xf>
    <xf numFmtId="3" fontId="6" fillId="7" borderId="21" xfId="0" applyNumberFormat="1" applyFont="1" applyFill="1" applyBorder="1" applyAlignment="1" applyProtection="1">
      <alignment horizontal="center" vertical="center"/>
      <protection locked="0"/>
    </xf>
    <xf numFmtId="167" fontId="6" fillId="3" borderId="37" xfId="0" applyNumberFormat="1" applyFont="1" applyFill="1" applyBorder="1" applyAlignment="1" applyProtection="1">
      <alignment horizontal="center" vertical="center"/>
      <protection hidden="1"/>
    </xf>
    <xf numFmtId="167" fontId="11" fillId="0" borderId="69" xfId="0" applyNumberFormat="1" applyFont="1" applyBorder="1" applyAlignment="1" applyProtection="1">
      <alignment horizontal="center" vertical="center"/>
      <protection hidden="1"/>
    </xf>
    <xf numFmtId="3" fontId="11" fillId="7" borderId="3" xfId="0" applyNumberFormat="1" applyFont="1" applyFill="1" applyBorder="1" applyAlignment="1" applyProtection="1">
      <alignment horizontal="center" vertical="center"/>
      <protection locked="0"/>
    </xf>
    <xf numFmtId="167" fontId="11" fillId="0" borderId="30" xfId="0" applyNumberFormat="1" applyFont="1" applyBorder="1" applyAlignment="1" applyProtection="1">
      <alignment horizontal="center" vertical="center"/>
      <protection hidden="1"/>
    </xf>
    <xf numFmtId="3" fontId="11" fillId="7" borderId="48" xfId="0" applyNumberFormat="1" applyFont="1" applyFill="1" applyBorder="1" applyAlignment="1" applyProtection="1">
      <alignment horizontal="center" vertical="center"/>
      <protection locked="0"/>
    </xf>
    <xf numFmtId="167" fontId="11" fillId="0" borderId="5" xfId="0" applyNumberFormat="1" applyFont="1" applyBorder="1" applyAlignment="1" applyProtection="1">
      <alignment horizontal="center" vertical="center"/>
      <protection hidden="1"/>
    </xf>
    <xf numFmtId="3" fontId="11" fillId="0" borderId="53" xfId="0" applyNumberFormat="1" applyFont="1" applyBorder="1" applyAlignment="1">
      <alignment horizontal="center" vertical="center"/>
    </xf>
    <xf numFmtId="167" fontId="11" fillId="0" borderId="33" xfId="0" applyNumberFormat="1" applyFont="1" applyBorder="1" applyAlignment="1" applyProtection="1">
      <alignment horizontal="center" vertical="center"/>
      <protection hidden="1"/>
    </xf>
    <xf numFmtId="167" fontId="6" fillId="3" borderId="57" xfId="0" applyNumberFormat="1" applyFont="1" applyFill="1" applyBorder="1" applyAlignment="1" applyProtection="1">
      <alignment horizontal="center" vertical="center"/>
      <protection hidden="1"/>
    </xf>
    <xf numFmtId="3" fontId="11" fillId="0" borderId="50" xfId="0" applyNumberFormat="1" applyFont="1" applyBorder="1" applyAlignment="1" applyProtection="1">
      <alignment horizontal="center" vertical="center"/>
      <protection hidden="1"/>
    </xf>
    <xf numFmtId="3" fontId="5" fillId="0" borderId="61" xfId="0" applyNumberFormat="1" applyFont="1" applyBorder="1" applyAlignment="1" applyProtection="1">
      <alignment horizontal="center" vertical="center"/>
      <protection hidden="1"/>
    </xf>
    <xf numFmtId="3" fontId="10" fillId="7" borderId="17" xfId="0" applyNumberFormat="1" applyFont="1" applyFill="1" applyBorder="1" applyAlignment="1" applyProtection="1">
      <alignment horizontal="center" vertical="center"/>
      <protection locked="0"/>
    </xf>
    <xf numFmtId="3" fontId="10" fillId="0" borderId="20" xfId="0" applyNumberFormat="1" applyFont="1" applyBorder="1" applyAlignment="1" applyProtection="1">
      <alignment horizontal="center" vertical="center"/>
      <protection hidden="1"/>
    </xf>
    <xf numFmtId="3" fontId="11" fillId="0" borderId="20" xfId="0" applyNumberFormat="1" applyFont="1" applyBorder="1" applyAlignment="1" applyProtection="1">
      <alignment horizontal="center" vertical="center"/>
      <protection hidden="1"/>
    </xf>
    <xf numFmtId="3" fontId="11" fillId="7" borderId="20" xfId="0" applyNumberFormat="1" applyFont="1" applyFill="1" applyBorder="1" applyAlignment="1" applyProtection="1">
      <alignment horizontal="center" vertical="center"/>
      <protection locked="0"/>
    </xf>
    <xf numFmtId="3" fontId="10" fillId="0" borderId="60" xfId="0" applyNumberFormat="1" applyFont="1" applyBorder="1" applyAlignment="1" applyProtection="1">
      <alignment horizontal="center" vertical="center"/>
      <protection hidden="1"/>
    </xf>
    <xf numFmtId="3" fontId="10" fillId="0" borderId="25" xfId="0" applyNumberFormat="1" applyFont="1" applyBorder="1" applyAlignment="1" applyProtection="1">
      <alignment horizontal="center" vertical="center"/>
      <protection hidden="1"/>
    </xf>
    <xf numFmtId="3" fontId="10" fillId="0" borderId="57" xfId="0" applyNumberFormat="1" applyFont="1" applyBorder="1" applyAlignment="1" applyProtection="1">
      <alignment horizontal="center" vertical="center"/>
      <protection hidden="1"/>
    </xf>
    <xf numFmtId="3" fontId="10" fillId="7" borderId="32" xfId="0" applyNumberFormat="1" applyFont="1" applyFill="1" applyBorder="1" applyAlignment="1" applyProtection="1">
      <alignment horizontal="center" vertical="center"/>
      <protection locked="0"/>
    </xf>
    <xf numFmtId="3" fontId="11" fillId="5" borderId="19" xfId="0" applyNumberFormat="1" applyFont="1" applyFill="1" applyBorder="1" applyAlignment="1" applyProtection="1">
      <alignment horizontal="center" vertical="center"/>
      <protection hidden="1"/>
    </xf>
    <xf numFmtId="3" fontId="10" fillId="7" borderId="60" xfId="0" applyNumberFormat="1" applyFont="1" applyFill="1" applyBorder="1" applyAlignment="1" applyProtection="1">
      <alignment horizontal="center" vertical="center"/>
      <protection locked="0"/>
    </xf>
    <xf numFmtId="3" fontId="10" fillId="5" borderId="17" xfId="0" applyNumberFormat="1" applyFont="1" applyFill="1" applyBorder="1" applyAlignment="1">
      <alignment horizontal="center" vertical="center"/>
    </xf>
    <xf numFmtId="3" fontId="10" fillId="5" borderId="36" xfId="0" applyNumberFormat="1" applyFont="1" applyFill="1" applyBorder="1" applyAlignment="1">
      <alignment horizontal="center" vertical="center"/>
    </xf>
    <xf numFmtId="3" fontId="11" fillId="7" borderId="36" xfId="0" applyNumberFormat="1" applyFont="1" applyFill="1" applyBorder="1" applyAlignment="1" applyProtection="1">
      <alignment horizontal="center" vertical="center"/>
      <protection locked="0"/>
    </xf>
    <xf numFmtId="3" fontId="11" fillId="7" borderId="37" xfId="0" applyNumberFormat="1" applyFont="1" applyFill="1" applyBorder="1" applyAlignment="1" applyProtection="1">
      <alignment horizontal="center" vertical="center"/>
      <protection locked="0"/>
    </xf>
    <xf numFmtId="3" fontId="5" fillId="0" borderId="49" xfId="0" applyNumberFormat="1" applyFont="1" applyBorder="1" applyAlignment="1" applyProtection="1">
      <alignment horizontal="center" vertical="center"/>
      <protection hidden="1"/>
    </xf>
    <xf numFmtId="3" fontId="5" fillId="0" borderId="51" xfId="0" applyNumberFormat="1" applyFont="1" applyBorder="1" applyAlignment="1" applyProtection="1">
      <alignment horizontal="center" vertical="center"/>
      <protection hidden="1"/>
    </xf>
    <xf numFmtId="167" fontId="56" fillId="0" borderId="17" xfId="0" applyNumberFormat="1" applyFont="1" applyBorder="1" applyAlignment="1" applyProtection="1">
      <alignment horizontal="center" vertical="center"/>
      <protection hidden="1"/>
    </xf>
    <xf numFmtId="167" fontId="56" fillId="0" borderId="35" xfId="0" applyNumberFormat="1" applyFont="1" applyBorder="1" applyAlignment="1" applyProtection="1">
      <alignment horizontal="center" vertical="center"/>
      <protection hidden="1"/>
    </xf>
    <xf numFmtId="164" fontId="56" fillId="0" borderId="17" xfId="0" applyNumberFormat="1" applyFont="1" applyBorder="1" applyAlignment="1" applyProtection="1">
      <alignment horizontal="center" vertical="center"/>
      <protection hidden="1"/>
    </xf>
    <xf numFmtId="164" fontId="56" fillId="0" borderId="35" xfId="0" applyNumberFormat="1" applyFont="1" applyBorder="1" applyAlignment="1" applyProtection="1">
      <alignment horizontal="center" vertical="center"/>
      <protection hidden="1"/>
    </xf>
    <xf numFmtId="3" fontId="10" fillId="7" borderId="35" xfId="0" applyNumberFormat="1" applyFont="1" applyFill="1" applyBorder="1" applyAlignment="1" applyProtection="1">
      <alignment horizontal="center" vertical="center"/>
      <protection locked="0"/>
    </xf>
    <xf numFmtId="3" fontId="10" fillId="7" borderId="36" xfId="0" applyNumberFormat="1" applyFont="1" applyFill="1" applyBorder="1" applyAlignment="1" applyProtection="1">
      <alignment horizontal="center" vertical="center"/>
      <protection locked="0"/>
    </xf>
    <xf numFmtId="3" fontId="10" fillId="0" borderId="56" xfId="0" applyNumberFormat="1" applyFont="1" applyBorder="1" applyAlignment="1" applyProtection="1">
      <alignment horizontal="center" vertical="center"/>
      <protection hidden="1"/>
    </xf>
    <xf numFmtId="3" fontId="5" fillId="0" borderId="32" xfId="0" applyNumberFormat="1" applyFont="1" applyBorder="1" applyAlignment="1" applyProtection="1">
      <alignment horizontal="center" vertical="center"/>
      <protection hidden="1"/>
    </xf>
    <xf numFmtId="3" fontId="5" fillId="0" borderId="113" xfId="0" applyNumberFormat="1" applyFont="1" applyBorder="1" applyAlignment="1" applyProtection="1">
      <alignment horizontal="center" vertical="center"/>
      <protection hidden="1"/>
    </xf>
    <xf numFmtId="3" fontId="11" fillId="0" borderId="44" xfId="0" applyNumberFormat="1" applyFont="1" applyBorder="1" applyAlignment="1" applyProtection="1">
      <alignment horizontal="center" vertical="center"/>
      <protection hidden="1"/>
    </xf>
    <xf numFmtId="3" fontId="11" fillId="0" borderId="67" xfId="0" applyNumberFormat="1" applyFont="1" applyBorder="1" applyAlignment="1" applyProtection="1">
      <alignment horizontal="center" vertical="center"/>
      <protection hidden="1"/>
    </xf>
    <xf numFmtId="3" fontId="11" fillId="0" borderId="23" xfId="0" applyNumberFormat="1" applyFont="1" applyBorder="1" applyAlignment="1" applyProtection="1">
      <alignment horizontal="center" vertical="center"/>
      <protection hidden="1"/>
    </xf>
    <xf numFmtId="3" fontId="11" fillId="9" borderId="32" xfId="0" applyNumberFormat="1" applyFont="1" applyFill="1" applyBorder="1" applyAlignment="1" applyProtection="1">
      <alignment horizontal="center" vertical="center"/>
      <protection hidden="1"/>
    </xf>
    <xf numFmtId="3" fontId="11" fillId="9" borderId="35" xfId="0" applyNumberFormat="1" applyFont="1" applyFill="1" applyBorder="1" applyAlignment="1" applyProtection="1">
      <alignment horizontal="center" vertical="center"/>
      <protection hidden="1"/>
    </xf>
    <xf numFmtId="3" fontId="5" fillId="0" borderId="20" xfId="0" applyNumberFormat="1" applyFont="1" applyBorder="1" applyAlignment="1" applyProtection="1">
      <alignment horizontal="center" vertical="center"/>
      <protection hidden="1"/>
    </xf>
    <xf numFmtId="164" fontId="14" fillId="0" borderId="17" xfId="0" applyNumberFormat="1" applyFont="1" applyBorder="1" applyAlignment="1" applyProtection="1">
      <alignment horizontal="center" vertical="center"/>
      <protection hidden="1"/>
    </xf>
    <xf numFmtId="3" fontId="5" fillId="7" borderId="17" xfId="0" applyNumberFormat="1" applyFont="1" applyFill="1" applyBorder="1" applyAlignment="1" applyProtection="1">
      <alignment horizontal="center" vertical="center"/>
      <protection locked="0"/>
    </xf>
    <xf numFmtId="3" fontId="5" fillId="7" borderId="20" xfId="0" applyNumberFormat="1" applyFont="1" applyFill="1" applyBorder="1" applyAlignment="1" applyProtection="1">
      <alignment horizontal="center" vertical="center"/>
      <protection locked="0"/>
    </xf>
    <xf numFmtId="3" fontId="5" fillId="7" borderId="35" xfId="0" applyNumberFormat="1" applyFont="1" applyFill="1" applyBorder="1" applyAlignment="1" applyProtection="1">
      <alignment horizontal="center" vertical="center"/>
      <protection locked="0"/>
    </xf>
    <xf numFmtId="3" fontId="11" fillId="0" borderId="17" xfId="0" applyNumberFormat="1" applyFont="1" applyBorder="1" applyAlignment="1">
      <alignment horizontal="center" vertical="center"/>
    </xf>
    <xf numFmtId="164" fontId="56" fillId="0" borderId="17" xfId="2" applyNumberFormat="1" applyFont="1" applyBorder="1" applyAlignment="1" applyProtection="1">
      <alignment horizontal="center" vertical="center"/>
      <protection hidden="1"/>
    </xf>
    <xf numFmtId="3" fontId="11" fillId="8" borderId="32" xfId="0" applyNumberFormat="1" applyFont="1" applyFill="1" applyBorder="1" applyAlignment="1" applyProtection="1">
      <alignment horizontal="center" vertical="center"/>
      <protection hidden="1"/>
    </xf>
    <xf numFmtId="3" fontId="11" fillId="8" borderId="35" xfId="0" applyNumberFormat="1" applyFont="1" applyFill="1" applyBorder="1" applyAlignment="1" applyProtection="1">
      <alignment horizontal="center" vertical="center"/>
      <protection hidden="1"/>
    </xf>
    <xf numFmtId="3" fontId="4" fillId="0" borderId="4" xfId="0" applyNumberFormat="1" applyFont="1" applyBorder="1" applyAlignment="1" applyProtection="1">
      <alignment horizontal="center" vertical="center"/>
      <protection hidden="1"/>
    </xf>
    <xf numFmtId="3" fontId="5" fillId="0" borderId="47" xfId="0" applyNumberFormat="1" applyFont="1" applyBorder="1" applyAlignment="1" applyProtection="1">
      <alignment horizontal="center" vertical="center"/>
      <protection hidden="1"/>
    </xf>
    <xf numFmtId="3" fontId="5" fillId="0" borderId="24" xfId="0" applyNumberFormat="1" applyFont="1" applyBorder="1" applyAlignment="1" applyProtection="1">
      <alignment horizontal="center" vertical="center"/>
      <protection hidden="1"/>
    </xf>
    <xf numFmtId="3" fontId="11" fillId="7" borderId="59" xfId="0" applyNumberFormat="1" applyFont="1" applyFill="1" applyBorder="1" applyAlignment="1" applyProtection="1">
      <alignment horizontal="center" vertical="center"/>
      <protection locked="0"/>
    </xf>
    <xf numFmtId="3" fontId="11" fillId="0" borderId="53" xfId="0" applyNumberFormat="1" applyFont="1" applyBorder="1" applyAlignment="1" applyProtection="1">
      <alignment horizontal="center" vertical="center"/>
      <protection hidden="1"/>
    </xf>
    <xf numFmtId="3" fontId="11" fillId="7" borderId="44" xfId="0" applyNumberFormat="1" applyFont="1" applyFill="1" applyBorder="1" applyAlignment="1" applyProtection="1">
      <alignment horizontal="center" vertical="center"/>
      <protection locked="0"/>
    </xf>
    <xf numFmtId="3" fontId="10" fillId="0" borderId="44" xfId="0" applyNumberFormat="1" applyFont="1" applyBorder="1" applyAlignment="1" applyProtection="1">
      <alignment horizontal="center" vertical="center"/>
      <protection hidden="1"/>
    </xf>
    <xf numFmtId="3" fontId="10" fillId="0" borderId="38" xfId="0" applyNumberFormat="1" applyFont="1" applyBorder="1" applyAlignment="1" applyProtection="1">
      <alignment horizontal="center" vertical="center"/>
      <protection hidden="1"/>
    </xf>
    <xf numFmtId="3" fontId="11" fillId="0" borderId="8" xfId="0" applyNumberFormat="1" applyFont="1" applyBorder="1" applyAlignment="1" applyProtection="1">
      <alignment horizontal="center" vertical="center"/>
      <protection hidden="1"/>
    </xf>
    <xf numFmtId="3" fontId="11" fillId="0" borderId="21" xfId="0" applyNumberFormat="1" applyFont="1" applyBorder="1" applyAlignment="1" applyProtection="1">
      <alignment horizontal="center" vertical="center"/>
      <protection hidden="1"/>
    </xf>
    <xf numFmtId="3" fontId="11" fillId="7" borderId="8" xfId="0" applyNumberFormat="1" applyFont="1" applyFill="1" applyBorder="1" applyAlignment="1" applyProtection="1">
      <alignment horizontal="center" vertical="center"/>
      <protection locked="0"/>
    </xf>
    <xf numFmtId="3" fontId="11" fillId="7" borderId="21" xfId="0" applyNumberFormat="1" applyFont="1" applyFill="1" applyBorder="1" applyAlignment="1" applyProtection="1">
      <alignment horizontal="center" vertical="center"/>
      <protection locked="0"/>
    </xf>
    <xf numFmtId="3" fontId="11" fillId="7" borderId="21" xfId="0" applyNumberFormat="1" applyFont="1" applyFill="1" applyBorder="1" applyAlignment="1" applyProtection="1">
      <alignment horizontal="center" vertical="center"/>
      <protection locked="0" hidden="1"/>
    </xf>
    <xf numFmtId="3" fontId="11" fillId="5" borderId="8" xfId="0" applyNumberFormat="1" applyFont="1" applyFill="1" applyBorder="1" applyAlignment="1">
      <alignment horizontal="center" vertical="center"/>
    </xf>
    <xf numFmtId="164" fontId="48" fillId="7" borderId="21" xfId="0" applyNumberFormat="1" applyFont="1" applyFill="1" applyBorder="1" applyAlignment="1" applyProtection="1">
      <alignment horizontal="center" vertical="center"/>
      <protection locked="0"/>
    </xf>
    <xf numFmtId="3" fontId="58" fillId="7" borderId="38" xfId="0" applyNumberFormat="1" applyFont="1" applyFill="1" applyBorder="1" applyAlignment="1" applyProtection="1">
      <alignment horizontal="center" vertical="center"/>
      <protection locked="0"/>
    </xf>
    <xf numFmtId="3" fontId="58" fillId="7" borderId="21" xfId="0" applyNumberFormat="1" applyFont="1" applyFill="1" applyBorder="1" applyAlignment="1" applyProtection="1">
      <alignment horizontal="center" vertical="center"/>
      <protection locked="0"/>
    </xf>
    <xf numFmtId="164" fontId="6" fillId="7" borderId="88" xfId="0" applyNumberFormat="1" applyFont="1" applyFill="1" applyBorder="1" applyAlignment="1" applyProtection="1">
      <alignment horizontal="center" vertical="center"/>
      <protection locked="0"/>
    </xf>
    <xf numFmtId="0" fontId="3" fillId="0" borderId="0" xfId="0" applyFont="1" applyAlignment="1" applyProtection="1">
      <alignment vertical="top"/>
      <protection hidden="1"/>
    </xf>
    <xf numFmtId="0" fontId="3" fillId="0" borderId="0" xfId="0" applyFont="1" applyAlignment="1" applyProtection="1">
      <alignment horizontal="left"/>
      <protection hidden="1"/>
    </xf>
    <xf numFmtId="0" fontId="10" fillId="0" borderId="0" xfId="0" applyFont="1" applyAlignment="1" applyProtection="1">
      <alignment horizontal="right" vertical="top" wrapText="1"/>
      <protection hidden="1"/>
    </xf>
    <xf numFmtId="3" fontId="11" fillId="7" borderId="53" xfId="0" applyNumberFormat="1" applyFont="1" applyFill="1" applyBorder="1" applyAlignment="1" applyProtection="1">
      <alignment horizontal="center" vertical="center"/>
      <protection locked="0"/>
    </xf>
    <xf numFmtId="3" fontId="11" fillId="5" borderId="21" xfId="0" applyNumberFormat="1" applyFont="1" applyFill="1" applyBorder="1" applyAlignment="1">
      <alignment horizontal="center" vertical="center"/>
    </xf>
    <xf numFmtId="0" fontId="3" fillId="0" borderId="0" xfId="0" applyFont="1" applyAlignment="1">
      <alignment horizontal="left"/>
    </xf>
    <xf numFmtId="0" fontId="0" fillId="0" borderId="0" xfId="0" applyAlignment="1" applyProtection="1">
      <alignment vertical="center"/>
      <protection hidden="1"/>
    </xf>
    <xf numFmtId="4" fontId="3" fillId="0" borderId="0" xfId="0" applyNumberFormat="1" applyFont="1" applyAlignment="1" applyProtection="1">
      <alignment vertical="center"/>
      <protection hidden="1"/>
    </xf>
    <xf numFmtId="0" fontId="11" fillId="0" borderId="45" xfId="0" applyFont="1" applyBorder="1" applyAlignment="1">
      <alignment horizontal="left" vertical="center"/>
    </xf>
    <xf numFmtId="0" fontId="11" fillId="0" borderId="46" xfId="0" applyFont="1" applyBorder="1" applyAlignment="1">
      <alignment horizontal="left" vertical="center"/>
    </xf>
    <xf numFmtId="0" fontId="10" fillId="0" borderId="45" xfId="0" applyFont="1" applyBorder="1" applyAlignment="1">
      <alignment horizontal="left" vertical="center"/>
    </xf>
    <xf numFmtId="0" fontId="11" fillId="0" borderId="76" xfId="0" applyFont="1" applyBorder="1" applyAlignment="1">
      <alignment horizontal="left" vertical="center"/>
    </xf>
    <xf numFmtId="0" fontId="11" fillId="0" borderId="77" xfId="0" applyFont="1" applyBorder="1" applyAlignment="1">
      <alignment horizontal="left" vertical="center"/>
    </xf>
    <xf numFmtId="3" fontId="11" fillId="5" borderId="17" xfId="0" applyNumberFormat="1" applyFont="1" applyFill="1" applyBorder="1" applyAlignment="1" applyProtection="1">
      <alignment horizontal="center" vertical="center"/>
      <protection hidden="1"/>
    </xf>
    <xf numFmtId="0" fontId="6" fillId="0" borderId="0" xfId="0" applyFont="1" applyAlignment="1">
      <alignment shrinkToFit="1"/>
    </xf>
    <xf numFmtId="3" fontId="11" fillId="0" borderId="0" xfId="0" applyNumberFormat="1" applyFont="1" applyAlignment="1" applyProtection="1">
      <alignment horizontal="center" vertical="center"/>
      <protection hidden="1"/>
    </xf>
    <xf numFmtId="3" fontId="11" fillId="0" borderId="2" xfId="0" applyNumberFormat="1" applyFont="1" applyBorder="1" applyAlignment="1" applyProtection="1">
      <alignment horizontal="center" vertical="center"/>
      <protection hidden="1"/>
    </xf>
    <xf numFmtId="0" fontId="10" fillId="0" borderId="0" xfId="0" applyFont="1" applyAlignment="1">
      <alignment vertical="top" wrapText="1"/>
    </xf>
    <xf numFmtId="0" fontId="5" fillId="0" borderId="12" xfId="0" applyFont="1" applyBorder="1" applyAlignment="1">
      <alignment horizontal="center"/>
    </xf>
    <xf numFmtId="0" fontId="0" fillId="0" borderId="9" xfId="0" applyBorder="1"/>
    <xf numFmtId="3" fontId="5" fillId="0" borderId="61" xfId="0" applyNumberFormat="1" applyFont="1" applyBorder="1" applyAlignment="1" applyProtection="1">
      <alignment horizontal="center"/>
      <protection hidden="1"/>
    </xf>
    <xf numFmtId="3" fontId="5" fillId="0" borderId="2" xfId="0" applyNumberFormat="1" applyFont="1" applyBorder="1" applyAlignment="1" applyProtection="1">
      <alignment horizontal="center"/>
      <protection hidden="1"/>
    </xf>
    <xf numFmtId="0" fontId="10" fillId="0" borderId="4" xfId="0" applyFont="1" applyBorder="1" applyAlignment="1">
      <alignment horizontal="center"/>
    </xf>
    <xf numFmtId="0" fontId="10" fillId="0" borderId="4" xfId="0" applyFont="1" applyBorder="1"/>
    <xf numFmtId="0" fontId="10" fillId="0" borderId="4" xfId="0" applyFont="1" applyBorder="1" applyAlignment="1">
      <alignment horizontal="right"/>
    </xf>
    <xf numFmtId="3" fontId="10" fillId="0" borderId="4" xfId="0" applyNumberFormat="1" applyFont="1" applyBorder="1" applyAlignment="1">
      <alignment horizontal="center"/>
    </xf>
    <xf numFmtId="3" fontId="10" fillId="0" borderId="4" xfId="0" applyNumberFormat="1" applyFont="1" applyBorder="1" applyAlignment="1" applyProtection="1">
      <alignment horizontal="center"/>
      <protection hidden="1"/>
    </xf>
    <xf numFmtId="3" fontId="5" fillId="0" borderId="62" xfId="0" applyNumberFormat="1" applyFont="1" applyBorder="1" applyAlignment="1" applyProtection="1">
      <alignment horizontal="center"/>
      <protection hidden="1"/>
    </xf>
    <xf numFmtId="3" fontId="5" fillId="0" borderId="63" xfId="0" applyNumberFormat="1" applyFont="1" applyBorder="1" applyAlignment="1" applyProtection="1">
      <alignment horizontal="center"/>
      <protection hidden="1"/>
    </xf>
    <xf numFmtId="0" fontId="4" fillId="0" borderId="27" xfId="0" applyFont="1" applyBorder="1" applyAlignment="1">
      <alignment horizontal="left"/>
    </xf>
    <xf numFmtId="0" fontId="0" fillId="0" borderId="27" xfId="0" applyBorder="1" applyAlignment="1">
      <alignment horizontal="center"/>
    </xf>
    <xf numFmtId="0" fontId="11" fillId="0" borderId="13" xfId="0" applyFont="1" applyBorder="1" applyAlignment="1">
      <alignment horizontal="center"/>
    </xf>
    <xf numFmtId="3" fontId="5" fillId="0" borderId="30" xfId="0" applyNumberFormat="1" applyFont="1" applyBorder="1" applyAlignment="1" applyProtection="1">
      <alignment horizontal="center"/>
      <protection hidden="1"/>
    </xf>
    <xf numFmtId="3" fontId="5" fillId="0" borderId="5" xfId="0" applyNumberFormat="1" applyFont="1" applyBorder="1" applyAlignment="1" applyProtection="1">
      <alignment horizontal="center"/>
      <protection hidden="1"/>
    </xf>
    <xf numFmtId="3" fontId="11" fillId="7" borderId="0" xfId="0" applyNumberFormat="1" applyFont="1" applyFill="1" applyAlignment="1" applyProtection="1">
      <alignment horizontal="center" vertical="center"/>
      <protection locked="0"/>
    </xf>
    <xf numFmtId="3" fontId="11" fillId="0" borderId="35" xfId="0" applyNumberFormat="1" applyFont="1" applyBorder="1" applyAlignment="1">
      <alignment horizontal="center" vertical="center"/>
    </xf>
    <xf numFmtId="3" fontId="3" fillId="5" borderId="48" xfId="0" applyNumberFormat="1" applyFont="1" applyFill="1" applyBorder="1" applyAlignment="1">
      <alignment horizontal="center" vertical="center"/>
    </xf>
    <xf numFmtId="3" fontId="3" fillId="5" borderId="29" xfId="0" applyNumberFormat="1" applyFont="1" applyFill="1" applyBorder="1" applyAlignment="1">
      <alignment horizontal="center" vertical="center"/>
    </xf>
    <xf numFmtId="3" fontId="3" fillId="0" borderId="122" xfId="0" applyNumberFormat="1" applyFont="1" applyBorder="1" applyAlignment="1" applyProtection="1">
      <alignment horizontal="center" vertical="center"/>
      <protection hidden="1"/>
    </xf>
    <xf numFmtId="0" fontId="3" fillId="0" borderId="122" xfId="0" applyFont="1" applyBorder="1" applyAlignment="1" applyProtection="1">
      <alignment vertical="center"/>
      <protection hidden="1"/>
    </xf>
    <xf numFmtId="164" fontId="48" fillId="0" borderId="8" xfId="0" applyNumberFormat="1" applyFont="1" applyBorder="1" applyAlignment="1" applyProtection="1">
      <alignment horizontal="center" vertical="center"/>
      <protection hidden="1"/>
    </xf>
    <xf numFmtId="164" fontId="58" fillId="0" borderId="8" xfId="0" applyNumberFormat="1" applyFont="1" applyBorder="1" applyAlignment="1" applyProtection="1">
      <alignment horizontal="center" vertical="center"/>
      <protection hidden="1"/>
    </xf>
    <xf numFmtId="164" fontId="56" fillId="7" borderId="17" xfId="2" applyNumberFormat="1" applyFont="1" applyFill="1" applyBorder="1" applyAlignment="1" applyProtection="1">
      <alignment horizontal="center" vertical="center"/>
      <protection locked="0"/>
    </xf>
    <xf numFmtId="164" fontId="56" fillId="7" borderId="20" xfId="2" applyNumberFormat="1" applyFont="1" applyFill="1" applyBorder="1" applyAlignment="1" applyProtection="1">
      <alignment horizontal="center" vertical="center"/>
      <protection locked="0"/>
    </xf>
    <xf numFmtId="164" fontId="56" fillId="7" borderId="35" xfId="2" applyNumberFormat="1" applyFont="1" applyFill="1" applyBorder="1" applyAlignment="1" applyProtection="1">
      <alignment horizontal="center" vertical="center"/>
      <protection locked="0"/>
    </xf>
    <xf numFmtId="164" fontId="56" fillId="7" borderId="17" xfId="0" applyNumberFormat="1" applyFont="1" applyFill="1" applyBorder="1" applyAlignment="1" applyProtection="1">
      <alignment horizontal="center" vertical="center"/>
      <protection locked="0"/>
    </xf>
    <xf numFmtId="164" fontId="56" fillId="7" borderId="35" xfId="0" applyNumberFormat="1" applyFont="1" applyFill="1" applyBorder="1" applyAlignment="1" applyProtection="1">
      <alignment horizontal="center" vertical="center"/>
      <protection locked="0"/>
    </xf>
    <xf numFmtId="166" fontId="56" fillId="0" borderId="17" xfId="0" applyNumberFormat="1" applyFont="1" applyBorder="1" applyAlignment="1" applyProtection="1">
      <alignment horizontal="center" vertical="center"/>
      <protection hidden="1"/>
    </xf>
    <xf numFmtId="167" fontId="56" fillId="7" borderId="17" xfId="0" applyNumberFormat="1" applyFont="1" applyFill="1" applyBorder="1" applyAlignment="1" applyProtection="1">
      <alignment horizontal="center" vertical="center"/>
      <protection locked="0"/>
    </xf>
    <xf numFmtId="167" fontId="56" fillId="7" borderId="35" xfId="0" applyNumberFormat="1" applyFont="1" applyFill="1" applyBorder="1" applyAlignment="1" applyProtection="1">
      <alignment horizontal="center" vertical="center"/>
      <protection locked="0"/>
    </xf>
    <xf numFmtId="164" fontId="56" fillId="0" borderId="19" xfId="2" applyNumberFormat="1" applyFont="1" applyBorder="1" applyAlignment="1" applyProtection="1">
      <alignment horizontal="center" vertical="center"/>
      <protection hidden="1"/>
    </xf>
    <xf numFmtId="164" fontId="56" fillId="7" borderId="19" xfId="2" applyNumberFormat="1" applyFont="1" applyFill="1" applyBorder="1" applyAlignment="1" applyProtection="1">
      <alignment horizontal="center" vertical="center"/>
      <protection locked="0"/>
    </xf>
    <xf numFmtId="164" fontId="56" fillId="7" borderId="22" xfId="2" applyNumberFormat="1" applyFont="1" applyFill="1" applyBorder="1" applyAlignment="1" applyProtection="1">
      <alignment horizontal="center" vertical="center"/>
      <protection locked="0"/>
    </xf>
    <xf numFmtId="164" fontId="56" fillId="0" borderId="17" xfId="2" applyNumberFormat="1" applyFont="1" applyBorder="1" applyAlignment="1" applyProtection="1">
      <alignment horizontal="center"/>
      <protection hidden="1"/>
    </xf>
    <xf numFmtId="0" fontId="6" fillId="0" borderId="129" xfId="0" applyFont="1" applyBorder="1" applyAlignment="1">
      <alignment horizontal="right" vertical="center"/>
    </xf>
    <xf numFmtId="0" fontId="48" fillId="0" borderId="0" xfId="0" applyFont="1" applyAlignment="1" applyProtection="1">
      <alignment horizontal="right"/>
      <protection hidden="1"/>
    </xf>
    <xf numFmtId="4" fontId="56" fillId="0" borderId="128" xfId="0" applyNumberFormat="1" applyFont="1" applyBorder="1" applyAlignment="1" applyProtection="1">
      <alignment horizontal="center"/>
      <protection hidden="1"/>
    </xf>
    <xf numFmtId="4" fontId="56" fillId="6" borderId="128" xfId="0" applyNumberFormat="1" applyFont="1" applyFill="1" applyBorder="1" applyAlignment="1" applyProtection="1">
      <alignment horizontal="center"/>
      <protection hidden="1"/>
    </xf>
    <xf numFmtId="0" fontId="56" fillId="0" borderId="0" xfId="0" applyFont="1" applyAlignment="1" applyProtection="1">
      <alignment horizontal="right"/>
      <protection hidden="1"/>
    </xf>
    <xf numFmtId="164" fontId="3" fillId="0" borderId="128" xfId="2" applyNumberFormat="1" applyFont="1" applyBorder="1" applyAlignment="1" applyProtection="1">
      <alignment horizontal="center"/>
      <protection hidden="1"/>
    </xf>
    <xf numFmtId="2" fontId="3" fillId="0" borderId="129" xfId="0" applyNumberFormat="1" applyFont="1" applyBorder="1" applyAlignment="1" applyProtection="1">
      <alignment horizontal="center" vertical="center"/>
      <protection hidden="1"/>
    </xf>
    <xf numFmtId="0" fontId="3" fillId="0" borderId="66" xfId="0" applyFont="1" applyBorder="1" applyAlignment="1">
      <alignment horizontal="center" vertical="center"/>
    </xf>
    <xf numFmtId="0" fontId="3" fillId="0" borderId="34" xfId="0" applyFont="1" applyBorder="1" applyAlignment="1">
      <alignment horizontal="center" vertical="center"/>
    </xf>
    <xf numFmtId="0" fontId="10" fillId="0" borderId="0" xfId="0" applyFont="1" applyAlignment="1" applyProtection="1">
      <alignment vertical="center"/>
      <protection hidden="1"/>
    </xf>
    <xf numFmtId="0" fontId="10" fillId="0" borderId="65" xfId="0" applyFont="1" applyBorder="1" applyAlignment="1">
      <alignment horizontal="right" vertical="center" indent="1"/>
    </xf>
    <xf numFmtId="0" fontId="11" fillId="0" borderId="127" xfId="0" applyFont="1" applyBorder="1" applyAlignment="1" applyProtection="1">
      <alignment horizontal="center"/>
      <protection hidden="1"/>
    </xf>
    <xf numFmtId="0" fontId="11" fillId="0" borderId="130" xfId="0" applyFont="1" applyBorder="1" applyAlignment="1" applyProtection="1">
      <alignment horizontal="center"/>
      <protection hidden="1"/>
    </xf>
    <xf numFmtId="0" fontId="21" fillId="0" borderId="0" xfId="0" applyFont="1" applyAlignment="1">
      <alignment horizontal="left" vertical="center"/>
    </xf>
    <xf numFmtId="3" fontId="3" fillId="0" borderId="121" xfId="0" applyNumberFormat="1" applyFont="1" applyBorder="1" applyAlignment="1" applyProtection="1">
      <alignment horizontal="center" vertical="center" wrapText="1"/>
      <protection hidden="1"/>
    </xf>
    <xf numFmtId="167" fontId="66" fillId="0" borderId="47" xfId="0" applyNumberFormat="1" applyFont="1" applyBorder="1" applyAlignment="1" applyProtection="1">
      <alignment horizontal="center" vertical="center"/>
      <protection hidden="1"/>
    </xf>
    <xf numFmtId="167" fontId="66" fillId="0" borderId="5" xfId="0" applyNumberFormat="1" applyFont="1" applyBorder="1" applyAlignment="1" applyProtection="1">
      <alignment horizontal="center" vertical="center"/>
      <protection hidden="1"/>
    </xf>
    <xf numFmtId="165" fontId="6" fillId="7" borderId="38" xfId="0" applyNumberFormat="1" applyFont="1" applyFill="1" applyBorder="1" applyAlignment="1" applyProtection="1">
      <alignment horizontal="center" vertical="center"/>
      <protection locked="0"/>
    </xf>
    <xf numFmtId="0" fontId="6" fillId="0" borderId="10" xfId="0" applyFont="1" applyBorder="1" applyAlignment="1">
      <alignment vertical="center"/>
    </xf>
    <xf numFmtId="0" fontId="10" fillId="0" borderId="64"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10" fillId="0" borderId="16" xfId="0" applyFont="1" applyBorder="1" applyAlignment="1">
      <alignment vertical="center"/>
    </xf>
    <xf numFmtId="0" fontId="10" fillId="0" borderId="4" xfId="0" applyFont="1" applyBorder="1" applyAlignment="1">
      <alignment vertical="center"/>
    </xf>
    <xf numFmtId="49" fontId="10" fillId="0" borderId="4" xfId="0" applyNumberFormat="1" applyFont="1" applyBorder="1" applyAlignment="1">
      <alignment horizontal="left" vertical="center"/>
    </xf>
    <xf numFmtId="49" fontId="10" fillId="0" borderId="4" xfId="0" applyNumberFormat="1" applyFont="1" applyBorder="1" applyAlignment="1" applyProtection="1">
      <alignment horizontal="left" vertical="center"/>
      <protection hidden="1"/>
    </xf>
    <xf numFmtId="0" fontId="5" fillId="0" borderId="16" xfId="0" applyFont="1" applyBorder="1" applyAlignment="1">
      <alignment vertical="center"/>
    </xf>
    <xf numFmtId="0" fontId="11" fillId="0" borderId="25" xfId="0" applyFont="1" applyBorder="1" applyAlignment="1">
      <alignment horizontal="right" vertical="center"/>
    </xf>
    <xf numFmtId="0" fontId="6" fillId="0" borderId="25" xfId="0" applyFont="1" applyBorder="1" applyAlignment="1">
      <alignment horizontal="right" vertical="center"/>
    </xf>
    <xf numFmtId="0" fontId="6" fillId="0" borderId="63" xfId="0" applyFont="1" applyBorder="1" applyAlignment="1">
      <alignment vertical="center"/>
    </xf>
    <xf numFmtId="4" fontId="3" fillId="6" borderId="128" xfId="0" applyNumberFormat="1" applyFont="1" applyFill="1" applyBorder="1" applyAlignment="1" applyProtection="1">
      <alignment horizontal="center"/>
      <protection hidden="1"/>
    </xf>
    <xf numFmtId="4" fontId="11" fillId="8" borderId="17" xfId="0" applyNumberFormat="1" applyFont="1" applyFill="1" applyBorder="1" applyAlignment="1" applyProtection="1">
      <alignment horizontal="center"/>
      <protection hidden="1"/>
    </xf>
    <xf numFmtId="0" fontId="72" fillId="0" borderId="0" xfId="0" applyFont="1" applyAlignment="1" applyProtection="1">
      <alignment horizontal="right"/>
      <protection hidden="1"/>
    </xf>
    <xf numFmtId="2" fontId="72" fillId="0" borderId="128" xfId="0" applyNumberFormat="1" applyFont="1" applyBorder="1" applyAlignment="1" applyProtection="1">
      <alignment horizontal="center" vertical="center"/>
      <protection hidden="1"/>
    </xf>
    <xf numFmtId="0" fontId="21" fillId="0" borderId="0" xfId="0" applyFont="1"/>
    <xf numFmtId="3" fontId="11" fillId="7" borderId="20" xfId="0" applyNumberFormat="1" applyFont="1" applyFill="1" applyBorder="1" applyAlignment="1" applyProtection="1">
      <alignment horizontal="center" vertical="center"/>
      <protection locked="0" hidden="1"/>
    </xf>
    <xf numFmtId="3" fontId="11" fillId="7" borderId="56" xfId="0" applyNumberFormat="1" applyFont="1" applyFill="1" applyBorder="1" applyAlignment="1" applyProtection="1">
      <alignment horizontal="center" vertical="center"/>
      <protection locked="0"/>
    </xf>
    <xf numFmtId="0" fontId="73" fillId="0" borderId="0" xfId="0" applyFont="1" applyProtection="1">
      <protection hidden="1"/>
    </xf>
    <xf numFmtId="167" fontId="73" fillId="0" borderId="0" xfId="0" applyNumberFormat="1" applyFont="1" applyAlignment="1">
      <alignment horizontal="left"/>
    </xf>
    <xf numFmtId="0" fontId="3" fillId="0" borderId="128" xfId="0" applyFont="1" applyBorder="1" applyAlignment="1" applyProtection="1">
      <alignment horizontal="center" vertical="center"/>
      <protection hidden="1"/>
    </xf>
    <xf numFmtId="0" fontId="5" fillId="0" borderId="25" xfId="0" applyFont="1" applyBorder="1" applyAlignment="1">
      <alignment horizontal="right" vertical="center"/>
    </xf>
    <xf numFmtId="0" fontId="5" fillId="0" borderId="55" xfId="0" applyFont="1" applyBorder="1" applyAlignment="1">
      <alignment horizontal="right" vertical="center"/>
    </xf>
    <xf numFmtId="167" fontId="6" fillId="3" borderId="10" xfId="0" applyNumberFormat="1" applyFont="1" applyFill="1" applyBorder="1" applyAlignment="1" applyProtection="1">
      <alignment vertical="center"/>
      <protection hidden="1"/>
    </xf>
    <xf numFmtId="164" fontId="6" fillId="7" borderId="38" xfId="0" applyNumberFormat="1" applyFont="1" applyFill="1" applyBorder="1" applyAlignment="1" applyProtection="1">
      <alignment horizontal="center" vertical="center"/>
      <protection locked="0"/>
    </xf>
    <xf numFmtId="0" fontId="75" fillId="0" borderId="23" xfId="0" applyFont="1" applyBorder="1" applyAlignment="1" applyProtection="1">
      <alignment vertical="center"/>
      <protection locked="0"/>
    </xf>
    <xf numFmtId="165" fontId="11" fillId="0" borderId="53" xfId="0" applyNumberFormat="1" applyFont="1" applyBorder="1" applyAlignment="1" applyProtection="1">
      <alignment horizontal="center" vertical="center"/>
      <protection hidden="1"/>
    </xf>
    <xf numFmtId="0" fontId="5" fillId="0" borderId="64" xfId="0" applyFont="1" applyBorder="1" applyAlignment="1">
      <alignment vertical="center"/>
    </xf>
    <xf numFmtId="3" fontId="5" fillId="0" borderId="50" xfId="0" applyNumberFormat="1" applyFont="1" applyBorder="1" applyAlignment="1" applyProtection="1">
      <alignment horizontal="center" vertical="center"/>
      <protection hidden="1"/>
    </xf>
    <xf numFmtId="165" fontId="0" fillId="0" borderId="44" xfId="0" applyNumberFormat="1" applyBorder="1" applyAlignment="1">
      <alignment horizontal="center" vertical="center"/>
    </xf>
    <xf numFmtId="165" fontId="2" fillId="0" borderId="10" xfId="0" applyNumberFormat="1" applyFont="1" applyBorder="1" applyAlignment="1">
      <alignment horizontal="center" vertical="center"/>
    </xf>
    <xf numFmtId="3" fontId="2" fillId="0" borderId="7" xfId="0" applyNumberFormat="1" applyFont="1" applyBorder="1" applyAlignment="1">
      <alignment horizontal="center" vertical="center"/>
    </xf>
    <xf numFmtId="3" fontId="2" fillId="0" borderId="0" xfId="0" applyNumberFormat="1" applyFont="1" applyAlignment="1">
      <alignment horizontal="center" vertical="center"/>
    </xf>
    <xf numFmtId="3" fontId="5" fillId="0" borderId="0" xfId="0" applyNumberFormat="1" applyFont="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170" fontId="0" fillId="0" borderId="44" xfId="0" applyNumberFormat="1" applyBorder="1" applyAlignment="1">
      <alignment horizontal="center" vertical="center"/>
    </xf>
    <xf numFmtId="170" fontId="2" fillId="0" borderId="10" xfId="0" applyNumberFormat="1" applyFont="1" applyBorder="1" applyAlignment="1">
      <alignment horizontal="center" vertical="center"/>
    </xf>
    <xf numFmtId="0" fontId="10" fillId="0" borderId="0" xfId="0" applyFont="1" applyAlignment="1">
      <alignment horizontal="center" vertical="center"/>
    </xf>
    <xf numFmtId="0" fontId="10" fillId="0" borderId="0" xfId="0" applyFont="1" applyProtection="1">
      <protection hidden="1"/>
    </xf>
    <xf numFmtId="0" fontId="11" fillId="0" borderId="10" xfId="0" applyFont="1" applyBorder="1" applyProtection="1">
      <protection hidden="1"/>
    </xf>
    <xf numFmtId="0" fontId="10" fillId="0" borderId="143" xfId="0" applyFont="1" applyBorder="1" applyProtection="1">
      <protection hidden="1"/>
    </xf>
    <xf numFmtId="1" fontId="11" fillId="0" borderId="17" xfId="0" applyNumberFormat="1" applyFont="1" applyBorder="1" applyAlignment="1" applyProtection="1">
      <alignment horizontal="center" vertical="center"/>
      <protection hidden="1"/>
    </xf>
    <xf numFmtId="166" fontId="11" fillId="0" borderId="17" xfId="2" applyNumberFormat="1" applyFont="1" applyBorder="1" applyAlignment="1" applyProtection="1">
      <alignment horizontal="center" vertical="center"/>
      <protection hidden="1"/>
    </xf>
    <xf numFmtId="3" fontId="6" fillId="0" borderId="44" xfId="0" applyNumberFormat="1" applyFont="1" applyBorder="1" applyAlignment="1" applyProtection="1">
      <alignment horizontal="center" vertical="center"/>
      <protection hidden="1"/>
    </xf>
    <xf numFmtId="3" fontId="2" fillId="5" borderId="17" xfId="0" applyNumberFormat="1"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protection hidden="1"/>
    </xf>
    <xf numFmtId="164" fontId="3" fillId="8" borderId="63" xfId="0" applyNumberFormat="1" applyFont="1" applyFill="1" applyBorder="1" applyAlignment="1" applyProtection="1">
      <alignment horizontal="center" vertical="center"/>
      <protection hidden="1"/>
    </xf>
    <xf numFmtId="164" fontId="3" fillId="7" borderId="6" xfId="0" applyNumberFormat="1" applyFont="1" applyFill="1" applyBorder="1" applyAlignment="1" applyProtection="1">
      <alignment horizontal="center" vertical="center"/>
      <protection locked="0"/>
    </xf>
    <xf numFmtId="0" fontId="3" fillId="0" borderId="123" xfId="0" applyFont="1" applyBorder="1" applyAlignment="1" applyProtection="1">
      <alignment horizontal="center" vertical="center"/>
      <protection hidden="1"/>
    </xf>
    <xf numFmtId="0" fontId="11" fillId="0" borderId="17" xfId="0" applyFont="1" applyBorder="1" applyAlignment="1" applyProtection="1">
      <alignment horizontal="center"/>
      <protection hidden="1"/>
    </xf>
    <xf numFmtId="0" fontId="11" fillId="0" borderId="10" xfId="0" applyFont="1" applyBorder="1" applyAlignment="1" applyProtection="1">
      <alignment horizontal="center"/>
      <protection hidden="1"/>
    </xf>
    <xf numFmtId="0" fontId="11" fillId="0" borderId="44" xfId="0" applyFont="1" applyBorder="1" applyAlignment="1" applyProtection="1">
      <alignment horizontal="center"/>
      <protection hidden="1"/>
    </xf>
    <xf numFmtId="0" fontId="10" fillId="0" borderId="10" xfId="0" applyFont="1" applyBorder="1" applyProtection="1">
      <protection hidden="1"/>
    </xf>
    <xf numFmtId="0" fontId="10" fillId="0" borderId="44" xfId="0" applyFont="1" applyBorder="1" applyProtection="1">
      <protection hidden="1"/>
    </xf>
    <xf numFmtId="0" fontId="0" fillId="0" borderId="10" xfId="0" applyBorder="1"/>
    <xf numFmtId="0" fontId="11" fillId="0" borderId="145" xfId="0" applyFont="1" applyBorder="1" applyProtection="1">
      <protection hidden="1"/>
    </xf>
    <xf numFmtId="0" fontId="6" fillId="0" borderId="19" xfId="0" applyFont="1" applyBorder="1" applyAlignment="1" applyProtection="1">
      <alignment vertical="center"/>
      <protection hidden="1"/>
    </xf>
    <xf numFmtId="0" fontId="6" fillId="0" borderId="18" xfId="0" applyFont="1" applyBorder="1" applyAlignment="1" applyProtection="1">
      <alignment vertical="center"/>
      <protection hidden="1"/>
    </xf>
    <xf numFmtId="0" fontId="6" fillId="0" borderId="21" xfId="0" applyFont="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6" fillId="0" borderId="19" xfId="0" applyFont="1" applyBorder="1" applyAlignment="1">
      <alignment horizontal="center" vertical="center"/>
    </xf>
    <xf numFmtId="0" fontId="6" fillId="0" borderId="22" xfId="0" applyFont="1" applyBorder="1" applyAlignment="1">
      <alignment horizontal="center" vertical="center"/>
    </xf>
    <xf numFmtId="0" fontId="6" fillId="0" borderId="8" xfId="0" applyFont="1" applyBorder="1" applyAlignment="1" applyProtection="1">
      <alignment horizontal="center" vertical="center"/>
      <protection hidden="1"/>
    </xf>
    <xf numFmtId="0" fontId="6" fillId="0" borderId="18" xfId="0" applyFont="1" applyBorder="1" applyAlignment="1">
      <alignment horizontal="center" vertical="center"/>
    </xf>
    <xf numFmtId="0" fontId="6" fillId="0" borderId="21" xfId="0" applyFont="1" applyBorder="1" applyAlignment="1">
      <alignment horizontal="center" vertical="center"/>
    </xf>
    <xf numFmtId="0" fontId="6" fillId="0" borderId="32" xfId="0" applyFont="1" applyBorder="1" applyAlignment="1" applyProtection="1">
      <alignment vertical="center"/>
      <protection hidden="1"/>
    </xf>
    <xf numFmtId="0" fontId="6" fillId="0" borderId="23" xfId="0" applyFont="1" applyBorder="1" applyAlignment="1" applyProtection="1">
      <alignment vertical="center"/>
      <protection hidden="1"/>
    </xf>
    <xf numFmtId="0" fontId="6" fillId="0" borderId="53" xfId="0" applyFont="1" applyBorder="1" applyAlignment="1" applyProtection="1">
      <alignment horizontal="center" vertical="center"/>
      <protection hidden="1"/>
    </xf>
    <xf numFmtId="0" fontId="6" fillId="0" borderId="32" xfId="0" applyFont="1" applyBorder="1" applyAlignment="1" applyProtection="1">
      <alignment horizontal="center" vertical="center"/>
      <protection hidden="1"/>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59" xfId="0" applyFont="1" applyBorder="1" applyAlignment="1" applyProtection="1">
      <alignment horizontal="center" vertical="center"/>
      <protection hidden="1"/>
    </xf>
    <xf numFmtId="0" fontId="6" fillId="0" borderId="53" xfId="0" applyFont="1" applyBorder="1" applyAlignment="1">
      <alignment horizontal="center" vertical="center"/>
    </xf>
    <xf numFmtId="0" fontId="6" fillId="0" borderId="17"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10" fontId="3" fillId="5" borderId="17" xfId="2" applyNumberFormat="1" applyFont="1" applyFill="1" applyBorder="1" applyAlignment="1" applyProtection="1">
      <alignment horizontal="center" vertical="center"/>
      <protection hidden="1"/>
    </xf>
    <xf numFmtId="10" fontId="3" fillId="5" borderId="19" xfId="2" applyNumberFormat="1" applyFont="1" applyFill="1" applyBorder="1" applyAlignment="1" applyProtection="1">
      <alignment horizontal="center" vertical="center"/>
      <protection hidden="1"/>
    </xf>
    <xf numFmtId="10" fontId="3" fillId="7" borderId="19" xfId="0" applyNumberFormat="1" applyFont="1" applyFill="1" applyBorder="1" applyAlignment="1">
      <alignment horizontal="center" vertical="center"/>
    </xf>
    <xf numFmtId="10" fontId="3" fillId="5" borderId="19" xfId="0" applyNumberFormat="1" applyFont="1" applyFill="1" applyBorder="1" applyAlignment="1">
      <alignment horizontal="center" vertical="center"/>
    </xf>
    <xf numFmtId="10" fontId="6" fillId="5" borderId="35" xfId="0" applyNumberFormat="1" applyFont="1" applyFill="1" applyBorder="1" applyAlignment="1">
      <alignment horizontal="center" vertical="center"/>
    </xf>
    <xf numFmtId="10" fontId="3" fillId="5" borderId="17" xfId="0" applyNumberFormat="1" applyFont="1" applyFill="1" applyBorder="1" applyAlignment="1">
      <alignment horizontal="center" vertical="center"/>
    </xf>
    <xf numFmtId="10" fontId="3" fillId="7" borderId="17" xfId="0" applyNumberFormat="1" applyFont="1" applyFill="1" applyBorder="1" applyAlignment="1">
      <alignment horizontal="center" vertical="center"/>
    </xf>
    <xf numFmtId="10" fontId="6" fillId="5" borderId="20" xfId="0" applyNumberFormat="1" applyFont="1" applyFill="1" applyBorder="1" applyAlignment="1">
      <alignment horizontal="center" vertical="center"/>
    </xf>
    <xf numFmtId="10" fontId="0" fillId="5" borderId="38" xfId="0" applyNumberFormat="1" applyFill="1" applyBorder="1"/>
    <xf numFmtId="10" fontId="6" fillId="5" borderId="17" xfId="0" applyNumberFormat="1" applyFont="1" applyFill="1" applyBorder="1" applyAlignment="1">
      <alignment horizontal="center" vertical="center"/>
    </xf>
    <xf numFmtId="10" fontId="0" fillId="5" borderId="35" xfId="0" applyNumberFormat="1" applyFill="1" applyBorder="1"/>
    <xf numFmtId="3" fontId="6" fillId="0" borderId="17" xfId="0" applyNumberFormat="1" applyFont="1" applyBorder="1" applyAlignment="1" applyProtection="1">
      <alignment horizontal="center" vertical="center"/>
      <protection hidden="1"/>
    </xf>
    <xf numFmtId="164" fontId="6" fillId="0" borderId="17" xfId="2" applyNumberFormat="1" applyFont="1" applyFill="1" applyBorder="1" applyAlignment="1" applyProtection="1">
      <alignment horizontal="center" vertical="center"/>
      <protection hidden="1"/>
    </xf>
    <xf numFmtId="3" fontId="6" fillId="5" borderId="19" xfId="2" applyNumberFormat="1" applyFont="1" applyFill="1" applyBorder="1" applyAlignment="1">
      <alignment horizontal="center" vertical="center"/>
    </xf>
    <xf numFmtId="3" fontId="76" fillId="0" borderId="35" xfId="2" applyNumberFormat="1" applyFont="1" applyBorder="1" applyAlignment="1" applyProtection="1">
      <alignment horizontal="center" vertical="center"/>
      <protection locked="0"/>
    </xf>
    <xf numFmtId="3" fontId="6" fillId="5" borderId="17" xfId="0" applyNumberFormat="1" applyFont="1" applyFill="1" applyBorder="1" applyAlignment="1">
      <alignment horizontal="center" vertical="center"/>
    </xf>
    <xf numFmtId="3" fontId="6" fillId="0" borderId="17" xfId="0" applyNumberFormat="1" applyFont="1" applyBorder="1" applyAlignment="1">
      <alignment horizontal="center" vertical="center"/>
    </xf>
    <xf numFmtId="3" fontId="6" fillId="0" borderId="35" xfId="0" applyNumberFormat="1" applyFont="1" applyBorder="1" applyAlignment="1">
      <alignment horizontal="center" vertical="center"/>
    </xf>
    <xf numFmtId="3" fontId="6" fillId="5" borderId="17" xfId="2" applyNumberFormat="1" applyFont="1" applyFill="1" applyBorder="1" applyAlignment="1">
      <alignment horizontal="center" vertical="center"/>
    </xf>
    <xf numFmtId="0" fontId="5" fillId="0" borderId="0" xfId="0" applyFont="1" applyAlignment="1">
      <alignment horizontal="center" vertical="center"/>
    </xf>
    <xf numFmtId="3" fontId="51" fillId="0" borderId="0" xfId="0" applyNumberFormat="1" applyFont="1" applyAlignment="1" applyProtection="1">
      <alignment horizontal="center" vertical="center"/>
      <protection hidden="1"/>
    </xf>
    <xf numFmtId="0" fontId="6" fillId="0" borderId="0" xfId="0" applyFont="1" applyAlignment="1">
      <alignment horizontal="left" vertical="center"/>
    </xf>
    <xf numFmtId="167" fontId="3" fillId="0" borderId="146" xfId="0" applyNumberFormat="1" applyFont="1" applyBorder="1" applyAlignment="1" applyProtection="1">
      <alignment horizontal="center" vertical="center"/>
      <protection hidden="1"/>
    </xf>
    <xf numFmtId="0" fontId="6" fillId="0" borderId="147" xfId="0" applyFont="1" applyBorder="1" applyAlignment="1" applyProtection="1">
      <alignment horizontal="center" vertical="center"/>
      <protection hidden="1"/>
    </xf>
    <xf numFmtId="167" fontId="6" fillId="0" borderId="147" xfId="0" applyNumberFormat="1" applyFont="1" applyBorder="1" applyAlignment="1" applyProtection="1">
      <alignment horizontal="center" vertical="center"/>
      <protection hidden="1"/>
    </xf>
    <xf numFmtId="0" fontId="6" fillId="0" borderId="67" xfId="0" applyFont="1" applyBorder="1" applyAlignment="1">
      <alignment vertical="center"/>
    </xf>
    <xf numFmtId="0" fontId="3" fillId="0" borderId="0" xfId="0" applyFont="1" applyAlignment="1">
      <alignment horizontal="center" vertical="center"/>
    </xf>
    <xf numFmtId="49" fontId="10" fillId="0" borderId="24" xfId="0" applyNumberFormat="1"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1" fillId="13" borderId="34" xfId="0" applyFont="1" applyFill="1" applyBorder="1" applyAlignment="1">
      <alignment horizontal="center" vertical="center"/>
    </xf>
    <xf numFmtId="0" fontId="11" fillId="13" borderId="26" xfId="0" applyFont="1" applyFill="1" applyBorder="1" applyAlignment="1">
      <alignment horizontal="center" vertical="center"/>
    </xf>
    <xf numFmtId="49" fontId="80" fillId="13" borderId="13" xfId="0" applyNumberFormat="1" applyFont="1" applyFill="1" applyBorder="1" applyAlignment="1">
      <alignment horizontal="center"/>
    </xf>
    <xf numFmtId="0" fontId="80" fillId="13" borderId="26" xfId="0" applyFont="1" applyFill="1" applyBorder="1" applyAlignment="1">
      <alignment horizontal="center"/>
    </xf>
    <xf numFmtId="0" fontId="77" fillId="13" borderId="2" xfId="0" applyFont="1" applyFill="1" applyBorder="1"/>
    <xf numFmtId="0" fontId="77" fillId="13" borderId="9" xfId="0" applyFont="1" applyFill="1" applyBorder="1"/>
    <xf numFmtId="0" fontId="82" fillId="13" borderId="29" xfId="0" applyFont="1" applyFill="1" applyBorder="1" applyAlignment="1" applyProtection="1">
      <alignment horizontal="center" vertical="center"/>
      <protection hidden="1"/>
    </xf>
    <xf numFmtId="0" fontId="82" fillId="13" borderId="55" xfId="0" applyFont="1" applyFill="1" applyBorder="1" applyAlignment="1" applyProtection="1">
      <alignment horizontal="center" vertical="center"/>
      <protection hidden="1"/>
    </xf>
    <xf numFmtId="0" fontId="82" fillId="13" borderId="30" xfId="0" applyFont="1" applyFill="1" applyBorder="1" applyAlignment="1" applyProtection="1">
      <alignment horizontal="center" vertical="center"/>
      <protection hidden="1"/>
    </xf>
    <xf numFmtId="0" fontId="77" fillId="13" borderId="0" xfId="0" applyFont="1" applyFill="1"/>
    <xf numFmtId="0" fontId="59" fillId="13" borderId="60" xfId="0" applyFont="1" applyFill="1" applyBorder="1" applyAlignment="1" applyProtection="1">
      <alignment horizontal="center" vertical="center"/>
      <protection hidden="1"/>
    </xf>
    <xf numFmtId="0" fontId="59" fillId="13" borderId="137" xfId="0" applyFont="1" applyFill="1" applyBorder="1" applyAlignment="1" applyProtection="1">
      <alignment horizontal="center" vertical="center"/>
      <protection hidden="1"/>
    </xf>
    <xf numFmtId="0" fontId="77" fillId="13" borderId="101" xfId="0" applyFont="1" applyFill="1" applyBorder="1" applyAlignment="1">
      <alignment horizontal="center"/>
    </xf>
    <xf numFmtId="0" fontId="77" fillId="13" borderId="102" xfId="0" applyFont="1" applyFill="1" applyBorder="1"/>
    <xf numFmtId="0" fontId="77" fillId="13" borderId="108" xfId="0" applyFont="1" applyFill="1" applyBorder="1"/>
    <xf numFmtId="0" fontId="82" fillId="13" borderId="109" xfId="0" applyFont="1" applyFill="1" applyBorder="1" applyAlignment="1" applyProtection="1">
      <alignment horizontal="center"/>
      <protection hidden="1"/>
    </xf>
    <xf numFmtId="0" fontId="82" fillId="13" borderId="110" xfId="0" applyFont="1" applyFill="1" applyBorder="1" applyAlignment="1" applyProtection="1">
      <alignment horizontal="center"/>
      <protection hidden="1"/>
    </xf>
    <xf numFmtId="0" fontId="82" fillId="13" borderId="111" xfId="0" applyFont="1" applyFill="1" applyBorder="1" applyAlignment="1" applyProtection="1">
      <alignment horizontal="center"/>
      <protection hidden="1"/>
    </xf>
    <xf numFmtId="0" fontId="81" fillId="13" borderId="0" xfId="0" applyFont="1" applyFill="1" applyAlignment="1">
      <alignment horizontal="left"/>
    </xf>
    <xf numFmtId="0" fontId="81" fillId="13" borderId="31" xfId="0" applyFont="1" applyFill="1" applyBorder="1" applyAlignment="1">
      <alignment horizontal="left"/>
    </xf>
    <xf numFmtId="1" fontId="59" fillId="13" borderId="60" xfId="0" applyNumberFormat="1" applyFont="1" applyFill="1" applyBorder="1" applyAlignment="1" applyProtection="1">
      <alignment horizontal="center"/>
      <protection hidden="1"/>
    </xf>
    <xf numFmtId="1" fontId="59" fillId="13" borderId="25" xfId="0" applyNumberFormat="1" applyFont="1" applyFill="1" applyBorder="1" applyAlignment="1" applyProtection="1">
      <alignment horizontal="center"/>
      <protection hidden="1"/>
    </xf>
    <xf numFmtId="1" fontId="59" fillId="13" borderId="137" xfId="0" applyNumberFormat="1" applyFont="1" applyFill="1" applyBorder="1" applyAlignment="1" applyProtection="1">
      <alignment horizontal="center"/>
      <protection hidden="1"/>
    </xf>
    <xf numFmtId="0" fontId="83" fillId="13" borderId="104" xfId="0" applyFont="1" applyFill="1" applyBorder="1" applyAlignment="1">
      <alignment horizontal="center"/>
    </xf>
    <xf numFmtId="0" fontId="83" fillId="13" borderId="105" xfId="0" applyFont="1" applyFill="1" applyBorder="1"/>
    <xf numFmtId="0" fontId="77" fillId="13" borderId="112" xfId="0" applyFont="1" applyFill="1" applyBorder="1"/>
    <xf numFmtId="168" fontId="80" fillId="13" borderId="60" xfId="0" applyNumberFormat="1" applyFont="1" applyFill="1" applyBorder="1" applyAlignment="1">
      <alignment horizontal="center" vertical="center"/>
    </xf>
    <xf numFmtId="168" fontId="80" fillId="13" borderId="25" xfId="0" applyNumberFormat="1" applyFont="1" applyFill="1" applyBorder="1" applyAlignment="1">
      <alignment horizontal="center" vertical="center"/>
    </xf>
    <xf numFmtId="168" fontId="80" fillId="13" borderId="57" xfId="0" applyNumberFormat="1" applyFont="1" applyFill="1" applyBorder="1" applyAlignment="1">
      <alignment horizontal="center" vertical="center"/>
    </xf>
    <xf numFmtId="168" fontId="80" fillId="13" borderId="138" xfId="0" applyNumberFormat="1" applyFont="1" applyFill="1" applyBorder="1" applyAlignment="1">
      <alignment horizontal="center"/>
    </xf>
    <xf numFmtId="168" fontId="80" fillId="13" borderId="139" xfId="0" applyNumberFormat="1" applyFont="1" applyFill="1" applyBorder="1" applyAlignment="1">
      <alignment horizontal="center"/>
    </xf>
    <xf numFmtId="168" fontId="80" fillId="13" borderId="140" xfId="0" applyNumberFormat="1" applyFont="1" applyFill="1" applyBorder="1" applyAlignment="1">
      <alignment horizontal="center"/>
    </xf>
    <xf numFmtId="0" fontId="84" fillId="13" borderId="64" xfId="0" applyFont="1" applyFill="1" applyBorder="1" applyAlignment="1">
      <alignment horizontal="center" vertical="center"/>
    </xf>
    <xf numFmtId="0" fontId="84" fillId="13" borderId="64" xfId="0" applyFont="1" applyFill="1" applyBorder="1" applyAlignment="1">
      <alignment horizontal="center" vertical="center" wrapText="1"/>
    </xf>
    <xf numFmtId="0" fontId="82" fillId="13" borderId="64" xfId="0" applyFont="1" applyFill="1" applyBorder="1" applyAlignment="1">
      <alignment horizontal="center" vertical="center"/>
    </xf>
    <xf numFmtId="3" fontId="84" fillId="13" borderId="64" xfId="0" applyNumberFormat="1" applyFont="1" applyFill="1" applyBorder="1" applyAlignment="1" applyProtection="1">
      <alignment horizontal="center" vertical="center"/>
      <protection locked="0"/>
    </xf>
    <xf numFmtId="1" fontId="84" fillId="13" borderId="64" xfId="0" applyNumberFormat="1" applyFont="1" applyFill="1" applyBorder="1" applyAlignment="1" applyProtection="1">
      <alignment horizontal="center" vertical="center"/>
      <protection locked="0"/>
    </xf>
    <xf numFmtId="164" fontId="84" fillId="13" borderId="64" xfId="0" applyNumberFormat="1" applyFont="1" applyFill="1" applyBorder="1" applyAlignment="1" applyProtection="1">
      <alignment horizontal="center" vertical="center"/>
      <protection locked="0"/>
    </xf>
    <xf numFmtId="3" fontId="84" fillId="13" borderId="64" xfId="0" applyNumberFormat="1" applyFont="1" applyFill="1" applyBorder="1" applyAlignment="1" applyProtection="1">
      <alignment horizontal="center" vertical="center"/>
      <protection hidden="1"/>
    </xf>
    <xf numFmtId="3" fontId="84" fillId="13" borderId="32" xfId="0" applyNumberFormat="1" applyFont="1" applyFill="1" applyBorder="1" applyAlignment="1" applyProtection="1">
      <alignment horizontal="center" vertical="center"/>
      <protection locked="0"/>
    </xf>
    <xf numFmtId="1" fontId="84" fillId="13" borderId="32" xfId="0" applyNumberFormat="1" applyFont="1" applyFill="1" applyBorder="1" applyAlignment="1" applyProtection="1">
      <alignment horizontal="center" vertical="center"/>
      <protection locked="0"/>
    </xf>
    <xf numFmtId="164" fontId="84" fillId="13" borderId="23" xfId="0" applyNumberFormat="1" applyFont="1" applyFill="1" applyBorder="1" applyAlignment="1" applyProtection="1">
      <alignment horizontal="center" vertical="center"/>
      <protection locked="0"/>
    </xf>
    <xf numFmtId="3" fontId="84" fillId="13" borderId="53" xfId="0" applyNumberFormat="1" applyFont="1" applyFill="1" applyBorder="1" applyAlignment="1" applyProtection="1">
      <alignment horizontal="center" vertical="center"/>
      <protection hidden="1"/>
    </xf>
    <xf numFmtId="3" fontId="84" fillId="13" borderId="16" xfId="0" applyNumberFormat="1" applyFont="1" applyFill="1" applyBorder="1" applyAlignment="1">
      <alignment horizontal="center" vertical="center"/>
    </xf>
    <xf numFmtId="3" fontId="84" fillId="13" borderId="23" xfId="0" applyNumberFormat="1" applyFont="1" applyFill="1" applyBorder="1" applyAlignment="1">
      <alignment horizontal="center" vertical="center"/>
    </xf>
    <xf numFmtId="3" fontId="84" fillId="13" borderId="16" xfId="0" applyNumberFormat="1" applyFont="1" applyFill="1" applyBorder="1" applyAlignment="1" applyProtection="1">
      <alignment horizontal="center" vertical="center"/>
      <protection hidden="1"/>
    </xf>
    <xf numFmtId="3" fontId="84" fillId="13" borderId="23" xfId="0" applyNumberFormat="1" applyFont="1" applyFill="1" applyBorder="1" applyAlignment="1" applyProtection="1">
      <alignment horizontal="center" vertical="center"/>
      <protection hidden="1"/>
    </xf>
    <xf numFmtId="3" fontId="84" fillId="13" borderId="53" xfId="0" applyNumberFormat="1" applyFont="1" applyFill="1" applyBorder="1" applyAlignment="1" applyProtection="1">
      <alignment horizontal="center" vertical="center"/>
      <protection locked="0"/>
    </xf>
    <xf numFmtId="3" fontId="84" fillId="13" borderId="16" xfId="0" applyNumberFormat="1" applyFont="1" applyFill="1" applyBorder="1" applyAlignment="1" applyProtection="1">
      <alignment horizontal="center" vertical="center"/>
      <protection locked="0"/>
    </xf>
    <xf numFmtId="3" fontId="84" fillId="13" borderId="33" xfId="0" applyNumberFormat="1" applyFont="1" applyFill="1" applyBorder="1" applyAlignment="1" applyProtection="1">
      <alignment horizontal="center" vertical="center"/>
      <protection hidden="1"/>
    </xf>
    <xf numFmtId="3" fontId="82" fillId="13" borderId="4" xfId="0" applyNumberFormat="1" applyFont="1" applyFill="1" applyBorder="1" applyAlignment="1" applyProtection="1">
      <alignment vertical="center"/>
      <protection hidden="1"/>
    </xf>
    <xf numFmtId="0" fontId="82" fillId="13" borderId="4" xfId="0" applyFont="1" applyFill="1" applyBorder="1" applyAlignment="1" applyProtection="1">
      <alignment vertical="center"/>
      <protection hidden="1"/>
    </xf>
    <xf numFmtId="0" fontId="82" fillId="13" borderId="4" xfId="0" applyFont="1" applyFill="1" applyBorder="1" applyAlignment="1" applyProtection="1">
      <alignment horizontal="center" vertical="center"/>
      <protection hidden="1"/>
    </xf>
    <xf numFmtId="0" fontId="82" fillId="13" borderId="39" xfId="0" applyFont="1" applyFill="1" applyBorder="1" applyAlignment="1">
      <alignment horizontal="center" vertical="center"/>
    </xf>
    <xf numFmtId="0" fontId="82" fillId="13" borderId="14" xfId="0" applyFont="1" applyFill="1" applyBorder="1" applyAlignment="1">
      <alignment horizontal="center" vertical="center"/>
    </xf>
    <xf numFmtId="0" fontId="82" fillId="13" borderId="37" xfId="0" applyFont="1" applyFill="1" applyBorder="1" applyAlignment="1">
      <alignment horizontal="center" vertical="center"/>
    </xf>
    <xf numFmtId="0" fontId="80" fillId="13" borderId="41" xfId="0" applyFont="1" applyFill="1" applyBorder="1" applyAlignment="1" applyProtection="1">
      <alignment horizontal="center"/>
      <protection hidden="1"/>
    </xf>
    <xf numFmtId="0" fontId="80" fillId="13" borderId="33" xfId="0" applyFont="1" applyFill="1" applyBorder="1" applyAlignment="1" applyProtection="1">
      <alignment horizontal="center"/>
      <protection hidden="1"/>
    </xf>
    <xf numFmtId="0" fontId="78" fillId="13" borderId="42" xfId="0" applyFont="1" applyFill="1" applyBorder="1" applyAlignment="1">
      <alignment horizontal="center" vertical="center" wrapText="1"/>
    </xf>
    <xf numFmtId="0" fontId="5" fillId="4" borderId="63" xfId="0" applyFont="1" applyFill="1" applyBorder="1" applyAlignment="1" applyProtection="1">
      <alignment horizontal="right" vertical="center"/>
      <protection hidden="1"/>
    </xf>
    <xf numFmtId="0" fontId="5" fillId="4" borderId="4" xfId="0" applyFont="1" applyFill="1" applyBorder="1" applyAlignment="1" applyProtection="1">
      <alignment vertical="center"/>
      <protection hidden="1"/>
    </xf>
    <xf numFmtId="3" fontId="5" fillId="4" borderId="3" xfId="0" applyNumberFormat="1" applyFont="1" applyFill="1" applyBorder="1" applyAlignment="1" applyProtection="1">
      <alignment horizontal="center" vertical="center"/>
      <protection hidden="1"/>
    </xf>
    <xf numFmtId="3" fontId="5" fillId="4" borderId="5" xfId="0" applyNumberFormat="1" applyFont="1" applyFill="1" applyBorder="1" applyAlignment="1" applyProtection="1">
      <alignment horizontal="center" vertical="center"/>
      <protection hidden="1"/>
    </xf>
    <xf numFmtId="167" fontId="5" fillId="3" borderId="5" xfId="0" applyNumberFormat="1" applyFont="1" applyFill="1" applyBorder="1" applyAlignment="1" applyProtection="1">
      <alignment horizontal="center" vertical="center"/>
      <protection hidden="1"/>
    </xf>
    <xf numFmtId="167" fontId="5" fillId="3" borderId="6" xfId="0" applyNumberFormat="1" applyFont="1" applyFill="1" applyBorder="1" applyAlignment="1" applyProtection="1">
      <alignment horizontal="center" vertical="center"/>
      <protection hidden="1"/>
    </xf>
    <xf numFmtId="1" fontId="59" fillId="13" borderId="60" xfId="0" applyNumberFormat="1" applyFont="1" applyFill="1" applyBorder="1" applyAlignment="1" applyProtection="1">
      <alignment horizontal="center" vertical="center"/>
      <protection hidden="1"/>
    </xf>
    <xf numFmtId="1" fontId="59" fillId="13" borderId="57" xfId="0" applyNumberFormat="1" applyFont="1" applyFill="1" applyBorder="1" applyAlignment="1" applyProtection="1">
      <alignment horizontal="center" vertical="center"/>
      <protection hidden="1"/>
    </xf>
    <xf numFmtId="1" fontId="59" fillId="13" borderId="62" xfId="0" applyNumberFormat="1" applyFont="1" applyFill="1" applyBorder="1" applyAlignment="1" applyProtection="1">
      <alignment horizontal="center" vertical="center"/>
      <protection hidden="1"/>
    </xf>
    <xf numFmtId="168" fontId="80" fillId="13" borderId="62" xfId="0" applyNumberFormat="1" applyFont="1" applyFill="1" applyBorder="1" applyAlignment="1">
      <alignment horizontal="center" vertical="center"/>
    </xf>
    <xf numFmtId="168" fontId="80" fillId="13" borderId="66" xfId="0" applyNumberFormat="1" applyFont="1" applyFill="1" applyBorder="1" applyAlignment="1">
      <alignment horizontal="center" vertical="center"/>
    </xf>
    <xf numFmtId="3" fontId="82" fillId="13" borderId="29" xfId="0" applyNumberFormat="1" applyFont="1" applyFill="1" applyBorder="1" applyAlignment="1">
      <alignment horizontal="center" vertical="center"/>
    </xf>
    <xf numFmtId="3" fontId="82" fillId="13" borderId="29" xfId="0" applyNumberFormat="1" applyFont="1" applyFill="1" applyBorder="1" applyAlignment="1" applyProtection="1">
      <alignment horizontal="center" vertical="center"/>
      <protection hidden="1"/>
    </xf>
    <xf numFmtId="3" fontId="82" fillId="13" borderId="30" xfId="0" applyNumberFormat="1" applyFont="1" applyFill="1" applyBorder="1" applyAlignment="1" applyProtection="1">
      <alignment horizontal="center" vertical="center"/>
      <protection hidden="1"/>
    </xf>
    <xf numFmtId="1" fontId="59" fillId="13" borderId="60" xfId="0" applyNumberFormat="1" applyFont="1" applyFill="1" applyBorder="1" applyAlignment="1">
      <alignment horizontal="center" vertical="center"/>
    </xf>
    <xf numFmtId="0" fontId="80" fillId="13" borderId="17" xfId="0" applyFont="1" applyFill="1" applyBorder="1" applyAlignment="1" applyProtection="1">
      <alignment horizontal="center" vertical="center"/>
      <protection hidden="1"/>
    </xf>
    <xf numFmtId="0" fontId="80" fillId="13" borderId="0" xfId="0" applyFont="1" applyFill="1" applyAlignment="1">
      <alignment horizontal="center" vertical="center"/>
    </xf>
    <xf numFmtId="0" fontId="82" fillId="13" borderId="17" xfId="0" applyFont="1" applyFill="1" applyBorder="1" applyAlignment="1">
      <alignment horizontal="center" vertical="center"/>
    </xf>
    <xf numFmtId="166" fontId="39" fillId="7" borderId="148" xfId="0" applyNumberFormat="1" applyFont="1" applyFill="1" applyBorder="1" applyAlignment="1" applyProtection="1">
      <alignment horizontal="center" vertical="center"/>
      <protection locked="0"/>
    </xf>
    <xf numFmtId="0" fontId="26" fillId="0" borderId="0" xfId="0" applyFont="1" applyAlignment="1">
      <alignment horizontal="left"/>
    </xf>
    <xf numFmtId="3" fontId="53" fillId="0" borderId="32" xfId="0" applyNumberFormat="1" applyFont="1" applyBorder="1" applyAlignment="1" applyProtection="1">
      <alignment horizontal="center" vertical="center"/>
      <protection hidden="1"/>
    </xf>
    <xf numFmtId="3" fontId="40" fillId="5" borderId="32" xfId="0" applyNumberFormat="1" applyFont="1" applyFill="1" applyBorder="1" applyAlignment="1" applyProtection="1">
      <alignment horizontal="center" vertical="center"/>
      <protection hidden="1"/>
    </xf>
    <xf numFmtId="0" fontId="77" fillId="13" borderId="17" xfId="0" applyFont="1" applyFill="1" applyBorder="1" applyAlignment="1">
      <alignment horizontal="center" vertical="center"/>
    </xf>
    <xf numFmtId="0" fontId="82" fillId="13" borderId="149" xfId="0" applyFont="1" applyFill="1" applyBorder="1" applyAlignment="1">
      <alignment horizontal="center" vertical="center"/>
    </xf>
    <xf numFmtId="17" fontId="80" fillId="13" borderId="149" xfId="0" applyNumberFormat="1" applyFont="1" applyFill="1" applyBorder="1" applyAlignment="1">
      <alignment horizontal="center" vertical="center"/>
    </xf>
    <xf numFmtId="0" fontId="80" fillId="13" borderId="149"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30" fillId="0" borderId="0" xfId="0" applyFont="1" applyAlignment="1">
      <alignment horizontal="left" vertical="center"/>
    </xf>
    <xf numFmtId="0" fontId="30" fillId="0" borderId="0" xfId="0" applyFont="1" applyAlignment="1">
      <alignment horizontal="center" vertical="center"/>
    </xf>
    <xf numFmtId="167" fontId="51" fillId="0" borderId="0" xfId="0" applyNumberFormat="1" applyFont="1" applyAlignment="1" applyProtection="1">
      <alignment horizontal="center" vertical="center"/>
      <protection hidden="1"/>
    </xf>
    <xf numFmtId="17" fontId="80" fillId="13" borderId="149" xfId="0" applyNumberFormat="1" applyFont="1" applyFill="1" applyBorder="1" applyAlignment="1" applyProtection="1">
      <alignment horizontal="center" vertical="center"/>
      <protection hidden="1"/>
    </xf>
    <xf numFmtId="3" fontId="80" fillId="13" borderId="149" xfId="0" applyNumberFormat="1" applyFont="1" applyFill="1" applyBorder="1" applyAlignment="1" applyProtection="1">
      <alignment horizontal="center" vertical="center"/>
      <protection hidden="1"/>
    </xf>
    <xf numFmtId="0" fontId="82" fillId="13" borderId="0" xfId="0" applyFont="1" applyFill="1" applyAlignment="1" applyProtection="1">
      <alignment horizontal="center" vertical="center"/>
      <protection hidden="1"/>
    </xf>
    <xf numFmtId="0" fontId="59" fillId="13" borderId="0" xfId="0" applyFont="1" applyFill="1" applyAlignment="1" applyProtection="1">
      <alignment horizontal="left" vertical="center"/>
      <protection hidden="1"/>
    </xf>
    <xf numFmtId="0" fontId="82" fillId="13" borderId="0" xfId="0" applyFont="1" applyFill="1" applyAlignment="1">
      <alignment horizontal="center"/>
    </xf>
    <xf numFmtId="0" fontId="59" fillId="13" borderId="0" xfId="0" applyFont="1" applyFill="1" applyAlignment="1" applyProtection="1">
      <alignment horizontal="left" vertical="center" wrapText="1"/>
      <protection hidden="1"/>
    </xf>
    <xf numFmtId="3" fontId="82" fillId="13" borderId="126" xfId="0" applyNumberFormat="1" applyFont="1" applyFill="1" applyBorder="1" applyAlignment="1" applyProtection="1">
      <alignment horizontal="center" vertical="center"/>
      <protection hidden="1"/>
    </xf>
    <xf numFmtId="0" fontId="82" fillId="13" borderId="0" xfId="0" applyFont="1" applyFill="1" applyAlignment="1" applyProtection="1">
      <alignment horizontal="center" vertical="top"/>
      <protection hidden="1"/>
    </xf>
    <xf numFmtId="0" fontId="6" fillId="0" borderId="159" xfId="0" applyFont="1" applyBorder="1" applyAlignment="1">
      <alignment vertical="center"/>
    </xf>
    <xf numFmtId="0" fontId="0" fillId="0" borderId="159" xfId="0" applyBorder="1" applyAlignment="1">
      <alignment vertical="center"/>
    </xf>
    <xf numFmtId="3" fontId="6" fillId="0" borderId="159" xfId="0" applyNumberFormat="1" applyFont="1" applyBorder="1" applyAlignment="1">
      <alignment horizontal="right" vertical="center"/>
    </xf>
    <xf numFmtId="0" fontId="3" fillId="0" borderId="160" xfId="0" applyFont="1" applyBorder="1" applyAlignment="1" applyProtection="1">
      <alignment vertical="center"/>
      <protection hidden="1"/>
    </xf>
    <xf numFmtId="3" fontId="3" fillId="0" borderId="160" xfId="0" applyNumberFormat="1" applyFont="1" applyBorder="1" applyAlignment="1" applyProtection="1">
      <alignment horizontal="center" vertical="center"/>
      <protection hidden="1"/>
    </xf>
    <xf numFmtId="3" fontId="3" fillId="6" borderId="153" xfId="0" applyNumberFormat="1" applyFont="1" applyFill="1" applyBorder="1" applyAlignment="1" applyProtection="1">
      <alignment horizontal="center" vertical="center"/>
      <protection hidden="1"/>
    </xf>
    <xf numFmtId="167" fontId="3" fillId="0" borderId="161" xfId="0" applyNumberFormat="1" applyFont="1" applyBorder="1" applyAlignment="1" applyProtection="1">
      <alignment horizontal="center" vertical="center"/>
      <protection hidden="1"/>
    </xf>
    <xf numFmtId="0" fontId="3" fillId="6" borderId="162" xfId="0" applyFont="1" applyFill="1" applyBorder="1" applyAlignment="1" applyProtection="1">
      <alignment horizontal="center" vertical="center"/>
      <protection hidden="1"/>
    </xf>
    <xf numFmtId="167" fontId="3" fillId="0" borderId="163" xfId="0" applyNumberFormat="1" applyFont="1" applyBorder="1" applyAlignment="1" applyProtection="1">
      <alignment horizontal="center" vertical="center"/>
      <protection hidden="1"/>
    </xf>
    <xf numFmtId="0" fontId="11" fillId="0" borderId="23" xfId="0" applyFont="1" applyBorder="1" applyAlignment="1">
      <alignment horizontal="left" vertical="center"/>
    </xf>
    <xf numFmtId="0" fontId="57" fillId="0" borderId="10" xfId="0" applyFont="1" applyBorder="1" applyAlignment="1">
      <alignment horizontal="left"/>
    </xf>
    <xf numFmtId="0" fontId="11" fillId="0" borderId="10" xfId="0" applyFont="1" applyBorder="1" applyAlignment="1">
      <alignment horizontal="left" vertical="center"/>
    </xf>
    <xf numFmtId="16" fontId="11" fillId="0" borderId="20" xfId="0" quotePrefix="1" applyNumberFormat="1" applyFont="1" applyBorder="1" applyAlignment="1">
      <alignment horizontal="left" vertical="center"/>
    </xf>
    <xf numFmtId="0" fontId="0" fillId="0" borderId="7" xfId="0" applyBorder="1"/>
    <xf numFmtId="0" fontId="0" fillId="0" borderId="8" xfId="0" applyBorder="1"/>
    <xf numFmtId="0" fontId="40" fillId="0" borderId="25" xfId="0" applyFont="1" applyBorder="1" applyAlignment="1" applyProtection="1">
      <alignment vertical="center"/>
      <protection locked="0"/>
    </xf>
    <xf numFmtId="0" fontId="40" fillId="0" borderId="31" xfId="0" applyFont="1" applyBorder="1" applyAlignment="1" applyProtection="1">
      <alignment vertical="center"/>
      <protection locked="0"/>
    </xf>
    <xf numFmtId="0" fontId="40" fillId="0" borderId="0" xfId="2" applyNumberFormat="1" applyFont="1" applyBorder="1" applyAlignment="1" applyProtection="1">
      <alignment vertical="center"/>
      <protection locked="0"/>
    </xf>
    <xf numFmtId="0" fontId="40" fillId="0" borderId="31" xfId="0" applyFont="1" applyBorder="1"/>
    <xf numFmtId="0" fontId="37" fillId="0" borderId="25" xfId="0" applyFont="1" applyBorder="1" applyAlignment="1" applyProtection="1">
      <alignment vertical="center"/>
      <protection hidden="1"/>
    </xf>
    <xf numFmtId="0" fontId="10" fillId="0" borderId="31" xfId="0" applyFont="1" applyBorder="1" applyAlignment="1" applyProtection="1">
      <alignment vertical="center"/>
      <protection hidden="1"/>
    </xf>
    <xf numFmtId="0" fontId="4" fillId="0" borderId="7" xfId="0" applyFont="1" applyBorder="1" applyProtection="1">
      <protection hidden="1"/>
    </xf>
    <xf numFmtId="0" fontId="42" fillId="0" borderId="7" xfId="0" applyFont="1" applyBorder="1" applyAlignment="1">
      <alignment vertical="center"/>
    </xf>
    <xf numFmtId="0" fontId="4" fillId="0" borderId="7" xfId="0" applyFont="1" applyBorder="1"/>
    <xf numFmtId="0" fontId="4" fillId="0" borderId="8" xfId="0" applyFont="1" applyBorder="1"/>
    <xf numFmtId="0" fontId="11" fillId="0" borderId="25" xfId="0" applyFont="1" applyBorder="1" applyAlignment="1" applyProtection="1">
      <alignment vertical="center"/>
      <protection hidden="1"/>
    </xf>
    <xf numFmtId="0" fontId="11" fillId="0" borderId="18" xfId="0" applyFont="1" applyBorder="1" applyAlignment="1" applyProtection="1">
      <alignment vertical="center"/>
      <protection locked="0"/>
    </xf>
    <xf numFmtId="0" fontId="4" fillId="0" borderId="18" xfId="0" applyFont="1" applyBorder="1" applyAlignment="1" applyProtection="1">
      <alignment horizontal="left" vertical="center"/>
      <protection hidden="1"/>
    </xf>
    <xf numFmtId="0" fontId="4" fillId="0" borderId="7"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31" xfId="0" applyFont="1" applyBorder="1" applyAlignment="1" applyProtection="1">
      <alignment horizontal="left" vertical="center"/>
      <protection hidden="1"/>
    </xf>
    <xf numFmtId="0" fontId="4" fillId="0" borderId="25" xfId="0" applyFont="1" applyBorder="1" applyAlignment="1" applyProtection="1">
      <alignment horizontal="left" vertical="center"/>
      <protection hidden="1"/>
    </xf>
    <xf numFmtId="0" fontId="32" fillId="0" borderId="25" xfId="0" applyFont="1" applyBorder="1" applyAlignment="1" applyProtection="1">
      <alignment vertical="center"/>
      <protection locked="0"/>
    </xf>
    <xf numFmtId="0" fontId="11" fillId="0" borderId="25" xfId="0" applyFont="1" applyBorder="1" applyAlignment="1" applyProtection="1">
      <alignment horizontal="left" vertical="center"/>
      <protection locked="0"/>
    </xf>
    <xf numFmtId="0" fontId="37" fillId="0" borderId="0" xfId="0" applyFont="1" applyAlignment="1" applyProtection="1">
      <alignment horizontal="left" vertical="center"/>
      <protection hidden="1"/>
    </xf>
    <xf numFmtId="164" fontId="37" fillId="0" borderId="0" xfId="2" applyNumberFormat="1" applyFont="1" applyBorder="1" applyAlignment="1" applyProtection="1">
      <alignment horizontal="center" vertical="center"/>
      <protection hidden="1"/>
    </xf>
    <xf numFmtId="0" fontId="11" fillId="0" borderId="31" xfId="0" applyFont="1" applyBorder="1" applyAlignment="1" applyProtection="1">
      <alignment horizontal="left" vertical="center"/>
      <protection hidden="1"/>
    </xf>
    <xf numFmtId="0" fontId="11" fillId="0" borderId="59" xfId="0" applyFont="1" applyBorder="1" applyAlignment="1">
      <alignment vertical="center"/>
    </xf>
    <xf numFmtId="0" fontId="11" fillId="0" borderId="55" xfId="0" applyFont="1" applyBorder="1" applyAlignment="1" applyProtection="1">
      <alignment vertical="center"/>
      <protection locked="0"/>
    </xf>
    <xf numFmtId="0" fontId="11" fillId="0" borderId="9" xfId="0" applyFont="1" applyBorder="1" applyAlignment="1" applyProtection="1">
      <alignment vertical="center"/>
      <protection locked="0"/>
    </xf>
    <xf numFmtId="0" fontId="37" fillId="0" borderId="31" xfId="0" applyFont="1" applyBorder="1" applyAlignment="1" applyProtection="1">
      <alignment vertical="center"/>
      <protection hidden="1"/>
    </xf>
    <xf numFmtId="0" fontId="40" fillId="0" borderId="25" xfId="0" applyFont="1" applyBorder="1" applyAlignment="1" applyProtection="1">
      <alignment vertical="center"/>
      <protection locked="0" hidden="1"/>
    </xf>
    <xf numFmtId="0" fontId="40" fillId="0" borderId="0" xfId="0" applyFont="1" applyAlignment="1" applyProtection="1">
      <alignment vertical="center"/>
      <protection locked="0" hidden="1"/>
    </xf>
    <xf numFmtId="0" fontId="40" fillId="0" borderId="0" xfId="2" applyNumberFormat="1" applyFont="1" applyBorder="1" applyAlignment="1" applyProtection="1">
      <alignment vertical="center"/>
      <protection locked="0" hidden="1"/>
    </xf>
    <xf numFmtId="0" fontId="40" fillId="0" borderId="31" xfId="0" applyFont="1" applyBorder="1" applyAlignment="1" applyProtection="1">
      <alignment vertical="center"/>
      <protection locked="0" hidden="1"/>
    </xf>
    <xf numFmtId="0" fontId="3" fillId="0" borderId="43" xfId="0" applyFont="1" applyBorder="1" applyAlignment="1">
      <alignment horizontal="center" vertical="center"/>
    </xf>
    <xf numFmtId="0" fontId="10" fillId="0" borderId="123" xfId="0" applyFont="1" applyBorder="1" applyAlignment="1" applyProtection="1">
      <alignment vertical="center"/>
      <protection hidden="1"/>
    </xf>
    <xf numFmtId="0" fontId="10" fillId="0" borderId="124" xfId="0" applyFont="1" applyBorder="1" applyAlignment="1" applyProtection="1">
      <alignment vertical="center"/>
      <protection hidden="1"/>
    </xf>
    <xf numFmtId="16" fontId="11" fillId="0" borderId="10" xfId="0" quotePrefix="1" applyNumberFormat="1" applyFont="1" applyBorder="1" applyAlignment="1">
      <alignment horizontal="left" vertical="center"/>
    </xf>
    <xf numFmtId="0" fontId="11" fillId="0" borderId="165" xfId="0" applyFont="1" applyBorder="1" applyAlignment="1">
      <alignment horizontal="left" vertical="center"/>
    </xf>
    <xf numFmtId="0" fontId="11" fillId="0" borderId="166" xfId="0" applyFont="1" applyBorder="1" applyAlignment="1">
      <alignment horizontal="left" vertical="center"/>
    </xf>
    <xf numFmtId="0" fontId="11" fillId="0" borderId="89" xfId="0" applyFont="1" applyBorder="1" applyAlignment="1">
      <alignment horizontal="left" vertical="center"/>
    </xf>
    <xf numFmtId="0" fontId="11" fillId="0" borderId="90" xfId="0" applyFont="1" applyBorder="1" applyAlignment="1">
      <alignment horizontal="left" vertical="center"/>
    </xf>
    <xf numFmtId="2" fontId="39" fillId="7" borderId="44" xfId="0" applyNumberFormat="1" applyFont="1" applyFill="1" applyBorder="1" applyAlignment="1" applyProtection="1">
      <alignment horizontal="center" vertical="center"/>
      <protection locked="0"/>
    </xf>
    <xf numFmtId="2" fontId="39" fillId="7" borderId="17" xfId="0" applyNumberFormat="1" applyFont="1" applyFill="1" applyBorder="1" applyAlignment="1" applyProtection="1">
      <alignment horizontal="center" vertical="center"/>
      <protection locked="0"/>
    </xf>
    <xf numFmtId="0" fontId="10" fillId="0" borderId="125" xfId="0" applyFont="1" applyBorder="1" applyAlignment="1" applyProtection="1">
      <alignment horizontal="center" vertical="center"/>
      <protection hidden="1"/>
    </xf>
    <xf numFmtId="0" fontId="7" fillId="0" borderId="0" xfId="0" applyFont="1" applyAlignment="1" applyProtection="1">
      <alignment horizontal="center"/>
      <protection hidden="1"/>
    </xf>
    <xf numFmtId="3" fontId="6" fillId="0" borderId="130" xfId="0" applyNumberFormat="1" applyFont="1" applyBorder="1" applyAlignment="1" applyProtection="1">
      <alignment horizontal="center" vertical="center"/>
      <protection hidden="1"/>
    </xf>
    <xf numFmtId="3" fontId="6" fillId="0" borderId="167" xfId="0" applyNumberFormat="1" applyFont="1" applyBorder="1" applyAlignment="1" applyProtection="1">
      <alignment horizontal="center" vertical="center"/>
      <protection hidden="1"/>
    </xf>
    <xf numFmtId="3" fontId="3" fillId="0" borderId="168" xfId="0" applyNumberFormat="1" applyFont="1" applyBorder="1" applyAlignment="1" applyProtection="1">
      <alignment horizontal="center" vertical="center"/>
      <protection hidden="1"/>
    </xf>
    <xf numFmtId="0" fontId="3" fillId="6" borderId="169" xfId="0" applyFont="1" applyFill="1" applyBorder="1" applyAlignment="1" applyProtection="1">
      <alignment vertical="center"/>
      <protection hidden="1"/>
    </xf>
    <xf numFmtId="167" fontId="3" fillId="0" borderId="169" xfId="0" applyNumberFormat="1" applyFont="1" applyBorder="1" applyAlignment="1" applyProtection="1">
      <alignment horizontal="center" vertical="center"/>
      <protection hidden="1"/>
    </xf>
    <xf numFmtId="3" fontId="3" fillId="0" borderId="158" xfId="0" applyNumberFormat="1" applyFont="1" applyBorder="1" applyAlignment="1" applyProtection="1">
      <alignment horizontal="center" vertical="center"/>
      <protection hidden="1"/>
    </xf>
    <xf numFmtId="0" fontId="3" fillId="6" borderId="146" xfId="0" applyFont="1" applyFill="1" applyBorder="1" applyAlignment="1" applyProtection="1">
      <alignment horizontal="center" vertical="center"/>
      <protection hidden="1"/>
    </xf>
    <xf numFmtId="167" fontId="3" fillId="8" borderId="146" xfId="0" applyNumberFormat="1" applyFont="1" applyFill="1" applyBorder="1" applyAlignment="1" applyProtection="1">
      <alignment horizontal="center" vertical="center"/>
      <protection hidden="1"/>
    </xf>
    <xf numFmtId="3" fontId="3" fillId="0" borderId="115" xfId="0" applyNumberFormat="1" applyFont="1" applyBorder="1" applyAlignment="1" applyProtection="1">
      <alignment horizontal="center" vertical="center"/>
      <protection hidden="1"/>
    </xf>
    <xf numFmtId="3" fontId="6" fillId="7" borderId="44" xfId="0" applyNumberFormat="1" applyFont="1" applyFill="1" applyBorder="1" applyAlignment="1" applyProtection="1">
      <alignment horizontal="center" vertical="center"/>
      <protection locked="0"/>
    </xf>
    <xf numFmtId="0" fontId="3" fillId="0" borderId="0" xfId="0" applyFont="1" applyAlignment="1" applyProtection="1">
      <alignment horizontal="right" shrinkToFit="1"/>
      <protection hidden="1"/>
    </xf>
    <xf numFmtId="167" fontId="65" fillId="0" borderId="0" xfId="0" applyNumberFormat="1" applyFont="1" applyAlignment="1" applyProtection="1">
      <alignment horizontal="left" vertical="center"/>
      <protection hidden="1"/>
    </xf>
    <xf numFmtId="0" fontId="82" fillId="13" borderId="0" xfId="0" applyFont="1" applyFill="1" applyAlignment="1">
      <alignment horizontal="center" vertical="center"/>
    </xf>
    <xf numFmtId="167" fontId="87" fillId="0" borderId="0" xfId="0" applyNumberFormat="1" applyFont="1" applyAlignment="1" applyProtection="1">
      <alignment horizontal="left" vertical="center"/>
      <protection hidden="1"/>
    </xf>
    <xf numFmtId="0" fontId="0" fillId="0" borderId="7" xfId="0" applyBorder="1" applyAlignment="1">
      <alignment vertical="center"/>
    </xf>
    <xf numFmtId="0" fontId="8" fillId="0" borderId="7" xfId="0" applyFont="1" applyBorder="1" applyAlignment="1">
      <alignment horizontal="left"/>
    </xf>
    <xf numFmtId="0" fontId="10" fillId="7" borderId="19" xfId="0" applyFont="1" applyFill="1" applyBorder="1" applyAlignment="1" applyProtection="1">
      <alignment horizontal="center" vertical="center"/>
      <protection locked="0"/>
    </xf>
    <xf numFmtId="0" fontId="79" fillId="13" borderId="19" xfId="0" applyFont="1" applyFill="1" applyBorder="1" applyAlignment="1">
      <alignment horizontal="center" vertical="center"/>
    </xf>
    <xf numFmtId="0" fontId="11" fillId="0" borderId="49" xfId="0" applyFont="1" applyBorder="1" applyAlignment="1">
      <alignment horizontal="center" vertical="center"/>
    </xf>
    <xf numFmtId="0" fontId="11" fillId="0" borderId="23" xfId="0" applyFont="1" applyBorder="1" applyAlignment="1">
      <alignment horizontal="center" vertical="center"/>
    </xf>
    <xf numFmtId="167" fontId="11" fillId="5" borderId="17" xfId="0" applyNumberFormat="1" applyFont="1" applyFill="1" applyBorder="1" applyAlignment="1">
      <alignment horizontal="center" vertical="center"/>
    </xf>
    <xf numFmtId="0" fontId="5" fillId="0" borderId="10" xfId="0" applyFont="1" applyBorder="1" applyAlignment="1">
      <alignment vertical="center"/>
    </xf>
    <xf numFmtId="1" fontId="5" fillId="7" borderId="32" xfId="0" applyNumberFormat="1" applyFont="1" applyFill="1" applyBorder="1" applyAlignment="1" applyProtection="1">
      <alignment horizontal="center" vertical="center"/>
      <protection locked="0"/>
    </xf>
    <xf numFmtId="1" fontId="5" fillId="7" borderId="32" xfId="0" applyNumberFormat="1" applyFont="1" applyFill="1" applyBorder="1" applyAlignment="1" applyProtection="1">
      <alignment horizontal="center" vertical="center"/>
      <protection locked="0" hidden="1"/>
    </xf>
    <xf numFmtId="167" fontId="0" fillId="0" borderId="0" xfId="0" applyNumberFormat="1" applyAlignment="1">
      <alignment horizontal="right"/>
    </xf>
    <xf numFmtId="167" fontId="11" fillId="0" borderId="60" xfId="0" applyNumberFormat="1" applyFont="1" applyBorder="1" applyAlignment="1" applyProtection="1">
      <alignment horizontal="right"/>
      <protection hidden="1"/>
    </xf>
    <xf numFmtId="0" fontId="11" fillId="0" borderId="23" xfId="0" applyFont="1" applyBorder="1" applyAlignment="1">
      <alignment horizontal="center"/>
    </xf>
    <xf numFmtId="167" fontId="11" fillId="0" borderId="19" xfId="0" applyNumberFormat="1" applyFont="1" applyBorder="1" applyAlignment="1" applyProtection="1">
      <alignment horizontal="center"/>
      <protection hidden="1"/>
    </xf>
    <xf numFmtId="167" fontId="11" fillId="0" borderId="60" xfId="0" applyNumberFormat="1" applyFont="1" applyBorder="1" applyAlignment="1" applyProtection="1">
      <alignment horizontal="center"/>
      <protection hidden="1"/>
    </xf>
    <xf numFmtId="3" fontId="5" fillId="0" borderId="17" xfId="0" applyNumberFormat="1" applyFont="1" applyBorder="1" applyAlignment="1" applyProtection="1">
      <alignment horizontal="center"/>
      <protection hidden="1"/>
    </xf>
    <xf numFmtId="0" fontId="11" fillId="0" borderId="60" xfId="0" applyFont="1" applyBorder="1" applyAlignment="1" applyProtection="1">
      <alignment vertical="center"/>
      <protection hidden="1"/>
    </xf>
    <xf numFmtId="167" fontId="11" fillId="0" borderId="60" xfId="0" applyNumberFormat="1" applyFont="1" applyBorder="1" applyAlignment="1" applyProtection="1">
      <alignment horizontal="right" vertical="center"/>
      <protection hidden="1"/>
    </xf>
    <xf numFmtId="0" fontId="5" fillId="0" borderId="17" xfId="0" applyFont="1" applyBorder="1" applyAlignment="1" applyProtection="1">
      <alignment horizontal="center" vertical="center"/>
      <protection hidden="1"/>
    </xf>
    <xf numFmtId="49" fontId="5" fillId="0" borderId="23" xfId="0" applyNumberFormat="1" applyFont="1" applyBorder="1" applyAlignment="1" applyProtection="1">
      <alignment horizontal="center" vertical="center"/>
      <protection hidden="1"/>
    </xf>
    <xf numFmtId="0" fontId="11" fillId="0" borderId="20" xfId="0" applyFont="1" applyBorder="1" applyAlignment="1">
      <alignment horizontal="center" vertical="center"/>
    </xf>
    <xf numFmtId="0" fontId="10" fillId="0" borderId="10" xfId="0" applyFont="1" applyBorder="1" applyAlignment="1">
      <alignment vertical="center"/>
    </xf>
    <xf numFmtId="0" fontId="11" fillId="0" borderId="67" xfId="0" applyFont="1" applyBorder="1" applyAlignment="1">
      <alignment vertical="center"/>
    </xf>
    <xf numFmtId="0" fontId="11" fillId="13" borderId="63" xfId="0" applyFont="1" applyFill="1" applyBorder="1" applyAlignment="1">
      <alignment horizontal="center" vertical="center"/>
    </xf>
    <xf numFmtId="0" fontId="80" fillId="13" borderId="43" xfId="0" applyFont="1" applyFill="1" applyBorder="1" applyAlignment="1">
      <alignment horizontal="center"/>
    </xf>
    <xf numFmtId="0" fontId="11" fillId="0" borderId="171" xfId="0" applyFont="1" applyBorder="1" applyAlignment="1" applyProtection="1">
      <alignment horizontal="center" vertical="center"/>
      <protection hidden="1"/>
    </xf>
    <xf numFmtId="1" fontId="10" fillId="5" borderId="32" xfId="0" applyNumberFormat="1" applyFont="1" applyFill="1" applyBorder="1" applyAlignment="1" applyProtection="1">
      <alignment horizontal="center" vertical="center"/>
      <protection hidden="1"/>
    </xf>
    <xf numFmtId="0" fontId="11" fillId="0" borderId="172" xfId="0" applyFont="1" applyBorder="1" applyAlignment="1" applyProtection="1">
      <alignment horizontal="center" vertical="center"/>
      <protection hidden="1"/>
    </xf>
    <xf numFmtId="166" fontId="11" fillId="5" borderId="17" xfId="0" applyNumberFormat="1" applyFont="1" applyFill="1" applyBorder="1" applyAlignment="1" applyProtection="1">
      <alignment horizontal="center" vertical="center"/>
      <protection hidden="1"/>
    </xf>
    <xf numFmtId="166" fontId="11" fillId="0" borderId="17" xfId="0" applyNumberFormat="1" applyFont="1" applyBorder="1" applyAlignment="1" applyProtection="1">
      <alignment horizontal="center" vertical="center"/>
      <protection hidden="1"/>
    </xf>
    <xf numFmtId="166" fontId="11" fillId="7" borderId="17" xfId="0" applyNumberFormat="1" applyFont="1" applyFill="1" applyBorder="1" applyAlignment="1" applyProtection="1">
      <alignment horizontal="center" vertical="center"/>
      <protection locked="0"/>
    </xf>
    <xf numFmtId="0" fontId="11" fillId="0" borderId="23" xfId="0" applyFont="1" applyBorder="1" applyAlignment="1" applyProtection="1">
      <alignment horizontal="center" vertical="center"/>
      <protection hidden="1"/>
    </xf>
    <xf numFmtId="0" fontId="10" fillId="0" borderId="16" xfId="0" applyFont="1" applyBorder="1" applyAlignment="1" applyProtection="1">
      <alignment horizontal="left" vertical="center"/>
      <protection hidden="1"/>
    </xf>
    <xf numFmtId="0" fontId="10" fillId="0" borderId="69" xfId="0" applyFont="1" applyBorder="1" applyAlignment="1" applyProtection="1">
      <alignment horizontal="left" vertical="center"/>
      <protection hidden="1"/>
    </xf>
    <xf numFmtId="0" fontId="3" fillId="0" borderId="62" xfId="0" applyFont="1" applyBorder="1" applyAlignment="1">
      <alignment horizontal="center" vertical="center"/>
    </xf>
    <xf numFmtId="0" fontId="6" fillId="7" borderId="32" xfId="0" applyFont="1" applyFill="1" applyBorder="1" applyAlignment="1" applyProtection="1">
      <alignment horizontal="left" vertical="center"/>
      <protection locked="0"/>
    </xf>
    <xf numFmtId="3" fontId="6" fillId="0" borderId="29" xfId="0" applyNumberFormat="1" applyFont="1" applyBorder="1" applyAlignment="1" applyProtection="1">
      <alignment horizontal="center" vertical="center"/>
      <protection hidden="1"/>
    </xf>
    <xf numFmtId="0" fontId="6" fillId="7" borderId="17" xfId="0" applyFont="1" applyFill="1" applyBorder="1" applyAlignment="1" applyProtection="1">
      <alignment horizontal="left" vertical="center"/>
      <protection locked="0"/>
    </xf>
    <xf numFmtId="3" fontId="3" fillId="0" borderId="17" xfId="0" applyNumberFormat="1" applyFont="1" applyBorder="1" applyAlignment="1" applyProtection="1">
      <alignment horizontal="center" vertical="center"/>
      <protection hidden="1"/>
    </xf>
    <xf numFmtId="0" fontId="6" fillId="7" borderId="84" xfId="0" applyFont="1" applyFill="1" applyBorder="1" applyAlignment="1" applyProtection="1">
      <alignment horizontal="left" vertical="center"/>
      <protection locked="0"/>
    </xf>
    <xf numFmtId="3" fontId="6" fillId="0" borderId="84" xfId="0" applyNumberFormat="1" applyFont="1" applyBorder="1" applyAlignment="1" applyProtection="1">
      <alignment horizontal="center" vertical="center"/>
      <protection hidden="1"/>
    </xf>
    <xf numFmtId="0" fontId="82" fillId="13" borderId="49" xfId="0" applyFont="1" applyFill="1" applyBorder="1" applyAlignment="1">
      <alignment horizontal="left" vertical="center"/>
    </xf>
    <xf numFmtId="0" fontId="82" fillId="13" borderId="170" xfId="0" applyFont="1" applyFill="1" applyBorder="1" applyAlignment="1">
      <alignment horizontal="center" vertical="center"/>
    </xf>
    <xf numFmtId="0" fontId="6" fillId="7" borderId="60" xfId="0" applyFont="1" applyFill="1" applyBorder="1" applyAlignment="1" applyProtection="1">
      <alignment horizontal="left" vertical="center"/>
      <protection locked="0"/>
    </xf>
    <xf numFmtId="3" fontId="6" fillId="7" borderId="0" xfId="0" applyNumberFormat="1" applyFont="1" applyFill="1" applyAlignment="1" applyProtection="1">
      <alignment horizontal="center" vertical="center"/>
      <protection locked="0"/>
    </xf>
    <xf numFmtId="3" fontId="6" fillId="0" borderId="60" xfId="0" applyNumberFormat="1" applyFont="1" applyBorder="1" applyAlignment="1" applyProtection="1">
      <alignment horizontal="center" vertical="center"/>
      <protection hidden="1"/>
    </xf>
    <xf numFmtId="3" fontId="84" fillId="13" borderId="170" xfId="0" applyNumberFormat="1" applyFont="1" applyFill="1" applyBorder="1" applyAlignment="1" applyProtection="1">
      <alignment horizontal="center" vertical="center"/>
      <protection hidden="1"/>
    </xf>
    <xf numFmtId="0" fontId="6" fillId="7" borderId="17" xfId="0" applyFont="1" applyFill="1" applyBorder="1" applyAlignment="1" applyProtection="1">
      <alignment vertical="center"/>
      <protection locked="0"/>
    </xf>
    <xf numFmtId="0" fontId="6" fillId="7" borderId="19" xfId="0" applyFont="1" applyFill="1" applyBorder="1" applyAlignment="1" applyProtection="1">
      <alignment vertical="center"/>
      <protection locked="0"/>
    </xf>
    <xf numFmtId="3" fontId="6" fillId="0" borderId="0" xfId="0" applyNumberFormat="1" applyFont="1" applyAlignment="1" applyProtection="1">
      <alignment horizontal="center" vertical="center"/>
      <protection hidden="1"/>
    </xf>
    <xf numFmtId="0" fontId="6" fillId="7" borderId="36" xfId="0" applyFont="1" applyFill="1" applyBorder="1" applyAlignment="1" applyProtection="1">
      <alignment horizontal="left" vertical="center"/>
      <protection locked="0"/>
    </xf>
    <xf numFmtId="3" fontId="84" fillId="13" borderId="32" xfId="0" applyNumberFormat="1" applyFont="1" applyFill="1" applyBorder="1" applyAlignment="1" applyProtection="1">
      <alignment horizontal="center" vertical="center"/>
      <protection hidden="1"/>
    </xf>
    <xf numFmtId="3" fontId="6" fillId="0" borderId="0" xfId="0" applyNumberFormat="1" applyFont="1" applyAlignment="1">
      <alignment horizontal="center" vertical="center"/>
    </xf>
    <xf numFmtId="0" fontId="6" fillId="7" borderId="84" xfId="0" applyFont="1" applyFill="1" applyBorder="1" applyAlignment="1" applyProtection="1">
      <alignment vertical="center"/>
      <protection locked="0"/>
    </xf>
    <xf numFmtId="0" fontId="3" fillId="0" borderId="63" xfId="0" applyFont="1" applyBorder="1" applyAlignment="1">
      <alignment vertical="center"/>
    </xf>
    <xf numFmtId="0" fontId="82" fillId="13" borderId="6" xfId="0" applyFont="1" applyFill="1" applyBorder="1" applyAlignment="1">
      <alignment vertical="center"/>
    </xf>
    <xf numFmtId="0" fontId="82" fillId="13" borderId="36" xfId="0" applyFont="1" applyFill="1" applyBorder="1" applyAlignment="1">
      <alignment horizontal="center" vertical="center"/>
    </xf>
    <xf numFmtId="0" fontId="3" fillId="8" borderId="62" xfId="0" applyFont="1" applyFill="1" applyBorder="1" applyAlignment="1" applyProtection="1">
      <alignment horizontal="left" vertical="center" indent="1"/>
      <protection hidden="1"/>
    </xf>
    <xf numFmtId="0" fontId="3" fillId="0" borderId="6" xfId="0" applyFont="1" applyBorder="1" applyAlignment="1">
      <alignment horizontal="left" vertical="center" indent="1"/>
    </xf>
    <xf numFmtId="0" fontId="3" fillId="0" borderId="6" xfId="0" applyFont="1" applyBorder="1" applyAlignment="1">
      <alignment horizontal="left" vertical="center" wrapText="1" indent="1"/>
    </xf>
    <xf numFmtId="0" fontId="3" fillId="0" borderId="25" xfId="0" applyFont="1" applyBorder="1" applyAlignment="1">
      <alignment horizontal="left" vertical="center" indent="1"/>
    </xf>
    <xf numFmtId="0" fontId="3" fillId="0" borderId="122" xfId="0" applyFont="1" applyBorder="1" applyAlignment="1">
      <alignment horizontal="left" vertical="center" indent="1"/>
    </xf>
    <xf numFmtId="0" fontId="6" fillId="0" borderId="16" xfId="0" applyFont="1" applyBorder="1" applyAlignment="1">
      <alignment horizontal="center" vertical="center"/>
    </xf>
    <xf numFmtId="0" fontId="11" fillId="0" borderId="16" xfId="0" applyFont="1" applyBorder="1" applyAlignment="1">
      <alignment horizontal="center" vertical="center"/>
    </xf>
    <xf numFmtId="0" fontId="4" fillId="0" borderId="16" xfId="0" applyFont="1" applyBorder="1" applyAlignment="1">
      <alignment horizontal="center" vertical="center"/>
    </xf>
    <xf numFmtId="0" fontId="3" fillId="7" borderId="17" xfId="0" applyFont="1" applyFill="1" applyBorder="1" applyAlignment="1" applyProtection="1">
      <alignment vertical="center"/>
      <protection locked="0"/>
    </xf>
    <xf numFmtId="164" fontId="6" fillId="7" borderId="32" xfId="0" applyNumberFormat="1" applyFont="1" applyFill="1" applyBorder="1" applyAlignment="1" applyProtection="1">
      <alignment horizontal="center" vertical="center"/>
      <protection locked="0"/>
    </xf>
    <xf numFmtId="0" fontId="22" fillId="0" borderId="25" xfId="0" applyFont="1" applyBorder="1" applyAlignment="1">
      <alignment horizontal="center" vertical="center" wrapText="1"/>
    </xf>
    <xf numFmtId="0" fontId="22" fillId="0" borderId="0" xfId="0" applyFont="1" applyAlignment="1">
      <alignment horizontal="center" vertical="center" wrapText="1"/>
    </xf>
    <xf numFmtId="1" fontId="59" fillId="13" borderId="0" xfId="0" applyNumberFormat="1" applyFont="1" applyFill="1" applyAlignment="1" applyProtection="1">
      <alignment horizontal="center" vertical="center"/>
      <protection hidden="1"/>
    </xf>
    <xf numFmtId="0" fontId="82" fillId="13" borderId="19" xfId="0" applyFont="1" applyFill="1" applyBorder="1" applyAlignment="1">
      <alignment horizontal="center" vertical="center"/>
    </xf>
    <xf numFmtId="1" fontId="59" fillId="13" borderId="32" xfId="0" applyNumberFormat="1" applyFont="1" applyFill="1" applyBorder="1" applyAlignment="1" applyProtection="1">
      <alignment horizontal="center" vertical="center"/>
      <protection hidden="1"/>
    </xf>
    <xf numFmtId="164" fontId="6" fillId="7" borderId="18" xfId="0" applyNumberFormat="1" applyFont="1" applyFill="1" applyBorder="1" applyAlignment="1" applyProtection="1">
      <alignment horizontal="center" vertical="center"/>
      <protection locked="0"/>
    </xf>
    <xf numFmtId="164" fontId="6" fillId="7" borderId="19" xfId="0" applyNumberFormat="1" applyFont="1" applyFill="1" applyBorder="1" applyAlignment="1" applyProtection="1">
      <alignment horizontal="center" vertical="center"/>
      <protection locked="0"/>
    </xf>
    <xf numFmtId="0" fontId="6" fillId="7" borderId="20" xfId="0" applyFont="1" applyFill="1" applyBorder="1" applyAlignment="1" applyProtection="1">
      <alignment horizontal="center" vertical="center"/>
      <protection locked="0"/>
    </xf>
    <xf numFmtId="3" fontId="40" fillId="7" borderId="60" xfId="0" applyNumberFormat="1" applyFont="1" applyFill="1" applyBorder="1" applyAlignment="1" applyProtection="1">
      <alignment horizontal="center" vertical="center"/>
      <protection locked="0" hidden="1"/>
    </xf>
    <xf numFmtId="3" fontId="40" fillId="7" borderId="17" xfId="0" applyNumberFormat="1" applyFont="1" applyFill="1" applyBorder="1" applyAlignment="1" applyProtection="1">
      <alignment horizontal="center" vertical="center"/>
      <protection locked="0" hidden="1"/>
    </xf>
    <xf numFmtId="3" fontId="40" fillId="7" borderId="85" xfId="0" applyNumberFormat="1" applyFont="1" applyFill="1" applyBorder="1" applyAlignment="1" applyProtection="1">
      <alignment horizontal="center" vertical="center"/>
      <protection locked="0" hidden="1"/>
    </xf>
    <xf numFmtId="3" fontId="39" fillId="7" borderId="60" xfId="0" applyNumberFormat="1" applyFont="1" applyFill="1" applyBorder="1" applyAlignment="1" applyProtection="1">
      <alignment horizontal="center" vertical="center"/>
      <protection locked="0" hidden="1"/>
    </xf>
    <xf numFmtId="3" fontId="11" fillId="0" borderId="33" xfId="0" applyNumberFormat="1" applyFont="1" applyBorder="1" applyAlignment="1" applyProtection="1">
      <alignment horizontal="center" vertical="center"/>
      <protection hidden="1"/>
    </xf>
    <xf numFmtId="9" fontId="11" fillId="3" borderId="32" xfId="0" applyNumberFormat="1" applyFont="1" applyFill="1" applyBorder="1" applyAlignment="1">
      <alignment horizontal="center" vertical="center"/>
    </xf>
    <xf numFmtId="164" fontId="11" fillId="7" borderId="32" xfId="0" applyNumberFormat="1" applyFont="1" applyFill="1" applyBorder="1" applyAlignment="1" applyProtection="1">
      <alignment horizontal="center" vertical="center"/>
      <protection locked="0"/>
    </xf>
    <xf numFmtId="1" fontId="10" fillId="0" borderId="0" xfId="0" applyNumberFormat="1" applyFont="1" applyAlignment="1" applyProtection="1">
      <alignment horizontal="left" vertical="center"/>
      <protection locked="0"/>
    </xf>
    <xf numFmtId="1" fontId="10" fillId="0" borderId="20" xfId="0" applyNumberFormat="1" applyFont="1" applyBorder="1" applyAlignment="1" applyProtection="1">
      <alignment horizontal="left" vertical="center"/>
      <protection locked="0"/>
    </xf>
    <xf numFmtId="0" fontId="11" fillId="0" borderId="23" xfId="0" applyFont="1" applyBorder="1"/>
    <xf numFmtId="1" fontId="11" fillId="0" borderId="23" xfId="0" applyNumberFormat="1" applyFont="1" applyBorder="1" applyAlignment="1" applyProtection="1">
      <alignment horizontal="left" vertical="center"/>
      <protection locked="0"/>
    </xf>
    <xf numFmtId="1" fontId="11" fillId="0" borderId="16" xfId="0" applyNumberFormat="1" applyFont="1" applyBorder="1" applyAlignment="1" applyProtection="1">
      <alignment horizontal="left" vertical="center"/>
      <protection locked="0"/>
    </xf>
    <xf numFmtId="0" fontId="16" fillId="0" borderId="7" xfId="0" applyFont="1" applyBorder="1"/>
    <xf numFmtId="0" fontId="11" fillId="0" borderId="7" xfId="0" applyFont="1" applyBorder="1" applyAlignment="1">
      <alignment vertical="center"/>
    </xf>
    <xf numFmtId="0" fontId="11" fillId="0" borderId="8" xfId="0" applyFont="1" applyBorder="1" applyAlignment="1">
      <alignment vertical="center"/>
    </xf>
    <xf numFmtId="0" fontId="11" fillId="0" borderId="25" xfId="0" applyFont="1" applyBorder="1" applyAlignment="1">
      <alignment horizontal="left" vertical="center"/>
    </xf>
    <xf numFmtId="0" fontId="11" fillId="0" borderId="0" xfId="1" applyFont="1" applyAlignment="1" applyProtection="1">
      <alignment vertical="center"/>
      <protection locked="0"/>
    </xf>
    <xf numFmtId="0" fontId="11" fillId="0" borderId="18" xfId="0" applyFont="1" applyBorder="1" applyAlignment="1">
      <alignment vertical="center"/>
    </xf>
    <xf numFmtId="0" fontId="0" fillId="0" borderId="16" xfId="0" applyBorder="1" applyAlignment="1" applyProtection="1">
      <alignment horizontal="left" vertical="center"/>
      <protection locked="0"/>
    </xf>
    <xf numFmtId="0" fontId="6" fillId="0" borderId="23" xfId="0" applyFont="1" applyBorder="1" applyAlignment="1">
      <alignment horizontal="left" vertical="center"/>
    </xf>
    <xf numFmtId="0" fontId="6" fillId="0" borderId="23"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11" fillId="0" borderId="23"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7" fillId="0" borderId="17" xfId="0" applyFont="1" applyBorder="1" applyAlignment="1">
      <alignment horizontal="center" vertical="center"/>
    </xf>
    <xf numFmtId="0" fontId="2" fillId="0" borderId="0" xfId="0" applyFont="1" applyAlignment="1">
      <alignment vertical="center"/>
    </xf>
    <xf numFmtId="0" fontId="10" fillId="6" borderId="4" xfId="0" applyFont="1" applyFill="1" applyBorder="1" applyAlignment="1" applyProtection="1">
      <alignment horizontal="center" vertical="center"/>
      <protection hidden="1"/>
    </xf>
    <xf numFmtId="3" fontId="10" fillId="6" borderId="3" xfId="0" applyNumberFormat="1" applyFont="1" applyFill="1" applyBorder="1" applyAlignment="1">
      <alignment horizontal="center" vertical="center"/>
    </xf>
    <xf numFmtId="3" fontId="10" fillId="6" borderId="47" xfId="0" applyNumberFormat="1" applyFont="1" applyFill="1" applyBorder="1" applyAlignment="1">
      <alignment horizontal="center" vertical="center"/>
    </xf>
    <xf numFmtId="3" fontId="10" fillId="0" borderId="47" xfId="0" applyNumberFormat="1" applyFont="1" applyBorder="1" applyAlignment="1">
      <alignment horizontal="center" vertical="center"/>
    </xf>
    <xf numFmtId="9" fontId="11" fillId="7" borderId="173" xfId="2" applyFont="1" applyFill="1" applyBorder="1" applyAlignment="1" applyProtection="1">
      <alignment horizontal="center" vertical="center"/>
      <protection locked="0"/>
    </xf>
    <xf numFmtId="9" fontId="11" fillId="7" borderId="46" xfId="2" applyFont="1" applyFill="1" applyBorder="1" applyAlignment="1" applyProtection="1">
      <alignment horizontal="center" vertical="center"/>
      <protection locked="0"/>
    </xf>
    <xf numFmtId="3" fontId="11" fillId="0" borderId="10" xfId="0" applyNumberFormat="1" applyFont="1" applyBorder="1" applyAlignment="1" applyProtection="1">
      <alignment horizontal="center" vertical="center"/>
      <protection hidden="1"/>
    </xf>
    <xf numFmtId="3" fontId="39" fillId="5" borderId="19" xfId="0" applyNumberFormat="1" applyFont="1" applyFill="1" applyBorder="1" applyAlignment="1" applyProtection="1">
      <alignment horizontal="center" vertical="center"/>
      <protection hidden="1"/>
    </xf>
    <xf numFmtId="3" fontId="11" fillId="0" borderId="7" xfId="0" applyNumberFormat="1" applyFont="1" applyBorder="1" applyAlignment="1" applyProtection="1">
      <alignment horizontal="center" vertical="center"/>
      <protection hidden="1"/>
    </xf>
    <xf numFmtId="3" fontId="2" fillId="0" borderId="0" xfId="0" applyNumberFormat="1" applyFont="1" applyAlignment="1" applyProtection="1">
      <alignment horizontal="center" vertical="center"/>
      <protection hidden="1"/>
    </xf>
    <xf numFmtId="0" fontId="11" fillId="0" borderId="20" xfId="0" applyFont="1" applyBorder="1" applyAlignment="1">
      <alignment horizontal="left"/>
    </xf>
    <xf numFmtId="167" fontId="11" fillId="0" borderId="17" xfId="0" applyNumberFormat="1" applyFont="1" applyBorder="1" applyAlignment="1" applyProtection="1">
      <alignment horizontal="right" vertical="center"/>
      <protection hidden="1"/>
    </xf>
    <xf numFmtId="166" fontId="11" fillId="0" borderId="17" xfId="2" applyNumberFormat="1" applyFont="1" applyBorder="1" applyProtection="1">
      <protection hidden="1"/>
    </xf>
    <xf numFmtId="166" fontId="11" fillId="0" borderId="17" xfId="2" applyNumberFormat="1" applyFont="1" applyBorder="1" applyAlignment="1" applyProtection="1">
      <alignment horizontal="right" vertical="center"/>
      <protection hidden="1"/>
    </xf>
    <xf numFmtId="167" fontId="11" fillId="0" borderId="19" xfId="0" applyNumberFormat="1" applyFont="1" applyBorder="1" applyAlignment="1" applyProtection="1">
      <alignment horizontal="right" vertical="center"/>
      <protection hidden="1"/>
    </xf>
    <xf numFmtId="3" fontId="3" fillId="0" borderId="47" xfId="0" applyNumberFormat="1" applyFont="1" applyBorder="1" applyAlignment="1">
      <alignment horizontal="center" vertical="center"/>
    </xf>
    <xf numFmtId="3" fontId="3" fillId="0" borderId="5" xfId="0" applyNumberFormat="1" applyFont="1" applyBorder="1" applyAlignment="1">
      <alignment horizontal="center" vertical="center"/>
    </xf>
    <xf numFmtId="0" fontId="5" fillId="12" borderId="0" xfId="0" applyFont="1" applyFill="1" applyAlignment="1">
      <alignment horizontal="center" vertical="center"/>
    </xf>
    <xf numFmtId="0" fontId="49" fillId="12" borderId="0" xfId="0" applyFont="1" applyFill="1" applyAlignment="1">
      <alignment horizontal="center"/>
    </xf>
    <xf numFmtId="0" fontId="10" fillId="12" borderId="0" xfId="0" applyFont="1" applyFill="1" applyAlignment="1">
      <alignment horizontal="center" vertical="center"/>
    </xf>
    <xf numFmtId="0" fontId="53" fillId="12" borderId="0" xfId="0" applyFont="1" applyFill="1" applyAlignment="1">
      <alignment horizontal="center" vertical="center"/>
    </xf>
    <xf numFmtId="166" fontId="6" fillId="0" borderId="175" xfId="0" applyNumberFormat="1" applyFont="1" applyBorder="1" applyAlignment="1" applyProtection="1">
      <alignment horizontal="center" vertical="center"/>
      <protection hidden="1"/>
    </xf>
    <xf numFmtId="166" fontId="6" fillId="0" borderId="176" xfId="0" applyNumberFormat="1" applyFont="1" applyBorder="1" applyAlignment="1" applyProtection="1">
      <alignment horizontal="center" vertical="center"/>
      <protection hidden="1"/>
    </xf>
    <xf numFmtId="0" fontId="3" fillId="6" borderId="177" xfId="0" applyFont="1" applyFill="1" applyBorder="1" applyAlignment="1" applyProtection="1">
      <alignment horizontal="center" vertical="center"/>
      <protection hidden="1"/>
    </xf>
    <xf numFmtId="0" fontId="3" fillId="0" borderId="174" xfId="0" applyFont="1" applyBorder="1" applyAlignment="1">
      <alignment horizontal="center"/>
    </xf>
    <xf numFmtId="167" fontId="6" fillId="0" borderId="179" xfId="0" applyNumberFormat="1" applyFont="1" applyBorder="1" applyAlignment="1" applyProtection="1">
      <alignment horizontal="center" vertical="center"/>
      <protection hidden="1"/>
    </xf>
    <xf numFmtId="167" fontId="6" fillId="0" borderId="175" xfId="0" applyNumberFormat="1" applyFont="1" applyBorder="1" applyAlignment="1" applyProtection="1">
      <alignment horizontal="center" vertical="center"/>
      <protection hidden="1"/>
    </xf>
    <xf numFmtId="167" fontId="6" fillId="0" borderId="180" xfId="0" applyNumberFormat="1" applyFont="1" applyBorder="1" applyAlignment="1" applyProtection="1">
      <alignment horizontal="center" vertical="center"/>
      <protection hidden="1"/>
    </xf>
    <xf numFmtId="167" fontId="6" fillId="0" borderId="176" xfId="0" applyNumberFormat="1" applyFont="1" applyBorder="1" applyAlignment="1" applyProtection="1">
      <alignment horizontal="center" vertical="center"/>
      <protection hidden="1"/>
    </xf>
    <xf numFmtId="167" fontId="3" fillId="0" borderId="177" xfId="0" applyNumberFormat="1" applyFont="1" applyBorder="1" applyAlignment="1" applyProtection="1">
      <alignment horizontal="center" vertical="center"/>
      <protection hidden="1"/>
    </xf>
    <xf numFmtId="0" fontId="3" fillId="0" borderId="182" xfId="0" applyFont="1" applyBorder="1" applyAlignment="1" applyProtection="1">
      <alignment horizontal="left" vertical="center"/>
      <protection hidden="1"/>
    </xf>
    <xf numFmtId="3" fontId="3" fillId="0" borderId="179" xfId="0" applyNumberFormat="1" applyFont="1" applyBorder="1" applyAlignment="1" applyProtection="1">
      <alignment horizontal="center" vertical="center"/>
      <protection hidden="1"/>
    </xf>
    <xf numFmtId="166" fontId="3" fillId="0" borderId="175" xfId="2" applyNumberFormat="1" applyFont="1" applyFill="1" applyBorder="1" applyAlignment="1" applyProtection="1">
      <alignment horizontal="center" vertical="center"/>
      <protection hidden="1"/>
    </xf>
    <xf numFmtId="167" fontId="3" fillId="0" borderId="175" xfId="0" applyNumberFormat="1" applyFont="1" applyBorder="1" applyAlignment="1" applyProtection="1">
      <alignment horizontal="center" vertical="center"/>
      <protection hidden="1"/>
    </xf>
    <xf numFmtId="0" fontId="6" fillId="0" borderId="183" xfId="0" applyFont="1" applyBorder="1" applyAlignment="1" applyProtection="1">
      <alignment horizontal="left" vertical="center"/>
      <protection hidden="1"/>
    </xf>
    <xf numFmtId="0" fontId="6" fillId="0" borderId="182" xfId="0" applyFont="1" applyBorder="1" applyAlignment="1" applyProtection="1">
      <alignment horizontal="left" vertical="center"/>
      <protection hidden="1"/>
    </xf>
    <xf numFmtId="0" fontId="6" fillId="0" borderId="184" xfId="0" applyFont="1" applyBorder="1" applyAlignment="1" applyProtection="1">
      <alignment horizontal="left" vertical="center"/>
      <protection hidden="1"/>
    </xf>
    <xf numFmtId="0" fontId="3" fillId="8" borderId="183" xfId="0" applyFont="1" applyFill="1" applyBorder="1" applyAlignment="1" applyProtection="1">
      <alignment vertical="center"/>
      <protection hidden="1"/>
    </xf>
    <xf numFmtId="166" fontId="6" fillId="0" borderId="175" xfId="2" applyNumberFormat="1" applyFont="1" applyFill="1" applyBorder="1" applyAlignment="1" applyProtection="1">
      <alignment horizontal="center" vertical="center"/>
      <protection hidden="1"/>
    </xf>
    <xf numFmtId="166" fontId="6" fillId="0" borderId="176" xfId="2" applyNumberFormat="1" applyFont="1" applyFill="1" applyBorder="1" applyAlignment="1" applyProtection="1">
      <alignment horizontal="center" vertical="center"/>
      <protection hidden="1"/>
    </xf>
    <xf numFmtId="167" fontId="3" fillId="8" borderId="181" xfId="0" applyNumberFormat="1" applyFont="1" applyFill="1" applyBorder="1" applyAlignment="1" applyProtection="1">
      <alignment horizontal="center" vertical="center"/>
      <protection hidden="1"/>
    </xf>
    <xf numFmtId="167" fontId="3" fillId="8" borderId="177" xfId="0" applyNumberFormat="1" applyFont="1" applyFill="1" applyBorder="1" applyAlignment="1" applyProtection="1">
      <alignment horizontal="center" vertical="center"/>
      <protection hidden="1"/>
    </xf>
    <xf numFmtId="0" fontId="6" fillId="0" borderId="185" xfId="0" applyFont="1" applyBorder="1" applyAlignment="1" applyProtection="1">
      <alignment horizontal="left" vertical="center"/>
      <protection hidden="1"/>
    </xf>
    <xf numFmtId="167" fontId="6" fillId="0" borderId="186" xfId="0" applyNumberFormat="1" applyFont="1" applyBorder="1" applyAlignment="1" applyProtection="1">
      <alignment horizontal="center" vertical="center"/>
      <protection hidden="1"/>
    </xf>
    <xf numFmtId="0" fontId="6" fillId="0" borderId="133" xfId="0" applyFont="1" applyBorder="1" applyAlignment="1" applyProtection="1">
      <alignment horizontal="center" vertical="center"/>
      <protection hidden="1"/>
    </xf>
    <xf numFmtId="166" fontId="6" fillId="0" borderId="187" xfId="2" applyNumberFormat="1" applyFont="1" applyFill="1" applyBorder="1" applyAlignment="1" applyProtection="1">
      <alignment horizontal="center" vertical="center"/>
      <protection hidden="1"/>
    </xf>
    <xf numFmtId="167" fontId="6" fillId="0" borderId="187" xfId="0" applyNumberFormat="1" applyFont="1" applyBorder="1" applyAlignment="1" applyProtection="1">
      <alignment horizontal="center" vertical="center"/>
      <protection hidden="1"/>
    </xf>
    <xf numFmtId="167" fontId="6" fillId="0" borderId="181" xfId="0" applyNumberFormat="1" applyFont="1" applyBorder="1" applyAlignment="1" applyProtection="1">
      <alignment horizontal="center" vertical="center"/>
      <protection hidden="1"/>
    </xf>
    <xf numFmtId="1" fontId="6" fillId="0" borderId="146" xfId="0" applyNumberFormat="1" applyFont="1" applyBorder="1" applyAlignment="1" applyProtection="1">
      <alignment horizontal="center" vertical="center"/>
      <protection hidden="1"/>
    </xf>
    <xf numFmtId="166" fontId="6" fillId="0" borderId="177" xfId="2" applyNumberFormat="1" applyFont="1" applyFill="1" applyBorder="1" applyAlignment="1" applyProtection="1">
      <alignment horizontal="center" vertical="center"/>
      <protection hidden="1"/>
    </xf>
    <xf numFmtId="167" fontId="6" fillId="0" borderId="146" xfId="0" applyNumberFormat="1" applyFont="1" applyBorder="1" applyAlignment="1" applyProtection="1">
      <alignment horizontal="center" vertical="center"/>
      <protection hidden="1"/>
    </xf>
    <xf numFmtId="167" fontId="6" fillId="0" borderId="177" xfId="0" applyNumberFormat="1" applyFont="1" applyBorder="1" applyAlignment="1" applyProtection="1">
      <alignment horizontal="center" vertical="center"/>
      <protection hidden="1"/>
    </xf>
    <xf numFmtId="0" fontId="6" fillId="0" borderId="182" xfId="0" applyFont="1" applyBorder="1" applyAlignment="1" applyProtection="1">
      <alignment vertical="center"/>
      <protection hidden="1"/>
    </xf>
    <xf numFmtId="0" fontId="6" fillId="0" borderId="184" xfId="0" applyFont="1" applyBorder="1" applyAlignment="1" applyProtection="1">
      <alignment vertical="center"/>
      <protection hidden="1"/>
    </xf>
    <xf numFmtId="0" fontId="3" fillId="0" borderId="188" xfId="0" applyFont="1" applyBorder="1" applyAlignment="1" applyProtection="1">
      <alignment vertical="center"/>
      <protection hidden="1"/>
    </xf>
    <xf numFmtId="3" fontId="6" fillId="0" borderId="179" xfId="0" applyNumberFormat="1" applyFont="1" applyBorder="1" applyAlignment="1" applyProtection="1">
      <alignment horizontal="center" vertical="center"/>
      <protection hidden="1"/>
    </xf>
    <xf numFmtId="3" fontId="6" fillId="0" borderId="180" xfId="0" applyNumberFormat="1" applyFont="1" applyBorder="1" applyAlignment="1" applyProtection="1">
      <alignment horizontal="center" vertical="center"/>
      <protection hidden="1"/>
    </xf>
    <xf numFmtId="3" fontId="3" fillId="0" borderId="189" xfId="0" applyNumberFormat="1" applyFont="1" applyBorder="1" applyAlignment="1" applyProtection="1">
      <alignment horizontal="center" vertical="center"/>
      <protection hidden="1"/>
    </xf>
    <xf numFmtId="164" fontId="3" fillId="6" borderId="188" xfId="0" applyNumberFormat="1" applyFont="1" applyFill="1" applyBorder="1" applyAlignment="1" applyProtection="1">
      <alignment horizontal="center" vertical="center"/>
      <protection hidden="1"/>
    </xf>
    <xf numFmtId="167" fontId="6" fillId="0" borderId="156" xfId="0" applyNumberFormat="1" applyFont="1" applyBorder="1" applyAlignment="1" applyProtection="1">
      <alignment horizontal="center" vertical="center"/>
      <protection hidden="1"/>
    </xf>
    <xf numFmtId="167" fontId="6" fillId="0" borderId="190" xfId="0" applyNumberFormat="1" applyFont="1" applyBorder="1" applyAlignment="1" applyProtection="1">
      <alignment horizontal="center" vertical="center"/>
      <protection hidden="1"/>
    </xf>
    <xf numFmtId="167" fontId="3" fillId="0" borderId="191" xfId="0" applyNumberFormat="1" applyFont="1" applyBorder="1" applyAlignment="1" applyProtection="1">
      <alignment horizontal="center" vertical="center"/>
      <protection hidden="1"/>
    </xf>
    <xf numFmtId="167" fontId="3" fillId="0" borderId="192" xfId="0" applyNumberFormat="1" applyFont="1" applyBorder="1" applyAlignment="1" applyProtection="1">
      <alignment horizontal="center" vertical="center"/>
      <protection hidden="1"/>
    </xf>
    <xf numFmtId="167" fontId="3" fillId="0" borderId="156" xfId="0" applyNumberFormat="1" applyFont="1" applyBorder="1" applyAlignment="1" applyProtection="1">
      <alignment horizontal="center" vertical="center"/>
      <protection hidden="1"/>
    </xf>
    <xf numFmtId="167" fontId="3" fillId="0" borderId="193" xfId="0" applyNumberFormat="1" applyFont="1" applyBorder="1" applyAlignment="1" applyProtection="1">
      <alignment horizontal="center" vertical="center"/>
      <protection hidden="1"/>
    </xf>
    <xf numFmtId="3" fontId="6" fillId="0" borderId="194" xfId="0" applyNumberFormat="1" applyFont="1" applyBorder="1" applyAlignment="1" applyProtection="1">
      <alignment horizontal="center" vertical="center"/>
      <protection hidden="1"/>
    </xf>
    <xf numFmtId="3" fontId="6" fillId="0" borderId="195" xfId="0" applyNumberFormat="1" applyFont="1" applyBorder="1" applyAlignment="1" applyProtection="1">
      <alignment horizontal="center" vertical="center"/>
      <protection hidden="1"/>
    </xf>
    <xf numFmtId="3" fontId="3" fillId="0" borderId="196" xfId="0" applyNumberFormat="1" applyFont="1" applyBorder="1" applyAlignment="1" applyProtection="1">
      <alignment horizontal="center" vertical="center"/>
      <protection hidden="1"/>
    </xf>
    <xf numFmtId="3" fontId="3" fillId="6" borderId="154" xfId="0" applyNumberFormat="1" applyFont="1" applyFill="1" applyBorder="1" applyAlignment="1" applyProtection="1">
      <alignment horizontal="center" vertical="center"/>
      <protection hidden="1"/>
    </xf>
    <xf numFmtId="3" fontId="3" fillId="6" borderId="197" xfId="0" applyNumberFormat="1" applyFont="1" applyFill="1" applyBorder="1" applyAlignment="1" applyProtection="1">
      <alignment horizontal="center" vertical="center"/>
      <protection hidden="1"/>
    </xf>
    <xf numFmtId="167" fontId="3" fillId="0" borderId="158" xfId="0" applyNumberFormat="1" applyFont="1" applyBorder="1" applyAlignment="1" applyProtection="1">
      <alignment horizontal="center" vertical="center"/>
      <protection hidden="1"/>
    </xf>
    <xf numFmtId="0" fontId="3" fillId="6" borderId="198" xfId="0" applyFont="1" applyFill="1" applyBorder="1" applyAlignment="1" applyProtection="1">
      <alignment vertical="center"/>
      <protection hidden="1"/>
    </xf>
    <xf numFmtId="167" fontId="3" fillId="0" borderId="198" xfId="0" applyNumberFormat="1" applyFont="1" applyBorder="1" applyAlignment="1" applyProtection="1">
      <alignment horizontal="center" vertical="center"/>
      <protection hidden="1"/>
    </xf>
    <xf numFmtId="167" fontId="3" fillId="0" borderId="199" xfId="0" applyNumberFormat="1" applyFont="1" applyBorder="1" applyAlignment="1" applyProtection="1">
      <alignment horizontal="center" vertical="center"/>
      <protection hidden="1"/>
    </xf>
    <xf numFmtId="0" fontId="3" fillId="0" borderId="201" xfId="0" applyFont="1" applyBorder="1" applyAlignment="1" applyProtection="1">
      <alignment horizontal="left" vertical="center" wrapText="1"/>
      <protection hidden="1"/>
    </xf>
    <xf numFmtId="166" fontId="3" fillId="0" borderId="201" xfId="0" applyNumberFormat="1" applyFont="1" applyBorder="1" applyAlignment="1" applyProtection="1">
      <alignment horizontal="center" vertical="center" wrapText="1"/>
      <protection hidden="1"/>
    </xf>
    <xf numFmtId="166" fontId="3" fillId="0" borderId="202" xfId="0" applyNumberFormat="1" applyFont="1" applyBorder="1" applyAlignment="1" applyProtection="1">
      <alignment horizontal="center" vertical="center" wrapText="1"/>
      <protection hidden="1"/>
    </xf>
    <xf numFmtId="0" fontId="3" fillId="0" borderId="203" xfId="0" applyFont="1" applyBorder="1" applyAlignment="1" applyProtection="1">
      <alignment vertical="center"/>
      <protection hidden="1"/>
    </xf>
    <xf numFmtId="0" fontId="3" fillId="3" borderId="10" xfId="0" applyFont="1" applyFill="1" applyBorder="1" applyAlignment="1" applyProtection="1">
      <alignment horizontal="left" vertical="center" wrapText="1"/>
      <protection hidden="1"/>
    </xf>
    <xf numFmtId="0" fontId="64" fillId="3" borderId="10" xfId="0" applyFont="1" applyFill="1" applyBorder="1" applyAlignment="1" applyProtection="1">
      <alignment horizontal="center" vertical="center" wrapText="1"/>
      <protection hidden="1"/>
    </xf>
    <xf numFmtId="0" fontId="3" fillId="3" borderId="10" xfId="0" applyFont="1" applyFill="1" applyBorder="1" applyAlignment="1" applyProtection="1">
      <alignment horizontal="center" vertical="center"/>
      <protection hidden="1"/>
    </xf>
    <xf numFmtId="0" fontId="3" fillId="3" borderId="204" xfId="0" applyFont="1" applyFill="1" applyBorder="1" applyAlignment="1" applyProtection="1">
      <alignment horizontal="left" vertical="center" wrapText="1"/>
      <protection hidden="1"/>
    </xf>
    <xf numFmtId="167" fontId="6" fillId="3" borderId="204" xfId="0" applyNumberFormat="1" applyFont="1" applyFill="1" applyBorder="1" applyAlignment="1" applyProtection="1">
      <alignment horizontal="center" vertical="center"/>
      <protection hidden="1"/>
    </xf>
    <xf numFmtId="1" fontId="6" fillId="3" borderId="204" xfId="0" applyNumberFormat="1" applyFont="1" applyFill="1" applyBorder="1" applyAlignment="1" applyProtection="1">
      <alignment horizontal="center" vertical="center"/>
      <protection hidden="1"/>
    </xf>
    <xf numFmtId="166" fontId="6" fillId="3" borderId="204" xfId="0" applyNumberFormat="1" applyFont="1" applyFill="1" applyBorder="1" applyAlignment="1" applyProtection="1">
      <alignment horizontal="center" vertical="center"/>
      <protection hidden="1"/>
    </xf>
    <xf numFmtId="3" fontId="6" fillId="3" borderId="204" xfId="0" applyNumberFormat="1" applyFont="1" applyFill="1" applyBorder="1" applyAlignment="1" applyProtection="1">
      <alignment horizontal="center" vertical="center"/>
      <protection hidden="1"/>
    </xf>
    <xf numFmtId="0" fontId="3" fillId="3" borderId="205" xfId="0" applyFont="1" applyFill="1" applyBorder="1" applyAlignment="1" applyProtection="1">
      <alignment horizontal="left" vertical="center" wrapText="1"/>
      <protection hidden="1"/>
    </xf>
    <xf numFmtId="167" fontId="6" fillId="3" borderId="205" xfId="0" applyNumberFormat="1" applyFont="1" applyFill="1" applyBorder="1" applyAlignment="1" applyProtection="1">
      <alignment horizontal="center" vertical="center"/>
      <protection hidden="1"/>
    </xf>
    <xf numFmtId="1" fontId="6" fillId="3" borderId="205" xfId="0" applyNumberFormat="1" applyFont="1" applyFill="1" applyBorder="1" applyAlignment="1" applyProtection="1">
      <alignment horizontal="center" vertical="center"/>
      <protection hidden="1"/>
    </xf>
    <xf numFmtId="166" fontId="6" fillId="3" borderId="205" xfId="0" applyNumberFormat="1" applyFont="1" applyFill="1" applyBorder="1" applyAlignment="1" applyProtection="1">
      <alignment horizontal="center" vertical="center"/>
      <protection hidden="1"/>
    </xf>
    <xf numFmtId="3" fontId="6" fillId="3" borderId="205" xfId="0" applyNumberFormat="1" applyFont="1" applyFill="1" applyBorder="1" applyAlignment="1" applyProtection="1">
      <alignment horizontal="center" vertical="center"/>
      <protection hidden="1"/>
    </xf>
    <xf numFmtId="0" fontId="3" fillId="0" borderId="206" xfId="0" applyFont="1" applyBorder="1" applyAlignment="1" applyProtection="1">
      <alignment horizontal="center" vertical="center"/>
      <protection hidden="1"/>
    </xf>
    <xf numFmtId="0" fontId="3" fillId="0" borderId="16" xfId="0" applyFont="1" applyBorder="1" applyAlignment="1" applyProtection="1">
      <alignment horizontal="center" vertical="center"/>
      <protection hidden="1"/>
    </xf>
    <xf numFmtId="0" fontId="3" fillId="0" borderId="207" xfId="0" applyFont="1" applyBorder="1" applyAlignment="1" applyProtection="1">
      <alignment horizontal="center" vertical="center"/>
      <protection hidden="1"/>
    </xf>
    <xf numFmtId="0" fontId="3" fillId="0" borderId="207" xfId="0" applyFont="1" applyBorder="1" applyAlignment="1" applyProtection="1">
      <alignment horizontal="center" vertical="center" wrapText="1"/>
      <protection hidden="1"/>
    </xf>
    <xf numFmtId="0" fontId="71" fillId="0" borderId="0" xfId="0" applyFont="1" applyAlignment="1" applyProtection="1">
      <alignment vertical="center"/>
      <protection hidden="1"/>
    </xf>
    <xf numFmtId="0" fontId="86" fillId="0" borderId="0" xfId="0" applyFont="1" applyAlignment="1" applyProtection="1">
      <alignment vertical="center"/>
      <protection hidden="1"/>
    </xf>
    <xf numFmtId="0" fontId="71" fillId="0" borderId="0" xfId="0" applyFont="1" applyProtection="1">
      <protection hidden="1"/>
    </xf>
    <xf numFmtId="0" fontId="86" fillId="0" borderId="0" xfId="0" applyFont="1" applyProtection="1">
      <protection hidden="1"/>
    </xf>
    <xf numFmtId="0" fontId="86" fillId="0" borderId="0" xfId="0" applyFont="1" applyAlignment="1" applyProtection="1">
      <alignment horizontal="left"/>
      <protection hidden="1"/>
    </xf>
    <xf numFmtId="0" fontId="89" fillId="0" borderId="0" xfId="0" applyFont="1" applyProtection="1">
      <protection hidden="1"/>
    </xf>
    <xf numFmtId="0" fontId="89" fillId="0" borderId="0" xfId="0" applyFont="1" applyAlignment="1" applyProtection="1">
      <alignment vertical="center"/>
      <protection hidden="1"/>
    </xf>
    <xf numFmtId="166" fontId="6" fillId="0" borderId="211" xfId="0" applyNumberFormat="1" applyFont="1" applyBorder="1" applyAlignment="1" applyProtection="1">
      <alignment horizontal="center" vertical="center"/>
      <protection hidden="1"/>
    </xf>
    <xf numFmtId="166" fontId="6" fillId="0" borderId="212" xfId="0" applyNumberFormat="1" applyFont="1" applyBorder="1" applyAlignment="1" applyProtection="1">
      <alignment horizontal="center" vertical="center"/>
      <protection hidden="1"/>
    </xf>
    <xf numFmtId="0" fontId="3" fillId="0" borderId="0" xfId="0" applyFont="1" applyAlignment="1">
      <alignment horizontal="left" vertical="center" wrapText="1"/>
    </xf>
    <xf numFmtId="0" fontId="6" fillId="0" borderId="214" xfId="0" applyFont="1" applyBorder="1" applyAlignment="1" applyProtection="1">
      <alignment horizontal="left" vertical="center"/>
      <protection hidden="1"/>
    </xf>
    <xf numFmtId="3" fontId="3" fillId="0" borderId="181" xfId="0" applyNumberFormat="1" applyFont="1" applyBorder="1" applyAlignment="1" applyProtection="1">
      <alignment horizontal="center" vertical="center"/>
      <protection hidden="1"/>
    </xf>
    <xf numFmtId="0" fontId="3" fillId="0" borderId="210" xfId="0" applyFont="1" applyBorder="1" applyAlignment="1">
      <alignment horizontal="center"/>
    </xf>
    <xf numFmtId="167" fontId="6" fillId="0" borderId="211" xfId="0" applyNumberFormat="1" applyFont="1" applyBorder="1" applyAlignment="1" applyProtection="1">
      <alignment horizontal="center" vertical="center"/>
      <protection hidden="1"/>
    </xf>
    <xf numFmtId="167" fontId="6" fillId="0" borderId="212" xfId="0" applyNumberFormat="1" applyFont="1" applyBorder="1" applyAlignment="1" applyProtection="1">
      <alignment horizontal="center" vertical="center"/>
      <protection hidden="1"/>
    </xf>
    <xf numFmtId="167" fontId="3" fillId="0" borderId="213" xfId="0" applyNumberFormat="1" applyFont="1" applyBorder="1" applyAlignment="1" applyProtection="1">
      <alignment horizontal="center" vertical="center"/>
      <protection hidden="1"/>
    </xf>
    <xf numFmtId="167" fontId="3" fillId="0" borderId="211" xfId="0" applyNumberFormat="1" applyFont="1" applyBorder="1" applyAlignment="1" applyProtection="1">
      <alignment horizontal="center" vertical="center"/>
      <protection hidden="1"/>
    </xf>
    <xf numFmtId="166" fontId="6" fillId="0" borderId="215" xfId="0" applyNumberFormat="1" applyFont="1" applyBorder="1" applyAlignment="1" applyProtection="1">
      <alignment horizontal="center" vertical="center"/>
      <protection hidden="1"/>
    </xf>
    <xf numFmtId="166" fontId="6" fillId="0" borderId="216" xfId="0" applyNumberFormat="1" applyFont="1" applyBorder="1" applyAlignment="1" applyProtection="1">
      <alignment horizontal="center" vertical="center"/>
      <protection hidden="1"/>
    </xf>
    <xf numFmtId="166" fontId="6" fillId="0" borderId="217" xfId="0" applyNumberFormat="1" applyFont="1" applyBorder="1" applyAlignment="1" applyProtection="1">
      <alignment horizontal="center" vertical="center"/>
      <protection hidden="1"/>
    </xf>
    <xf numFmtId="167" fontId="3" fillId="8" borderId="213" xfId="0" applyNumberFormat="1" applyFont="1" applyFill="1" applyBorder="1" applyAlignment="1" applyProtection="1">
      <alignment horizontal="center" vertical="center"/>
      <protection hidden="1"/>
    </xf>
    <xf numFmtId="167" fontId="3" fillId="0" borderId="218" xfId="0" applyNumberFormat="1" applyFont="1" applyBorder="1" applyAlignment="1" applyProtection="1">
      <alignment horizontal="center" vertical="center"/>
      <protection hidden="1"/>
    </xf>
    <xf numFmtId="0" fontId="82" fillId="13" borderId="128" xfId="0" applyFont="1" applyFill="1" applyBorder="1" applyAlignment="1">
      <alignment horizontal="left" vertical="center" indent="1"/>
    </xf>
    <xf numFmtId="0" fontId="2" fillId="2" borderId="0" xfId="0" applyFont="1" applyFill="1" applyAlignment="1">
      <alignment horizontal="right"/>
    </xf>
    <xf numFmtId="0" fontId="2" fillId="2" borderId="0" xfId="0" applyFont="1" applyFill="1"/>
    <xf numFmtId="164" fontId="2" fillId="2" borderId="0" xfId="0" applyNumberFormat="1" applyFont="1" applyFill="1" applyProtection="1">
      <protection hidden="1"/>
    </xf>
    <xf numFmtId="4" fontId="2" fillId="2" borderId="0" xfId="0" applyNumberFormat="1" applyFont="1" applyFill="1" applyProtection="1">
      <protection hidden="1"/>
    </xf>
    <xf numFmtId="49" fontId="2" fillId="2" borderId="0" xfId="0" applyNumberFormat="1" applyFont="1" applyFill="1" applyAlignment="1">
      <alignment horizontal="right"/>
    </xf>
    <xf numFmtId="167" fontId="2" fillId="2" borderId="0" xfId="0" applyNumberFormat="1" applyFont="1" applyFill="1"/>
    <xf numFmtId="0" fontId="36" fillId="0" borderId="0" xfId="0" applyFont="1" applyAlignment="1">
      <alignment vertical="center"/>
    </xf>
    <xf numFmtId="3" fontId="11" fillId="0" borderId="61" xfId="0" applyNumberFormat="1" applyFont="1" applyBorder="1" applyAlignment="1" applyProtection="1">
      <alignment horizontal="center" vertical="center"/>
      <protection hidden="1"/>
    </xf>
    <xf numFmtId="0" fontId="6" fillId="0" borderId="0" xfId="0" applyFont="1" applyAlignment="1" applyProtection="1">
      <alignment horizontal="right"/>
      <protection hidden="1"/>
    </xf>
    <xf numFmtId="164" fontId="56" fillId="7" borderId="32" xfId="2" applyNumberFormat="1" applyFont="1" applyFill="1" applyBorder="1" applyAlignment="1" applyProtection="1">
      <alignment horizontal="center" vertical="center"/>
      <protection locked="0"/>
    </xf>
    <xf numFmtId="164" fontId="56" fillId="7" borderId="33" xfId="2" applyNumberFormat="1" applyFont="1" applyFill="1" applyBorder="1" applyAlignment="1" applyProtection="1">
      <alignment horizontal="center" vertical="center"/>
      <protection locked="0"/>
    </xf>
    <xf numFmtId="166" fontId="11" fillId="0" borderId="45" xfId="0" applyNumberFormat="1" applyFont="1" applyBorder="1" applyAlignment="1">
      <alignment horizontal="right" vertical="center"/>
    </xf>
    <xf numFmtId="166" fontId="11" fillId="0" borderId="46" xfId="0" applyNumberFormat="1" applyFont="1" applyBorder="1" applyAlignment="1">
      <alignment horizontal="right" vertical="center"/>
    </xf>
    <xf numFmtId="166" fontId="10" fillId="0" borderId="77" xfId="0" applyNumberFormat="1" applyFont="1" applyBorder="1" applyAlignment="1">
      <alignment horizontal="right" vertical="center"/>
    </xf>
    <xf numFmtId="0" fontId="84" fillId="13" borderId="49" xfId="0" applyFont="1" applyFill="1" applyBorder="1" applyAlignment="1">
      <alignment vertical="center"/>
    </xf>
    <xf numFmtId="0" fontId="84" fillId="13" borderId="32" xfId="0" applyFont="1" applyFill="1" applyBorder="1" applyAlignment="1">
      <alignment horizontal="left" vertical="center"/>
    </xf>
    <xf numFmtId="3" fontId="6" fillId="8" borderId="53" xfId="0" applyNumberFormat="1" applyFont="1" applyFill="1" applyBorder="1" applyAlignment="1">
      <alignment horizontal="center" vertical="center"/>
    </xf>
    <xf numFmtId="0" fontId="43" fillId="0" borderId="0" xfId="0" applyFont="1" applyAlignment="1" applyProtection="1">
      <alignment vertical="center"/>
      <protection hidden="1"/>
    </xf>
    <xf numFmtId="0" fontId="35" fillId="0" borderId="0" xfId="0" applyFont="1" applyProtection="1">
      <protection hidden="1"/>
    </xf>
    <xf numFmtId="3" fontId="11" fillId="0" borderId="0" xfId="0" applyNumberFormat="1" applyFont="1" applyAlignment="1" applyProtection="1">
      <alignment horizontal="center"/>
      <protection hidden="1"/>
    </xf>
    <xf numFmtId="0" fontId="11" fillId="0" borderId="143" xfId="0" applyFont="1" applyBorder="1" applyProtection="1">
      <protection hidden="1"/>
    </xf>
    <xf numFmtId="3" fontId="11" fillId="0" borderId="143" xfId="0" applyNumberFormat="1" applyFont="1" applyBorder="1" applyAlignment="1" applyProtection="1">
      <alignment horizontal="center"/>
      <protection hidden="1"/>
    </xf>
    <xf numFmtId="3" fontId="11" fillId="0" borderId="144" xfId="0" applyNumberFormat="1" applyFont="1" applyBorder="1" applyAlignment="1" applyProtection="1">
      <alignment horizontal="center"/>
      <protection hidden="1"/>
    </xf>
    <xf numFmtId="0" fontId="11" fillId="0" borderId="16" xfId="0" applyFont="1" applyBorder="1" applyAlignment="1" applyProtection="1">
      <alignment horizontal="left"/>
      <protection hidden="1"/>
    </xf>
    <xf numFmtId="0" fontId="11" fillId="0" borderId="59" xfId="0" applyFont="1" applyBorder="1" applyAlignment="1" applyProtection="1">
      <alignment horizontal="left"/>
      <protection hidden="1"/>
    </xf>
    <xf numFmtId="0" fontId="0" fillId="0" borderId="10" xfId="0" applyBorder="1" applyProtection="1">
      <protection hidden="1"/>
    </xf>
    <xf numFmtId="0" fontId="0" fillId="0" borderId="44" xfId="0" applyBorder="1" applyProtection="1">
      <protection hidden="1"/>
    </xf>
    <xf numFmtId="0" fontId="11" fillId="0" borderId="76" xfId="0" applyFont="1" applyBorder="1" applyAlignment="1">
      <alignment horizontal="right" vertical="center"/>
    </xf>
    <xf numFmtId="3" fontId="11" fillId="0" borderId="45" xfId="0" applyNumberFormat="1" applyFont="1" applyBorder="1" applyAlignment="1">
      <alignment horizontal="right" vertical="center"/>
    </xf>
    <xf numFmtId="3" fontId="11" fillId="0" borderId="45" xfId="0" quotePrefix="1" applyNumberFormat="1" applyFont="1" applyBorder="1" applyAlignment="1">
      <alignment horizontal="right" vertical="center"/>
    </xf>
    <xf numFmtId="3" fontId="11" fillId="0" borderId="34" xfId="0" applyNumberFormat="1" applyFont="1" applyBorder="1" applyAlignment="1">
      <alignment horizontal="right" vertical="center"/>
    </xf>
    <xf numFmtId="0" fontId="11" fillId="7" borderId="10" xfId="0" applyFont="1" applyFill="1" applyBorder="1" applyAlignment="1" applyProtection="1">
      <alignment horizontal="left" vertical="center"/>
      <protection locked="0"/>
    </xf>
    <xf numFmtId="0" fontId="11" fillId="0" borderId="25" xfId="0" applyFont="1" applyBorder="1" applyAlignment="1">
      <alignment horizontal="center" vertical="center"/>
    </xf>
    <xf numFmtId="0" fontId="11" fillId="7" borderId="16" xfId="0" applyFont="1" applyFill="1" applyBorder="1" applyAlignment="1" applyProtection="1">
      <alignment horizontal="left" vertical="center"/>
      <protection locked="0"/>
    </xf>
    <xf numFmtId="0" fontId="10" fillId="0" borderId="10" xfId="0" applyFont="1" applyBorder="1" applyAlignment="1" applyProtection="1">
      <alignment horizontal="left" vertical="center" indent="1"/>
      <protection hidden="1"/>
    </xf>
    <xf numFmtId="0" fontId="11" fillId="0" borderId="10" xfId="0" applyFont="1" applyBorder="1" applyAlignment="1" applyProtection="1">
      <alignment horizontal="center" vertical="center"/>
      <protection hidden="1"/>
    </xf>
    <xf numFmtId="3" fontId="10" fillId="0" borderId="10" xfId="0" applyNumberFormat="1" applyFont="1" applyBorder="1" applyAlignment="1" applyProtection="1">
      <alignment horizontal="center" vertical="center"/>
      <protection hidden="1"/>
    </xf>
    <xf numFmtId="3" fontId="10" fillId="0" borderId="10" xfId="0" applyNumberFormat="1" applyFont="1" applyBorder="1" applyAlignment="1" applyProtection="1">
      <alignment horizontal="center"/>
      <protection hidden="1"/>
    </xf>
    <xf numFmtId="3" fontId="6" fillId="0" borderId="17" xfId="0" applyNumberFormat="1" applyFont="1" applyBorder="1" applyAlignment="1" applyProtection="1">
      <alignment horizontal="center"/>
      <protection hidden="1"/>
    </xf>
    <xf numFmtId="3" fontId="6" fillId="0" borderId="20" xfId="0" applyNumberFormat="1" applyFont="1" applyBorder="1" applyAlignment="1" applyProtection="1">
      <alignment horizontal="center"/>
      <protection hidden="1"/>
    </xf>
    <xf numFmtId="164" fontId="11" fillId="7" borderId="19" xfId="0" applyNumberFormat="1" applyFont="1" applyFill="1" applyBorder="1" applyAlignment="1" applyProtection="1">
      <alignment horizontal="center" vertical="center"/>
      <protection locked="0"/>
    </xf>
    <xf numFmtId="168" fontId="11" fillId="0" borderId="61" xfId="0" applyNumberFormat="1" applyFont="1" applyBorder="1" applyAlignment="1" applyProtection="1">
      <alignment horizontal="center" vertical="center"/>
      <protection hidden="1"/>
    </xf>
    <xf numFmtId="168" fontId="11" fillId="0" borderId="51" xfId="0" applyNumberFormat="1" applyFont="1" applyBorder="1" applyAlignment="1" applyProtection="1">
      <alignment horizontal="center" vertical="center"/>
      <protection hidden="1"/>
    </xf>
    <xf numFmtId="0" fontId="0" fillId="0" borderId="0" xfId="0" applyAlignment="1" applyProtection="1">
      <alignment vertical="center"/>
      <protection locked="0"/>
    </xf>
    <xf numFmtId="0" fontId="74" fillId="0" borderId="18" xfId="0" applyFont="1" applyBorder="1" applyAlignment="1" applyProtection="1">
      <alignment vertical="center"/>
      <protection hidden="1"/>
    </xf>
    <xf numFmtId="0" fontId="74" fillId="0" borderId="25" xfId="0" applyFont="1" applyBorder="1" applyAlignment="1" applyProtection="1">
      <alignment vertical="center"/>
      <protection hidden="1"/>
    </xf>
    <xf numFmtId="0" fontId="74" fillId="0" borderId="23" xfId="0" applyFont="1" applyBorder="1" applyAlignment="1" applyProtection="1">
      <alignment vertical="center"/>
      <protection hidden="1"/>
    </xf>
    <xf numFmtId="0" fontId="10" fillId="7" borderId="10" xfId="0" applyFont="1" applyFill="1" applyBorder="1" applyAlignment="1" applyProtection="1">
      <alignment vertical="center"/>
      <protection locked="0"/>
    </xf>
    <xf numFmtId="16" fontId="10" fillId="0" borderId="10" xfId="0" applyNumberFormat="1" applyFont="1" applyBorder="1" applyAlignment="1">
      <alignment horizontal="left" vertical="center"/>
    </xf>
    <xf numFmtId="0" fontId="40" fillId="0" borderId="73" xfId="0" applyFont="1" applyBorder="1" applyAlignment="1" applyProtection="1">
      <alignment horizontal="left" vertical="center"/>
      <protection hidden="1"/>
    </xf>
    <xf numFmtId="0" fontId="53" fillId="0" borderId="45" xfId="0" applyFont="1" applyBorder="1" applyAlignment="1">
      <alignment vertical="center"/>
    </xf>
    <xf numFmtId="0" fontId="53" fillId="0" borderId="46" xfId="0" applyFont="1" applyBorder="1" applyAlignment="1">
      <alignment horizontal="right" vertical="center"/>
    </xf>
    <xf numFmtId="0" fontId="40" fillId="0" borderId="45" xfId="0" applyFont="1" applyBorder="1" applyAlignment="1">
      <alignment vertical="center"/>
    </xf>
    <xf numFmtId="0" fontId="40" fillId="0" borderId="46" xfId="0" applyFont="1" applyBorder="1" applyAlignment="1">
      <alignment horizontal="right" vertical="center"/>
    </xf>
    <xf numFmtId="10" fontId="56" fillId="7" borderId="17" xfId="0" applyNumberFormat="1" applyFont="1" applyFill="1" applyBorder="1" applyAlignment="1" applyProtection="1">
      <alignment horizontal="center" vertical="center"/>
      <protection locked="0"/>
    </xf>
    <xf numFmtId="10" fontId="56" fillId="7" borderId="35" xfId="0" applyNumberFormat="1" applyFont="1" applyFill="1" applyBorder="1" applyAlignment="1" applyProtection="1">
      <alignment horizontal="center" vertical="center"/>
      <protection locked="0"/>
    </xf>
    <xf numFmtId="0" fontId="6" fillId="0" borderId="32" xfId="0" applyFont="1" applyBorder="1" applyAlignment="1" applyProtection="1">
      <alignment horizontal="center" vertical="center" wrapText="1"/>
      <protection hidden="1"/>
    </xf>
    <xf numFmtId="0" fontId="2" fillId="0" borderId="16" xfId="0" applyFont="1" applyBorder="1" applyAlignment="1">
      <alignment horizontal="left" vertical="center"/>
    </xf>
    <xf numFmtId="0" fontId="6" fillId="0" borderId="60" xfId="0" applyFont="1" applyBorder="1" applyAlignment="1" applyProtection="1">
      <alignment horizontal="center" vertical="center" wrapText="1"/>
      <protection hidden="1"/>
    </xf>
    <xf numFmtId="0" fontId="6" fillId="0" borderId="60" xfId="0" applyFont="1" applyBorder="1" applyAlignment="1">
      <alignment horizontal="center" vertical="center"/>
    </xf>
    <xf numFmtId="3" fontId="39" fillId="7" borderId="17" xfId="0" applyNumberFormat="1" applyFont="1" applyFill="1" applyBorder="1" applyAlignment="1" applyProtection="1">
      <alignment horizontal="center" vertical="center"/>
      <protection locked="0" hidden="1"/>
    </xf>
    <xf numFmtId="0" fontId="10" fillId="0" borderId="27" xfId="0" applyFont="1" applyBorder="1"/>
    <xf numFmtId="3" fontId="10" fillId="0" borderId="28" xfId="0" applyNumberFormat="1" applyFont="1" applyBorder="1"/>
    <xf numFmtId="3" fontId="11" fillId="0" borderId="28" xfId="0" applyNumberFormat="1" applyFont="1" applyBorder="1"/>
    <xf numFmtId="0" fontId="0" fillId="0" borderId="13" xfId="0" applyBorder="1"/>
    <xf numFmtId="3" fontId="0" fillId="0" borderId="26" xfId="0" applyNumberFormat="1" applyBorder="1"/>
    <xf numFmtId="165" fontId="2" fillId="0" borderId="16" xfId="0" applyNumberFormat="1" applyFont="1" applyBorder="1" applyAlignment="1">
      <alignment horizontal="center" vertical="center"/>
    </xf>
    <xf numFmtId="3" fontId="11" fillId="0" borderId="16" xfId="0" applyNumberFormat="1" applyFont="1" applyBorder="1" applyAlignment="1" applyProtection="1">
      <alignment horizontal="center" vertical="center"/>
      <protection hidden="1"/>
    </xf>
    <xf numFmtId="165" fontId="0" fillId="0" borderId="18" xfId="0" applyNumberFormat="1" applyBorder="1" applyAlignment="1">
      <alignment horizontal="center" vertical="center"/>
    </xf>
    <xf numFmtId="0" fontId="3" fillId="0" borderId="115" xfId="0" applyFont="1" applyBorder="1" applyAlignment="1">
      <alignment horizontal="left" vertical="center" indent="1"/>
    </xf>
    <xf numFmtId="0" fontId="3" fillId="0" borderId="47" xfId="0" applyFont="1" applyBorder="1" applyAlignment="1">
      <alignment horizontal="left" vertical="center" indent="1"/>
    </xf>
    <xf numFmtId="3" fontId="6" fillId="3" borderId="35" xfId="0" applyNumberFormat="1" applyFont="1" applyFill="1" applyBorder="1" applyAlignment="1">
      <alignment horizontal="center" vertical="center"/>
    </xf>
    <xf numFmtId="0" fontId="40" fillId="0" borderId="20" xfId="0" applyFont="1" applyBorder="1" applyAlignment="1">
      <alignment horizontal="left" vertical="center"/>
    </xf>
    <xf numFmtId="1" fontId="7" fillId="0" borderId="0" xfId="0" applyNumberFormat="1" applyFont="1" applyAlignment="1">
      <alignment horizontal="left" vertical="center"/>
    </xf>
    <xf numFmtId="0" fontId="7" fillId="2" borderId="0" xfId="0" applyFont="1" applyFill="1" applyAlignment="1">
      <alignment horizontal="left"/>
    </xf>
    <xf numFmtId="1" fontId="7" fillId="2" borderId="0" xfId="0" applyNumberFormat="1" applyFont="1" applyFill="1" applyAlignment="1">
      <alignment horizontal="left"/>
    </xf>
    <xf numFmtId="0" fontId="7" fillId="2" borderId="0" xfId="0" applyFont="1" applyFill="1"/>
    <xf numFmtId="0" fontId="25" fillId="2" borderId="0" xfId="0" applyFont="1" applyFill="1" applyAlignment="1" applyProtection="1">
      <alignment vertical="center"/>
      <protection hidden="1"/>
    </xf>
    <xf numFmtId="0" fontId="2" fillId="5" borderId="19" xfId="0" applyFont="1" applyFill="1" applyBorder="1" applyAlignment="1" applyProtection="1">
      <alignment horizontal="center" vertical="center"/>
      <protection hidden="1"/>
    </xf>
    <xf numFmtId="0" fontId="2" fillId="5" borderId="32" xfId="0" applyFont="1" applyFill="1" applyBorder="1" applyAlignment="1" applyProtection="1">
      <alignment horizontal="center" vertical="center"/>
      <protection hidden="1"/>
    </xf>
    <xf numFmtId="0" fontId="19" fillId="0" borderId="0" xfId="0" applyFont="1" applyAlignment="1">
      <alignment horizontal="center"/>
    </xf>
    <xf numFmtId="17" fontId="5" fillId="0" borderId="0" xfId="0" applyNumberFormat="1" applyFont="1" applyAlignment="1">
      <alignment horizontal="center" vertical="center"/>
    </xf>
    <xf numFmtId="3" fontId="0" fillId="0" borderId="0" xfId="0" applyNumberFormat="1" applyAlignment="1">
      <alignment vertical="top"/>
    </xf>
    <xf numFmtId="1" fontId="0" fillId="0" borderId="0" xfId="0" applyNumberFormat="1" applyAlignment="1">
      <alignment vertical="top"/>
    </xf>
    <xf numFmtId="0" fontId="3" fillId="0" borderId="0" xfId="0" applyFont="1" applyAlignment="1">
      <alignment vertical="top"/>
    </xf>
    <xf numFmtId="1" fontId="5" fillId="0" borderId="0" xfId="0" applyNumberFormat="1" applyFont="1" applyAlignment="1">
      <alignment vertical="top"/>
    </xf>
    <xf numFmtId="0" fontId="0" fillId="0" borderId="0" xfId="0" applyAlignment="1">
      <alignment vertical="top"/>
    </xf>
    <xf numFmtId="3" fontId="36" fillId="0" borderId="0" xfId="0" applyNumberFormat="1" applyFont="1" applyAlignment="1">
      <alignment vertical="top"/>
    </xf>
    <xf numFmtId="1" fontId="36" fillId="0" borderId="0" xfId="0" applyNumberFormat="1" applyFont="1" applyAlignment="1">
      <alignment vertical="top"/>
    </xf>
    <xf numFmtId="3" fontId="5" fillId="0" borderId="0" xfId="0" applyNumberFormat="1" applyFont="1" applyAlignment="1">
      <alignment horizontal="left"/>
    </xf>
    <xf numFmtId="0" fontId="11" fillId="5" borderId="23" xfId="0" applyFont="1" applyFill="1" applyBorder="1" applyAlignment="1">
      <alignment horizontal="left" vertical="center"/>
    </xf>
    <xf numFmtId="0" fontId="2" fillId="5" borderId="16" xfId="0" applyFont="1" applyFill="1" applyBorder="1" applyAlignment="1">
      <alignment horizontal="left" vertical="center"/>
    </xf>
    <xf numFmtId="3" fontId="5" fillId="6" borderId="0" xfId="0" applyNumberFormat="1" applyFont="1" applyFill="1" applyAlignment="1">
      <alignment horizontal="left"/>
    </xf>
    <xf numFmtId="0" fontId="0" fillId="6" borderId="0" xfId="0" applyFill="1"/>
    <xf numFmtId="0" fontId="5" fillId="6" borderId="0" xfId="0" applyFont="1" applyFill="1" applyAlignment="1">
      <alignment horizontal="left"/>
    </xf>
    <xf numFmtId="1" fontId="5" fillId="0" borderId="0" xfId="0" applyNumberFormat="1" applyFont="1" applyAlignment="1">
      <alignment horizontal="right"/>
    </xf>
    <xf numFmtId="3" fontId="39" fillId="8" borderId="17" xfId="0" applyNumberFormat="1" applyFont="1" applyFill="1" applyBorder="1" applyAlignment="1" applyProtection="1">
      <alignment horizontal="center" vertical="center"/>
      <protection hidden="1"/>
    </xf>
    <xf numFmtId="16" fontId="11" fillId="0" borderId="27" xfId="0" applyNumberFormat="1" applyFont="1" applyBorder="1" applyAlignment="1">
      <alignment horizontal="center" vertical="center"/>
    </xf>
    <xf numFmtId="1" fontId="11" fillId="0" borderId="0" xfId="0" applyNumberFormat="1" applyFont="1" applyAlignment="1">
      <alignment horizontal="right" vertical="center"/>
    </xf>
    <xf numFmtId="0" fontId="11" fillId="0" borderId="221" xfId="0" applyFont="1" applyBorder="1" applyAlignment="1">
      <alignment horizontal="center" vertical="center"/>
    </xf>
    <xf numFmtId="0" fontId="11" fillId="0" borderId="222" xfId="0" applyFont="1" applyBorder="1" applyAlignment="1">
      <alignment horizontal="left" vertical="center"/>
    </xf>
    <xf numFmtId="3" fontId="11" fillId="7" borderId="220" xfId="0" applyNumberFormat="1" applyFont="1" applyFill="1" applyBorder="1" applyAlignment="1" applyProtection="1">
      <alignment horizontal="center" vertical="center"/>
      <protection locked="0"/>
    </xf>
    <xf numFmtId="0" fontId="11" fillId="0" borderId="222" xfId="0" applyFont="1" applyBorder="1" applyAlignment="1">
      <alignment vertical="center"/>
    </xf>
    <xf numFmtId="3" fontId="3" fillId="7" borderId="30" xfId="0" applyNumberFormat="1" applyFont="1" applyFill="1" applyBorder="1" applyAlignment="1" applyProtection="1">
      <alignment horizontal="center" vertical="center"/>
      <protection locked="0" hidden="1"/>
    </xf>
    <xf numFmtId="3" fontId="3" fillId="7" borderId="29" xfId="0" applyNumberFormat="1" applyFont="1" applyFill="1" applyBorder="1" applyAlignment="1" applyProtection="1">
      <alignment horizontal="center" vertical="center"/>
      <protection locked="0" hidden="1"/>
    </xf>
    <xf numFmtId="20" fontId="33" fillId="0" borderId="18" xfId="0" applyNumberFormat="1" applyFont="1" applyBorder="1"/>
    <xf numFmtId="0" fontId="33" fillId="0" borderId="25" xfId="0" applyFont="1" applyBorder="1" applyAlignment="1" applyProtection="1">
      <alignment horizontal="left" vertical="center"/>
      <protection hidden="1"/>
    </xf>
    <xf numFmtId="0" fontId="7" fillId="14" borderId="0" xfId="0" applyFont="1" applyFill="1" applyAlignment="1">
      <alignment horizontal="center" vertical="center"/>
    </xf>
    <xf numFmtId="1" fontId="7" fillId="14" borderId="0" xfId="0" applyNumberFormat="1" applyFont="1" applyFill="1" applyAlignment="1">
      <alignment horizontal="center" vertical="center"/>
    </xf>
    <xf numFmtId="3" fontId="40" fillId="0" borderId="60" xfId="0" applyNumberFormat="1" applyFont="1" applyBorder="1" applyAlignment="1" applyProtection="1">
      <alignment horizontal="center" vertical="center"/>
      <protection locked="0" hidden="1"/>
    </xf>
    <xf numFmtId="3" fontId="39" fillId="5" borderId="17" xfId="0" applyNumberFormat="1" applyFont="1" applyFill="1" applyBorder="1" applyAlignment="1">
      <alignment horizontal="center" vertical="center"/>
    </xf>
    <xf numFmtId="0" fontId="7" fillId="0" borderId="0" xfId="0" applyFont="1" applyAlignment="1" applyProtection="1">
      <alignment horizontal="left" vertical="center" indent="1"/>
      <protection hidden="1"/>
    </xf>
    <xf numFmtId="0" fontId="24" fillId="2" borderId="0" xfId="0" applyFont="1" applyFill="1" applyAlignment="1">
      <alignment vertical="top"/>
    </xf>
    <xf numFmtId="0" fontId="25" fillId="2" borderId="0" xfId="0" applyFont="1" applyFill="1" applyAlignment="1" applyProtection="1">
      <alignment vertical="top"/>
      <protection hidden="1"/>
    </xf>
    <xf numFmtId="0" fontId="8" fillId="0" borderId="0" xfId="0" applyFont="1" applyAlignment="1">
      <alignment horizontal="left" indent="1"/>
    </xf>
    <xf numFmtId="0" fontId="7" fillId="0" borderId="0" xfId="0" applyFont="1" applyAlignment="1" applyProtection="1">
      <alignment horizontal="center" vertical="center"/>
      <protection locked="0"/>
    </xf>
    <xf numFmtId="1" fontId="7" fillId="0" borderId="0" xfId="0" applyNumberFormat="1" applyFont="1" applyAlignment="1" applyProtection="1">
      <alignment horizontal="left"/>
      <protection hidden="1"/>
    </xf>
    <xf numFmtId="0" fontId="7" fillId="0" borderId="0" xfId="0" applyFont="1" applyAlignment="1" applyProtection="1">
      <alignment horizontal="left" indent="1"/>
      <protection hidden="1"/>
    </xf>
    <xf numFmtId="14" fontId="5" fillId="7" borderId="16" xfId="0" applyNumberFormat="1" applyFont="1" applyFill="1" applyBorder="1" applyAlignment="1" applyProtection="1">
      <alignment horizontal="left" vertical="center"/>
      <protection locked="0"/>
    </xf>
    <xf numFmtId="14" fontId="5" fillId="0" borderId="0" xfId="0" applyNumberFormat="1" applyFont="1" applyAlignment="1" applyProtection="1">
      <alignment horizontal="left" vertical="center"/>
      <protection locked="0"/>
    </xf>
    <xf numFmtId="0" fontId="81" fillId="0" borderId="0" xfId="0" applyFont="1" applyAlignment="1">
      <alignment horizontal="center" vertical="center"/>
    </xf>
    <xf numFmtId="1" fontId="7" fillId="2" borderId="0" xfId="0" applyNumberFormat="1" applyFont="1" applyFill="1" applyAlignment="1" applyProtection="1">
      <alignment horizontal="left"/>
      <protection hidden="1"/>
    </xf>
    <xf numFmtId="0" fontId="10" fillId="0" borderId="0" xfId="0" applyFont="1" applyAlignment="1">
      <alignment horizontal="right"/>
    </xf>
    <xf numFmtId="0" fontId="91" fillId="0" borderId="73" xfId="0" applyFont="1" applyBorder="1" applyAlignment="1" applyProtection="1">
      <alignment horizontal="left" vertical="center"/>
      <protection hidden="1"/>
    </xf>
    <xf numFmtId="0" fontId="91" fillId="0" borderId="117" xfId="0" applyFont="1" applyBorder="1" applyAlignment="1" applyProtection="1">
      <alignment horizontal="left" vertical="center"/>
      <protection hidden="1"/>
    </xf>
    <xf numFmtId="0" fontId="89" fillId="0" borderId="73" xfId="0" applyFont="1" applyBorder="1" applyAlignment="1" applyProtection="1">
      <alignment horizontal="left" vertical="center"/>
      <protection hidden="1"/>
    </xf>
    <xf numFmtId="0" fontId="89" fillId="0" borderId="117" xfId="0" applyFont="1" applyBorder="1" applyAlignment="1" applyProtection="1">
      <alignment horizontal="left" vertical="center"/>
      <protection hidden="1"/>
    </xf>
    <xf numFmtId="0" fontId="89" fillId="0" borderId="73" xfId="0" applyFont="1" applyBorder="1" applyAlignment="1" applyProtection="1">
      <alignment vertical="center"/>
      <protection hidden="1"/>
    </xf>
    <xf numFmtId="0" fontId="89" fillId="0" borderId="117" xfId="0" applyFont="1" applyBorder="1" applyAlignment="1" applyProtection="1">
      <alignment vertical="center"/>
      <protection hidden="1"/>
    </xf>
    <xf numFmtId="3" fontId="10" fillId="0" borderId="0" xfId="0" applyNumberFormat="1" applyFont="1" applyAlignment="1" applyProtection="1">
      <alignment horizontal="center"/>
      <protection hidden="1"/>
    </xf>
    <xf numFmtId="0" fontId="2" fillId="0" borderId="0" xfId="0" applyFont="1" applyProtection="1">
      <protection hidden="1"/>
    </xf>
    <xf numFmtId="0" fontId="11" fillId="5" borderId="0" xfId="0" applyFont="1" applyFill="1" applyAlignment="1">
      <alignment horizontal="center" vertical="center"/>
    </xf>
    <xf numFmtId="4" fontId="6" fillId="7" borderId="38" xfId="0" applyNumberFormat="1" applyFont="1" applyFill="1" applyBorder="1" applyAlignment="1" applyProtection="1">
      <alignment horizontal="center" vertical="center"/>
      <protection locked="0"/>
    </xf>
    <xf numFmtId="3" fontId="38" fillId="7" borderId="38" xfId="0" applyNumberFormat="1" applyFont="1" applyFill="1" applyBorder="1" applyAlignment="1" applyProtection="1">
      <alignment horizontal="center" vertical="center"/>
      <protection locked="0"/>
    </xf>
    <xf numFmtId="4" fontId="34" fillId="0" borderId="17" xfId="0" applyNumberFormat="1" applyFont="1" applyBorder="1" applyAlignment="1" applyProtection="1">
      <alignment horizontal="center"/>
      <protection hidden="1"/>
    </xf>
    <xf numFmtId="0" fontId="10" fillId="0" borderId="208" xfId="0" applyFont="1" applyBorder="1" applyAlignment="1" applyProtection="1">
      <alignment horizontal="left" vertical="center"/>
      <protection hidden="1"/>
    </xf>
    <xf numFmtId="0" fontId="89" fillId="0" borderId="0" xfId="0" applyFont="1" applyAlignment="1" applyProtection="1">
      <alignment horizontal="left" vertical="center"/>
      <protection hidden="1"/>
    </xf>
    <xf numFmtId="2" fontId="10" fillId="0" borderId="208" xfId="0" applyNumberFormat="1" applyFont="1" applyBorder="1" applyAlignment="1" applyProtection="1">
      <alignment horizontal="left" vertical="center"/>
      <protection hidden="1"/>
    </xf>
    <xf numFmtId="164" fontId="11" fillId="0" borderId="0" xfId="0" applyNumberFormat="1"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horizontal="left" vertical="center" wrapText="1"/>
      <protection locked="0"/>
    </xf>
    <xf numFmtId="0" fontId="40" fillId="0" borderId="0" xfId="0" applyFont="1" applyAlignment="1" applyProtection="1">
      <alignment vertical="center"/>
      <protection locked="0"/>
    </xf>
    <xf numFmtId="0" fontId="10" fillId="0" borderId="0" xfId="0" applyFont="1" applyAlignment="1" applyProtection="1">
      <alignment vertical="center"/>
      <protection locked="0"/>
    </xf>
    <xf numFmtId="0" fontId="10" fillId="0" borderId="0" xfId="0" applyFont="1" applyAlignment="1" applyProtection="1">
      <alignment horizontal="center"/>
      <protection locked="0"/>
    </xf>
    <xf numFmtId="0" fontId="11" fillId="0" borderId="31" xfId="0" applyFont="1" applyBorder="1" applyAlignment="1" applyProtection="1">
      <alignment horizontal="left" vertical="center" wrapText="1"/>
      <protection locked="0"/>
    </xf>
    <xf numFmtId="0" fontId="75" fillId="0" borderId="0" xfId="0" applyFont="1" applyAlignment="1" applyProtection="1">
      <alignment vertical="center"/>
      <protection locked="0"/>
    </xf>
    <xf numFmtId="0" fontId="53" fillId="0" borderId="25" xfId="0" applyFont="1" applyBorder="1" applyAlignment="1" applyProtection="1">
      <alignment vertical="center"/>
      <protection locked="0"/>
    </xf>
    <xf numFmtId="0" fontId="74" fillId="0" borderId="23" xfId="0" applyFont="1" applyBorder="1" applyAlignment="1" applyProtection="1">
      <alignment vertical="center"/>
      <protection locked="0"/>
    </xf>
    <xf numFmtId="0" fontId="0" fillId="0" borderId="154" xfId="0" applyBorder="1"/>
    <xf numFmtId="0" fontId="10" fillId="0" borderId="0" xfId="0" applyFont="1" applyAlignment="1" applyProtection="1">
      <alignment horizontal="left" vertical="center"/>
      <protection hidden="1"/>
    </xf>
    <xf numFmtId="14" fontId="10" fillId="0" borderId="0" xfId="0" applyNumberFormat="1" applyFont="1" applyAlignment="1" applyProtection="1">
      <alignment horizontal="center" vertical="center"/>
      <protection hidden="1"/>
    </xf>
    <xf numFmtId="0" fontId="10" fillId="0" borderId="208" xfId="0" applyFont="1" applyBorder="1" applyAlignment="1" applyProtection="1">
      <alignment vertical="center"/>
      <protection hidden="1"/>
    </xf>
    <xf numFmtId="14" fontId="10" fillId="0" borderId="153" xfId="0" applyNumberFormat="1" applyFont="1" applyBorder="1" applyAlignment="1" applyProtection="1">
      <alignment horizontal="center" vertical="center"/>
      <protection hidden="1"/>
    </xf>
    <xf numFmtId="49" fontId="3" fillId="0" borderId="0" xfId="0" applyNumberFormat="1" applyFont="1" applyAlignment="1" applyProtection="1">
      <alignment vertical="center"/>
      <protection hidden="1"/>
    </xf>
    <xf numFmtId="49" fontId="10" fillId="0" borderId="208" xfId="0" applyNumberFormat="1" applyFont="1" applyBorder="1" applyAlignment="1" applyProtection="1">
      <alignment horizontal="left" vertical="center"/>
      <protection hidden="1"/>
    </xf>
    <xf numFmtId="14" fontId="5" fillId="0" borderId="0" xfId="0" applyNumberFormat="1" applyFont="1" applyAlignment="1" applyProtection="1">
      <alignment horizontal="left" vertical="center"/>
      <protection hidden="1"/>
    </xf>
    <xf numFmtId="0" fontId="79" fillId="13" borderId="107" xfId="0" applyFont="1" applyFill="1" applyBorder="1" applyAlignment="1">
      <alignment horizontal="right" vertical="center" wrapText="1" indent="1"/>
    </xf>
    <xf numFmtId="0" fontId="78" fillId="15" borderId="20" xfId="0" applyFont="1" applyFill="1" applyBorder="1" applyAlignment="1">
      <alignment horizontal="center" vertical="center"/>
    </xf>
    <xf numFmtId="0" fontId="78" fillId="15" borderId="10" xfId="0" applyFont="1" applyFill="1" applyBorder="1" applyAlignment="1">
      <alignment horizontal="center" vertical="center"/>
    </xf>
    <xf numFmtId="0" fontId="10" fillId="0" borderId="10" xfId="0" applyFont="1" applyBorder="1"/>
    <xf numFmtId="10" fontId="11" fillId="0" borderId="44" xfId="0" applyNumberFormat="1" applyFont="1" applyBorder="1" applyAlignment="1">
      <alignment horizontal="center"/>
    </xf>
    <xf numFmtId="3" fontId="6" fillId="7" borderId="54" xfId="0" applyNumberFormat="1" applyFont="1" applyFill="1" applyBorder="1" applyAlignment="1" applyProtection="1">
      <alignment horizontal="center" vertical="center"/>
      <protection locked="0"/>
    </xf>
    <xf numFmtId="167" fontId="6" fillId="3" borderId="66" xfId="0" applyNumberFormat="1" applyFont="1" applyFill="1" applyBorder="1" applyAlignment="1" applyProtection="1">
      <alignment horizontal="center" vertical="center"/>
      <protection hidden="1"/>
    </xf>
    <xf numFmtId="0" fontId="5" fillId="0" borderId="25" xfId="0" applyFont="1" applyBorder="1" applyAlignment="1" applyProtection="1">
      <alignment horizontal="center"/>
      <protection hidden="1"/>
    </xf>
    <xf numFmtId="0" fontId="10" fillId="0" borderId="20" xfId="0" applyFont="1" applyBorder="1"/>
    <xf numFmtId="0" fontId="0" fillId="0" borderId="44" xfId="0" applyBorder="1"/>
    <xf numFmtId="0" fontId="10" fillId="0" borderId="20" xfId="0" applyFont="1" applyBorder="1" applyAlignment="1">
      <alignment horizontal="right"/>
    </xf>
    <xf numFmtId="0" fontId="40" fillId="0" borderId="0" xfId="2" applyNumberFormat="1" applyFont="1" applyAlignment="1" applyProtection="1">
      <alignment vertical="center"/>
      <protection locked="0"/>
    </xf>
    <xf numFmtId="0" fontId="6" fillId="0" borderId="20" xfId="0" applyFont="1" applyBorder="1" applyAlignment="1">
      <alignment vertical="center"/>
    </xf>
    <xf numFmtId="3" fontId="6" fillId="5" borderId="17" xfId="0" applyNumberFormat="1" applyFont="1" applyFill="1" applyBorder="1" applyAlignment="1" applyProtection="1">
      <alignment horizontal="center" vertical="center"/>
      <protection locked="0"/>
    </xf>
    <xf numFmtId="3" fontId="6" fillId="5" borderId="32" xfId="0" applyNumberFormat="1" applyFont="1" applyFill="1" applyBorder="1" applyAlignment="1" applyProtection="1">
      <alignment horizontal="center" vertical="center"/>
      <protection hidden="1"/>
    </xf>
    <xf numFmtId="0" fontId="6" fillId="0" borderId="44" xfId="0" applyFont="1" applyBorder="1" applyAlignment="1">
      <alignment vertical="center"/>
    </xf>
    <xf numFmtId="3" fontId="6" fillId="5" borderId="17" xfId="0" applyNumberFormat="1" applyFont="1" applyFill="1" applyBorder="1" applyAlignment="1" applyProtection="1">
      <alignment horizontal="center" vertical="center"/>
      <protection hidden="1"/>
    </xf>
    <xf numFmtId="3" fontId="6" fillId="5" borderId="20" xfId="0" applyNumberFormat="1" applyFont="1" applyFill="1" applyBorder="1" applyAlignment="1" applyProtection="1">
      <alignment horizontal="center" vertical="center"/>
      <protection hidden="1"/>
    </xf>
    <xf numFmtId="0" fontId="5" fillId="0" borderId="23" xfId="0" applyFont="1" applyBorder="1" applyAlignment="1">
      <alignment horizontal="center" vertical="center"/>
    </xf>
    <xf numFmtId="166" fontId="39" fillId="7" borderId="223" xfId="0" applyNumberFormat="1" applyFont="1" applyFill="1" applyBorder="1" applyAlignment="1" applyProtection="1">
      <alignment horizontal="center" vertical="center"/>
      <protection locked="0"/>
    </xf>
    <xf numFmtId="166" fontId="39" fillId="7" borderId="17" xfId="0" applyNumberFormat="1" applyFont="1" applyFill="1" applyBorder="1" applyAlignment="1" applyProtection="1">
      <alignment horizontal="center" vertical="center"/>
      <protection locked="0"/>
    </xf>
    <xf numFmtId="14" fontId="10" fillId="0" borderId="0" xfId="0" applyNumberFormat="1" applyFont="1" applyAlignment="1" applyProtection="1">
      <alignment horizontal="left"/>
      <protection locked="0"/>
    </xf>
    <xf numFmtId="49" fontId="5" fillId="0" borderId="0" xfId="0" applyNumberFormat="1" applyFont="1" applyAlignment="1" applyProtection="1">
      <alignment horizontal="left" vertical="center"/>
      <protection locked="0"/>
    </xf>
    <xf numFmtId="0" fontId="8" fillId="0" borderId="224" xfId="0" applyFont="1" applyBorder="1"/>
    <xf numFmtId="14" fontId="10" fillId="7" borderId="225" xfId="0" applyNumberFormat="1" applyFont="1" applyFill="1" applyBorder="1" applyAlignment="1" applyProtection="1">
      <alignment horizontal="left"/>
      <protection locked="0"/>
    </xf>
    <xf numFmtId="0" fontId="8" fillId="0" borderId="224" xfId="0" applyFont="1" applyBorder="1" applyAlignment="1">
      <alignment vertical="center"/>
    </xf>
    <xf numFmtId="0" fontId="8" fillId="0" borderId="226" xfId="0" applyFont="1" applyBorder="1" applyAlignment="1">
      <alignment vertical="center"/>
    </xf>
    <xf numFmtId="49" fontId="5" fillId="7" borderId="228" xfId="0" applyNumberFormat="1" applyFont="1" applyFill="1" applyBorder="1" applyAlignment="1" applyProtection="1">
      <alignment horizontal="left" vertical="center"/>
      <protection locked="0"/>
    </xf>
    <xf numFmtId="49" fontId="5" fillId="7" borderId="229" xfId="0" applyNumberFormat="1" applyFont="1" applyFill="1" applyBorder="1" applyAlignment="1" applyProtection="1">
      <alignment horizontal="left" vertical="center"/>
      <protection locked="0"/>
    </xf>
    <xf numFmtId="166" fontId="39" fillId="0" borderId="148" xfId="0" applyNumberFormat="1" applyFont="1" applyBorder="1" applyAlignment="1">
      <alignment horizontal="center" vertical="center"/>
    </xf>
    <xf numFmtId="166" fontId="39" fillId="0" borderId="148" xfId="2" applyNumberFormat="1" applyFont="1" applyFill="1" applyBorder="1" applyAlignment="1" applyProtection="1">
      <alignment horizontal="center" vertical="center"/>
    </xf>
    <xf numFmtId="0" fontId="10" fillId="0" borderId="18" xfId="0" applyFont="1" applyBorder="1" applyAlignment="1">
      <alignment horizontal="left" vertical="center"/>
    </xf>
    <xf numFmtId="0" fontId="10" fillId="0" borderId="25" xfId="0" applyFont="1" applyBorder="1" applyAlignment="1" applyProtection="1">
      <alignment vertical="center"/>
      <protection hidden="1"/>
    </xf>
    <xf numFmtId="0" fontId="3" fillId="0" borderId="60" xfId="0" applyFont="1" applyBorder="1" applyAlignment="1" applyProtection="1">
      <alignment vertical="center"/>
      <protection hidden="1"/>
    </xf>
    <xf numFmtId="0" fontId="10" fillId="0" borderId="34" xfId="0" applyFont="1" applyBorder="1" applyAlignment="1" applyProtection="1">
      <alignment vertical="center"/>
      <protection hidden="1"/>
    </xf>
    <xf numFmtId="0" fontId="70" fillId="0" borderId="73" xfId="0" applyFont="1" applyBorder="1" applyAlignment="1" applyProtection="1">
      <alignment horizontal="left" vertical="center"/>
      <protection hidden="1"/>
    </xf>
    <xf numFmtId="0" fontId="82" fillId="13" borderId="19" xfId="0" applyFont="1" applyFill="1" applyBorder="1" applyAlignment="1" applyProtection="1">
      <alignment horizontal="center" vertical="center"/>
      <protection hidden="1"/>
    </xf>
    <xf numFmtId="0" fontId="5" fillId="0" borderId="55" xfId="0" applyFont="1" applyBorder="1" applyAlignment="1" applyProtection="1">
      <alignment horizontal="left" vertical="center"/>
      <protection hidden="1"/>
    </xf>
    <xf numFmtId="0" fontId="4" fillId="0" borderId="170" xfId="0" applyFont="1" applyBorder="1" applyAlignment="1" applyProtection="1">
      <alignment horizontal="left" vertical="center"/>
      <protection hidden="1"/>
    </xf>
    <xf numFmtId="0" fontId="11" fillId="0" borderId="232" xfId="0" applyFont="1" applyBorder="1" applyAlignment="1" applyProtection="1">
      <alignment horizontal="left" vertical="center"/>
      <protection hidden="1"/>
    </xf>
    <xf numFmtId="0" fontId="11" fillId="0" borderId="233" xfId="0" applyFont="1" applyBorder="1" applyAlignment="1" applyProtection="1">
      <alignment horizontal="left" vertical="center"/>
      <protection hidden="1"/>
    </xf>
    <xf numFmtId="0" fontId="5" fillId="0" borderId="25" xfId="0" applyFont="1" applyBorder="1" applyAlignment="1" applyProtection="1">
      <alignment horizontal="left" vertical="center"/>
      <protection hidden="1"/>
    </xf>
    <xf numFmtId="0" fontId="4" fillId="0" borderId="31" xfId="0" applyFont="1" applyBorder="1" applyAlignment="1" applyProtection="1">
      <alignment horizontal="center" vertical="center"/>
      <protection hidden="1"/>
    </xf>
    <xf numFmtId="0" fontId="11" fillId="0" borderId="25" xfId="0" applyFont="1" applyBorder="1" applyAlignment="1" applyProtection="1">
      <alignment horizontal="left" vertical="center"/>
      <protection hidden="1"/>
    </xf>
    <xf numFmtId="0" fontId="91" fillId="0" borderId="233" xfId="0" applyFont="1" applyBorder="1" applyAlignment="1" applyProtection="1">
      <alignment horizontal="left" vertical="center"/>
      <protection hidden="1"/>
    </xf>
    <xf numFmtId="0" fontId="40" fillId="0" borderId="233" xfId="0" applyFont="1" applyBorder="1" applyAlignment="1" applyProtection="1">
      <alignment horizontal="left" vertical="center"/>
      <protection hidden="1"/>
    </xf>
    <xf numFmtId="0" fontId="49" fillId="0" borderId="25" xfId="0" applyFont="1" applyBorder="1" applyAlignment="1" applyProtection="1">
      <alignment horizontal="left" vertical="center"/>
      <protection hidden="1"/>
    </xf>
    <xf numFmtId="0" fontId="1" fillId="0" borderId="0" xfId="0" applyFont="1" applyAlignment="1" applyProtection="1">
      <alignment horizontal="left" vertical="center"/>
      <protection hidden="1"/>
    </xf>
    <xf numFmtId="0" fontId="1" fillId="0" borderId="0" xfId="0" applyFont="1" applyProtection="1">
      <protection hidden="1"/>
    </xf>
    <xf numFmtId="0" fontId="34" fillId="0" borderId="233" xfId="0" applyFont="1" applyBorder="1"/>
    <xf numFmtId="0" fontId="5" fillId="0" borderId="25" xfId="0" applyFont="1" applyBorder="1" applyAlignment="1" applyProtection="1">
      <alignment vertical="center"/>
      <protection hidden="1"/>
    </xf>
    <xf numFmtId="0" fontId="0" fillId="0" borderId="31" xfId="0" applyBorder="1" applyAlignment="1" applyProtection="1">
      <alignment horizontal="center"/>
      <protection hidden="1"/>
    </xf>
    <xf numFmtId="0" fontId="5" fillId="0" borderId="25" xfId="0" applyFont="1" applyBorder="1" applyProtection="1">
      <protection hidden="1"/>
    </xf>
    <xf numFmtId="1" fontId="80" fillId="13" borderId="17" xfId="0" applyNumberFormat="1" applyFont="1" applyFill="1" applyBorder="1" applyAlignment="1" applyProtection="1">
      <alignment horizontal="center"/>
      <protection hidden="1"/>
    </xf>
    <xf numFmtId="0" fontId="11" fillId="0" borderId="233" xfId="0" applyFont="1" applyBorder="1" applyAlignment="1">
      <alignment horizontal="left" vertical="center"/>
    </xf>
    <xf numFmtId="0" fontId="89" fillId="0" borderId="233" xfId="0" applyFont="1" applyBorder="1" applyAlignment="1" applyProtection="1">
      <alignment horizontal="left" vertical="center"/>
      <protection hidden="1"/>
    </xf>
    <xf numFmtId="0" fontId="89" fillId="0" borderId="233" xfId="0" applyFont="1" applyBorder="1" applyAlignment="1" applyProtection="1">
      <alignment vertical="center"/>
      <protection hidden="1"/>
    </xf>
    <xf numFmtId="0" fontId="53" fillId="7" borderId="17" xfId="0" applyFont="1" applyFill="1" applyBorder="1" applyAlignment="1" applyProtection="1">
      <alignment horizontal="center" vertical="center"/>
      <protection locked="0"/>
    </xf>
    <xf numFmtId="17" fontId="53" fillId="7" borderId="17" xfId="0" applyNumberFormat="1" applyFont="1" applyFill="1" applyBorder="1" applyAlignment="1" applyProtection="1">
      <alignment horizontal="center" vertical="center"/>
      <protection locked="0"/>
    </xf>
    <xf numFmtId="17" fontId="80" fillId="13" borderId="47" xfId="0" applyNumberFormat="1" applyFont="1" applyFill="1" applyBorder="1" applyAlignment="1">
      <alignment horizontal="center" vertical="center"/>
    </xf>
    <xf numFmtId="0" fontId="77" fillId="13" borderId="24" xfId="0" applyFont="1" applyFill="1" applyBorder="1" applyAlignment="1">
      <alignment horizontal="center" vertical="center"/>
    </xf>
    <xf numFmtId="3" fontId="6" fillId="0" borderId="129" xfId="0" applyNumberFormat="1" applyFont="1" applyBorder="1" applyAlignment="1">
      <alignment horizontal="right" vertical="center"/>
    </xf>
    <xf numFmtId="3" fontId="6" fillId="0" borderId="130" xfId="0" applyNumberFormat="1" applyFont="1" applyBorder="1" applyAlignment="1">
      <alignment horizontal="right" vertical="center"/>
    </xf>
    <xf numFmtId="3" fontId="6" fillId="0" borderId="158" xfId="0" applyNumberFormat="1" applyFont="1" applyBorder="1" applyAlignment="1">
      <alignment horizontal="right" vertical="center"/>
    </xf>
    <xf numFmtId="0" fontId="0" fillId="0" borderId="17" xfId="0" applyBorder="1" applyAlignment="1">
      <alignment horizontal="center"/>
    </xf>
    <xf numFmtId="3" fontId="11" fillId="7" borderId="32" xfId="0" applyNumberFormat="1" applyFont="1" applyFill="1" applyBorder="1" applyAlignment="1">
      <alignment horizontal="center"/>
    </xf>
    <xf numFmtId="3" fontId="11" fillId="7" borderId="23" xfId="0" applyNumberFormat="1" applyFont="1" applyFill="1" applyBorder="1" applyAlignment="1">
      <alignment horizontal="center"/>
    </xf>
    <xf numFmtId="0" fontId="6" fillId="7" borderId="0" xfId="0" applyFont="1" applyFill="1" applyAlignment="1" applyProtection="1">
      <alignment vertical="center"/>
      <protection locked="0"/>
    </xf>
    <xf numFmtId="0" fontId="6" fillId="0" borderId="234" xfId="0" applyFont="1" applyBorder="1" applyAlignment="1" applyProtection="1">
      <alignment horizontal="center" vertical="center"/>
      <protection hidden="1"/>
    </xf>
    <xf numFmtId="167" fontId="6" fillId="0" borderId="234" xfId="0" applyNumberFormat="1" applyFont="1" applyBorder="1" applyAlignment="1" applyProtection="1">
      <alignment horizontal="center" vertical="center"/>
      <protection hidden="1"/>
    </xf>
    <xf numFmtId="164" fontId="6" fillId="0" borderId="234" xfId="0" applyNumberFormat="1" applyFont="1" applyBorder="1" applyAlignment="1" applyProtection="1">
      <alignment horizontal="center" vertical="center"/>
      <protection hidden="1"/>
    </xf>
    <xf numFmtId="167" fontId="6" fillId="5" borderId="234" xfId="0" applyNumberFormat="1" applyFont="1" applyFill="1" applyBorder="1" applyAlignment="1" applyProtection="1">
      <alignment horizontal="center" vertical="center"/>
      <protection hidden="1"/>
    </xf>
    <xf numFmtId="167" fontId="3" fillId="0" borderId="234" xfId="0" applyNumberFormat="1" applyFont="1" applyBorder="1" applyAlignment="1" applyProtection="1">
      <alignment horizontal="center" vertical="center"/>
      <protection hidden="1"/>
    </xf>
    <xf numFmtId="0" fontId="6" fillId="7" borderId="235" xfId="0" applyFont="1" applyFill="1" applyBorder="1" applyAlignment="1" applyProtection="1">
      <alignment vertical="center"/>
      <protection locked="0"/>
    </xf>
    <xf numFmtId="0" fontId="6" fillId="7" borderId="236" xfId="0" applyFont="1" applyFill="1" applyBorder="1" applyAlignment="1" applyProtection="1">
      <alignment vertical="center"/>
      <protection locked="0"/>
    </xf>
    <xf numFmtId="0" fontId="6" fillId="7" borderId="237" xfId="0" applyFont="1" applyFill="1" applyBorder="1" applyAlignment="1" applyProtection="1">
      <alignment vertical="center"/>
      <protection locked="0"/>
    </xf>
    <xf numFmtId="0" fontId="6" fillId="7" borderId="238" xfId="0" applyFont="1" applyFill="1" applyBorder="1" applyAlignment="1" applyProtection="1">
      <alignment vertical="center"/>
      <protection locked="0"/>
    </xf>
    <xf numFmtId="0" fontId="6" fillId="7" borderId="239" xfId="0" applyFont="1" applyFill="1" applyBorder="1" applyAlignment="1" applyProtection="1">
      <alignment vertical="center"/>
      <protection locked="0"/>
    </xf>
    <xf numFmtId="0" fontId="6" fillId="7" borderId="240" xfId="0" applyFont="1" applyFill="1" applyBorder="1" applyAlignment="1" applyProtection="1">
      <alignment vertical="center"/>
      <protection locked="0"/>
    </xf>
    <xf numFmtId="0" fontId="6" fillId="7" borderId="241" xfId="0" applyFont="1" applyFill="1" applyBorder="1" applyAlignment="1" applyProtection="1">
      <alignment vertical="center"/>
      <protection locked="0"/>
    </xf>
    <xf numFmtId="0" fontId="6" fillId="7" borderId="242" xfId="0" applyFont="1" applyFill="1" applyBorder="1" applyAlignment="1" applyProtection="1">
      <alignment vertical="center"/>
      <protection locked="0"/>
    </xf>
    <xf numFmtId="0" fontId="82" fillId="13" borderId="243" xfId="0" applyFont="1" applyFill="1" applyBorder="1" applyAlignment="1" applyProtection="1">
      <alignment horizontal="center" vertical="center"/>
      <protection hidden="1"/>
    </xf>
    <xf numFmtId="1" fontId="82" fillId="13" borderId="244" xfId="0" applyNumberFormat="1" applyFont="1" applyFill="1" applyBorder="1" applyAlignment="1" applyProtection="1">
      <alignment horizontal="center" vertical="center"/>
      <protection hidden="1"/>
    </xf>
    <xf numFmtId="0" fontId="6" fillId="7" borderId="0" xfId="0" applyFont="1" applyFill="1" applyAlignment="1">
      <alignment vertical="center"/>
    </xf>
    <xf numFmtId="0" fontId="6" fillId="7" borderId="0" xfId="0" applyFont="1" applyFill="1" applyAlignment="1" applyProtection="1">
      <alignment horizontal="left" vertical="center" wrapText="1"/>
      <protection locked="0"/>
    </xf>
    <xf numFmtId="0" fontId="0" fillId="7" borderId="0" xfId="0" applyFill="1" applyAlignment="1" applyProtection="1">
      <alignment horizontal="left" vertical="center" wrapText="1"/>
      <protection locked="0"/>
    </xf>
    <xf numFmtId="0" fontId="3" fillId="0" borderId="234" xfId="0" applyFont="1" applyBorder="1" applyAlignment="1" applyProtection="1">
      <alignment horizontal="left" vertical="center"/>
      <protection hidden="1"/>
    </xf>
    <xf numFmtId="0" fontId="6" fillId="7" borderId="238" xfId="0" applyFont="1" applyFill="1" applyBorder="1" applyAlignment="1">
      <alignment vertical="center"/>
    </xf>
    <xf numFmtId="0" fontId="3" fillId="7" borderId="0" xfId="0" applyFont="1" applyFill="1" applyAlignment="1">
      <alignment horizontal="center" vertical="center"/>
    </xf>
    <xf numFmtId="0" fontId="6" fillId="7" borderId="239" xfId="0" applyFont="1" applyFill="1" applyBorder="1" applyAlignment="1">
      <alignment vertical="center"/>
    </xf>
    <xf numFmtId="0" fontId="3" fillId="7" borderId="238" xfId="0" applyFont="1" applyFill="1" applyBorder="1" applyAlignment="1">
      <alignment vertical="center"/>
    </xf>
    <xf numFmtId="0" fontId="6" fillId="7" borderId="238" xfId="0" applyFont="1" applyFill="1" applyBorder="1" applyAlignment="1" applyProtection="1">
      <alignment horizontal="left" vertical="center"/>
      <protection locked="0"/>
    </xf>
    <xf numFmtId="0" fontId="0" fillId="7" borderId="0" xfId="0" applyFill="1" applyAlignment="1" applyProtection="1">
      <alignment horizontal="left" vertical="center"/>
      <protection locked="0"/>
    </xf>
    <xf numFmtId="164" fontId="6" fillId="7" borderId="0" xfId="0" applyNumberFormat="1" applyFont="1" applyFill="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0" fillId="7" borderId="239" xfId="0" applyFill="1" applyBorder="1" applyAlignment="1" applyProtection="1">
      <alignment horizontal="left" vertical="center" wrapText="1"/>
      <protection locked="0"/>
    </xf>
    <xf numFmtId="0" fontId="2" fillId="7" borderId="238" xfId="0" applyFont="1" applyFill="1" applyBorder="1" applyAlignment="1" applyProtection="1">
      <alignment horizontal="left" vertical="center"/>
      <protection locked="0"/>
    </xf>
    <xf numFmtId="0" fontId="0" fillId="7" borderId="0" xfId="0" applyFill="1" applyAlignment="1" applyProtection="1">
      <alignment horizontal="center" vertical="center" wrapText="1"/>
      <protection locked="0"/>
    </xf>
    <xf numFmtId="0" fontId="6" fillId="7" borderId="238" xfId="0" applyFont="1" applyFill="1" applyBorder="1" applyAlignment="1" applyProtection="1">
      <alignment horizontal="left" vertical="center" wrapText="1"/>
      <protection locked="0"/>
    </xf>
    <xf numFmtId="0" fontId="0" fillId="7" borderId="238" xfId="0" applyFill="1" applyBorder="1" applyAlignment="1" applyProtection="1">
      <alignment horizontal="left" vertical="center" wrapText="1"/>
      <protection locked="0"/>
    </xf>
    <xf numFmtId="0" fontId="0" fillId="7" borderId="240" xfId="0" applyFill="1" applyBorder="1" applyAlignment="1" applyProtection="1">
      <alignment horizontal="left" vertical="center" wrapText="1"/>
      <protection locked="0"/>
    </xf>
    <xf numFmtId="0" fontId="0" fillId="7" borderId="241" xfId="0" applyFill="1" applyBorder="1" applyAlignment="1" applyProtection="1">
      <alignment horizontal="left" vertical="center" wrapText="1"/>
      <protection locked="0"/>
    </xf>
    <xf numFmtId="0" fontId="0" fillId="7" borderId="241" xfId="0" applyFill="1" applyBorder="1" applyAlignment="1" applyProtection="1">
      <alignment horizontal="center" vertical="center" wrapText="1"/>
      <protection locked="0"/>
    </xf>
    <xf numFmtId="0" fontId="0" fillId="7" borderId="242" xfId="0" applyFill="1" applyBorder="1" applyAlignment="1" applyProtection="1">
      <alignment horizontal="left" vertical="center" wrapText="1"/>
      <protection locked="0"/>
    </xf>
    <xf numFmtId="0" fontId="3" fillId="0" borderId="245" xfId="0" applyFont="1" applyBorder="1" applyAlignment="1" applyProtection="1">
      <alignment horizontal="left" vertical="center"/>
      <protection hidden="1"/>
    </xf>
    <xf numFmtId="0" fontId="6" fillId="0" borderId="246" xfId="0" applyFont="1" applyBorder="1" applyAlignment="1" applyProtection="1">
      <alignment horizontal="center" vertical="center"/>
      <protection hidden="1"/>
    </xf>
    <xf numFmtId="167" fontId="6" fillId="0" borderId="247" xfId="0" applyNumberFormat="1" applyFont="1" applyBorder="1" applyAlignment="1" applyProtection="1">
      <alignment horizontal="center" vertical="center"/>
      <protection hidden="1"/>
    </xf>
    <xf numFmtId="0" fontId="6" fillId="0" borderId="247" xfId="0" applyFont="1" applyBorder="1" applyAlignment="1" applyProtection="1">
      <alignment vertical="center"/>
      <protection hidden="1"/>
    </xf>
    <xf numFmtId="0" fontId="3" fillId="0" borderId="247" xfId="0" applyFont="1" applyBorder="1" applyAlignment="1" applyProtection="1">
      <alignment vertical="center"/>
      <protection hidden="1"/>
    </xf>
    <xf numFmtId="0" fontId="6" fillId="0" borderId="235" xfId="0" applyFont="1" applyBorder="1" applyAlignment="1" applyProtection="1">
      <alignment horizontal="center" vertical="center"/>
      <protection hidden="1"/>
    </xf>
    <xf numFmtId="0" fontId="6" fillId="0" borderId="238" xfId="0" applyFont="1" applyBorder="1" applyAlignment="1" applyProtection="1">
      <alignment horizontal="center" vertical="center"/>
      <protection hidden="1"/>
    </xf>
    <xf numFmtId="0" fontId="6" fillId="0" borderId="240" xfId="0" applyFont="1" applyBorder="1" applyAlignment="1" applyProtection="1">
      <alignment horizontal="center" vertical="center"/>
      <protection hidden="1"/>
    </xf>
    <xf numFmtId="0" fontId="6" fillId="0" borderId="247" xfId="0" applyFont="1" applyBorder="1" applyAlignment="1" applyProtection="1">
      <alignment horizontal="left" vertical="center"/>
      <protection hidden="1"/>
    </xf>
    <xf numFmtId="0" fontId="82" fillId="13" borderId="244" xfId="0" applyFont="1" applyFill="1" applyBorder="1" applyAlignment="1" applyProtection="1">
      <alignment horizontal="center" vertical="center"/>
      <protection hidden="1"/>
    </xf>
    <xf numFmtId="49" fontId="82" fillId="13" borderId="244" xfId="0" applyNumberFormat="1" applyFont="1" applyFill="1" applyBorder="1" applyAlignment="1" applyProtection="1">
      <alignment horizontal="center" vertical="center"/>
      <protection hidden="1"/>
    </xf>
    <xf numFmtId="49" fontId="84" fillId="13" borderId="0" xfId="0" applyNumberFormat="1" applyFont="1" applyFill="1" applyAlignment="1" applyProtection="1">
      <alignment horizontal="center" vertical="center"/>
      <protection hidden="1"/>
    </xf>
    <xf numFmtId="0" fontId="84" fillId="13" borderId="0" xfId="0" applyFont="1" applyFill="1" applyAlignment="1" applyProtection="1">
      <alignment horizontal="center" vertical="center"/>
      <protection hidden="1"/>
    </xf>
    <xf numFmtId="1" fontId="3" fillId="0" borderId="234" xfId="0" applyNumberFormat="1" applyFont="1" applyBorder="1" applyAlignment="1" applyProtection="1">
      <alignment horizontal="center" vertical="center"/>
      <protection hidden="1"/>
    </xf>
    <xf numFmtId="166" fontId="6" fillId="0" borderId="234" xfId="0" applyNumberFormat="1" applyFont="1" applyBorder="1" applyAlignment="1" applyProtection="1">
      <alignment horizontal="center" vertical="center"/>
      <protection hidden="1"/>
    </xf>
    <xf numFmtId="3" fontId="3" fillId="0" borderId="234" xfId="0" applyNumberFormat="1" applyFont="1" applyBorder="1" applyAlignment="1" applyProtection="1">
      <alignment horizontal="center" vertical="center"/>
      <protection hidden="1"/>
    </xf>
    <xf numFmtId="166" fontId="3" fillId="0" borderId="234" xfId="0" applyNumberFormat="1" applyFont="1" applyBorder="1" applyAlignment="1" applyProtection="1">
      <alignment horizontal="center" vertical="center"/>
      <protection hidden="1"/>
    </xf>
    <xf numFmtId="0" fontId="6" fillId="3" borderId="245" xfId="0" applyFont="1" applyFill="1" applyBorder="1" applyAlignment="1" applyProtection="1">
      <alignment horizontal="center" vertical="center"/>
      <protection hidden="1"/>
    </xf>
    <xf numFmtId="0" fontId="3" fillId="3" borderId="246" xfId="0" applyFont="1" applyFill="1" applyBorder="1" applyAlignment="1" applyProtection="1">
      <alignment horizontal="center" vertical="center"/>
      <protection hidden="1"/>
    </xf>
    <xf numFmtId="0" fontId="3" fillId="3" borderId="247" xfId="0" applyFont="1" applyFill="1" applyBorder="1" applyAlignment="1" applyProtection="1">
      <alignment horizontal="center" vertical="center"/>
      <protection hidden="1"/>
    </xf>
    <xf numFmtId="0" fontId="3" fillId="0" borderId="247" xfId="0" applyFont="1" applyBorder="1" applyAlignment="1" applyProtection="1">
      <alignment horizontal="left" vertical="center"/>
      <protection hidden="1"/>
    </xf>
    <xf numFmtId="167" fontId="6" fillId="0" borderId="246" xfId="0" applyNumberFormat="1" applyFont="1" applyBorder="1" applyAlignment="1" applyProtection="1">
      <alignment horizontal="center" vertical="center"/>
      <protection hidden="1"/>
    </xf>
    <xf numFmtId="0" fontId="40" fillId="0" borderId="44" xfId="0" applyFont="1" applyBorder="1" applyAlignment="1">
      <alignment horizontal="left" vertical="center"/>
    </xf>
    <xf numFmtId="0" fontId="53" fillId="0" borderId="23" xfId="0" applyFont="1" applyBorder="1" applyAlignment="1" applyProtection="1">
      <alignment vertical="center"/>
      <protection hidden="1"/>
    </xf>
    <xf numFmtId="0" fontId="5" fillId="0" borderId="0" xfId="0" applyFont="1" applyAlignment="1" applyProtection="1">
      <alignment horizontal="right"/>
      <protection hidden="1"/>
    </xf>
    <xf numFmtId="0" fontId="57" fillId="0" borderId="19" xfId="0" applyFont="1" applyBorder="1" applyAlignment="1">
      <alignment horizontal="center" vertical="center"/>
    </xf>
    <xf numFmtId="0" fontId="57" fillId="0" borderId="59" xfId="0" applyFont="1" applyBorder="1" applyAlignment="1">
      <alignment horizontal="center" vertical="center"/>
    </xf>
    <xf numFmtId="3" fontId="57" fillId="7" borderId="17" xfId="0" applyNumberFormat="1" applyFont="1" applyFill="1" applyBorder="1" applyAlignment="1" applyProtection="1">
      <alignment horizontal="center" vertical="center"/>
      <protection locked="0"/>
    </xf>
    <xf numFmtId="165" fontId="5" fillId="8" borderId="44" xfId="0" applyNumberFormat="1" applyFont="1" applyFill="1" applyBorder="1" applyAlignment="1">
      <alignment horizontal="center" vertical="center"/>
    </xf>
    <xf numFmtId="3" fontId="51" fillId="6" borderId="17" xfId="0" applyNumberFormat="1" applyFont="1" applyFill="1" applyBorder="1" applyAlignment="1" applyProtection="1">
      <alignment horizontal="center" vertical="center"/>
      <protection hidden="1"/>
    </xf>
    <xf numFmtId="0" fontId="57" fillId="0" borderId="32" xfId="0" applyFont="1" applyBorder="1" applyAlignment="1">
      <alignment horizontal="center" vertical="center"/>
    </xf>
    <xf numFmtId="3" fontId="57" fillId="0" borderId="17" xfId="0" applyNumberFormat="1" applyFont="1" applyBorder="1" applyAlignment="1" applyProtection="1">
      <alignment horizontal="center" vertical="center"/>
      <protection hidden="1"/>
    </xf>
    <xf numFmtId="165" fontId="5" fillId="8" borderId="20" xfId="0" applyNumberFormat="1" applyFont="1" applyFill="1" applyBorder="1" applyAlignment="1">
      <alignment horizontal="center" vertical="center"/>
    </xf>
    <xf numFmtId="3" fontId="51" fillId="8" borderId="10" xfId="0" applyNumberFormat="1" applyFont="1" applyFill="1" applyBorder="1" applyAlignment="1" applyProtection="1">
      <alignment horizontal="center" vertical="center"/>
      <protection hidden="1"/>
    </xf>
    <xf numFmtId="0" fontId="93" fillId="0" borderId="17" xfId="0" applyFont="1" applyBorder="1" applyAlignment="1">
      <alignment horizontal="center" vertical="center"/>
    </xf>
    <xf numFmtId="165" fontId="5" fillId="0" borderId="44" xfId="0" applyNumberFormat="1" applyFont="1" applyBorder="1" applyAlignment="1">
      <alignment horizontal="center" vertical="center"/>
    </xf>
    <xf numFmtId="0" fontId="57" fillId="0" borderId="17" xfId="0" applyFont="1" applyBorder="1" applyAlignment="1">
      <alignment horizontal="center" vertical="center"/>
    </xf>
    <xf numFmtId="165" fontId="5" fillId="8" borderId="18" xfId="0" applyNumberFormat="1" applyFont="1" applyFill="1" applyBorder="1" applyAlignment="1">
      <alignment horizontal="center" vertical="center"/>
    </xf>
    <xf numFmtId="3" fontId="39" fillId="8" borderId="10" xfId="0" applyNumberFormat="1" applyFont="1" applyFill="1" applyBorder="1" applyAlignment="1" applyProtection="1">
      <alignment horizontal="center" vertical="center"/>
      <protection hidden="1"/>
    </xf>
    <xf numFmtId="0" fontId="94" fillId="0" borderId="0" xfId="0" applyFont="1" applyProtection="1">
      <protection hidden="1"/>
    </xf>
    <xf numFmtId="0" fontId="36" fillId="0" borderId="25" xfId="0" applyFont="1" applyBorder="1" applyAlignment="1">
      <alignment vertical="center"/>
    </xf>
    <xf numFmtId="0" fontId="36" fillId="0" borderId="25" xfId="0" applyFont="1" applyBorder="1" applyAlignment="1" applyProtection="1">
      <alignment horizontal="left" vertical="center"/>
      <protection hidden="1"/>
    </xf>
    <xf numFmtId="0" fontId="5" fillId="0" borderId="0" xfId="0" applyFont="1" applyAlignment="1">
      <alignment horizontal="center" vertical="center" wrapText="1"/>
    </xf>
    <xf numFmtId="14" fontId="3" fillId="0" borderId="0" xfId="0" applyNumberFormat="1" applyFont="1" applyAlignment="1">
      <alignment horizontal="right"/>
    </xf>
    <xf numFmtId="0" fontId="6" fillId="0" borderId="0" xfId="0" applyFont="1" applyAlignment="1">
      <alignment horizontal="right"/>
    </xf>
    <xf numFmtId="0" fontId="21" fillId="12" borderId="0" xfId="0" applyFont="1" applyFill="1" applyAlignment="1">
      <alignment horizontal="center" vertical="center"/>
    </xf>
    <xf numFmtId="0" fontId="0" fillId="12" borderId="0" xfId="0" applyFill="1" applyAlignment="1">
      <alignment horizontal="center" vertical="center"/>
    </xf>
    <xf numFmtId="0" fontId="84" fillId="0" borderId="0" xfId="0" applyFont="1" applyAlignment="1">
      <alignment horizontal="right"/>
    </xf>
    <xf numFmtId="0" fontId="82" fillId="0" borderId="0" xfId="0" applyFont="1" applyAlignment="1">
      <alignment horizontal="left"/>
    </xf>
    <xf numFmtId="0" fontId="21" fillId="8" borderId="0" xfId="0" applyFont="1" applyFill="1" applyAlignment="1">
      <alignment horizontal="center" vertical="center"/>
    </xf>
    <xf numFmtId="0" fontId="22" fillId="8" borderId="0" xfId="0" applyFont="1" applyFill="1" applyAlignment="1">
      <alignment horizontal="center" vertical="center"/>
    </xf>
    <xf numFmtId="0" fontId="5" fillId="0" borderId="0" xfId="0" applyFont="1" applyAlignment="1">
      <alignment horizontal="center" vertical="center"/>
    </xf>
    <xf numFmtId="0" fontId="3" fillId="0" borderId="0" xfId="0" applyFont="1" applyAlignment="1">
      <alignment horizontal="right" vertical="top" wrapText="1"/>
    </xf>
    <xf numFmtId="0" fontId="0" fillId="0" borderId="0" xfId="0"/>
    <xf numFmtId="0" fontId="11" fillId="0" borderId="0" xfId="0" applyFont="1" applyAlignment="1">
      <alignment horizontal="center"/>
    </xf>
    <xf numFmtId="0" fontId="59" fillId="0" borderId="0" xfId="0" applyFont="1" applyAlignment="1">
      <alignment horizontal="center" vertical="top" wrapText="1"/>
    </xf>
    <xf numFmtId="0" fontId="6" fillId="0" borderId="0" xfId="0" applyFont="1" applyAlignment="1">
      <alignment horizontal="right" vertical="center"/>
    </xf>
    <xf numFmtId="0" fontId="54" fillId="0" borderId="0" xfId="0" applyFont="1" applyAlignment="1">
      <alignment horizontal="center" vertical="center"/>
    </xf>
    <xf numFmtId="0" fontId="11" fillId="0" borderId="0" xfId="0" applyFont="1" applyAlignment="1">
      <alignment horizontal="center" vertical="center" wrapText="1"/>
    </xf>
    <xf numFmtId="14" fontId="5" fillId="0" borderId="224" xfId="0" applyNumberFormat="1" applyFont="1" applyBorder="1" applyAlignment="1">
      <alignment horizontal="center"/>
    </xf>
    <xf numFmtId="0" fontId="0" fillId="0" borderId="0" xfId="0" applyAlignment="1">
      <alignment horizontal="center"/>
    </xf>
    <xf numFmtId="0" fontId="78" fillId="13" borderId="18" xfId="0" applyFont="1" applyFill="1" applyBorder="1" applyAlignment="1">
      <alignment horizontal="center" vertical="center"/>
    </xf>
    <xf numFmtId="0" fontId="78" fillId="13" borderId="8" xfId="0" applyFont="1" applyFill="1" applyBorder="1" applyAlignment="1">
      <alignment horizontal="center" vertical="center"/>
    </xf>
    <xf numFmtId="0" fontId="78" fillId="13" borderId="23" xfId="0" applyFont="1" applyFill="1" applyBorder="1" applyAlignment="1">
      <alignment horizontal="center" vertical="center"/>
    </xf>
    <xf numFmtId="0" fontId="78" fillId="13" borderId="59" xfId="0" applyFont="1" applyFill="1" applyBorder="1" applyAlignment="1">
      <alignment horizontal="center" vertical="center"/>
    </xf>
    <xf numFmtId="0" fontId="88" fillId="7" borderId="225" xfId="3" applyFill="1" applyBorder="1" applyAlignment="1" applyProtection="1">
      <alignment horizontal="left" vertical="center"/>
      <protection locked="0"/>
    </xf>
    <xf numFmtId="0" fontId="10" fillId="7" borderId="16" xfId="0" applyFont="1" applyFill="1" applyBorder="1" applyAlignment="1" applyProtection="1">
      <alignment horizontal="left" vertical="center"/>
      <protection locked="0"/>
    </xf>
    <xf numFmtId="6" fontId="79" fillId="13" borderId="19" xfId="0" applyNumberFormat="1" applyFont="1" applyFill="1" applyBorder="1" applyAlignment="1">
      <alignment horizontal="center" vertical="center"/>
    </xf>
    <xf numFmtId="6" fontId="79" fillId="13" borderId="32" xfId="0" applyNumberFormat="1" applyFont="1" applyFill="1" applyBorder="1" applyAlignment="1">
      <alignment horizontal="center" vertical="center"/>
    </xf>
    <xf numFmtId="49" fontId="5" fillId="7" borderId="225" xfId="0" applyNumberFormat="1" applyFont="1" applyFill="1" applyBorder="1" applyAlignment="1" applyProtection="1">
      <alignment horizontal="left" vertical="center"/>
      <protection locked="0"/>
    </xf>
    <xf numFmtId="49" fontId="5" fillId="7" borderId="16" xfId="0" applyNumberFormat="1" applyFont="1" applyFill="1" applyBorder="1" applyAlignment="1" applyProtection="1">
      <alignment horizontal="left" vertical="center"/>
      <protection locked="0"/>
    </xf>
    <xf numFmtId="0" fontId="8" fillId="0" borderId="224" xfId="0" applyFont="1" applyBorder="1" applyAlignment="1">
      <alignment horizontal="left" vertical="center"/>
    </xf>
    <xf numFmtId="0" fontId="8" fillId="0" borderId="0" xfId="0" applyFont="1" applyAlignment="1">
      <alignment horizontal="left" vertical="center"/>
    </xf>
    <xf numFmtId="0" fontId="8" fillId="0" borderId="226" xfId="0" applyFont="1" applyBorder="1" applyAlignment="1">
      <alignment horizontal="left" vertical="center"/>
    </xf>
    <xf numFmtId="0" fontId="8" fillId="0" borderId="7" xfId="0" applyFont="1" applyBorder="1" applyAlignment="1">
      <alignment horizontal="left" vertical="center"/>
    </xf>
    <xf numFmtId="49" fontId="5" fillId="7" borderId="228" xfId="0" applyNumberFormat="1" applyFont="1" applyFill="1" applyBorder="1" applyAlignment="1" applyProtection="1">
      <alignment horizontal="left" vertical="center"/>
      <protection locked="0"/>
    </xf>
    <xf numFmtId="49" fontId="5" fillId="7" borderId="229" xfId="0" applyNumberFormat="1" applyFont="1" applyFill="1" applyBorder="1" applyAlignment="1" applyProtection="1">
      <alignment horizontal="left" vertical="center"/>
      <protection locked="0"/>
    </xf>
    <xf numFmtId="0" fontId="6" fillId="0" borderId="0" xfId="0" applyFont="1" applyAlignment="1">
      <alignment horizontal="left"/>
    </xf>
    <xf numFmtId="0" fontId="10" fillId="0" borderId="18" xfId="0" applyFont="1" applyBorder="1" applyAlignment="1">
      <alignment horizontal="left" vertical="center"/>
    </xf>
    <xf numFmtId="0" fontId="10" fillId="0" borderId="7" xfId="0" applyFont="1" applyBorder="1" applyAlignment="1">
      <alignment horizontal="left" vertical="center"/>
    </xf>
    <xf numFmtId="0" fontId="5" fillId="0" borderId="25" xfId="0" applyFont="1" applyBorder="1" applyAlignment="1">
      <alignment horizontal="left" vertical="center"/>
    </xf>
    <xf numFmtId="0" fontId="5" fillId="0" borderId="0" xfId="0" applyFont="1" applyAlignment="1">
      <alignment horizontal="left" vertical="center"/>
    </xf>
    <xf numFmtId="0" fontId="10" fillId="0" borderId="0" xfId="0" applyFont="1" applyAlignment="1">
      <alignment horizontal="right" vertical="top" wrapText="1"/>
    </xf>
    <xf numFmtId="0" fontId="5" fillId="7" borderId="16" xfId="0" applyFont="1" applyFill="1" applyBorder="1" applyAlignment="1" applyProtection="1">
      <alignment horizontal="left" vertical="center"/>
      <protection locked="0"/>
    </xf>
    <xf numFmtId="0" fontId="5" fillId="7" borderId="227" xfId="0" applyFont="1" applyFill="1" applyBorder="1" applyAlignment="1" applyProtection="1">
      <alignment horizontal="left" vertical="center"/>
      <protection locked="0"/>
    </xf>
    <xf numFmtId="0" fontId="2" fillId="7" borderId="0" xfId="0" applyFont="1" applyFill="1" applyAlignment="1" applyProtection="1">
      <alignment horizontal="left" vertical="top" wrapText="1"/>
      <protection locked="0"/>
    </xf>
    <xf numFmtId="0" fontId="2" fillId="7" borderId="0" xfId="0" applyFont="1" applyFill="1" applyAlignment="1" applyProtection="1">
      <alignment horizontal="left" vertical="top"/>
      <protection locked="0"/>
    </xf>
    <xf numFmtId="0" fontId="2" fillId="7" borderId="231" xfId="0" applyFont="1" applyFill="1" applyBorder="1" applyAlignment="1" applyProtection="1">
      <alignment horizontal="left" vertical="top"/>
      <protection locked="0"/>
    </xf>
    <xf numFmtId="0" fontId="2" fillId="7" borderId="229" xfId="0" applyFont="1" applyFill="1" applyBorder="1" applyAlignment="1" applyProtection="1">
      <alignment horizontal="left" vertical="top"/>
      <protection locked="0"/>
    </xf>
    <xf numFmtId="0" fontId="2" fillId="7" borderId="230" xfId="0" applyFont="1" applyFill="1" applyBorder="1" applyAlignment="1" applyProtection="1">
      <alignment horizontal="left" vertical="top"/>
      <protection locked="0"/>
    </xf>
    <xf numFmtId="0" fontId="11" fillId="0" borderId="25" xfId="0" applyFont="1" applyBorder="1" applyAlignment="1" applyProtection="1">
      <alignment vertical="center"/>
      <protection locked="0"/>
    </xf>
    <xf numFmtId="0" fontId="11" fillId="0" borderId="0" xfId="0" applyFont="1" applyAlignment="1" applyProtection="1">
      <alignment vertical="center"/>
      <protection locked="0"/>
    </xf>
    <xf numFmtId="1" fontId="11" fillId="0" borderId="0" xfId="0" applyNumberFormat="1" applyFont="1" applyAlignment="1" applyProtection="1">
      <alignment horizontal="right"/>
      <protection hidden="1"/>
    </xf>
    <xf numFmtId="0" fontId="11" fillId="0" borderId="0" xfId="0" applyFont="1" applyAlignment="1" applyProtection="1">
      <alignment horizontal="left" vertical="center"/>
      <protection hidden="1"/>
    </xf>
    <xf numFmtId="0" fontId="4" fillId="0" borderId="0" xfId="0" applyFont="1" applyAlignment="1" applyProtection="1">
      <alignment horizontal="left"/>
      <protection hidden="1"/>
    </xf>
    <xf numFmtId="0" fontId="10" fillId="13" borderId="18" xfId="0" applyFont="1" applyFill="1" applyBorder="1" applyAlignment="1" applyProtection="1">
      <alignment horizontal="center" vertical="center"/>
      <protection hidden="1"/>
    </xf>
    <xf numFmtId="0" fontId="11" fillId="13" borderId="7" xfId="0" applyFont="1" applyFill="1" applyBorder="1" applyAlignment="1">
      <alignment horizontal="center" vertical="center"/>
    </xf>
    <xf numFmtId="0" fontId="11" fillId="13" borderId="58" xfId="0" applyFont="1" applyFill="1" applyBorder="1" applyAlignment="1">
      <alignment horizontal="center" vertical="center"/>
    </xf>
    <xf numFmtId="0" fontId="11" fillId="13" borderId="25" xfId="0" applyFont="1" applyFill="1" applyBorder="1" applyAlignment="1">
      <alignment horizontal="center" vertical="center"/>
    </xf>
    <xf numFmtId="0" fontId="11" fillId="13" borderId="0" xfId="0" applyFont="1" applyFill="1" applyAlignment="1">
      <alignment horizontal="center" vertical="center"/>
    </xf>
    <xf numFmtId="0" fontId="11" fillId="13" borderId="28" xfId="0" applyFont="1" applyFill="1" applyBorder="1" applyAlignment="1">
      <alignment horizontal="center" vertical="center"/>
    </xf>
    <xf numFmtId="3" fontId="11" fillId="0" borderId="0" xfId="0" applyNumberFormat="1" applyFont="1" applyAlignment="1" applyProtection="1">
      <alignment horizontal="right" vertical="center"/>
      <protection hidden="1"/>
    </xf>
    <xf numFmtId="0" fontId="11" fillId="0" borderId="0" xfId="0" applyFont="1" applyAlignment="1" applyProtection="1">
      <alignment horizontal="right" vertical="center"/>
      <protection hidden="1"/>
    </xf>
    <xf numFmtId="0" fontId="10" fillId="0" borderId="0" xfId="0" applyFont="1" applyAlignment="1" applyProtection="1">
      <alignment horizontal="center"/>
      <protection hidden="1"/>
    </xf>
    <xf numFmtId="1" fontId="10" fillId="0" borderId="0" xfId="0" applyNumberFormat="1" applyFont="1" applyAlignment="1" applyProtection="1">
      <alignment horizontal="center"/>
      <protection hidden="1"/>
    </xf>
    <xf numFmtId="3" fontId="0" fillId="0" borderId="0" xfId="0" applyNumberFormat="1" applyAlignment="1" applyProtection="1">
      <alignment horizontal="right"/>
      <protection hidden="1"/>
    </xf>
    <xf numFmtId="0" fontId="10" fillId="0" borderId="45" xfId="0" applyFont="1" applyBorder="1" applyAlignment="1" applyProtection="1">
      <alignment horizontal="left" vertical="center" wrapText="1"/>
      <protection hidden="1"/>
    </xf>
    <xf numFmtId="0" fontId="10" fillId="0" borderId="75" xfId="0" applyFont="1" applyBorder="1" applyAlignment="1" applyProtection="1">
      <alignment horizontal="left" vertical="center" wrapText="1"/>
      <protection hidden="1"/>
    </xf>
    <xf numFmtId="0" fontId="4" fillId="0" borderId="0" xfId="0" applyFont="1" applyAlignment="1" applyProtection="1">
      <alignment horizontal="left" vertical="center"/>
      <protection hidden="1"/>
    </xf>
    <xf numFmtId="164" fontId="0" fillId="0" borderId="0" xfId="0" applyNumberFormat="1" applyAlignment="1" applyProtection="1">
      <alignment horizontal="right"/>
      <protection hidden="1"/>
    </xf>
    <xf numFmtId="49" fontId="0" fillId="0" borderId="0" xfId="0" applyNumberFormat="1" applyAlignment="1" applyProtection="1">
      <alignment horizontal="center"/>
      <protection hidden="1"/>
    </xf>
    <xf numFmtId="49" fontId="4" fillId="0" borderId="0" xfId="0" applyNumberFormat="1" applyFont="1" applyAlignment="1" applyProtection="1">
      <alignment horizontal="center"/>
      <protection hidden="1"/>
    </xf>
    <xf numFmtId="0" fontId="0" fillId="0" borderId="0" xfId="0" applyAlignment="1" applyProtection="1">
      <alignment horizontal="center"/>
      <protection hidden="1"/>
    </xf>
    <xf numFmtId="14" fontId="4" fillId="0" borderId="0" xfId="0" applyNumberFormat="1" applyFont="1" applyAlignment="1" applyProtection="1">
      <alignment horizontal="center" vertical="center"/>
      <protection hidden="1"/>
    </xf>
    <xf numFmtId="0" fontId="6" fillId="0" borderId="0" xfId="0" applyFont="1" applyAlignment="1" applyProtection="1">
      <alignment horizontal="left" vertical="center"/>
      <protection hidden="1"/>
    </xf>
    <xf numFmtId="0" fontId="10" fillId="0" borderId="0" xfId="0" applyFont="1" applyAlignment="1" applyProtection="1">
      <alignment horizontal="center" vertical="center"/>
      <protection hidden="1"/>
    </xf>
    <xf numFmtId="0" fontId="11" fillId="0" borderId="0" xfId="0" applyFont="1" applyAlignment="1" applyProtection="1">
      <alignment horizontal="left"/>
      <protection hidden="1"/>
    </xf>
    <xf numFmtId="0" fontId="5" fillId="0" borderId="0" xfId="0" applyFont="1" applyAlignment="1" applyProtection="1">
      <alignment horizontal="center"/>
      <protection hidden="1"/>
    </xf>
    <xf numFmtId="0" fontId="6" fillId="0" borderId="45" xfId="0" applyFont="1" applyBorder="1" applyAlignment="1" applyProtection="1">
      <alignment horizontal="left" vertical="center"/>
      <protection hidden="1"/>
    </xf>
    <xf numFmtId="0" fontId="6" fillId="0" borderId="75" xfId="0" applyFont="1" applyBorder="1" applyAlignment="1" applyProtection="1">
      <alignment horizontal="left" vertical="center"/>
      <protection hidden="1"/>
    </xf>
    <xf numFmtId="3" fontId="11" fillId="0" borderId="0" xfId="0" applyNumberFormat="1" applyFont="1" applyAlignment="1" applyProtection="1">
      <alignment horizontal="right"/>
      <protection hidden="1"/>
    </xf>
    <xf numFmtId="0" fontId="10" fillId="0" borderId="0" xfId="0" applyFont="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167" fontId="11" fillId="7" borderId="68" xfId="0" applyNumberFormat="1" applyFont="1" applyFill="1" applyBorder="1" applyAlignment="1" applyProtection="1">
      <alignment horizontal="center" vertical="center"/>
      <protection locked="0"/>
    </xf>
    <xf numFmtId="167" fontId="11" fillId="7" borderId="44" xfId="0" applyNumberFormat="1" applyFont="1" applyFill="1" applyBorder="1" applyAlignment="1" applyProtection="1">
      <alignment horizontal="center" vertical="center"/>
      <protection locked="0"/>
    </xf>
    <xf numFmtId="3" fontId="0" fillId="0" borderId="0" xfId="0" applyNumberFormat="1" applyAlignment="1" applyProtection="1">
      <alignment horizontal="center"/>
      <protection hidden="1"/>
    </xf>
    <xf numFmtId="0" fontId="79" fillId="13" borderId="11" xfId="0" applyFont="1" applyFill="1" applyBorder="1" applyAlignment="1" applyProtection="1">
      <alignment horizontal="center"/>
      <protection hidden="1"/>
    </xf>
    <xf numFmtId="0" fontId="79" fillId="13" borderId="58" xfId="0" applyFont="1" applyFill="1" applyBorder="1" applyAlignment="1" applyProtection="1">
      <alignment horizontal="center"/>
      <protection hidden="1"/>
    </xf>
    <xf numFmtId="1" fontId="10" fillId="7" borderId="27" xfId="0" applyNumberFormat="1" applyFont="1" applyFill="1" applyBorder="1" applyAlignment="1" applyProtection="1">
      <alignment horizontal="center"/>
      <protection locked="0"/>
    </xf>
    <xf numFmtId="0" fontId="10" fillId="7" borderId="28" xfId="0" applyFont="1" applyFill="1" applyBorder="1" applyAlignment="1" applyProtection="1">
      <alignment horizontal="center"/>
      <protection locked="0"/>
    </xf>
    <xf numFmtId="0" fontId="10" fillId="7" borderId="80" xfId="0" applyFont="1" applyFill="1" applyBorder="1" applyAlignment="1" applyProtection="1">
      <alignment horizontal="center"/>
      <protection locked="0"/>
    </xf>
    <xf numFmtId="0" fontId="10" fillId="7" borderId="65" xfId="0" applyFont="1" applyFill="1" applyBorder="1" applyAlignment="1" applyProtection="1">
      <alignment horizontal="center"/>
      <protection locked="0"/>
    </xf>
    <xf numFmtId="167" fontId="11" fillId="7" borderId="106" xfId="0" applyNumberFormat="1" applyFont="1" applyFill="1" applyBorder="1" applyAlignment="1" applyProtection="1">
      <alignment horizontal="center" vertical="center"/>
      <protection locked="0"/>
    </xf>
    <xf numFmtId="0" fontId="79" fillId="13" borderId="27" xfId="0" applyFont="1" applyFill="1" applyBorder="1" applyAlignment="1" applyProtection="1">
      <alignment horizontal="center"/>
      <protection hidden="1"/>
    </xf>
    <xf numFmtId="0" fontId="79" fillId="13" borderId="28" xfId="0" applyFont="1" applyFill="1" applyBorder="1" applyAlignment="1" applyProtection="1">
      <alignment horizontal="center"/>
      <protection hidden="1"/>
    </xf>
    <xf numFmtId="167" fontId="11" fillId="7" borderId="67" xfId="0" applyNumberFormat="1" applyFont="1" applyFill="1" applyBorder="1" applyAlignment="1" applyProtection="1">
      <alignment horizontal="center" vertical="center"/>
      <protection locked="0"/>
    </xf>
    <xf numFmtId="0" fontId="10" fillId="7" borderId="170" xfId="0" applyFont="1" applyFill="1" applyBorder="1" applyAlignment="1" applyProtection="1">
      <alignment horizontal="center"/>
      <protection locked="0"/>
    </xf>
    <xf numFmtId="0" fontId="79" fillId="13" borderId="8" xfId="0" applyFont="1" applyFill="1" applyBorder="1" applyAlignment="1" applyProtection="1">
      <alignment horizontal="center"/>
      <protection hidden="1"/>
    </xf>
    <xf numFmtId="0" fontId="79" fillId="13" borderId="31" xfId="0" applyFont="1" applyFill="1" applyBorder="1" applyAlignment="1" applyProtection="1">
      <alignment horizontal="center"/>
      <protection hidden="1"/>
    </xf>
    <xf numFmtId="0" fontId="71" fillId="0" borderId="45" xfId="0" applyFont="1" applyBorder="1" applyAlignment="1">
      <alignment horizontal="right" vertical="center" indent="1"/>
    </xf>
    <xf numFmtId="0" fontId="71" fillId="0" borderId="46" xfId="0" applyFont="1" applyBorder="1" applyAlignment="1">
      <alignment horizontal="right" vertical="center" indent="1"/>
    </xf>
    <xf numFmtId="0" fontId="71" fillId="0" borderId="45" xfId="0" applyFont="1" applyBorder="1" applyAlignment="1" applyProtection="1">
      <alignment horizontal="right" vertical="center" indent="1"/>
      <protection hidden="1"/>
    </xf>
    <xf numFmtId="0" fontId="71" fillId="0" borderId="46" xfId="0" applyFont="1" applyBorder="1" applyAlignment="1" applyProtection="1">
      <alignment horizontal="right" vertical="center" indent="1"/>
      <protection hidden="1"/>
    </xf>
    <xf numFmtId="0" fontId="89" fillId="0" borderId="45" xfId="0" applyFont="1" applyBorder="1" applyAlignment="1" applyProtection="1">
      <alignment horizontal="left" vertical="center" indent="2"/>
      <protection hidden="1"/>
    </xf>
    <xf numFmtId="0" fontId="89" fillId="0" borderId="46" xfId="0" applyFont="1" applyBorder="1" applyAlignment="1" applyProtection="1">
      <alignment horizontal="left" vertical="center" indent="2"/>
      <protection hidden="1"/>
    </xf>
    <xf numFmtId="0" fontId="11" fillId="0" borderId="45" xfId="0" applyFont="1" applyBorder="1" applyAlignment="1">
      <alignment horizontal="left" vertical="center"/>
    </xf>
    <xf numFmtId="0" fontId="11" fillId="0" borderId="46" xfId="0" applyFont="1" applyBorder="1" applyAlignment="1">
      <alignment horizontal="left" vertical="center"/>
    </xf>
    <xf numFmtId="0" fontId="11" fillId="0" borderId="45" xfId="0" applyFont="1" applyBorder="1" applyAlignment="1">
      <alignment horizontal="left" vertical="center" wrapText="1" indent="1"/>
    </xf>
    <xf numFmtId="0" fontId="11" fillId="0" borderId="46" xfId="0" applyFont="1" applyBorder="1" applyAlignment="1">
      <alignment horizontal="left" vertical="center" wrapText="1" indent="1"/>
    </xf>
    <xf numFmtId="0" fontId="11" fillId="0" borderId="0" xfId="0" applyFont="1" applyAlignment="1">
      <alignment horizontal="left" vertical="center"/>
    </xf>
    <xf numFmtId="0" fontId="11" fillId="0" borderId="31" xfId="0" applyFont="1" applyBorder="1" applyAlignment="1">
      <alignment horizontal="left" vertical="center"/>
    </xf>
    <xf numFmtId="2" fontId="5" fillId="0" borderId="16" xfId="0" applyNumberFormat="1" applyFont="1" applyBorder="1" applyAlignment="1">
      <alignment horizontal="left" vertical="center"/>
    </xf>
    <xf numFmtId="0" fontId="59" fillId="13" borderId="56" xfId="0" applyFont="1" applyFill="1" applyBorder="1" applyAlignment="1">
      <alignment horizontal="center" vertical="center"/>
    </xf>
    <xf numFmtId="0" fontId="59" fillId="13" borderId="14" xfId="0" applyFont="1" applyFill="1" applyBorder="1" applyAlignment="1">
      <alignment horizontal="center" vertical="center"/>
    </xf>
    <xf numFmtId="0" fontId="59" fillId="13" borderId="86" xfId="0" applyFont="1" applyFill="1" applyBorder="1" applyAlignment="1">
      <alignment horizontal="center" vertical="center"/>
    </xf>
    <xf numFmtId="0" fontId="3" fillId="0" borderId="23" xfId="0" applyFont="1" applyBorder="1" applyAlignment="1">
      <alignment horizontal="center" vertical="center"/>
    </xf>
    <xf numFmtId="0" fontId="3" fillId="0" borderId="16" xfId="0" applyFont="1" applyBorder="1" applyAlignment="1">
      <alignment horizontal="center" vertical="center"/>
    </xf>
    <xf numFmtId="0" fontId="10" fillId="0" borderId="45" xfId="0" applyFont="1" applyBorder="1" applyAlignment="1">
      <alignment horizontal="left" vertical="center"/>
    </xf>
    <xf numFmtId="0" fontId="10" fillId="0" borderId="46" xfId="0" applyFont="1" applyBorder="1" applyAlignment="1">
      <alignment horizontal="left" vertical="center"/>
    </xf>
    <xf numFmtId="0" fontId="5" fillId="0" borderId="16" xfId="0" applyFont="1" applyBorder="1" applyAlignment="1">
      <alignment horizontal="left" vertical="center"/>
    </xf>
    <xf numFmtId="0" fontId="59" fillId="13" borderId="25" xfId="0" applyFont="1" applyFill="1" applyBorder="1" applyAlignment="1">
      <alignment horizontal="center" vertical="center"/>
    </xf>
    <xf numFmtId="0" fontId="59" fillId="13" borderId="0" xfId="0" applyFont="1" applyFill="1" applyAlignment="1">
      <alignment horizontal="center" vertical="center"/>
    </xf>
    <xf numFmtId="0" fontId="59" fillId="13" borderId="31" xfId="0" applyFont="1" applyFill="1" applyBorder="1" applyAlignment="1">
      <alignment horizontal="center" vertical="center"/>
    </xf>
    <xf numFmtId="0" fontId="5" fillId="0" borderId="34" xfId="0" applyFont="1" applyBorder="1" applyAlignment="1" applyProtection="1">
      <alignment horizontal="left" vertical="center"/>
      <protection hidden="1"/>
    </xf>
    <xf numFmtId="0" fontId="5" fillId="0" borderId="31" xfId="0" applyFont="1" applyBorder="1" applyAlignment="1">
      <alignment horizontal="left" vertical="center"/>
    </xf>
    <xf numFmtId="0" fontId="5" fillId="0" borderId="13" xfId="0" applyFont="1" applyBorder="1" applyAlignment="1">
      <alignment horizontal="left"/>
    </xf>
    <xf numFmtId="0" fontId="5" fillId="0" borderId="34" xfId="0" applyFont="1" applyBorder="1" applyAlignment="1">
      <alignment horizontal="left"/>
    </xf>
    <xf numFmtId="0" fontId="5" fillId="0" borderId="43" xfId="0" applyFont="1" applyBorder="1" applyAlignment="1">
      <alignment horizontal="left"/>
    </xf>
    <xf numFmtId="0" fontId="81" fillId="13" borderId="103" xfId="0" applyFont="1" applyFill="1" applyBorder="1" applyAlignment="1">
      <alignment horizontal="center"/>
    </xf>
    <xf numFmtId="0" fontId="81" fillId="13" borderId="0" xfId="0" applyFont="1" applyFill="1" applyAlignment="1">
      <alignment horizontal="center"/>
    </xf>
    <xf numFmtId="0" fontId="11" fillId="0" borderId="76" xfId="0" applyFont="1" applyBorder="1" applyAlignment="1">
      <alignment horizontal="left" vertical="center"/>
    </xf>
    <xf numFmtId="0" fontId="11" fillId="0" borderId="77" xfId="0" applyFont="1" applyBorder="1" applyAlignment="1">
      <alignment horizontal="left" vertical="center"/>
    </xf>
    <xf numFmtId="0" fontId="11" fillId="0" borderId="78" xfId="0" applyFont="1" applyBorder="1" applyAlignment="1">
      <alignment horizontal="left" vertical="center"/>
    </xf>
    <xf numFmtId="166" fontId="11" fillId="0" borderId="79" xfId="0" applyNumberFormat="1" applyFont="1" applyBorder="1" applyAlignment="1">
      <alignment horizontal="left" vertical="center"/>
    </xf>
    <xf numFmtId="0" fontId="6" fillId="0" borderId="0" xfId="0" applyFont="1" applyAlignment="1" applyProtection="1">
      <alignment horizontal="right"/>
      <protection hidden="1"/>
    </xf>
    <xf numFmtId="0" fontId="0" fillId="0" borderId="0" xfId="0" applyAlignment="1">
      <alignment horizontal="left" vertical="center"/>
    </xf>
    <xf numFmtId="0" fontId="81" fillId="13" borderId="0" xfId="0" applyFont="1" applyFill="1" applyAlignment="1">
      <alignment horizontal="left"/>
    </xf>
    <xf numFmtId="0" fontId="89" fillId="0" borderId="45" xfId="0" applyFont="1" applyBorder="1" applyAlignment="1">
      <alignment horizontal="left" vertical="center" indent="2"/>
    </xf>
    <xf numFmtId="0" fontId="89" fillId="0" borderId="46" xfId="0" applyFont="1" applyBorder="1" applyAlignment="1">
      <alignment horizontal="left" vertical="center" indent="2"/>
    </xf>
    <xf numFmtId="0" fontId="81" fillId="13" borderId="12" xfId="0" applyFont="1" applyFill="1" applyBorder="1" applyAlignment="1">
      <alignment horizontal="center" vertical="center"/>
    </xf>
    <xf numFmtId="0" fontId="81" fillId="13" borderId="2" xfId="0" applyFont="1" applyFill="1" applyBorder="1" applyAlignment="1">
      <alignment horizontal="center" vertical="center"/>
    </xf>
    <xf numFmtId="0" fontId="81" fillId="13" borderId="27" xfId="0" applyFont="1" applyFill="1" applyBorder="1" applyAlignment="1">
      <alignment horizontal="center" vertical="center"/>
    </xf>
    <xf numFmtId="0" fontId="81" fillId="13" borderId="0" xfId="0" applyFont="1" applyFill="1" applyAlignment="1">
      <alignment horizontal="center" vertical="center"/>
    </xf>
    <xf numFmtId="0" fontId="81" fillId="13" borderId="13" xfId="0" applyFont="1" applyFill="1" applyBorder="1" applyAlignment="1">
      <alignment horizontal="center" vertical="center"/>
    </xf>
    <xf numFmtId="0" fontId="81" fillId="13" borderId="34" xfId="0" applyFont="1" applyFill="1" applyBorder="1" applyAlignment="1">
      <alignment horizontal="center" vertical="center"/>
    </xf>
    <xf numFmtId="0" fontId="89" fillId="0" borderId="45" xfId="0" applyFont="1" applyBorder="1" applyAlignment="1">
      <alignment horizontal="left" vertical="center" indent="1"/>
    </xf>
    <xf numFmtId="0" fontId="89" fillId="0" borderId="46" xfId="0" applyFont="1" applyBorder="1" applyAlignment="1">
      <alignment horizontal="left" vertical="center" indent="1"/>
    </xf>
    <xf numFmtId="0" fontId="71" fillId="0" borderId="96" xfId="0" applyFont="1" applyBorder="1" applyAlignment="1">
      <alignment horizontal="right" vertical="center" indent="1"/>
    </xf>
    <xf numFmtId="0" fontId="71" fillId="0" borderId="97" xfId="0" applyFont="1" applyBorder="1" applyAlignment="1">
      <alignment horizontal="right" vertical="center" indent="1"/>
    </xf>
    <xf numFmtId="14" fontId="5" fillId="0" borderId="0" xfId="0" applyNumberFormat="1" applyFont="1" applyAlignment="1">
      <alignment horizontal="left" vertical="center"/>
    </xf>
    <xf numFmtId="0" fontId="82" fillId="13" borderId="12" xfId="0" applyFont="1" applyFill="1" applyBorder="1" applyAlignment="1" applyProtection="1">
      <alignment horizontal="center" vertical="center"/>
      <protection hidden="1"/>
    </xf>
    <xf numFmtId="0" fontId="82" fillId="13" borderId="2" xfId="0" applyFont="1" applyFill="1" applyBorder="1" applyAlignment="1" applyProtection="1">
      <alignment horizontal="center" vertical="center"/>
      <protection hidden="1"/>
    </xf>
    <xf numFmtId="0" fontId="82" fillId="13" borderId="1" xfId="0" applyFont="1" applyFill="1" applyBorder="1" applyAlignment="1" applyProtection="1">
      <alignment horizontal="center" vertical="center"/>
      <protection hidden="1"/>
    </xf>
    <xf numFmtId="0" fontId="3" fillId="0" borderId="13" xfId="0" applyFont="1" applyBorder="1" applyAlignment="1">
      <alignment horizontal="center" vertical="center"/>
    </xf>
    <xf numFmtId="0" fontId="3" fillId="0" borderId="43" xfId="0" applyFont="1" applyBorder="1" applyAlignment="1">
      <alignment horizontal="center" vertical="center"/>
    </xf>
    <xf numFmtId="0" fontId="82" fillId="13" borderId="27" xfId="0" applyFont="1" applyFill="1" applyBorder="1" applyAlignment="1">
      <alignment horizontal="center" vertical="center"/>
    </xf>
    <xf numFmtId="0" fontId="82" fillId="13" borderId="0" xfId="0" applyFont="1" applyFill="1" applyAlignment="1">
      <alignment horizontal="center" vertical="center"/>
    </xf>
    <xf numFmtId="0" fontId="82" fillId="13" borderId="28" xfId="0" applyFont="1" applyFill="1" applyBorder="1" applyAlignment="1">
      <alignment horizontal="center" vertical="center"/>
    </xf>
    <xf numFmtId="0" fontId="10" fillId="0" borderId="13" xfId="0" applyFont="1" applyBorder="1" applyAlignment="1">
      <alignment horizontal="center" vertical="top"/>
    </xf>
    <xf numFmtId="0" fontId="10" fillId="0" borderId="34" xfId="0" applyFont="1" applyBorder="1" applyAlignment="1">
      <alignment horizontal="center" vertical="top"/>
    </xf>
    <xf numFmtId="0" fontId="79" fillId="13" borderId="19" xfId="0" applyFont="1" applyFill="1" applyBorder="1" applyAlignment="1">
      <alignment horizontal="center" vertical="center" wrapText="1"/>
    </xf>
    <xf numFmtId="0" fontId="79" fillId="13" borderId="60" xfId="0" applyFont="1" applyFill="1" applyBorder="1" applyAlignment="1">
      <alignment horizontal="center" vertical="center" wrapText="1"/>
    </xf>
    <xf numFmtId="0" fontId="3" fillId="0" borderId="29"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66" xfId="0" applyFont="1" applyBorder="1" applyAlignment="1">
      <alignment horizontal="center" vertical="center" wrapText="1"/>
    </xf>
    <xf numFmtId="3" fontId="6" fillId="7" borderId="68" xfId="0" applyNumberFormat="1" applyFont="1" applyFill="1" applyBorder="1" applyAlignment="1" applyProtection="1">
      <alignment horizontal="center" vertical="center"/>
      <protection locked="0"/>
    </xf>
    <xf numFmtId="3" fontId="6" fillId="7" borderId="44" xfId="0" applyNumberFormat="1" applyFont="1" applyFill="1" applyBorder="1" applyAlignment="1" applyProtection="1">
      <alignment horizontal="center" vertical="center"/>
      <protection locked="0"/>
    </xf>
    <xf numFmtId="0" fontId="82" fillId="13" borderId="12" xfId="0" applyFont="1" applyFill="1" applyBorder="1" applyAlignment="1">
      <alignment horizontal="center" vertical="center"/>
    </xf>
    <xf numFmtId="0" fontId="82" fillId="13" borderId="2" xfId="0" applyFont="1" applyFill="1" applyBorder="1" applyAlignment="1">
      <alignment horizontal="center" vertical="center"/>
    </xf>
    <xf numFmtId="3" fontId="3" fillId="0" borderId="114" xfId="0" applyNumberFormat="1" applyFont="1" applyBorder="1" applyAlignment="1" applyProtection="1">
      <alignment horizontal="center" vertical="center"/>
      <protection hidden="1"/>
    </xf>
    <xf numFmtId="3" fontId="3" fillId="0" borderId="115" xfId="0" applyNumberFormat="1" applyFont="1" applyBorder="1" applyAlignment="1" applyProtection="1">
      <alignment horizontal="center" vertical="center"/>
      <protection hidden="1"/>
    </xf>
    <xf numFmtId="3" fontId="3" fillId="0" borderId="4" xfId="0" applyNumberFormat="1" applyFont="1" applyBorder="1" applyAlignment="1" applyProtection="1">
      <alignment horizontal="center" vertical="center"/>
      <protection hidden="1"/>
    </xf>
    <xf numFmtId="3" fontId="3" fillId="0" borderId="98" xfId="0" applyNumberFormat="1" applyFont="1" applyBorder="1" applyAlignment="1" applyProtection="1">
      <alignment horizontal="center" vertical="center"/>
      <protection hidden="1"/>
    </xf>
    <xf numFmtId="3" fontId="6" fillId="7" borderId="99" xfId="0" applyNumberFormat="1" applyFont="1" applyFill="1" applyBorder="1" applyAlignment="1" applyProtection="1">
      <alignment horizontal="center" vertical="center"/>
      <protection locked="0"/>
    </xf>
    <xf numFmtId="3" fontId="6" fillId="7" borderId="91" xfId="0" applyNumberFormat="1" applyFont="1" applyFill="1" applyBorder="1" applyAlignment="1" applyProtection="1">
      <alignment horizontal="center" vertical="center"/>
      <protection locked="0"/>
    </xf>
    <xf numFmtId="3" fontId="6" fillId="7" borderId="12" xfId="0" applyNumberFormat="1" applyFont="1" applyFill="1" applyBorder="1" applyAlignment="1" applyProtection="1">
      <alignment horizontal="center" vertical="center"/>
      <protection locked="0"/>
    </xf>
    <xf numFmtId="3" fontId="6" fillId="7" borderId="9" xfId="0" applyNumberFormat="1" applyFont="1" applyFill="1" applyBorder="1" applyAlignment="1" applyProtection="1">
      <alignment horizontal="center" vertical="center"/>
      <protection locked="0"/>
    </xf>
    <xf numFmtId="0" fontId="3" fillId="0" borderId="19" xfId="0" applyFont="1" applyBorder="1" applyAlignment="1">
      <alignment horizontal="center" vertical="center" wrapText="1"/>
    </xf>
    <xf numFmtId="0" fontId="3" fillId="0" borderId="22" xfId="0" applyFont="1" applyBorder="1" applyAlignment="1">
      <alignment horizontal="center" vertical="center" wrapText="1"/>
    </xf>
    <xf numFmtId="0" fontId="82" fillId="13" borderId="29" xfId="0" applyFont="1" applyFill="1" applyBorder="1" applyAlignment="1">
      <alignment horizontal="center" vertical="center" wrapText="1"/>
    </xf>
    <xf numFmtId="0" fontId="82" fillId="13" borderId="60" xfId="0" applyFont="1" applyFill="1" applyBorder="1" applyAlignment="1">
      <alignment horizontal="center" vertical="center" wrapText="1"/>
    </xf>
    <xf numFmtId="3" fontId="6" fillId="0" borderId="68" xfId="0" applyNumberFormat="1" applyFont="1" applyBorder="1" applyAlignment="1" applyProtection="1">
      <alignment horizontal="center" vertical="center"/>
      <protection hidden="1"/>
    </xf>
    <xf numFmtId="3" fontId="6" fillId="0" borderId="44" xfId="0" applyNumberFormat="1" applyFont="1" applyBorder="1" applyAlignment="1" applyProtection="1">
      <alignment horizontal="center" vertical="center"/>
      <protection hidden="1"/>
    </xf>
    <xf numFmtId="3" fontId="6" fillId="0" borderId="12"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99" xfId="0" applyNumberFormat="1" applyFont="1" applyBorder="1" applyAlignment="1" applyProtection="1">
      <alignment horizontal="center" vertical="center"/>
      <protection hidden="1"/>
    </xf>
    <xf numFmtId="3" fontId="6" fillId="0" borderId="91" xfId="0" applyNumberFormat="1" applyFont="1" applyBorder="1" applyAlignment="1" applyProtection="1">
      <alignment horizontal="center" vertical="center"/>
      <protection hidden="1"/>
    </xf>
    <xf numFmtId="0" fontId="82" fillId="13" borderId="1" xfId="0" applyFont="1" applyFill="1" applyBorder="1" applyAlignment="1">
      <alignment horizontal="center" vertical="center"/>
    </xf>
    <xf numFmtId="3" fontId="3" fillId="0" borderId="15" xfId="0" applyNumberFormat="1" applyFont="1" applyBorder="1" applyAlignment="1" applyProtection="1">
      <alignment horizontal="center" vertical="center"/>
      <protection hidden="1"/>
    </xf>
    <xf numFmtId="3" fontId="3" fillId="0" borderId="68" xfId="0" applyNumberFormat="1" applyFont="1" applyBorder="1" applyAlignment="1" applyProtection="1">
      <alignment horizontal="center" vertical="center"/>
      <protection hidden="1"/>
    </xf>
    <xf numFmtId="3" fontId="3" fillId="0" borderId="44" xfId="0" applyNumberFormat="1" applyFont="1" applyBorder="1" applyAlignment="1" applyProtection="1">
      <alignment horizontal="center" vertical="center"/>
      <protection hidden="1"/>
    </xf>
    <xf numFmtId="0" fontId="82" fillId="13" borderId="9" xfId="0" applyFont="1" applyFill="1" applyBorder="1" applyAlignment="1" applyProtection="1">
      <alignment horizontal="center" vertical="center"/>
      <protection hidden="1"/>
    </xf>
    <xf numFmtId="49" fontId="82" fillId="13" borderId="27" xfId="0" applyNumberFormat="1" applyFont="1" applyFill="1" applyBorder="1" applyAlignment="1">
      <alignment horizontal="center" vertical="center"/>
    </xf>
    <xf numFmtId="0" fontId="82" fillId="13" borderId="31" xfId="0" applyFont="1" applyFill="1" applyBorder="1" applyAlignment="1">
      <alignment horizontal="center" vertical="center"/>
    </xf>
    <xf numFmtId="0" fontId="8" fillId="0" borderId="0" xfId="0" applyFont="1" applyAlignment="1">
      <alignment horizontal="center"/>
    </xf>
    <xf numFmtId="0" fontId="79" fillId="13" borderId="13" xfId="0" applyFont="1" applyFill="1" applyBorder="1" applyAlignment="1" applyProtection="1">
      <alignment horizontal="center" vertical="center"/>
      <protection hidden="1"/>
    </xf>
    <xf numFmtId="0" fontId="79" fillId="13" borderId="26" xfId="0" applyFont="1" applyFill="1" applyBorder="1" applyAlignment="1" applyProtection="1">
      <alignment horizontal="center" vertical="center"/>
      <protection hidden="1"/>
    </xf>
    <xf numFmtId="1" fontId="59" fillId="13" borderId="27" xfId="0" applyNumberFormat="1" applyFont="1" applyFill="1" applyBorder="1" applyAlignment="1" applyProtection="1">
      <alignment horizontal="center" vertical="center"/>
      <protection hidden="1"/>
    </xf>
    <xf numFmtId="1" fontId="59" fillId="13" borderId="28" xfId="0" applyNumberFormat="1" applyFont="1" applyFill="1" applyBorder="1" applyAlignment="1" applyProtection="1">
      <alignment horizontal="center" vertical="center"/>
      <protection hidden="1"/>
    </xf>
    <xf numFmtId="0" fontId="59" fillId="13" borderId="12" xfId="0" applyFont="1" applyFill="1" applyBorder="1" applyAlignment="1" applyProtection="1">
      <alignment horizontal="center" vertical="center"/>
      <protection hidden="1"/>
    </xf>
    <xf numFmtId="0" fontId="59" fillId="13" borderId="1" xfId="0" applyFont="1" applyFill="1" applyBorder="1" applyAlignment="1" applyProtection="1">
      <alignment horizontal="center" vertical="center"/>
      <protection hidden="1"/>
    </xf>
    <xf numFmtId="0" fontId="8" fillId="0" borderId="0" xfId="0" applyFont="1" applyAlignment="1">
      <alignment horizontal="left"/>
    </xf>
    <xf numFmtId="14" fontId="5" fillId="0" borderId="16" xfId="0" applyNumberFormat="1" applyFont="1" applyBorder="1" applyAlignment="1">
      <alignment horizontal="left" vertical="center"/>
    </xf>
    <xf numFmtId="0" fontId="78" fillId="13" borderId="12" xfId="0" applyFont="1" applyFill="1" applyBorder="1" applyAlignment="1">
      <alignment horizontal="center" vertical="center"/>
    </xf>
    <xf numFmtId="0" fontId="78" fillId="13" borderId="1" xfId="0" applyFont="1" applyFill="1" applyBorder="1" applyAlignment="1">
      <alignment horizontal="center" vertical="center"/>
    </xf>
    <xf numFmtId="0" fontId="78" fillId="13" borderId="27" xfId="0" applyFont="1" applyFill="1" applyBorder="1" applyAlignment="1">
      <alignment horizontal="center" vertical="center"/>
    </xf>
    <xf numFmtId="0" fontId="78" fillId="13" borderId="28" xfId="0" applyFont="1" applyFill="1" applyBorder="1" applyAlignment="1">
      <alignment horizontal="center" vertical="center"/>
    </xf>
    <xf numFmtId="0" fontId="78" fillId="13" borderId="41" xfId="0" applyFont="1" applyFill="1" applyBorder="1" applyAlignment="1">
      <alignment horizontal="center" vertical="center"/>
    </xf>
    <xf numFmtId="0" fontId="78" fillId="13" borderId="69" xfId="0" applyFont="1" applyFill="1" applyBorder="1" applyAlignment="1">
      <alignment horizontal="center" vertical="center"/>
    </xf>
    <xf numFmtId="0" fontId="54" fillId="0" borderId="0" xfId="0" applyFont="1" applyAlignment="1" applyProtection="1">
      <alignment horizontal="center" vertical="center"/>
      <protection locked="0"/>
    </xf>
    <xf numFmtId="14" fontId="0" fillId="0" borderId="0" xfId="0" applyNumberFormat="1" applyAlignment="1">
      <alignment horizontal="center" vertical="center"/>
    </xf>
    <xf numFmtId="0" fontId="6" fillId="0" borderId="0" xfId="0" applyFont="1" applyAlignment="1" applyProtection="1">
      <alignment horizontal="left"/>
      <protection hidden="1"/>
    </xf>
    <xf numFmtId="0" fontId="10" fillId="0" borderId="23"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pplyProtection="1">
      <alignment horizontal="right" vertical="top"/>
      <protection hidden="1"/>
    </xf>
    <xf numFmtId="0" fontId="3" fillId="5" borderId="20" xfId="0" applyFont="1" applyFill="1" applyBorder="1" applyAlignment="1" applyProtection="1">
      <alignment horizontal="center" vertical="center"/>
      <protection locked="0"/>
    </xf>
    <xf numFmtId="0" fontId="3" fillId="5" borderId="44" xfId="0" applyFont="1" applyFill="1" applyBorder="1" applyAlignment="1" applyProtection="1">
      <alignment horizontal="center" vertical="center"/>
      <protection locked="0"/>
    </xf>
    <xf numFmtId="0" fontId="10" fillId="0" borderId="0" xfId="0" applyFont="1" applyAlignment="1" applyProtection="1">
      <alignment horizontal="right"/>
      <protection hidden="1"/>
    </xf>
    <xf numFmtId="0" fontId="0" fillId="0" borderId="0" xfId="0" applyAlignment="1">
      <alignment horizontal="right"/>
    </xf>
    <xf numFmtId="0" fontId="59" fillId="13" borderId="0" xfId="0" applyFont="1" applyFill="1" applyAlignment="1">
      <alignment horizontal="center" vertical="center" wrapText="1"/>
    </xf>
    <xf numFmtId="0" fontId="77" fillId="13" borderId="0" xfId="0" applyFont="1" applyFill="1" applyAlignment="1">
      <alignment horizontal="center" vertical="center" wrapText="1"/>
    </xf>
    <xf numFmtId="0" fontId="10" fillId="0" borderId="23" xfId="0" applyFont="1" applyBorder="1" applyAlignment="1">
      <alignment horizontal="center"/>
    </xf>
    <xf numFmtId="0" fontId="10" fillId="0" borderId="16" xfId="0" applyFont="1" applyBorder="1" applyAlignment="1">
      <alignment horizontal="center"/>
    </xf>
    <xf numFmtId="0" fontId="79" fillId="13" borderId="0" xfId="0" applyFont="1" applyFill="1" applyAlignment="1">
      <alignment horizontal="right" vertical="center" wrapText="1" indent="1"/>
    </xf>
    <xf numFmtId="0" fontId="6" fillId="0" borderId="0" xfId="0" applyFont="1" applyAlignment="1" applyProtection="1">
      <alignment horizontal="right" vertical="center"/>
      <protection hidden="1"/>
    </xf>
    <xf numFmtId="0" fontId="5" fillId="0" borderId="16" xfId="0" applyFont="1" applyBorder="1" applyAlignment="1" applyProtection="1">
      <alignment horizontal="left" vertical="center"/>
      <protection hidden="1"/>
    </xf>
    <xf numFmtId="0" fontId="5" fillId="12" borderId="28" xfId="0" applyFont="1" applyFill="1" applyBorder="1" applyAlignment="1">
      <alignment horizontal="center" vertical="center"/>
    </xf>
    <xf numFmtId="0" fontId="71" fillId="0" borderId="4" xfId="0" applyFont="1" applyBorder="1" applyAlignment="1" applyProtection="1">
      <alignment horizontal="center" vertical="center"/>
      <protection hidden="1"/>
    </xf>
    <xf numFmtId="0" fontId="71" fillId="0" borderId="98" xfId="0" applyFont="1" applyBorder="1" applyAlignment="1" applyProtection="1">
      <alignment horizontal="center" vertical="center"/>
      <protection hidden="1"/>
    </xf>
    <xf numFmtId="0" fontId="7" fillId="0" borderId="0" xfId="0" applyFont="1" applyAlignment="1">
      <alignment horizontal="left" vertical="center"/>
    </xf>
    <xf numFmtId="2" fontId="5" fillId="0" borderId="16" xfId="0" applyNumberFormat="1" applyFont="1" applyBorder="1" applyAlignment="1" applyProtection="1">
      <alignment horizontal="left" vertical="center"/>
      <protection hidden="1"/>
    </xf>
    <xf numFmtId="0" fontId="11" fillId="0" borderId="45" xfId="0" applyFont="1" applyBorder="1" applyAlignment="1">
      <alignment horizontal="left" vertical="center" wrapText="1"/>
    </xf>
    <xf numFmtId="0" fontId="40" fillId="0" borderId="233" xfId="0" applyFont="1" applyBorder="1" applyAlignment="1" applyProtection="1">
      <alignment horizontal="left" vertical="center"/>
      <protection hidden="1"/>
    </xf>
    <xf numFmtId="0" fontId="40" fillId="0" borderId="73" xfId="0" applyFont="1" applyBorder="1" applyAlignment="1" applyProtection="1">
      <alignment horizontal="left" vertical="center"/>
      <protection hidden="1"/>
    </xf>
    <xf numFmtId="0" fontId="40" fillId="0" borderId="117" xfId="0" applyFont="1" applyBorder="1" applyAlignment="1" applyProtection="1">
      <alignment horizontal="left" vertical="center"/>
      <protection hidden="1"/>
    </xf>
    <xf numFmtId="0" fontId="40" fillId="0" borderId="232" xfId="0" applyFont="1" applyBorder="1" applyAlignment="1" applyProtection="1">
      <alignment horizontal="left" vertical="center"/>
      <protection hidden="1"/>
    </xf>
    <xf numFmtId="0" fontId="40" fillId="0" borderId="71" xfId="0" applyFont="1" applyBorder="1" applyAlignment="1" applyProtection="1">
      <alignment horizontal="left" vertical="center"/>
      <protection hidden="1"/>
    </xf>
    <xf numFmtId="0" fontId="40" fillId="0" borderId="164" xfId="0" applyFont="1" applyBorder="1" applyAlignment="1" applyProtection="1">
      <alignment horizontal="left" vertical="center"/>
      <protection hidden="1"/>
    </xf>
    <xf numFmtId="164" fontId="6" fillId="0" borderId="0" xfId="2" applyNumberFormat="1" applyFont="1" applyAlignment="1" applyProtection="1">
      <alignment horizontal="right" vertical="center"/>
      <protection hidden="1"/>
    </xf>
    <xf numFmtId="0" fontId="11" fillId="0" borderId="34" xfId="0" applyFont="1" applyBorder="1" applyAlignment="1">
      <alignment horizontal="left" vertical="center"/>
    </xf>
    <xf numFmtId="0" fontId="78" fillId="13" borderId="18" xfId="0" applyFont="1" applyFill="1" applyBorder="1" applyAlignment="1" applyProtection="1">
      <alignment horizontal="left" vertical="center" indent="1"/>
      <protection hidden="1"/>
    </xf>
    <xf numFmtId="0" fontId="78" fillId="13" borderId="7" xfId="0" applyFont="1" applyFill="1" applyBorder="1" applyAlignment="1" applyProtection="1">
      <alignment horizontal="left" vertical="center" indent="1"/>
      <protection hidden="1"/>
    </xf>
    <xf numFmtId="0" fontId="78" fillId="13" borderId="8" xfId="0" applyFont="1" applyFill="1" applyBorder="1" applyAlignment="1" applyProtection="1">
      <alignment horizontal="left" vertical="center" indent="1"/>
      <protection hidden="1"/>
    </xf>
    <xf numFmtId="0" fontId="78" fillId="13" borderId="63" xfId="0" applyFont="1" applyFill="1" applyBorder="1" applyAlignment="1" applyProtection="1">
      <alignment horizontal="left" vertical="center" indent="1"/>
      <protection hidden="1"/>
    </xf>
    <xf numFmtId="0" fontId="78" fillId="13" borderId="34" xfId="0" applyFont="1" applyFill="1" applyBorder="1" applyAlignment="1" applyProtection="1">
      <alignment horizontal="left" vertical="center" indent="1"/>
      <protection hidden="1"/>
    </xf>
    <xf numFmtId="0" fontId="78" fillId="13" borderId="43" xfId="0" applyFont="1" applyFill="1" applyBorder="1" applyAlignment="1" applyProtection="1">
      <alignment horizontal="left" vertical="center" indent="1"/>
      <protection hidden="1"/>
    </xf>
    <xf numFmtId="0" fontId="78" fillId="13" borderId="12" xfId="0" applyFont="1" applyFill="1" applyBorder="1" applyAlignment="1">
      <alignment horizontal="left" vertical="center" wrapText="1" indent="1"/>
    </xf>
    <xf numFmtId="0" fontId="78" fillId="13" borderId="2" xfId="0" applyFont="1" applyFill="1" applyBorder="1" applyAlignment="1">
      <alignment horizontal="left" vertical="center" wrapText="1" indent="1"/>
    </xf>
    <xf numFmtId="0" fontId="78" fillId="13" borderId="9" xfId="0" applyFont="1" applyFill="1" applyBorder="1" applyAlignment="1">
      <alignment horizontal="left" vertical="center" wrapText="1" indent="1"/>
    </xf>
    <xf numFmtId="0" fontId="78" fillId="13" borderId="27" xfId="0" applyFont="1" applyFill="1" applyBorder="1" applyAlignment="1">
      <alignment horizontal="left" vertical="center" wrapText="1" indent="1"/>
    </xf>
    <xf numFmtId="0" fontId="78" fillId="13" borderId="0" xfId="0" applyFont="1" applyFill="1" applyAlignment="1">
      <alignment horizontal="left" vertical="center" wrapText="1" indent="1"/>
    </xf>
    <xf numFmtId="0" fontId="78" fillId="13" borderId="31" xfId="0" applyFont="1" applyFill="1" applyBorder="1" applyAlignment="1">
      <alignment horizontal="left" vertical="center" wrapText="1" indent="1"/>
    </xf>
    <xf numFmtId="0" fontId="78" fillId="13" borderId="13" xfId="0" applyFont="1" applyFill="1" applyBorder="1" applyAlignment="1">
      <alignment horizontal="left" vertical="center" wrapText="1" indent="1"/>
    </xf>
    <xf numFmtId="0" fontId="78" fillId="13" borderId="34" xfId="0" applyFont="1" applyFill="1" applyBorder="1" applyAlignment="1">
      <alignment horizontal="left" vertical="center" wrapText="1" indent="1"/>
    </xf>
    <xf numFmtId="0" fontId="78" fillId="13" borderId="43" xfId="0" applyFont="1" applyFill="1" applyBorder="1" applyAlignment="1">
      <alignment horizontal="left" vertical="center" wrapText="1" indent="1"/>
    </xf>
    <xf numFmtId="0" fontId="89" fillId="0" borderId="74" xfId="0" applyFont="1" applyBorder="1" applyAlignment="1" applyProtection="1">
      <alignment horizontal="right" vertical="center"/>
      <protection hidden="1"/>
    </xf>
    <xf numFmtId="0" fontId="89" fillId="0" borderId="45" xfId="0" applyFont="1" applyBorder="1" applyAlignment="1" applyProtection="1">
      <alignment horizontal="right" vertical="center"/>
      <protection hidden="1"/>
    </xf>
    <xf numFmtId="0" fontId="11" fillId="0" borderId="45" xfId="0" quotePrefix="1" applyFont="1" applyBorder="1" applyAlignment="1">
      <alignment horizontal="left" vertical="center"/>
    </xf>
    <xf numFmtId="0" fontId="10" fillId="0" borderId="0" xfId="0" applyFont="1" applyAlignment="1" applyProtection="1">
      <alignment horizontal="right" vertical="top" wrapText="1"/>
      <protection hidden="1"/>
    </xf>
    <xf numFmtId="0" fontId="11" fillId="0" borderId="0" xfId="0" applyFont="1" applyAlignment="1">
      <alignment horizontal="left" vertical="center" wrapText="1"/>
    </xf>
    <xf numFmtId="0" fontId="11" fillId="0" borderId="31" xfId="0" applyFont="1" applyBorder="1" applyAlignment="1">
      <alignment horizontal="left" vertical="center" wrapText="1"/>
    </xf>
    <xf numFmtId="0" fontId="0" fillId="0" borderId="0" xfId="0" applyAlignment="1" applyProtection="1">
      <alignment horizontal="left" vertical="center"/>
      <protection hidden="1"/>
    </xf>
    <xf numFmtId="0" fontId="8" fillId="0" borderId="0" xfId="0" applyFont="1" applyAlignment="1" applyProtection="1">
      <alignment horizontal="left" vertical="center"/>
      <protection hidden="1"/>
    </xf>
    <xf numFmtId="0" fontId="5" fillId="0" borderId="12" xfId="0" applyFont="1" applyBorder="1" applyAlignment="1">
      <alignment horizontal="left" vertical="center" indent="1"/>
    </xf>
    <xf numFmtId="0" fontId="5" fillId="0" borderId="2" xfId="0" applyFont="1" applyBorder="1" applyAlignment="1">
      <alignment horizontal="left" vertical="center" indent="1"/>
    </xf>
    <xf numFmtId="0" fontId="5" fillId="0" borderId="9" xfId="0" applyFont="1" applyBorder="1" applyAlignment="1">
      <alignment horizontal="left" vertical="center" indent="1"/>
    </xf>
    <xf numFmtId="0" fontId="5" fillId="0" borderId="27" xfId="0" applyFont="1" applyBorder="1" applyAlignment="1">
      <alignment horizontal="left" vertical="center" indent="1"/>
    </xf>
    <xf numFmtId="0" fontId="5" fillId="0" borderId="0" xfId="0" applyFont="1" applyAlignment="1">
      <alignment horizontal="left" vertical="center" indent="1"/>
    </xf>
    <xf numFmtId="0" fontId="5" fillId="0" borderId="31" xfId="0" applyFont="1" applyBorder="1" applyAlignment="1">
      <alignment horizontal="left" vertical="center" indent="1"/>
    </xf>
    <xf numFmtId="0" fontId="11" fillId="0" borderId="233" xfId="0" applyFont="1" applyBorder="1" applyAlignment="1" applyProtection="1">
      <alignment horizontal="left" vertical="center"/>
      <protection hidden="1"/>
    </xf>
    <xf numFmtId="0" fontId="11" fillId="0" borderId="73" xfId="0" applyFont="1" applyBorder="1" applyAlignment="1" applyProtection="1">
      <alignment horizontal="left" vertical="center"/>
      <protection hidden="1"/>
    </xf>
    <xf numFmtId="0" fontId="11" fillId="0" borderId="117" xfId="0" applyFont="1" applyBorder="1" applyAlignment="1" applyProtection="1">
      <alignment horizontal="left" vertical="center"/>
      <protection hidden="1"/>
    </xf>
    <xf numFmtId="0" fontId="11" fillId="0" borderId="232" xfId="0" applyFont="1" applyBorder="1" applyAlignment="1" applyProtection="1">
      <alignment horizontal="left" vertical="center"/>
      <protection hidden="1"/>
    </xf>
    <xf numFmtId="0" fontId="11" fillId="0" borderId="71" xfId="0" applyFont="1" applyBorder="1" applyAlignment="1" applyProtection="1">
      <alignment horizontal="left" vertical="center"/>
      <protection hidden="1"/>
    </xf>
    <xf numFmtId="0" fontId="11" fillId="0" borderId="164" xfId="0" applyFont="1" applyBorder="1" applyAlignment="1" applyProtection="1">
      <alignment horizontal="left" vertical="center"/>
      <protection hidden="1"/>
    </xf>
    <xf numFmtId="0" fontId="91" fillId="0" borderId="233" xfId="0" applyFont="1" applyBorder="1" applyAlignment="1" applyProtection="1">
      <alignment horizontal="left" vertical="center"/>
      <protection hidden="1"/>
    </xf>
    <xf numFmtId="0" fontId="91" fillId="0" borderId="73" xfId="0" applyFont="1" applyBorder="1" applyAlignment="1" applyProtection="1">
      <alignment horizontal="left" vertical="center"/>
      <protection hidden="1"/>
    </xf>
    <xf numFmtId="0" fontId="91" fillId="0" borderId="117" xfId="0" applyFont="1" applyBorder="1" applyAlignment="1" applyProtection="1">
      <alignment horizontal="left" vertical="center"/>
      <protection hidden="1"/>
    </xf>
    <xf numFmtId="0" fontId="78" fillId="13" borderId="12" xfId="0" applyFont="1" applyFill="1" applyBorder="1" applyAlignment="1">
      <alignment horizontal="left" vertical="center" indent="1"/>
    </xf>
    <xf numFmtId="0" fontId="78" fillId="13" borderId="2" xfId="0" applyFont="1" applyFill="1" applyBorder="1" applyAlignment="1">
      <alignment horizontal="left" vertical="center" indent="1"/>
    </xf>
    <xf numFmtId="0" fontId="78" fillId="13" borderId="9" xfId="0" applyFont="1" applyFill="1" applyBorder="1" applyAlignment="1">
      <alignment horizontal="left" vertical="center" indent="1"/>
    </xf>
    <xf numFmtId="0" fontId="78" fillId="13" borderId="27" xfId="0" applyFont="1" applyFill="1" applyBorder="1" applyAlignment="1">
      <alignment horizontal="left" vertical="center" indent="1"/>
    </xf>
    <xf numFmtId="0" fontId="78" fillId="13" borderId="0" xfId="0" applyFont="1" applyFill="1" applyAlignment="1">
      <alignment horizontal="left" vertical="center" indent="1"/>
    </xf>
    <xf numFmtId="0" fontId="78" fillId="13" borderId="31" xfId="0" applyFont="1" applyFill="1" applyBorder="1" applyAlignment="1">
      <alignment horizontal="left" vertical="center" indent="1"/>
    </xf>
    <xf numFmtId="0" fontId="78" fillId="13" borderId="13" xfId="0" applyFont="1" applyFill="1" applyBorder="1" applyAlignment="1">
      <alignment horizontal="left" vertical="center" indent="1"/>
    </xf>
    <xf numFmtId="0" fontId="78" fillId="13" borderId="34" xfId="0" applyFont="1" applyFill="1" applyBorder="1" applyAlignment="1">
      <alignment horizontal="left" vertical="center" indent="1"/>
    </xf>
    <xf numFmtId="0" fontId="78" fillId="13" borderId="43" xfId="0" applyFont="1" applyFill="1" applyBorder="1" applyAlignment="1">
      <alignment horizontal="left" vertical="center" indent="1"/>
    </xf>
    <xf numFmtId="0" fontId="5" fillId="0" borderId="0" xfId="0" applyFont="1" applyAlignment="1" applyProtection="1">
      <alignment horizontal="left" vertical="center"/>
      <protection hidden="1"/>
    </xf>
    <xf numFmtId="0" fontId="5" fillId="2" borderId="0" xfId="0" applyFont="1" applyFill="1" applyAlignment="1" applyProtection="1">
      <alignment horizontal="left"/>
      <protection hidden="1"/>
    </xf>
    <xf numFmtId="0" fontId="85" fillId="7" borderId="0" xfId="0" applyFont="1" applyFill="1" applyAlignment="1" applyProtection="1">
      <alignment horizontal="center"/>
      <protection locked="0"/>
    </xf>
    <xf numFmtId="0" fontId="59" fillId="13" borderId="20" xfId="0" applyFont="1" applyFill="1" applyBorder="1" applyAlignment="1">
      <alignment horizontal="left" vertical="center"/>
    </xf>
    <xf numFmtId="0" fontId="59" fillId="13" borderId="10" xfId="0" applyFont="1" applyFill="1" applyBorder="1" applyAlignment="1">
      <alignment horizontal="left" vertical="center"/>
    </xf>
    <xf numFmtId="0" fontId="59" fillId="13" borderId="44" xfId="0" applyFont="1" applyFill="1" applyBorder="1" applyAlignment="1">
      <alignment horizontal="left" vertical="center"/>
    </xf>
    <xf numFmtId="0" fontId="11" fillId="0" borderId="60" xfId="0" applyFont="1" applyBorder="1" applyAlignment="1" applyProtection="1">
      <alignment horizontal="center" vertical="center"/>
      <protection hidden="1"/>
    </xf>
    <xf numFmtId="0" fontId="11" fillId="0" borderId="32" xfId="0" applyFont="1" applyBorder="1" applyAlignment="1" applyProtection="1">
      <alignment horizontal="center" vertical="center"/>
      <protection hidden="1"/>
    </xf>
    <xf numFmtId="0" fontId="40" fillId="0" borderId="23" xfId="0" applyFont="1" applyBorder="1" applyAlignment="1" applyProtection="1">
      <alignment horizontal="left" vertical="center"/>
      <protection hidden="1"/>
    </xf>
    <xf numFmtId="0" fontId="53" fillId="0" borderId="16" xfId="0" applyFont="1" applyBorder="1" applyAlignment="1" applyProtection="1">
      <alignment horizontal="left" vertical="center"/>
      <protection hidden="1"/>
    </xf>
    <xf numFmtId="0" fontId="53" fillId="0" borderId="59" xfId="0" applyFont="1" applyBorder="1" applyAlignment="1" applyProtection="1">
      <alignment horizontal="left" vertical="center"/>
      <protection hidden="1"/>
    </xf>
    <xf numFmtId="0" fontId="40" fillId="0" borderId="20" xfId="0" applyFont="1" applyBorder="1" applyAlignment="1" applyProtection="1">
      <alignment horizontal="left" vertical="center"/>
      <protection hidden="1"/>
    </xf>
    <xf numFmtId="0" fontId="40" fillId="0" borderId="10" xfId="0" applyFont="1" applyBorder="1" applyAlignment="1" applyProtection="1">
      <alignment horizontal="left" vertical="center"/>
      <protection hidden="1"/>
    </xf>
    <xf numFmtId="0" fontId="40" fillId="0" borderId="44" xfId="0" applyFont="1" applyBorder="1" applyAlignment="1" applyProtection="1">
      <alignment horizontal="left" vertical="center"/>
      <protection hidden="1"/>
    </xf>
    <xf numFmtId="0" fontId="11" fillId="0" borderId="23" xfId="0" applyFont="1" applyBorder="1" applyAlignment="1">
      <alignment horizontal="left" vertical="center"/>
    </xf>
    <xf numFmtId="0" fontId="2" fillId="0" borderId="16" xfId="0" applyFont="1" applyBorder="1" applyAlignment="1">
      <alignment horizontal="left" vertical="center"/>
    </xf>
    <xf numFmtId="0" fontId="2" fillId="0" borderId="59" xfId="0" applyFont="1" applyBorder="1" applyAlignment="1">
      <alignment horizontal="left" vertical="center"/>
    </xf>
    <xf numFmtId="0" fontId="11" fillId="0" borderId="20" xfId="0" applyFont="1" applyBorder="1" applyAlignment="1" applyProtection="1">
      <alignment horizontal="left" vertical="top"/>
      <protection locked="0"/>
    </xf>
    <xf numFmtId="0" fontId="2" fillId="0" borderId="10" xfId="0" applyFont="1" applyBorder="1" applyAlignment="1" applyProtection="1">
      <alignment horizontal="left" vertical="top"/>
      <protection locked="0"/>
    </xf>
    <xf numFmtId="0" fontId="2" fillId="0" borderId="44" xfId="0" applyFont="1" applyBorder="1" applyAlignment="1" applyProtection="1">
      <alignment horizontal="left" vertical="top"/>
      <protection locked="0"/>
    </xf>
    <xf numFmtId="0" fontId="11" fillId="0" borderId="20" xfId="0" applyFont="1" applyBorder="1" applyAlignment="1">
      <alignment horizontal="left" vertical="center"/>
    </xf>
    <xf numFmtId="0" fontId="2" fillId="0" borderId="10" xfId="0" applyFont="1" applyBorder="1" applyAlignment="1">
      <alignment horizontal="left" vertical="center"/>
    </xf>
    <xf numFmtId="0" fontId="2" fillId="0" borderId="44" xfId="0" applyFont="1" applyBorder="1" applyAlignment="1">
      <alignment horizontal="left" vertical="center"/>
    </xf>
    <xf numFmtId="16" fontId="11" fillId="0" borderId="20" xfId="0" quotePrefix="1" applyNumberFormat="1" applyFont="1" applyBorder="1" applyAlignment="1">
      <alignment horizontal="left" vertical="center"/>
    </xf>
    <xf numFmtId="16" fontId="34" fillId="0" borderId="10" xfId="0" quotePrefix="1" applyNumberFormat="1" applyFont="1" applyBorder="1" applyAlignment="1">
      <alignment horizontal="left" vertical="center"/>
    </xf>
    <xf numFmtId="16" fontId="34" fillId="0" borderId="44" xfId="0" quotePrefix="1" applyNumberFormat="1" applyFont="1" applyBorder="1" applyAlignment="1">
      <alignment horizontal="left" vertical="center"/>
    </xf>
    <xf numFmtId="0" fontId="57" fillId="0" borderId="19" xfId="0" applyFont="1" applyBorder="1" applyAlignment="1">
      <alignment horizontal="center" vertical="center"/>
    </xf>
    <xf numFmtId="0" fontId="57" fillId="0" borderId="32" xfId="0" applyFont="1" applyBorder="1" applyAlignment="1">
      <alignment horizontal="center" vertical="center"/>
    </xf>
    <xf numFmtId="0" fontId="40" fillId="0" borderId="20" xfId="0" applyFont="1" applyBorder="1" applyAlignment="1">
      <alignment horizontal="left" vertical="center"/>
    </xf>
    <xf numFmtId="0" fontId="50" fillId="0" borderId="44" xfId="0" applyFont="1" applyBorder="1" applyAlignment="1">
      <alignment horizontal="left" vertical="center"/>
    </xf>
    <xf numFmtId="0" fontId="40" fillId="0" borderId="10" xfId="0" applyFont="1" applyBorder="1" applyAlignment="1">
      <alignment horizontal="left" vertical="center"/>
    </xf>
    <xf numFmtId="0" fontId="40" fillId="0" borderId="44" xfId="0" applyFont="1" applyBorder="1" applyAlignment="1">
      <alignment horizontal="left" vertical="center"/>
    </xf>
    <xf numFmtId="0" fontId="40" fillId="7" borderId="20" xfId="0" applyFont="1" applyFill="1" applyBorder="1" applyAlignment="1" applyProtection="1">
      <alignment horizontal="left" vertical="center"/>
      <protection locked="0"/>
    </xf>
    <xf numFmtId="0" fontId="40" fillId="7" borderId="10" xfId="0" applyFont="1" applyFill="1" applyBorder="1" applyAlignment="1" applyProtection="1">
      <alignment horizontal="left" vertical="center"/>
      <protection locked="0"/>
    </xf>
    <xf numFmtId="0" fontId="40" fillId="7" borderId="44" xfId="0" applyFont="1" applyFill="1" applyBorder="1" applyAlignment="1" applyProtection="1">
      <alignment horizontal="left" vertical="center"/>
      <protection locked="0"/>
    </xf>
    <xf numFmtId="0" fontId="7" fillId="7" borderId="0" xfId="0" applyFont="1" applyFill="1" applyAlignment="1" applyProtection="1">
      <alignment horizontal="center" vertical="center"/>
      <protection locked="0"/>
    </xf>
    <xf numFmtId="0" fontId="5" fillId="5" borderId="16" xfId="0" applyFont="1" applyFill="1" applyBorder="1" applyAlignment="1" applyProtection="1">
      <alignment horizontal="left" vertical="center"/>
      <protection hidden="1"/>
    </xf>
    <xf numFmtId="0" fontId="5" fillId="5" borderId="59" xfId="0" applyFont="1" applyFill="1" applyBorder="1" applyAlignment="1" applyProtection="1">
      <alignment horizontal="left" vertical="center"/>
      <protection hidden="1"/>
    </xf>
    <xf numFmtId="3" fontId="6" fillId="0" borderId="0" xfId="0" applyNumberFormat="1" applyFont="1" applyAlignment="1">
      <alignment horizontal="right" vertical="top"/>
    </xf>
    <xf numFmtId="0" fontId="0" fillId="0" borderId="0" xfId="0" applyAlignment="1">
      <alignment horizontal="right" vertical="top"/>
    </xf>
    <xf numFmtId="0" fontId="5" fillId="0" borderId="34" xfId="0" applyFont="1" applyBorder="1" applyAlignment="1">
      <alignment horizontal="center" vertical="center"/>
    </xf>
    <xf numFmtId="0" fontId="5" fillId="5" borderId="2" xfId="0" applyFont="1" applyFill="1" applyBorder="1" applyAlignment="1" applyProtection="1">
      <alignment horizontal="left" vertical="center"/>
      <protection hidden="1"/>
    </xf>
    <xf numFmtId="0" fontId="5" fillId="5" borderId="9" xfId="0" applyFont="1" applyFill="1" applyBorder="1" applyAlignment="1" applyProtection="1">
      <alignment horizontal="left" vertical="center"/>
      <protection hidden="1"/>
    </xf>
    <xf numFmtId="0" fontId="80" fillId="13" borderId="141" xfId="0" applyFont="1" applyFill="1" applyBorder="1" applyAlignment="1">
      <alignment horizontal="center" vertical="center" wrapText="1"/>
    </xf>
    <xf numFmtId="0" fontId="80" fillId="13" borderId="40" xfId="0" applyFont="1" applyFill="1" applyBorder="1" applyAlignment="1">
      <alignment horizontal="center" vertical="center" wrapText="1"/>
    </xf>
    <xf numFmtId="0" fontId="80" fillId="13" borderId="142" xfId="0" applyFont="1" applyFill="1" applyBorder="1" applyAlignment="1">
      <alignment horizontal="center" vertical="center" wrapText="1"/>
    </xf>
    <xf numFmtId="0" fontId="10" fillId="5" borderId="23" xfId="0" applyFont="1" applyFill="1" applyBorder="1" applyAlignment="1" applyProtection="1">
      <alignment horizontal="left" vertical="center"/>
      <protection hidden="1"/>
    </xf>
    <xf numFmtId="0" fontId="10" fillId="5" borderId="16" xfId="0" applyFont="1" applyFill="1" applyBorder="1" applyAlignment="1" applyProtection="1">
      <alignment horizontal="left" vertical="center"/>
      <protection hidden="1"/>
    </xf>
    <xf numFmtId="0" fontId="10" fillId="5" borderId="59" xfId="0" applyFont="1" applyFill="1" applyBorder="1" applyAlignment="1" applyProtection="1">
      <alignment horizontal="left" vertical="center"/>
      <protection hidden="1"/>
    </xf>
    <xf numFmtId="0" fontId="11" fillId="0" borderId="10" xfId="0" applyFont="1" applyBorder="1" applyAlignment="1">
      <alignment horizontal="left" vertical="center"/>
    </xf>
    <xf numFmtId="0" fontId="11" fillId="0" borderId="44" xfId="0" applyFont="1" applyBorder="1" applyAlignment="1">
      <alignment horizontal="left" vertical="center"/>
    </xf>
    <xf numFmtId="0" fontId="11" fillId="7" borderId="20" xfId="0" applyFont="1" applyFill="1" applyBorder="1" applyAlignment="1" applyProtection="1">
      <alignment horizontal="left" vertical="center"/>
      <protection locked="0"/>
    </xf>
    <xf numFmtId="0" fontId="11" fillId="7" borderId="10" xfId="0" applyFont="1" applyFill="1" applyBorder="1" applyAlignment="1" applyProtection="1">
      <alignment horizontal="left" vertical="center"/>
      <protection locked="0"/>
    </xf>
    <xf numFmtId="0" fontId="11" fillId="7" borderId="44" xfId="0" applyFont="1" applyFill="1" applyBorder="1" applyAlignment="1" applyProtection="1">
      <alignment horizontal="left" vertical="center"/>
      <protection locked="0"/>
    </xf>
    <xf numFmtId="0" fontId="11" fillId="7" borderId="89" xfId="0" applyFont="1" applyFill="1" applyBorder="1" applyAlignment="1" applyProtection="1">
      <alignment horizontal="left" vertical="center"/>
      <protection locked="0"/>
    </xf>
    <xf numFmtId="0" fontId="11" fillId="7" borderId="90" xfId="0" applyFont="1" applyFill="1" applyBorder="1" applyAlignment="1" applyProtection="1">
      <alignment horizontal="left" vertical="center"/>
      <protection locked="0"/>
    </xf>
    <xf numFmtId="0" fontId="11" fillId="7" borderId="91" xfId="0" applyFont="1" applyFill="1" applyBorder="1" applyAlignment="1" applyProtection="1">
      <alignment horizontal="left" vertical="center"/>
      <protection locked="0"/>
    </xf>
    <xf numFmtId="0" fontId="53" fillId="0" borderId="123" xfId="0" applyFont="1" applyBorder="1" applyAlignment="1" applyProtection="1">
      <alignment horizontal="left" vertical="center" indent="1"/>
      <protection hidden="1"/>
    </xf>
    <xf numFmtId="0" fontId="53" fillId="0" borderId="124" xfId="0" applyFont="1" applyBorder="1" applyAlignment="1" applyProtection="1">
      <alignment horizontal="left" vertical="center" indent="1"/>
      <protection hidden="1"/>
    </xf>
    <xf numFmtId="0" fontId="53" fillId="0" borderId="125" xfId="0" applyFont="1" applyBorder="1" applyAlignment="1" applyProtection="1">
      <alignment horizontal="left" vertical="center" indent="1"/>
      <protection hidden="1"/>
    </xf>
    <xf numFmtId="0" fontId="10" fillId="5" borderId="18" xfId="0" applyFont="1" applyFill="1" applyBorder="1" applyAlignment="1" applyProtection="1">
      <alignment horizontal="left" vertical="center"/>
      <protection hidden="1"/>
    </xf>
    <xf numFmtId="0" fontId="10" fillId="5" borderId="7" xfId="0" applyFont="1" applyFill="1" applyBorder="1" applyAlignment="1" applyProtection="1">
      <alignment horizontal="left" vertical="center"/>
      <protection hidden="1"/>
    </xf>
    <xf numFmtId="0" fontId="10" fillId="5" borderId="8" xfId="0" applyFont="1" applyFill="1" applyBorder="1" applyAlignment="1" applyProtection="1">
      <alignment horizontal="left" vertical="center"/>
      <protection hidden="1"/>
    </xf>
    <xf numFmtId="0" fontId="10" fillId="0" borderId="123" xfId="0" applyFont="1" applyBorder="1" applyAlignment="1" applyProtection="1">
      <alignment horizontal="left" vertical="center" indent="1"/>
      <protection hidden="1"/>
    </xf>
    <xf numFmtId="0" fontId="10" fillId="0" borderId="124" xfId="0" applyFont="1" applyBorder="1" applyAlignment="1" applyProtection="1">
      <alignment horizontal="left" vertical="center" indent="1"/>
      <protection hidden="1"/>
    </xf>
    <xf numFmtId="0" fontId="10" fillId="0" borderId="125" xfId="0" applyFont="1" applyBorder="1" applyAlignment="1" applyProtection="1">
      <alignment horizontal="left" vertical="center" indent="1"/>
      <protection hidden="1"/>
    </xf>
    <xf numFmtId="0" fontId="40" fillId="0" borderId="89" xfId="0" applyFont="1" applyBorder="1" applyAlignment="1">
      <alignment horizontal="left" vertical="center"/>
    </xf>
    <xf numFmtId="0" fontId="50" fillId="0" borderId="90" xfId="0" applyFont="1" applyBorder="1" applyAlignment="1">
      <alignment horizontal="left" vertical="center"/>
    </xf>
    <xf numFmtId="0" fontId="50" fillId="0" borderId="91" xfId="0" applyFont="1" applyBorder="1" applyAlignment="1">
      <alignment horizontal="left" vertical="center"/>
    </xf>
    <xf numFmtId="0" fontId="49" fillId="0" borderId="123" xfId="0" applyFont="1" applyBorder="1" applyAlignment="1" applyProtection="1">
      <alignment horizontal="left" vertical="center" indent="1"/>
      <protection hidden="1"/>
    </xf>
    <xf numFmtId="0" fontId="49" fillId="0" borderId="124" xfId="0" applyFont="1" applyBorder="1" applyAlignment="1" applyProtection="1">
      <alignment horizontal="left" vertical="center" indent="1"/>
      <protection hidden="1"/>
    </xf>
    <xf numFmtId="0" fontId="59" fillId="13" borderId="150" xfId="0" applyFont="1" applyFill="1" applyBorder="1" applyAlignment="1">
      <alignment horizontal="left" vertical="center"/>
    </xf>
    <xf numFmtId="0" fontId="59" fillId="13" borderId="151" xfId="0" applyFont="1" applyFill="1" applyBorder="1" applyAlignment="1">
      <alignment horizontal="left" vertical="center"/>
    </xf>
    <xf numFmtId="0" fontId="59" fillId="13" borderId="152" xfId="0" applyFont="1" applyFill="1" applyBorder="1" applyAlignment="1">
      <alignment horizontal="left" vertical="center"/>
    </xf>
    <xf numFmtId="0" fontId="11" fillId="0" borderId="219" xfId="0" applyFont="1" applyBorder="1" applyAlignment="1" applyProtection="1">
      <alignment horizontal="center" vertical="center"/>
      <protection hidden="1"/>
    </xf>
    <xf numFmtId="0" fontId="79" fillId="13" borderId="150" xfId="0" applyFont="1" applyFill="1" applyBorder="1" applyAlignment="1">
      <alignment horizontal="left" vertical="center"/>
    </xf>
    <xf numFmtId="0" fontId="79" fillId="13" borderId="151" xfId="0" applyFont="1" applyFill="1" applyBorder="1" applyAlignment="1">
      <alignment horizontal="left" vertical="center"/>
    </xf>
    <xf numFmtId="0" fontId="79" fillId="13" borderId="152" xfId="0" applyFont="1" applyFill="1" applyBorder="1" applyAlignment="1">
      <alignment horizontal="left" vertical="center"/>
    </xf>
    <xf numFmtId="0" fontId="11" fillId="0" borderId="20" xfId="0" applyFont="1" applyBorder="1" applyAlignment="1">
      <alignment horizontal="left" vertical="top"/>
    </xf>
    <xf numFmtId="0" fontId="2" fillId="0" borderId="10" xfId="0" applyFont="1" applyBorder="1" applyAlignment="1">
      <alignment horizontal="left" vertical="top"/>
    </xf>
    <xf numFmtId="0" fontId="2" fillId="0" borderId="44" xfId="0" applyFont="1" applyBorder="1" applyAlignment="1">
      <alignment horizontal="left" vertical="top"/>
    </xf>
    <xf numFmtId="0" fontId="49" fillId="0" borderId="123" xfId="0" applyFont="1" applyBorder="1" applyAlignment="1" applyProtection="1">
      <alignment horizontal="left" vertical="center"/>
      <protection hidden="1"/>
    </xf>
    <xf numFmtId="0" fontId="49" fillId="0" borderId="124" xfId="0" applyFont="1" applyBorder="1" applyAlignment="1" applyProtection="1">
      <alignment horizontal="left" vertical="center"/>
      <protection hidden="1"/>
    </xf>
    <xf numFmtId="3" fontId="10" fillId="0" borderId="0" xfId="0" applyNumberFormat="1" applyFont="1" applyAlignment="1">
      <alignment horizontal="right" vertical="top"/>
    </xf>
    <xf numFmtId="0" fontId="6" fillId="2" borderId="0" xfId="0" applyFont="1" applyFill="1" applyAlignment="1">
      <alignment horizontal="left" vertical="top"/>
    </xf>
    <xf numFmtId="0" fontId="7" fillId="0" borderId="0" xfId="0" applyFont="1" applyAlignment="1" applyProtection="1">
      <alignment horizontal="center"/>
      <protection hidden="1"/>
    </xf>
    <xf numFmtId="0" fontId="7" fillId="2" borderId="0" xfId="0" applyFont="1" applyFill="1" applyAlignment="1">
      <alignment horizontal="right" vertical="center"/>
    </xf>
    <xf numFmtId="0" fontId="8" fillId="2" borderId="0" xfId="0" applyFont="1" applyFill="1" applyAlignment="1" applyProtection="1">
      <alignment horizontal="left" vertical="center"/>
      <protection hidden="1"/>
    </xf>
    <xf numFmtId="0" fontId="0" fillId="0" borderId="0" xfId="0" applyAlignment="1" applyProtection="1">
      <alignment horizontal="right"/>
      <protection hidden="1"/>
    </xf>
    <xf numFmtId="0" fontId="7" fillId="2" borderId="0" xfId="0" applyFont="1" applyFill="1" applyAlignment="1" applyProtection="1">
      <alignment horizontal="right"/>
      <protection hidden="1"/>
    </xf>
    <xf numFmtId="0" fontId="53" fillId="0" borderId="123" xfId="0" applyFont="1" applyBorder="1" applyAlignment="1" applyProtection="1">
      <alignment horizontal="left" vertical="center"/>
      <protection hidden="1"/>
    </xf>
    <xf numFmtId="0" fontId="53" fillId="0" borderId="124" xfId="0" applyFont="1" applyBorder="1" applyAlignment="1" applyProtection="1">
      <alignment horizontal="left" vertical="center"/>
      <protection hidden="1"/>
    </xf>
    <xf numFmtId="0" fontId="53" fillId="0" borderId="125" xfId="0" applyFont="1" applyBorder="1" applyAlignment="1" applyProtection="1">
      <alignment horizontal="left" vertical="center"/>
      <protection hidden="1"/>
    </xf>
    <xf numFmtId="0" fontId="11" fillId="0" borderId="19" xfId="0" applyFont="1" applyBorder="1" applyAlignment="1" applyProtection="1">
      <alignment horizontal="center" vertical="center"/>
      <protection hidden="1"/>
    </xf>
    <xf numFmtId="0" fontId="3" fillId="0" borderId="17" xfId="0" applyFont="1" applyBorder="1" applyAlignment="1">
      <alignment horizontal="center"/>
    </xf>
    <xf numFmtId="0" fontId="6" fillId="0" borderId="19"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0" fontId="10" fillId="0" borderId="17" xfId="0" applyFont="1" applyBorder="1" applyAlignment="1" applyProtection="1">
      <alignment horizontal="center" vertical="center"/>
      <protection hidden="1"/>
    </xf>
    <xf numFmtId="17" fontId="6" fillId="0" borderId="20" xfId="0" applyNumberFormat="1" applyFont="1" applyBorder="1" applyAlignment="1" applyProtection="1">
      <alignment horizontal="center" vertical="center"/>
      <protection hidden="1"/>
    </xf>
    <xf numFmtId="17" fontId="6" fillId="0" borderId="67" xfId="0" applyNumberFormat="1" applyFont="1" applyBorder="1" applyAlignment="1" applyProtection="1">
      <alignment horizontal="center" vertical="center"/>
      <protection hidden="1"/>
    </xf>
    <xf numFmtId="10" fontId="3" fillId="5" borderId="38" xfId="2" applyNumberFormat="1" applyFont="1" applyFill="1" applyBorder="1" applyAlignment="1" applyProtection="1">
      <alignment horizontal="right" vertical="center"/>
      <protection hidden="1"/>
    </xf>
    <xf numFmtId="10" fontId="3" fillId="5" borderId="17" xfId="2" applyNumberFormat="1" applyFont="1" applyFill="1" applyBorder="1" applyAlignment="1" applyProtection="1">
      <alignment horizontal="right" vertical="center"/>
      <protection hidden="1"/>
    </xf>
    <xf numFmtId="10" fontId="3" fillId="5" borderId="44" xfId="2" applyNumberFormat="1" applyFont="1" applyFill="1" applyBorder="1" applyAlignment="1" applyProtection="1">
      <alignment horizontal="right" vertical="center"/>
      <protection hidden="1"/>
    </xf>
    <xf numFmtId="0" fontId="5" fillId="0" borderId="0" xfId="0" applyFont="1" applyAlignment="1">
      <alignment horizontal="right"/>
    </xf>
    <xf numFmtId="0" fontId="79" fillId="13" borderId="234" xfId="0" applyFont="1" applyFill="1" applyBorder="1" applyAlignment="1" applyProtection="1">
      <alignment horizontal="left" vertical="center"/>
      <protection hidden="1"/>
    </xf>
    <xf numFmtId="0" fontId="3" fillId="7" borderId="0" xfId="0" applyFont="1" applyFill="1" applyAlignment="1">
      <alignment horizontal="center" vertical="center"/>
    </xf>
    <xf numFmtId="0" fontId="3" fillId="7" borderId="239" xfId="0" applyFont="1" applyFill="1" applyBorder="1" applyAlignment="1">
      <alignment horizontal="center" vertical="center"/>
    </xf>
    <xf numFmtId="0" fontId="3" fillId="7" borderId="0" xfId="0" applyFont="1" applyFill="1" applyAlignment="1">
      <alignment horizontal="center" vertical="center" wrapText="1"/>
    </xf>
    <xf numFmtId="0" fontId="3" fillId="0" borderId="245" xfId="0" applyFont="1" applyBorder="1" applyAlignment="1">
      <alignment horizontal="left" vertical="center"/>
    </xf>
    <xf numFmtId="0" fontId="3" fillId="0" borderId="246" xfId="0" applyFont="1" applyBorder="1" applyAlignment="1">
      <alignment horizontal="left" vertical="center"/>
    </xf>
    <xf numFmtId="0" fontId="82" fillId="13" borderId="0" xfId="0" applyFont="1" applyFill="1" applyAlignment="1" applyProtection="1">
      <alignment horizontal="center"/>
      <protection hidden="1"/>
    </xf>
    <xf numFmtId="0" fontId="79" fillId="13" borderId="0" xfId="0" applyFont="1" applyFill="1" applyAlignment="1" applyProtection="1">
      <alignment horizontal="left" vertical="center"/>
      <protection hidden="1"/>
    </xf>
    <xf numFmtId="0" fontId="82" fillId="13" borderId="234" xfId="0" applyFont="1" applyFill="1" applyBorder="1" applyAlignment="1" applyProtection="1">
      <alignment horizontal="left" vertical="center"/>
      <protection hidden="1"/>
    </xf>
    <xf numFmtId="1" fontId="82" fillId="13" borderId="0" xfId="0" applyNumberFormat="1" applyFont="1" applyFill="1" applyAlignment="1" applyProtection="1">
      <alignment horizontal="center"/>
      <protection hidden="1"/>
    </xf>
    <xf numFmtId="6" fontId="82" fillId="13" borderId="234" xfId="0" applyNumberFormat="1" applyFont="1" applyFill="1" applyBorder="1" applyAlignment="1" applyProtection="1">
      <alignment horizontal="center" vertical="center"/>
      <protection hidden="1"/>
    </xf>
    <xf numFmtId="0" fontId="89" fillId="0" borderId="0" xfId="0" applyFont="1" applyAlignment="1" applyProtection="1">
      <alignment horizontal="center" vertical="center"/>
      <protection hidden="1"/>
    </xf>
    <xf numFmtId="14" fontId="10" fillId="0" borderId="153" xfId="0" applyNumberFormat="1" applyFont="1" applyBorder="1" applyAlignment="1" applyProtection="1">
      <alignment horizontal="left" vertical="center"/>
      <protection hidden="1"/>
    </xf>
    <xf numFmtId="0" fontId="10" fillId="0" borderId="153" xfId="0" applyFont="1" applyBorder="1" applyAlignment="1" applyProtection="1">
      <alignment horizontal="left" vertical="center"/>
      <protection hidden="1"/>
    </xf>
    <xf numFmtId="0" fontId="89" fillId="0" borderId="0" xfId="0" applyFont="1" applyAlignment="1" applyProtection="1">
      <alignment horizontal="left" vertical="center"/>
      <protection hidden="1"/>
    </xf>
    <xf numFmtId="1" fontId="10" fillId="0" borderId="208" xfId="0" applyNumberFormat="1" applyFont="1" applyBorder="1" applyAlignment="1" applyProtection="1">
      <alignment horizontal="left" vertical="center"/>
      <protection hidden="1"/>
    </xf>
    <xf numFmtId="0" fontId="10" fillId="0" borderId="208" xfId="0" applyFont="1" applyBorder="1" applyAlignment="1" applyProtection="1">
      <alignment horizontal="left" vertical="center"/>
      <protection hidden="1"/>
    </xf>
    <xf numFmtId="169" fontId="10" fillId="0" borderId="153" xfId="0" applyNumberFormat="1" applyFont="1" applyBorder="1" applyAlignment="1" applyProtection="1">
      <alignment horizontal="left" vertical="center"/>
      <protection hidden="1"/>
    </xf>
    <xf numFmtId="169" fontId="10" fillId="0" borderId="209" xfId="0" applyNumberFormat="1" applyFont="1" applyBorder="1" applyAlignment="1" applyProtection="1">
      <alignment horizontal="left" vertical="center"/>
      <protection hidden="1"/>
    </xf>
    <xf numFmtId="164" fontId="14" fillId="5" borderId="128" xfId="2" applyNumberFormat="1" applyFont="1" applyFill="1" applyBorder="1" applyAlignment="1">
      <alignment horizontal="center" vertical="center"/>
    </xf>
    <xf numFmtId="167" fontId="6" fillId="0" borderId="128" xfId="0" applyNumberFormat="1" applyFont="1" applyBorder="1" applyAlignment="1">
      <alignment horizontal="center" vertical="center"/>
    </xf>
    <xf numFmtId="0" fontId="48" fillId="5" borderId="131" xfId="0" applyFont="1" applyFill="1" applyBorder="1" applyAlignment="1">
      <alignment horizontal="right" vertical="center"/>
    </xf>
    <xf numFmtId="0" fontId="48" fillId="5" borderId="132" xfId="0" applyFont="1" applyFill="1" applyBorder="1" applyAlignment="1">
      <alignment horizontal="right" vertical="center"/>
    </xf>
    <xf numFmtId="0" fontId="6" fillId="0" borderId="127" xfId="0" applyFont="1" applyBorder="1" applyAlignment="1" applyProtection="1">
      <alignment horizontal="left" vertical="center"/>
      <protection hidden="1"/>
    </xf>
    <xf numFmtId="0" fontId="6" fillId="0" borderId="130" xfId="0" applyFont="1" applyBorder="1" applyAlignment="1" applyProtection="1">
      <alignment horizontal="left" vertical="center"/>
      <protection hidden="1"/>
    </xf>
    <xf numFmtId="0" fontId="3" fillId="0" borderId="127" xfId="0" applyFont="1" applyBorder="1" applyAlignment="1" applyProtection="1">
      <alignment horizontal="left" vertical="center"/>
      <protection hidden="1"/>
    </xf>
    <xf numFmtId="0" fontId="3" fillId="0" borderId="130" xfId="0" applyFont="1" applyBorder="1" applyAlignment="1" applyProtection="1">
      <alignment horizontal="left" vertical="center"/>
      <protection hidden="1"/>
    </xf>
    <xf numFmtId="164" fontId="56" fillId="5" borderId="128" xfId="2" applyNumberFormat="1" applyFont="1" applyFill="1" applyBorder="1" applyAlignment="1">
      <alignment horizontal="center" vertical="center"/>
    </xf>
    <xf numFmtId="167" fontId="14" fillId="5" borderId="128" xfId="0" applyNumberFormat="1" applyFont="1" applyFill="1" applyBorder="1" applyAlignment="1">
      <alignment horizontal="center" vertical="center"/>
    </xf>
    <xf numFmtId="0" fontId="56" fillId="5" borderId="127" xfId="0" applyFont="1" applyFill="1" applyBorder="1" applyAlignment="1">
      <alignment horizontal="right" vertical="center"/>
    </xf>
    <xf numFmtId="0" fontId="56" fillId="5" borderId="130" xfId="0" applyFont="1" applyFill="1" applyBorder="1" applyAlignment="1">
      <alignment horizontal="right" vertical="center"/>
    </xf>
    <xf numFmtId="0" fontId="82" fillId="13" borderId="0" xfId="0" applyFont="1" applyFill="1" applyAlignment="1" applyProtection="1">
      <alignment horizontal="left" vertical="center" wrapText="1" indent="1"/>
      <protection hidden="1"/>
    </xf>
    <xf numFmtId="0" fontId="82" fillId="13" borderId="0" xfId="0" applyFont="1" applyFill="1" applyAlignment="1" applyProtection="1">
      <alignment horizontal="center" vertical="center"/>
      <protection hidden="1"/>
    </xf>
    <xf numFmtId="164" fontId="56" fillId="5" borderId="128" xfId="0" applyNumberFormat="1" applyFont="1" applyFill="1" applyBorder="1" applyAlignment="1">
      <alignment horizontal="center" vertical="center"/>
    </xf>
    <xf numFmtId="0" fontId="82" fillId="13" borderId="0" xfId="0" applyFont="1" applyFill="1" applyAlignment="1" applyProtection="1">
      <alignment horizontal="center" wrapText="1"/>
      <protection hidden="1"/>
    </xf>
    <xf numFmtId="0" fontId="79" fillId="13" borderId="0" xfId="0" applyFont="1" applyFill="1" applyAlignment="1" applyProtection="1">
      <alignment horizontal="left" vertical="center" wrapText="1" indent="1"/>
      <protection hidden="1"/>
    </xf>
    <xf numFmtId="0" fontId="5" fillId="0" borderId="0" xfId="0" applyFont="1" applyAlignment="1" applyProtection="1">
      <alignment horizontal="center" vertical="center" wrapText="1"/>
      <protection hidden="1"/>
    </xf>
    <xf numFmtId="167" fontId="56" fillId="5" borderId="128" xfId="0" applyNumberFormat="1" applyFont="1" applyFill="1" applyBorder="1" applyAlignment="1">
      <alignment horizontal="center" vertical="center"/>
    </xf>
    <xf numFmtId="0" fontId="5" fillId="0" borderId="0" xfId="0" applyFont="1" applyAlignment="1" applyProtection="1">
      <alignment horizontal="left" vertical="top" wrapText="1"/>
      <protection hidden="1"/>
    </xf>
    <xf numFmtId="0" fontId="3" fillId="0" borderId="0" xfId="0" applyFont="1" applyAlignment="1" applyProtection="1">
      <alignment horizontal="left" vertical="top"/>
      <protection hidden="1"/>
    </xf>
    <xf numFmtId="0" fontId="3" fillId="0" borderId="126" xfId="0" applyFont="1" applyBorder="1" applyAlignment="1" applyProtection="1">
      <alignment horizontal="left" vertical="center"/>
      <protection hidden="1"/>
    </xf>
    <xf numFmtId="0" fontId="3" fillId="0" borderId="129" xfId="0" applyFont="1" applyBorder="1" applyAlignment="1" applyProtection="1">
      <alignment horizontal="left" vertical="center"/>
      <protection hidden="1"/>
    </xf>
    <xf numFmtId="49" fontId="5" fillId="0" borderId="0" xfId="0" applyNumberFormat="1" applyFont="1" applyAlignment="1" applyProtection="1">
      <alignment horizontal="center" vertical="center"/>
      <protection hidden="1"/>
    </xf>
    <xf numFmtId="0" fontId="5" fillId="0" borderId="0" xfId="0" applyFont="1" applyAlignment="1" applyProtection="1">
      <alignment horizontal="center" vertical="center"/>
      <protection hidden="1"/>
    </xf>
    <xf numFmtId="6" fontId="82" fillId="13" borderId="243" xfId="0" applyNumberFormat="1" applyFont="1" applyFill="1" applyBorder="1" applyAlignment="1" applyProtection="1">
      <alignment horizontal="center" vertical="center"/>
      <protection hidden="1"/>
    </xf>
    <xf numFmtId="6" fontId="82" fillId="13" borderId="244" xfId="0" applyNumberFormat="1" applyFont="1" applyFill="1" applyBorder="1" applyAlignment="1" applyProtection="1">
      <alignment horizontal="center" vertical="center"/>
      <protection hidden="1"/>
    </xf>
    <xf numFmtId="0" fontId="82" fillId="13" borderId="243" xfId="0" applyFont="1" applyFill="1" applyBorder="1" applyAlignment="1" applyProtection="1">
      <alignment horizontal="left" vertical="center"/>
      <protection hidden="1"/>
    </xf>
    <xf numFmtId="0" fontId="82" fillId="13" borderId="244" xfId="0" applyFont="1" applyFill="1" applyBorder="1" applyAlignment="1" applyProtection="1">
      <alignment horizontal="left" vertical="center"/>
      <protection hidden="1"/>
    </xf>
    <xf numFmtId="14" fontId="3" fillId="0" borderId="0" xfId="0" applyNumberFormat="1" applyFont="1" applyAlignment="1" applyProtection="1">
      <alignment horizontal="center"/>
      <protection hidden="1"/>
    </xf>
    <xf numFmtId="0" fontId="6" fillId="0" borderId="0" xfId="0" applyFont="1" applyAlignment="1" applyProtection="1">
      <alignment horizontal="center"/>
      <protection hidden="1"/>
    </xf>
    <xf numFmtId="0" fontId="79" fillId="13" borderId="243" xfId="0" applyFont="1" applyFill="1" applyBorder="1" applyAlignment="1" applyProtection="1">
      <alignment horizontal="left" vertical="center"/>
      <protection hidden="1"/>
    </xf>
    <xf numFmtId="0" fontId="79" fillId="13" borderId="244" xfId="0" applyFont="1" applyFill="1" applyBorder="1" applyAlignment="1" applyProtection="1">
      <alignment horizontal="left" vertical="center"/>
      <protection hidden="1"/>
    </xf>
    <xf numFmtId="0" fontId="89" fillId="0" borderId="0" xfId="0" applyFont="1" applyAlignment="1" applyProtection="1">
      <alignment horizontal="left"/>
      <protection hidden="1"/>
    </xf>
    <xf numFmtId="0" fontId="8" fillId="0" borderId="0" xfId="0" applyFont="1" applyAlignment="1" applyProtection="1">
      <alignment horizontal="left"/>
      <protection hidden="1"/>
    </xf>
    <xf numFmtId="0" fontId="48" fillId="5" borderId="127" xfId="0" applyFont="1" applyFill="1" applyBorder="1" applyAlignment="1">
      <alignment horizontal="right" vertical="center"/>
    </xf>
    <xf numFmtId="0" fontId="48" fillId="5" borderId="130" xfId="0" applyFont="1" applyFill="1" applyBorder="1" applyAlignment="1">
      <alignment horizontal="right" vertical="center"/>
    </xf>
    <xf numFmtId="0" fontId="82" fillId="13" borderId="155" xfId="0" applyFont="1" applyFill="1" applyBorder="1" applyAlignment="1" applyProtection="1">
      <alignment horizontal="left" vertical="center" wrapText="1" indent="1"/>
      <protection hidden="1"/>
    </xf>
    <xf numFmtId="167" fontId="6" fillId="0" borderId="130" xfId="0" applyNumberFormat="1" applyFont="1" applyBorder="1" applyAlignment="1" applyProtection="1">
      <alignment horizontal="center" vertical="center"/>
      <protection hidden="1"/>
    </xf>
    <xf numFmtId="167" fontId="6" fillId="0" borderId="128" xfId="0" applyNumberFormat="1" applyFont="1" applyBorder="1" applyAlignment="1" applyProtection="1">
      <alignment horizontal="center" vertical="center"/>
      <protection hidden="1"/>
    </xf>
    <xf numFmtId="0" fontId="10" fillId="0" borderId="0" xfId="0" applyFont="1" applyAlignment="1">
      <alignment horizontal="center" vertical="center"/>
    </xf>
    <xf numFmtId="167" fontId="3" fillId="0" borderId="179" xfId="0" applyNumberFormat="1" applyFont="1" applyBorder="1" applyAlignment="1" applyProtection="1">
      <alignment horizontal="center" vertical="center"/>
      <protection hidden="1"/>
    </xf>
    <xf numFmtId="167" fontId="3" fillId="0" borderId="128" xfId="0" applyNumberFormat="1" applyFont="1" applyBorder="1" applyAlignment="1" applyProtection="1">
      <alignment horizontal="center" vertical="center"/>
      <protection hidden="1"/>
    </xf>
    <xf numFmtId="167" fontId="6" fillId="0" borderId="180" xfId="0" applyNumberFormat="1" applyFont="1" applyBorder="1" applyAlignment="1" applyProtection="1">
      <alignment horizontal="center" vertical="center"/>
      <protection hidden="1"/>
    </xf>
    <xf numFmtId="167" fontId="6" fillId="0" borderId="147" xfId="0" applyNumberFormat="1" applyFont="1" applyBorder="1" applyAlignment="1" applyProtection="1">
      <alignment horizontal="center" vertical="center"/>
      <protection hidden="1"/>
    </xf>
    <xf numFmtId="0" fontId="84" fillId="13" borderId="155" xfId="0" applyFont="1" applyFill="1" applyBorder="1" applyAlignment="1" applyProtection="1">
      <alignment horizontal="center" vertical="center" wrapText="1"/>
      <protection hidden="1"/>
    </xf>
    <xf numFmtId="0" fontId="84" fillId="13" borderId="207" xfId="0" applyFont="1" applyFill="1" applyBorder="1" applyAlignment="1" applyProtection="1">
      <alignment horizontal="center" vertical="center" wrapText="1"/>
      <protection hidden="1"/>
    </xf>
    <xf numFmtId="0" fontId="82" fillId="13" borderId="154" xfId="0" applyFont="1" applyFill="1" applyBorder="1" applyAlignment="1" applyProtection="1">
      <alignment horizontal="center" vertical="center"/>
      <protection hidden="1"/>
    </xf>
    <xf numFmtId="0" fontId="82" fillId="13" borderId="155" xfId="0" applyFont="1" applyFill="1" applyBorder="1" applyAlignment="1" applyProtection="1">
      <alignment horizontal="center" vertical="center"/>
      <protection hidden="1"/>
    </xf>
    <xf numFmtId="167" fontId="6" fillId="0" borderId="179" xfId="0" applyNumberFormat="1" applyFont="1" applyBorder="1" applyAlignment="1" applyProtection="1">
      <alignment horizontal="center" vertical="center"/>
      <protection hidden="1"/>
    </xf>
    <xf numFmtId="0" fontId="82" fillId="13" borderId="178" xfId="0" applyFont="1" applyFill="1" applyBorder="1" applyAlignment="1">
      <alignment horizontal="center" vertical="center"/>
    </xf>
    <xf numFmtId="0" fontId="82" fillId="13" borderId="210" xfId="0" applyFont="1" applyFill="1" applyBorder="1" applyAlignment="1">
      <alignment horizontal="center" vertical="center"/>
    </xf>
    <xf numFmtId="167" fontId="3" fillId="0" borderId="181" xfId="0" applyNumberFormat="1" applyFont="1" applyBorder="1" applyAlignment="1" applyProtection="1">
      <alignment horizontal="center" vertical="center"/>
      <protection hidden="1"/>
    </xf>
    <xf numFmtId="167" fontId="3" fillId="0" borderId="146" xfId="0" applyNumberFormat="1" applyFont="1" applyBorder="1" applyAlignment="1" applyProtection="1">
      <alignment horizontal="center" vertical="center"/>
      <protection hidden="1"/>
    </xf>
    <xf numFmtId="0" fontId="82" fillId="13" borderId="174" xfId="0" applyFont="1" applyFill="1" applyBorder="1" applyAlignment="1">
      <alignment horizontal="center" vertical="center"/>
    </xf>
    <xf numFmtId="0" fontId="82" fillId="13" borderId="0" xfId="0" applyFont="1" applyFill="1" applyAlignment="1">
      <alignment horizontal="left" vertical="center" wrapText="1" indent="1"/>
    </xf>
    <xf numFmtId="0" fontId="3" fillId="0" borderId="178" xfId="0" applyFont="1" applyBorder="1" applyAlignment="1">
      <alignment horizontal="center" vertical="center"/>
    </xf>
    <xf numFmtId="0" fontId="3" fillId="0" borderId="0" xfId="0" applyFont="1" applyAlignment="1">
      <alignment horizontal="center" vertical="center"/>
    </xf>
    <xf numFmtId="167" fontId="3" fillId="0" borderId="129" xfId="0" applyNumberFormat="1" applyFont="1" applyBorder="1" applyAlignment="1" applyProtection="1">
      <alignment horizontal="center" vertical="center"/>
      <protection hidden="1"/>
    </xf>
    <xf numFmtId="167" fontId="6" fillId="0" borderId="167" xfId="0" applyNumberFormat="1" applyFont="1" applyBorder="1" applyAlignment="1" applyProtection="1">
      <alignment horizontal="center" vertical="center"/>
      <protection hidden="1"/>
    </xf>
    <xf numFmtId="167" fontId="6" fillId="6" borderId="130" xfId="0" applyNumberFormat="1" applyFont="1" applyFill="1" applyBorder="1" applyAlignment="1">
      <alignment horizontal="center" vertical="center"/>
    </xf>
    <xf numFmtId="167" fontId="6" fillId="6" borderId="128" xfId="0" applyNumberFormat="1" applyFont="1" applyFill="1" applyBorder="1" applyAlignment="1">
      <alignment horizontal="center" vertical="center"/>
    </xf>
    <xf numFmtId="0" fontId="3" fillId="0" borderId="0" xfId="0" applyFont="1" applyAlignment="1">
      <alignment horizontal="left" vertical="top"/>
    </xf>
    <xf numFmtId="0" fontId="84" fillId="13" borderId="0" xfId="0" applyFont="1" applyFill="1" applyAlignment="1" applyProtection="1">
      <alignment horizontal="center" vertical="center" wrapText="1"/>
      <protection hidden="1"/>
    </xf>
    <xf numFmtId="0" fontId="84" fillId="13" borderId="16" xfId="0" applyFont="1" applyFill="1" applyBorder="1" applyAlignment="1" applyProtection="1">
      <alignment horizontal="center" vertical="center" wrapText="1"/>
      <protection hidden="1"/>
    </xf>
    <xf numFmtId="0" fontId="5" fillId="0" borderId="0" xfId="0" applyFont="1" applyAlignment="1" applyProtection="1">
      <alignment horizontal="left" indent="1"/>
      <protection hidden="1"/>
    </xf>
    <xf numFmtId="0" fontId="3" fillId="0" borderId="0" xfId="0" applyFont="1" applyAlignment="1" applyProtection="1">
      <alignment horizontal="left" vertical="center"/>
      <protection hidden="1"/>
    </xf>
    <xf numFmtId="167" fontId="8" fillId="0" borderId="0" xfId="0" applyNumberFormat="1" applyFont="1" applyAlignment="1" applyProtection="1">
      <alignment horizontal="right" vertical="center"/>
      <protection hidden="1"/>
    </xf>
    <xf numFmtId="0" fontId="84" fillId="13" borderId="178" xfId="0" applyFont="1" applyFill="1" applyBorder="1" applyAlignment="1">
      <alignment horizontal="center" vertical="center" wrapText="1"/>
    </xf>
    <xf numFmtId="0" fontId="84" fillId="13" borderId="0" xfId="0" applyFont="1" applyFill="1" applyAlignment="1">
      <alignment horizontal="center" vertical="center" wrapText="1"/>
    </xf>
    <xf numFmtId="0" fontId="84" fillId="13" borderId="174" xfId="0" applyFont="1" applyFill="1" applyBorder="1" applyAlignment="1">
      <alignment horizontal="center" vertical="center" wrapText="1"/>
    </xf>
    <xf numFmtId="0" fontId="82" fillId="13" borderId="200" xfId="0" applyFont="1" applyFill="1" applyBorder="1" applyAlignment="1" applyProtection="1">
      <alignment horizontal="center" vertical="center"/>
      <protection hidden="1"/>
    </xf>
    <xf numFmtId="3" fontId="84" fillId="13" borderId="178" xfId="0" applyNumberFormat="1" applyFont="1" applyFill="1" applyBorder="1" applyAlignment="1" applyProtection="1">
      <alignment horizontal="center" vertical="center" wrapText="1"/>
      <protection hidden="1"/>
    </xf>
    <xf numFmtId="0" fontId="82" fillId="13" borderId="174" xfId="0" applyFont="1" applyFill="1" applyBorder="1" applyAlignment="1" applyProtection="1">
      <alignment horizontal="left" vertical="center" indent="1"/>
      <protection hidden="1"/>
    </xf>
    <xf numFmtId="167" fontId="6" fillId="0" borderId="234" xfId="0" applyNumberFormat="1" applyFont="1" applyBorder="1" applyAlignment="1" applyProtection="1">
      <alignment horizontal="center" vertical="center"/>
      <protection hidden="1"/>
    </xf>
    <xf numFmtId="3" fontId="6" fillId="0" borderId="234" xfId="0" applyNumberFormat="1" applyFont="1" applyBorder="1" applyAlignment="1" applyProtection="1">
      <alignment horizontal="center" vertical="center"/>
      <protection hidden="1"/>
    </xf>
    <xf numFmtId="0" fontId="6" fillId="0" borderId="0" xfId="0" applyFont="1" applyAlignment="1" applyProtection="1">
      <alignment horizontal="right" shrinkToFit="1"/>
      <protection hidden="1"/>
    </xf>
    <xf numFmtId="0" fontId="6" fillId="0" borderId="127" xfId="0" applyFont="1" applyBorder="1" applyAlignment="1" applyProtection="1">
      <alignment horizontal="left" vertical="center" wrapText="1"/>
      <protection hidden="1"/>
    </xf>
    <xf numFmtId="0" fontId="6" fillId="0" borderId="130" xfId="0" applyFont="1" applyBorder="1" applyAlignment="1" applyProtection="1">
      <alignment horizontal="left" vertical="center" wrapText="1"/>
      <protection hidden="1"/>
    </xf>
    <xf numFmtId="0" fontId="6" fillId="0" borderId="126" xfId="0" applyFont="1" applyBorder="1" applyAlignment="1" applyProtection="1">
      <alignment horizontal="left" vertical="center"/>
      <protection hidden="1"/>
    </xf>
    <xf numFmtId="0" fontId="6" fillId="0" borderId="129" xfId="0" applyFont="1" applyBorder="1" applyAlignment="1" applyProtection="1">
      <alignment horizontal="left" vertical="center"/>
      <protection hidden="1"/>
    </xf>
    <xf numFmtId="0" fontId="3" fillId="0" borderId="0" xfId="0" applyFont="1" applyAlignment="1">
      <alignment horizontal="left" vertical="center"/>
    </xf>
    <xf numFmtId="0" fontId="3" fillId="7" borderId="0" xfId="0" applyFont="1" applyFill="1" applyAlignment="1" applyProtection="1">
      <alignment horizontal="left" vertical="top" wrapText="1"/>
      <protection locked="0"/>
    </xf>
    <xf numFmtId="0" fontId="5" fillId="7" borderId="0" xfId="0" applyFont="1" applyFill="1" applyAlignment="1" applyProtection="1">
      <alignment horizontal="left" vertical="top" wrapText="1"/>
      <protection locked="0"/>
    </xf>
    <xf numFmtId="0" fontId="5" fillId="7" borderId="209" xfId="0" applyFont="1" applyFill="1" applyBorder="1" applyAlignment="1" applyProtection="1">
      <alignment horizontal="left" vertical="top" wrapText="1"/>
      <protection locked="0"/>
    </xf>
    <xf numFmtId="167" fontId="6" fillId="0" borderId="0" xfId="0" applyNumberFormat="1" applyFont="1" applyAlignment="1" applyProtection="1">
      <alignment horizontal="right" vertical="center"/>
      <protection hidden="1"/>
    </xf>
    <xf numFmtId="0" fontId="3" fillId="0" borderId="127" xfId="0" applyFont="1" applyBorder="1" applyAlignment="1" applyProtection="1">
      <alignment horizontal="left" vertical="center" wrapText="1"/>
      <protection hidden="1"/>
    </xf>
    <xf numFmtId="0" fontId="3" fillId="0" borderId="157" xfId="0" applyFont="1" applyBorder="1" applyAlignment="1" applyProtection="1">
      <alignment horizontal="left" vertical="center" wrapText="1"/>
      <protection hidden="1"/>
    </xf>
    <xf numFmtId="0" fontId="3" fillId="0" borderId="247" xfId="0" applyFont="1" applyBorder="1" applyAlignment="1" applyProtection="1">
      <alignment horizontal="left" vertical="center" wrapText="1"/>
      <protection hidden="1"/>
    </xf>
    <xf numFmtId="0" fontId="6" fillId="0" borderId="238" xfId="0" applyFont="1" applyBorder="1" applyAlignment="1" applyProtection="1">
      <alignment horizontal="center" vertical="center"/>
      <protection hidden="1"/>
    </xf>
    <xf numFmtId="167" fontId="71" fillId="0" borderId="136" xfId="0" applyNumberFormat="1" applyFont="1" applyBorder="1" applyAlignment="1" applyProtection="1">
      <alignment horizontal="right" vertical="center"/>
      <protection hidden="1"/>
    </xf>
    <xf numFmtId="167" fontId="71" fillId="0" borderId="135" xfId="0" applyNumberFormat="1" applyFont="1" applyBorder="1" applyAlignment="1" applyProtection="1">
      <alignment horizontal="right" vertical="center"/>
      <protection hidden="1"/>
    </xf>
    <xf numFmtId="0" fontId="3" fillId="0" borderId="0" xfId="0" applyFont="1" applyAlignment="1" applyProtection="1">
      <alignment horizontal="right" indent="1"/>
      <protection hidden="1"/>
    </xf>
    <xf numFmtId="0" fontId="3" fillId="0" borderId="131" xfId="0" applyFont="1" applyBorder="1" applyAlignment="1" applyProtection="1">
      <alignment horizontal="right" indent="1"/>
      <protection hidden="1"/>
    </xf>
    <xf numFmtId="0" fontId="6" fillId="5" borderId="127" xfId="0" applyFont="1" applyFill="1" applyBorder="1" applyAlignment="1" applyProtection="1">
      <alignment horizontal="left" vertical="center"/>
      <protection hidden="1"/>
    </xf>
    <xf numFmtId="0" fontId="6" fillId="5" borderId="130" xfId="0" applyFont="1" applyFill="1" applyBorder="1" applyAlignment="1" applyProtection="1">
      <alignment horizontal="left" vertical="center"/>
      <protection hidden="1"/>
    </xf>
    <xf numFmtId="0" fontId="79" fillId="13" borderId="0" xfId="0" applyFont="1" applyFill="1" applyAlignment="1" applyProtection="1">
      <alignment horizontal="left" vertical="center" wrapText="1"/>
      <protection hidden="1"/>
    </xf>
    <xf numFmtId="0" fontId="3" fillId="0" borderId="131" xfId="0" applyFont="1" applyBorder="1" applyAlignment="1" applyProtection="1">
      <alignment horizontal="right" vertical="center" indent="1"/>
      <protection hidden="1"/>
    </xf>
    <xf numFmtId="0" fontId="3" fillId="0" borderId="132" xfId="0" applyFont="1" applyBorder="1" applyAlignment="1" applyProtection="1">
      <alignment horizontal="right" vertical="center" indent="1"/>
      <protection hidden="1"/>
    </xf>
    <xf numFmtId="0" fontId="10" fillId="3" borderId="12" xfId="0" applyFont="1" applyFill="1" applyBorder="1" applyAlignment="1">
      <alignment horizontal="center" vertical="center" wrapText="1"/>
    </xf>
    <xf numFmtId="0" fontId="0" fillId="3" borderId="27" xfId="0" applyFill="1" applyBorder="1" applyAlignment="1">
      <alignment horizontal="center" vertical="center" wrapText="1"/>
    </xf>
    <xf numFmtId="3" fontId="11" fillId="0" borderId="23" xfId="0" applyNumberFormat="1" applyFont="1" applyBorder="1" applyAlignment="1" applyProtection="1">
      <alignment horizontal="center" vertical="center"/>
      <protection hidden="1"/>
    </xf>
    <xf numFmtId="3" fontId="11" fillId="0" borderId="59" xfId="0" applyNumberFormat="1" applyFont="1" applyBorder="1" applyAlignment="1" applyProtection="1">
      <alignment horizontal="center" vertical="center"/>
      <protection hidden="1"/>
    </xf>
    <xf numFmtId="167" fontId="11" fillId="6" borderId="20" xfId="0" applyNumberFormat="1" applyFont="1" applyFill="1" applyBorder="1" applyAlignment="1">
      <alignment horizontal="center"/>
    </xf>
    <xf numFmtId="167" fontId="11" fillId="6" borderId="44" xfId="0" applyNumberFormat="1" applyFont="1" applyFill="1" applyBorder="1" applyAlignment="1">
      <alignment horizontal="center"/>
    </xf>
    <xf numFmtId="167" fontId="11" fillId="0" borderId="20" xfId="0" applyNumberFormat="1" applyFont="1" applyBorder="1" applyAlignment="1">
      <alignment horizontal="center"/>
    </xf>
    <xf numFmtId="167" fontId="11" fillId="0" borderId="44" xfId="0" applyNumberFormat="1" applyFont="1" applyBorder="1" applyAlignment="1">
      <alignment horizontal="center"/>
    </xf>
    <xf numFmtId="3" fontId="11" fillId="0" borderId="0" xfId="0" applyNumberFormat="1" applyFont="1" applyAlignment="1" applyProtection="1">
      <alignment horizontal="center" vertical="center"/>
      <protection hidden="1"/>
    </xf>
    <xf numFmtId="164" fontId="11" fillId="16" borderId="20" xfId="2" applyNumberFormat="1" applyFont="1" applyFill="1" applyBorder="1" applyAlignment="1">
      <alignment horizontal="center"/>
    </xf>
    <xf numFmtId="164" fontId="11" fillId="16" borderId="44" xfId="2" applyNumberFormat="1" applyFont="1" applyFill="1" applyBorder="1" applyAlignment="1">
      <alignment horizontal="center"/>
    </xf>
    <xf numFmtId="0" fontId="5" fillId="3" borderId="41"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69" xfId="0" applyFont="1" applyFill="1" applyBorder="1" applyAlignment="1">
      <alignment horizontal="center" vertical="center"/>
    </xf>
    <xf numFmtId="3" fontId="5" fillId="3" borderId="12" xfId="0" applyNumberFormat="1" applyFont="1" applyFill="1" applyBorder="1" applyAlignment="1">
      <alignment horizontal="center"/>
    </xf>
    <xf numFmtId="3" fontId="5" fillId="3" borderId="2" xfId="0" applyNumberFormat="1" applyFont="1" applyFill="1" applyBorder="1" applyAlignment="1">
      <alignment horizontal="center"/>
    </xf>
    <xf numFmtId="3" fontId="5" fillId="3" borderId="1" xfId="0" applyNumberFormat="1" applyFont="1" applyFill="1" applyBorder="1" applyAlignment="1">
      <alignment horizontal="center"/>
    </xf>
    <xf numFmtId="0" fontId="5" fillId="3" borderId="12"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34" xfId="0" applyFont="1" applyFill="1" applyBorder="1" applyAlignment="1">
      <alignment horizontal="center" vertical="center"/>
    </xf>
    <xf numFmtId="0" fontId="5" fillId="3" borderId="26" xfId="0" applyFont="1" applyFill="1" applyBorder="1" applyAlignment="1">
      <alignment horizontal="center" vertical="center"/>
    </xf>
    <xf numFmtId="1" fontId="5" fillId="0" borderId="0" xfId="0" applyNumberFormat="1" applyFont="1" applyAlignment="1" applyProtection="1">
      <alignment horizontal="right"/>
      <protection hidden="1"/>
    </xf>
    <xf numFmtId="167" fontId="10" fillId="0" borderId="20" xfId="0" applyNumberFormat="1" applyFont="1" applyBorder="1" applyAlignment="1">
      <alignment horizontal="center"/>
    </xf>
    <xf numFmtId="167" fontId="10" fillId="0" borderId="44" xfId="0" applyNumberFormat="1" applyFont="1" applyBorder="1" applyAlignment="1">
      <alignment horizontal="center"/>
    </xf>
    <xf numFmtId="0" fontId="5" fillId="3" borderId="10" xfId="0" applyFont="1" applyFill="1" applyBorder="1" applyAlignment="1">
      <alignment horizontal="center"/>
    </xf>
    <xf numFmtId="0" fontId="5" fillId="3" borderId="67" xfId="0" applyFont="1" applyFill="1" applyBorder="1" applyAlignment="1">
      <alignment horizontal="center"/>
    </xf>
    <xf numFmtId="167" fontId="11" fillId="0" borderId="0" xfId="0" applyNumberFormat="1" applyFont="1" applyAlignment="1">
      <alignment horizontal="center"/>
    </xf>
    <xf numFmtId="0" fontId="11" fillId="7" borderId="245" xfId="0" applyFont="1" applyFill="1" applyBorder="1" applyAlignment="1" applyProtection="1">
      <alignment horizontal="center"/>
      <protection locked="0"/>
    </xf>
    <xf numFmtId="0" fontId="11" fillId="7" borderId="247" xfId="0" applyFont="1" applyFill="1" applyBorder="1" applyAlignment="1" applyProtection="1">
      <alignment horizontal="center"/>
      <protection locked="0"/>
    </xf>
    <xf numFmtId="0" fontId="0" fillId="0" borderId="240" xfId="0" applyBorder="1"/>
    <xf numFmtId="0" fontId="10" fillId="0" borderId="246" xfId="0" applyFont="1" applyBorder="1" applyAlignment="1">
      <alignment horizontal="left"/>
    </xf>
    <xf numFmtId="0" fontId="10" fillId="0" borderId="247" xfId="0" applyFont="1" applyBorder="1" applyAlignment="1">
      <alignment horizontal="left"/>
    </xf>
    <xf numFmtId="0" fontId="10" fillId="0" borderId="20" xfId="0" applyFont="1" applyBorder="1" applyAlignment="1">
      <alignment horizontal="left" indent="1"/>
    </xf>
    <xf numFmtId="0" fontId="10" fillId="0" borderId="44" xfId="0" applyFont="1" applyBorder="1" applyAlignment="1">
      <alignment horizontal="left" indent="1"/>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167" fontId="4" fillId="0" borderId="0" xfId="0" applyNumberFormat="1" applyFont="1" applyFill="1" applyBorder="1" applyAlignment="1" applyProtection="1">
      <alignment horizontal="center" vertical="center"/>
    </xf>
  </cellXfs>
  <cellStyles count="4">
    <cellStyle name="Hyperlinkki" xfId="3" builtinId="8"/>
    <cellStyle name="Normaali" xfId="0" builtinId="0"/>
    <cellStyle name="Normaali 13" xfId="1" xr:uid="{00000000-0005-0000-0000-000002000000}"/>
    <cellStyle name="Prosenttia" xfId="2" builtinId="5"/>
  </cellStyles>
  <dxfs count="55">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9" defaultPivotStyle="PivotStyleLight16"/>
  <colors>
    <mruColors>
      <color rgb="FFFFFFCC"/>
      <color rgb="FF0152A1"/>
      <color rgb="FF99FF66"/>
      <color rgb="FFCCFFCC"/>
      <color rgb="FF33CC33"/>
      <color rgb="FFFF5050"/>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laajuus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Kaavio!$B$3</c:f>
              <c:strCache>
                <c:ptCount val="1"/>
                <c:pt idx="0">
                  <c:v>Omsättning</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Kaavio!$C$3:$H$3</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C184-4FC4-9E5E-CA74450C0C98}"/>
            </c:ext>
          </c:extLst>
        </c:ser>
        <c:ser>
          <c:idx val="1"/>
          <c:order val="1"/>
          <c:tx>
            <c:strRef>
              <c:f>Kaavio!$B$4</c:f>
              <c:strCache>
                <c:ptCount val="1"/>
                <c:pt idx="0">
                  <c:v>Balanssumma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Kaavio!$C$4:$H$4</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C184-4FC4-9E5E-CA74450C0C98}"/>
            </c:ext>
          </c:extLst>
        </c:ser>
        <c:ser>
          <c:idx val="2"/>
          <c:order val="2"/>
          <c:tx>
            <c:strRef>
              <c:f>Kaavio!$B$5</c:f>
              <c:strCache>
                <c:ptCount val="1"/>
                <c:pt idx="0">
                  <c:v>Investerat kapital</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Kaavio!$C$5:$H$5</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C184-4FC4-9E5E-CA74450C0C98}"/>
            </c:ext>
          </c:extLst>
        </c:ser>
        <c:dLbls>
          <c:dLblPos val="ctr"/>
          <c:showLegendKey val="0"/>
          <c:showVal val="1"/>
          <c:showCatName val="0"/>
          <c:showSerName val="0"/>
          <c:showPercent val="0"/>
          <c:showBubbleSize val="0"/>
        </c:dLbls>
        <c:marker val="1"/>
        <c:smooth val="0"/>
        <c:axId val="71170703"/>
        <c:axId val="71163215"/>
      </c:lineChart>
      <c:catAx>
        <c:axId val="7117070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dk1">
                    <a:lumMod val="75000"/>
                    <a:lumOff val="25000"/>
                  </a:schemeClr>
                </a:solidFill>
                <a:latin typeface="+mn-lt"/>
                <a:ea typeface="+mn-ea"/>
                <a:cs typeface="+mn-cs"/>
              </a:defRPr>
            </a:pPr>
            <a:endParaRPr lang="fi-FI"/>
          </a:p>
        </c:txPr>
        <c:crossAx val="71163215"/>
        <c:crosses val="autoZero"/>
        <c:auto val="1"/>
        <c:lblAlgn val="ctr"/>
        <c:lblOffset val="100"/>
        <c:noMultiLvlLbl val="0"/>
      </c:catAx>
      <c:valAx>
        <c:axId val="71163215"/>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 ##0.0" sourceLinked="1"/>
        <c:majorTickMark val="none"/>
        <c:minorTickMark val="none"/>
        <c:tickLblPos val="nextTo"/>
        <c:crossAx val="7117070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kannattavuus</a:t>
            </a:r>
          </a:p>
        </c:rich>
      </c:tx>
      <c:layout>
        <c:manualLayout>
          <c:xMode val="edge"/>
          <c:yMode val="edge"/>
          <c:x val="0.18233333333333332"/>
          <c:y val="3.240740740740740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manualLayout>
          <c:layoutTarget val="inner"/>
          <c:xMode val="edge"/>
          <c:yMode val="edge"/>
          <c:x val="0.12445625546806649"/>
          <c:y val="0.20358814523184601"/>
          <c:w val="0.84776596675415572"/>
          <c:h val="0.59236840186643336"/>
        </c:manualLayout>
      </c:layout>
      <c:barChart>
        <c:barDir val="col"/>
        <c:grouping val="clustered"/>
        <c:varyColors val="0"/>
        <c:ser>
          <c:idx val="0"/>
          <c:order val="0"/>
          <c:tx>
            <c:strRef>
              <c:f>Kaavio!$B$27</c:f>
              <c:strCache>
                <c:ptCount val="1"/>
                <c:pt idx="0">
                  <c:v>Driftsbidrag-%</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Kaavio!$C$27:$H$27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90C-424D-B497-A146BD83A2A0}"/>
            </c:ext>
          </c:extLst>
        </c:ser>
        <c:ser>
          <c:idx val="1"/>
          <c:order val="1"/>
          <c:tx>
            <c:strRef>
              <c:f>Kaavio!$B$29</c:f>
              <c:strCache>
                <c:ptCount val="1"/>
                <c:pt idx="0">
                  <c:v>Räkenskapsperiodens vinst-%</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Kaavio!$C$29:$H$29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90C-424D-B497-A146BD83A2A0}"/>
            </c:ext>
          </c:extLst>
        </c:ser>
        <c:ser>
          <c:idx val="2"/>
          <c:order val="2"/>
          <c:tx>
            <c:strRef>
              <c:f>Kaavio!$B$30</c:f>
              <c:strCache>
                <c:ptCount val="1"/>
                <c:pt idx="0">
                  <c:v>Avkastning på investerat kapital</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Kaavio!$C$30:$H$30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90C-424D-B497-A146BD83A2A0}"/>
            </c:ext>
          </c:extLst>
        </c:ser>
        <c:dLbls>
          <c:dLblPos val="inEnd"/>
          <c:showLegendKey val="0"/>
          <c:showVal val="1"/>
          <c:showCatName val="0"/>
          <c:showSerName val="0"/>
          <c:showPercent val="0"/>
          <c:showBubbleSize val="0"/>
        </c:dLbls>
        <c:gapWidth val="65"/>
        <c:axId val="1772874063"/>
        <c:axId val="1772875311"/>
      </c:barChart>
      <c:catAx>
        <c:axId val="177287406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772875311"/>
        <c:crosses val="autoZero"/>
        <c:auto val="1"/>
        <c:lblAlgn val="ctr"/>
        <c:lblOffset val="100"/>
        <c:noMultiLvlLbl val="0"/>
      </c:catAx>
      <c:valAx>
        <c:axId val="1772875311"/>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177287406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55246685628591E-2"/>
          <c:y val="0.14169051398749496"/>
          <c:w val="0.91052680212726222"/>
          <c:h val="0.83372633131447971"/>
        </c:manualLayout>
      </c:layout>
      <c:barChart>
        <c:barDir val="col"/>
        <c:grouping val="clustered"/>
        <c:varyColors val="0"/>
        <c:ser>
          <c:idx val="0"/>
          <c:order val="0"/>
          <c:tx>
            <c:strRef>
              <c:f>'9. T5 KASSABUDGET'!$C$56</c:f>
              <c:strCache>
                <c:ptCount val="1"/>
                <c:pt idx="0">
                  <c:v> INTÄKTER - UTGIFTER</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KASSABUDGET'!$G$9:$R$9</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'9. T5 KASSABUDGET'!$G$56:$R$56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8C-45CA-8B77-28A141CA2FB3}"/>
            </c:ext>
          </c:extLst>
        </c:ser>
        <c:ser>
          <c:idx val="1"/>
          <c:order val="1"/>
          <c:tx>
            <c:strRef>
              <c:f>'9. T5 KASSABUDGET'!$C$57</c:f>
              <c:strCache>
                <c:ptCount val="1"/>
                <c:pt idx="0">
                  <c:v> KUMALATIVT KASSA I SLUTET AV MÅNADEN</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KASSABUDGET'!$G$9:$R$9</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'9. T5 KASSABUDGET'!$G$57:$R$57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68C-45CA-8B77-28A141CA2FB3}"/>
            </c:ext>
          </c:extLst>
        </c:ser>
        <c:dLbls>
          <c:dLblPos val="inEnd"/>
          <c:showLegendKey val="0"/>
          <c:showVal val="1"/>
          <c:showCatName val="0"/>
          <c:showSerName val="0"/>
          <c:showPercent val="0"/>
          <c:showBubbleSize val="0"/>
        </c:dLbls>
        <c:gapWidth val="100"/>
        <c:overlap val="-24"/>
        <c:axId val="-688741008"/>
        <c:axId val="-612282544"/>
      </c:barChart>
      <c:catAx>
        <c:axId val="-688741008"/>
        <c:scaling>
          <c:orientation val="minMax"/>
        </c:scaling>
        <c:delete val="0"/>
        <c:axPos val="b"/>
        <c:numFmt formatCode="mmm\-yy" sourceLinked="0"/>
        <c:majorTickMark val="out"/>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12282544"/>
        <c:crosses val="autoZero"/>
        <c:auto val="1"/>
        <c:lblAlgn val="ctr"/>
        <c:lblOffset val="100"/>
        <c:noMultiLvlLbl val="1"/>
      </c:catAx>
      <c:valAx>
        <c:axId val="-61228254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887410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737267971087067E-2"/>
          <c:y val="0.10932062376469498"/>
          <c:w val="0.96564834205300709"/>
          <c:h val="0.80245434780201319"/>
        </c:manualLayout>
      </c:layout>
      <c:barChart>
        <c:barDir val="col"/>
        <c:grouping val="clustered"/>
        <c:varyColors val="0"/>
        <c:ser>
          <c:idx val="0"/>
          <c:order val="0"/>
          <c:tx>
            <c:v>TULOT-MANOT</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KASSABUDGET'!$AA$101:$AL$101</c:f>
              <c:strCache>
                <c:ptCount val="12"/>
                <c:pt idx="0">
                  <c:v>JAN</c:v>
                </c:pt>
                <c:pt idx="1">
                  <c:v>FEB</c:v>
                </c:pt>
                <c:pt idx="2">
                  <c:v>MARS</c:v>
                </c:pt>
                <c:pt idx="3">
                  <c:v>APRIL</c:v>
                </c:pt>
                <c:pt idx="4">
                  <c:v>MAJ</c:v>
                </c:pt>
                <c:pt idx="5">
                  <c:v>JUNI</c:v>
                </c:pt>
                <c:pt idx="6">
                  <c:v>JULI</c:v>
                </c:pt>
                <c:pt idx="7">
                  <c:v>AUG</c:v>
                </c:pt>
                <c:pt idx="8">
                  <c:v>SEP</c:v>
                </c:pt>
                <c:pt idx="9">
                  <c:v>tammi.00</c:v>
                </c:pt>
                <c:pt idx="10">
                  <c:v>NOV</c:v>
                </c:pt>
                <c:pt idx="11">
                  <c:v>DEC</c:v>
                </c:pt>
              </c:strCache>
            </c:strRef>
          </c:cat>
          <c:val>
            <c:numRef>
              <c:f>'9. T5 KASSABUDGET'!$AA$102:$AL$102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D8-472B-A546-5F39C44D6107}"/>
            </c:ext>
          </c:extLst>
        </c:ser>
        <c:ser>
          <c:idx val="1"/>
          <c:order val="1"/>
          <c:tx>
            <c:v>KUMULATIIVINEN KASSA KUUKAUDEN LOPUSSA</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KASSABUDGET'!$AA$101:$AL$101</c:f>
              <c:strCache>
                <c:ptCount val="12"/>
                <c:pt idx="0">
                  <c:v>JAN</c:v>
                </c:pt>
                <c:pt idx="1">
                  <c:v>FEB</c:v>
                </c:pt>
                <c:pt idx="2">
                  <c:v>MARS</c:v>
                </c:pt>
                <c:pt idx="3">
                  <c:v>APRIL</c:v>
                </c:pt>
                <c:pt idx="4">
                  <c:v>MAJ</c:v>
                </c:pt>
                <c:pt idx="5">
                  <c:v>JUNI</c:v>
                </c:pt>
                <c:pt idx="6">
                  <c:v>JULI</c:v>
                </c:pt>
                <c:pt idx="7">
                  <c:v>AUG</c:v>
                </c:pt>
                <c:pt idx="8">
                  <c:v>SEP</c:v>
                </c:pt>
                <c:pt idx="9">
                  <c:v>tammi.00</c:v>
                </c:pt>
                <c:pt idx="10">
                  <c:v>NOV</c:v>
                </c:pt>
                <c:pt idx="11">
                  <c:v>DEC</c:v>
                </c:pt>
              </c:strCache>
            </c:strRef>
          </c:cat>
          <c:val>
            <c:numRef>
              <c:f>'9. T5 KASSABUDGET'!$AA$103:$AL$103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5D8-472B-A546-5F39C44D6107}"/>
            </c:ext>
          </c:extLst>
        </c:ser>
        <c:dLbls>
          <c:dLblPos val="inEnd"/>
          <c:showLegendKey val="0"/>
          <c:showVal val="1"/>
          <c:showCatName val="0"/>
          <c:showSerName val="0"/>
          <c:showPercent val="0"/>
          <c:showBubbleSize val="0"/>
        </c:dLbls>
        <c:gapWidth val="100"/>
        <c:overlap val="-24"/>
        <c:axId val="659841183"/>
        <c:axId val="659838783"/>
      </c:barChart>
      <c:catAx>
        <c:axId val="659841183"/>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59838783"/>
        <c:crosses val="autoZero"/>
        <c:auto val="1"/>
        <c:lblAlgn val="ctr"/>
        <c:lblOffset val="100"/>
        <c:noMultiLvlLbl val="1"/>
      </c:catAx>
      <c:valAx>
        <c:axId val="659838783"/>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59841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i-FI" sz="1200" b="1" i="0" u="none" strike="noStrike" kern="1200" baseline="0">
                <a:solidFill>
                  <a:sysClr val="windowText" lastClr="000000">
                    <a:lumMod val="65000"/>
                    <a:lumOff val="35000"/>
                  </a:sysClr>
                </a:solidFill>
              </a:rPr>
              <a:t>AFFÄRSVERKSAMHETENS VOLYM </a:t>
            </a:r>
            <a:r>
              <a:rPr lang="fi-FI" sz="1000" b="1" i="0" u="none" strike="noStrike" kern="1200" baseline="0">
                <a:solidFill>
                  <a:sysClr val="windowText" lastClr="000000">
                    <a:lumMod val="65000"/>
                    <a:lumOff val="35000"/>
                  </a:sysClr>
                </a:solidFill>
              </a:rPr>
              <a:t>1000 €</a:t>
            </a:r>
            <a:endParaRPr lang="fi-FI" sz="1400" b="1" i="0" u="none" strike="noStrike" kern="1200" baseline="0">
              <a:solidFill>
                <a:sysClr val="windowText" lastClr="000000">
                  <a:lumMod val="65000"/>
                  <a:lumOff val="35000"/>
                </a:sysClr>
              </a:solidFill>
            </a:endParaRPr>
          </a:p>
        </c:rich>
      </c:tx>
      <c:layout>
        <c:manualLayout>
          <c:xMode val="edge"/>
          <c:yMode val="edge"/>
          <c:x val="0.28910750560526099"/>
          <c:y val="1.191392989447178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i-FI"/>
        </a:p>
      </c:txPr>
    </c:title>
    <c:autoTitleDeleted val="0"/>
    <c:plotArea>
      <c:layout>
        <c:manualLayout>
          <c:layoutTarget val="inner"/>
          <c:xMode val="edge"/>
          <c:yMode val="edge"/>
          <c:x val="6.5873339618150201E-2"/>
          <c:y val="0.13767190683095593"/>
          <c:w val="0.9134226734405303"/>
          <c:h val="0.65519178082191776"/>
        </c:manualLayout>
      </c:layout>
      <c:barChart>
        <c:barDir val="col"/>
        <c:grouping val="clustered"/>
        <c:varyColors val="0"/>
        <c:ser>
          <c:idx val="0"/>
          <c:order val="0"/>
          <c:tx>
            <c:strRef>
              <c:f>Kaavio!$B$3</c:f>
              <c:strCache>
                <c:ptCount val="1"/>
                <c:pt idx="0">
                  <c:v>Omsättning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6719733168856798E-3"/>
                  <c:y val="-7.2915695256910775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B4-4A5B-8079-A511229E6736}"/>
                </c:ext>
              </c:extLst>
            </c:dLbl>
            <c:dLbl>
              <c:idx val="2"/>
              <c:layout>
                <c:manualLayout>
                  <c:x val="0"/>
                  <c:y val="-7.2915695257000127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B4-4A5B-8079-A511229E6736}"/>
                </c:ext>
              </c:extLst>
            </c:dLbl>
            <c:dLbl>
              <c:idx val="3"/>
              <c:layout>
                <c:manualLayout>
                  <c:x val="0"/>
                  <c:y val="4.800922882441772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B4-4A5B-8079-A511229E6736}"/>
                </c:ext>
              </c:extLst>
            </c:dLbl>
            <c:dLbl>
              <c:idx val="4"/>
              <c:layout>
                <c:manualLayout>
                  <c:x val="-1.2260996017089391E-16"/>
                  <c:y val="4.800922882441817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B4-4A5B-8079-A511229E6736}"/>
                </c:ext>
              </c:extLst>
            </c:dLbl>
            <c:dLbl>
              <c:idx val="5"/>
              <c:layout>
                <c:manualLayout>
                  <c:x val="-1.6719733168858025E-3"/>
                  <c:y val="4.800922882441817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B4-4A5B-8079-A511229E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Kaavio!$C$3:$H$3</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633-485F-9054-43424F574F05}"/>
            </c:ext>
          </c:extLst>
        </c:ser>
        <c:ser>
          <c:idx val="1"/>
          <c:order val="1"/>
          <c:tx>
            <c:strRef>
              <c:f>Kaavio!$B$4</c:f>
              <c:strCache>
                <c:ptCount val="1"/>
                <c:pt idx="0">
                  <c:v>Balanssumma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0"/>
                  <c:y val="-7.2915695256910775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B4-4A5B-8079-A511229E6736}"/>
                </c:ext>
              </c:extLst>
            </c:dLbl>
            <c:dLbl>
              <c:idx val="2"/>
              <c:layout>
                <c:manualLayout>
                  <c:x val="-6.1304980085446956E-17"/>
                  <c:y val="4.800922882441772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B4-4A5B-8079-A511229E6736}"/>
                </c:ext>
              </c:extLst>
            </c:dLbl>
            <c:dLbl>
              <c:idx val="3"/>
              <c:layout>
                <c:manualLayout>
                  <c:x val="-1.2260996017089391E-16"/>
                  <c:y val="4.80092288244186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B4-4A5B-8079-A511229E6736}"/>
                </c:ext>
              </c:extLst>
            </c:dLbl>
            <c:dLbl>
              <c:idx val="4"/>
              <c:layout>
                <c:manualLayout>
                  <c:x val="0"/>
                  <c:y val="-7.2915695256910775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B4-4A5B-8079-A511229E6736}"/>
                </c:ext>
              </c:extLst>
            </c:dLbl>
            <c:dLbl>
              <c:idx val="5"/>
              <c:layout>
                <c:manualLayout>
                  <c:x val="0"/>
                  <c:y val="4.800922882441840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B4-4A5B-8079-A511229E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Kaavio!$C$4:$H$4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633-485F-9054-43424F574F05}"/>
            </c:ext>
          </c:extLst>
        </c:ser>
        <c:ser>
          <c:idx val="2"/>
          <c:order val="2"/>
          <c:tx>
            <c:strRef>
              <c:f>Kaavio!$B$5</c:f>
              <c:strCache>
                <c:ptCount val="1"/>
                <c:pt idx="0">
                  <c:v>Investerat kapital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6.1304980085446956E-17"/>
                  <c:y val="-6.777705757538427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B4-4A5B-8079-A511229E6736}"/>
                </c:ext>
              </c:extLst>
            </c:dLbl>
            <c:dLbl>
              <c:idx val="2"/>
              <c:layout>
                <c:manualLayout>
                  <c:x val="0"/>
                  <c:y val="4.80092288244186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B4-4A5B-8079-A511229E6736}"/>
                </c:ext>
              </c:extLst>
            </c:dLbl>
            <c:dLbl>
              <c:idx val="3"/>
              <c:layout>
                <c:manualLayout>
                  <c:x val="0"/>
                  <c:y val="4.80092288244195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B4-4A5B-8079-A511229E6736}"/>
                </c:ext>
              </c:extLst>
            </c:dLbl>
            <c:dLbl>
              <c:idx val="4"/>
              <c:layout>
                <c:manualLayout>
                  <c:x val="-1.2260996017089391E-16"/>
                  <c:y val="4.80092288244186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B4-4A5B-8079-A511229E6736}"/>
                </c:ext>
              </c:extLst>
            </c:dLbl>
            <c:dLbl>
              <c:idx val="5"/>
              <c:layout>
                <c:manualLayout>
                  <c:x val="-1.2260996017089391E-16"/>
                  <c:y val="4.800922882441817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B4-4A5B-8079-A511229E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Kaavio!$C$5:$H$5</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633-485F-9054-43424F574F05}"/>
            </c:ext>
          </c:extLst>
        </c:ser>
        <c:dLbls>
          <c:dLblPos val="inEnd"/>
          <c:showLegendKey val="0"/>
          <c:showVal val="1"/>
          <c:showCatName val="0"/>
          <c:showSerName val="0"/>
          <c:showPercent val="0"/>
          <c:showBubbleSize val="0"/>
        </c:dLbls>
        <c:gapWidth val="110"/>
        <c:overlap val="-24"/>
        <c:axId val="1772874063"/>
        <c:axId val="1772875311"/>
      </c:barChart>
      <c:catAx>
        <c:axId val="177287406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crossAx val="1772875311"/>
        <c:crosses val="autoZero"/>
        <c:auto val="1"/>
        <c:lblAlgn val="ctr"/>
        <c:lblOffset val="100"/>
        <c:tickLblSkip val="1"/>
        <c:noMultiLvlLbl val="0"/>
      </c:catAx>
      <c:valAx>
        <c:axId val="1772875311"/>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728740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ayout>
        <c:manualLayout>
          <c:xMode val="edge"/>
          <c:yMode val="edge"/>
          <c:x val="0.25107406180060543"/>
          <c:y val="0.91344447805859197"/>
          <c:w val="0.49608258678834449"/>
          <c:h val="8.2025903642125572E-2"/>
        </c:manualLayout>
      </c:layout>
      <c:overlay val="0"/>
      <c:spPr>
        <a:noFill/>
        <a:ln>
          <a:solidFill>
            <a:schemeClr val="accent1"/>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i-FI" sz="1200" b="1" i="0" u="none" strike="noStrike" kern="1200" baseline="0">
                <a:solidFill>
                  <a:sysClr val="windowText" lastClr="000000">
                    <a:lumMod val="65000"/>
                    <a:lumOff val="35000"/>
                  </a:sysClr>
                </a:solidFill>
              </a:rPr>
              <a:t>NETTOFÖRMÖGENHET</a:t>
            </a:r>
            <a:r>
              <a:rPr lang="fi-FI" sz="1400" b="1" i="0" u="none" strike="noStrike" kern="1200" baseline="0">
                <a:solidFill>
                  <a:sysClr val="windowText" lastClr="000000">
                    <a:lumMod val="65000"/>
                    <a:lumOff val="35000"/>
                  </a:sysClr>
                </a:solidFill>
              </a:rPr>
              <a:t> </a:t>
            </a:r>
            <a:r>
              <a:rPr lang="fi-FI" sz="1050" b="1" i="0" u="none" strike="noStrike" kern="1200" baseline="0">
                <a:solidFill>
                  <a:sysClr val="windowText" lastClr="000000">
                    <a:lumMod val="65000"/>
                    <a:lumOff val="35000"/>
                  </a:sysClr>
                </a:solidFill>
              </a:rPr>
              <a:t>1000 €</a:t>
            </a:r>
            <a:endParaRPr lang="fi-FI" sz="1400" b="1" i="0" u="none" strike="noStrike" kern="1200" baseline="0">
              <a:solidFill>
                <a:sysClr val="windowText" lastClr="000000">
                  <a:lumMod val="65000"/>
                  <a:lumOff val="35000"/>
                </a:sysClr>
              </a:solidFill>
            </a:endParaRPr>
          </a:p>
        </c:rich>
      </c:tx>
      <c:layout>
        <c:manualLayout>
          <c:xMode val="edge"/>
          <c:yMode val="edge"/>
          <c:x val="0.36929763357583389"/>
          <c:y val="3.6592305142465961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i-FI"/>
        </a:p>
      </c:txPr>
    </c:title>
    <c:autoTitleDeleted val="0"/>
    <c:plotArea>
      <c:layout>
        <c:manualLayout>
          <c:layoutTarget val="inner"/>
          <c:xMode val="edge"/>
          <c:yMode val="edge"/>
          <c:x val="5.7740320885043536E-2"/>
          <c:y val="0.14981387732221396"/>
          <c:w val="0.91524088608934684"/>
          <c:h val="0.68052080053266728"/>
        </c:manualLayout>
      </c:layout>
      <c:barChart>
        <c:barDir val="col"/>
        <c:grouping val="clustered"/>
        <c:varyColors val="0"/>
        <c:ser>
          <c:idx val="0"/>
          <c:order val="0"/>
          <c:tx>
            <c:strRef>
              <c:f>Kaavio!$B$52</c:f>
              <c:strCache>
                <c:ptCount val="1"/>
                <c:pt idx="0">
                  <c:v>Tillgånger</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0"/>
                  <c:y val="-4.94919302044748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BF-45AD-BC1A-5F388E37259E}"/>
                </c:ext>
              </c:extLst>
            </c:dLbl>
            <c:dLbl>
              <c:idx val="2"/>
              <c:layout>
                <c:manualLayout>
                  <c:x val="-6.1428227714617861E-17"/>
                  <c:y val="-7.2951642659906289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BF-45AD-BC1A-5F388E37259E}"/>
                </c:ext>
              </c:extLst>
            </c:dLbl>
            <c:dLbl>
              <c:idx val="3"/>
              <c:layout>
                <c:manualLayout>
                  <c:x val="-6.1428227714617861E-17"/>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BF-45AD-BC1A-5F388E37259E}"/>
                </c:ext>
              </c:extLst>
            </c:dLbl>
            <c:dLbl>
              <c:idx val="4"/>
              <c:layout>
                <c:manualLayout>
                  <c:x val="-1.6753346546930807E-3"/>
                  <c:y val="-7.2951642659861593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BF-45AD-BC1A-5F388E37259E}"/>
                </c:ext>
              </c:extLst>
            </c:dLbl>
            <c:dLbl>
              <c:idx val="5"/>
              <c:layout>
                <c:manualLayout>
                  <c:x val="-1.2285645542923572E-16"/>
                  <c:y val="-4.949193020447577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BF-45AD-BC1A-5F388E3725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Kaavio!$C$51:$H$51</c:f>
              <c:numCache>
                <c:formatCode>0</c:formatCode>
                <c:ptCount val="6"/>
                <c:pt idx="0">
                  <c:v>2023</c:v>
                </c:pt>
                <c:pt idx="1">
                  <c:v>2024</c:v>
                </c:pt>
                <c:pt idx="2">
                  <c:v>2027</c:v>
                </c:pt>
                <c:pt idx="3">
                  <c:v>2028</c:v>
                </c:pt>
                <c:pt idx="4">
                  <c:v>2029</c:v>
                </c:pt>
                <c:pt idx="5">
                  <c:v>2030</c:v>
                </c:pt>
              </c:numCache>
            </c:numRef>
          </c:cat>
          <c:val>
            <c:numRef>
              <c:f>Kaavio!$C$52:$H$52</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12B-47D3-B0AF-CBA5B1FAA434}"/>
            </c:ext>
          </c:extLst>
        </c:ser>
        <c:ser>
          <c:idx val="1"/>
          <c:order val="1"/>
          <c:tx>
            <c:strRef>
              <c:f>Kaavio!$B$53</c:f>
              <c:strCache>
                <c:ptCount val="1"/>
                <c:pt idx="0">
                  <c:v>Skulder</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2.35462769628051E-3"/>
                  <c:y val="4.6968749319551929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2B-47D3-B0AF-CBA5B1FAA434}"/>
                </c:ext>
              </c:extLst>
            </c:dLbl>
            <c:dLbl>
              <c:idx val="2"/>
              <c:layout>
                <c:manualLayout>
                  <c:x val="0"/>
                  <c:y val="4.696499512329906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2B-47D3-B0AF-CBA5B1FAA434}"/>
                </c:ext>
              </c:extLst>
            </c:dLbl>
            <c:dLbl>
              <c:idx val="3"/>
              <c:layout>
                <c:manualLayout>
                  <c:x val="-2.3546276962804671E-3"/>
                  <c:y val="9.464328753464271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2B-47D3-B0AF-CBA5B1FAA434}"/>
                </c:ext>
              </c:extLst>
            </c:dLbl>
            <c:dLbl>
              <c:idx val="4"/>
              <c:layout>
                <c:manualLayout>
                  <c:x val="-8.6335351510269187E-17"/>
                  <c:y val="4.6964995123299066E-3"/>
                </c:manualLayout>
              </c:layout>
              <c:tx>
                <c:rich>
                  <a:bodyPr/>
                  <a:lstStyle/>
                  <a:p>
                    <a:fld id="{3D3A1307-2900-46F6-8F60-EE177A1AB3D2}" type="VALUE">
                      <a:rPr lang="en-US" b="1"/>
                      <a:pPr/>
                      <a:t>[ARVO]</a:t>
                    </a:fld>
                    <a:endParaRPr lang="fi-FI"/>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12B-47D3-B0AF-CBA5B1FAA434}"/>
                </c:ext>
              </c:extLst>
            </c:dLbl>
            <c:dLbl>
              <c:idx val="5"/>
              <c:layout>
                <c:manualLayout>
                  <c:x val="2.3546276962804671E-3"/>
                  <c:y val="4.696499512329994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2B-47D3-B0AF-CBA5B1FAA4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Kaavio!$C$51:$H$51</c:f>
              <c:numCache>
                <c:formatCode>0</c:formatCode>
                <c:ptCount val="6"/>
                <c:pt idx="0">
                  <c:v>2023</c:v>
                </c:pt>
                <c:pt idx="1">
                  <c:v>2024</c:v>
                </c:pt>
                <c:pt idx="2">
                  <c:v>2027</c:v>
                </c:pt>
                <c:pt idx="3">
                  <c:v>2028</c:v>
                </c:pt>
                <c:pt idx="4">
                  <c:v>2029</c:v>
                </c:pt>
                <c:pt idx="5">
                  <c:v>2030</c:v>
                </c:pt>
              </c:numCache>
            </c:numRef>
          </c:cat>
          <c:val>
            <c:numRef>
              <c:f>Kaavio!$C$53:$H$53</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12B-47D3-B0AF-CBA5B1FAA434}"/>
            </c:ext>
          </c:extLst>
        </c:ser>
        <c:ser>
          <c:idx val="2"/>
          <c:order val="2"/>
          <c:tx>
            <c:strRef>
              <c:f>Kaavio!$B$54</c:f>
              <c:strCache>
                <c:ptCount val="1"/>
                <c:pt idx="0">
                  <c:v>Nettoförmögenhet</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6753346546930807E-3"/>
                  <c:y val="-4.775644902120013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BF-45AD-BC1A-5F388E37259E}"/>
                </c:ext>
              </c:extLst>
            </c:dLbl>
            <c:dLbl>
              <c:idx val="2"/>
              <c:layout>
                <c:manualLayout>
                  <c:x val="-1.6753346546930807E-3"/>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BF-45AD-BC1A-5F388E37259E}"/>
                </c:ext>
              </c:extLst>
            </c:dLbl>
            <c:dLbl>
              <c:idx val="3"/>
              <c:layout>
                <c:manualLayout>
                  <c:x val="-1.6753346546930807E-3"/>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BF-45AD-BC1A-5F388E37259E}"/>
                </c:ext>
              </c:extLst>
            </c:dLbl>
            <c:dLbl>
              <c:idx val="4"/>
              <c:layout>
                <c:manualLayout>
                  <c:x val="0"/>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BF-45AD-BC1A-5F388E37259E}"/>
                </c:ext>
              </c:extLst>
            </c:dLbl>
            <c:dLbl>
              <c:idx val="5"/>
              <c:layout>
                <c:manualLayout>
                  <c:x val="-1.6753346546930807E-3"/>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BF-45AD-BC1A-5F388E3725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Kaavio!$C$51:$H$51</c:f>
              <c:numCache>
                <c:formatCode>0</c:formatCode>
                <c:ptCount val="6"/>
                <c:pt idx="0">
                  <c:v>2023</c:v>
                </c:pt>
                <c:pt idx="1">
                  <c:v>2024</c:v>
                </c:pt>
                <c:pt idx="2">
                  <c:v>2027</c:v>
                </c:pt>
                <c:pt idx="3">
                  <c:v>2028</c:v>
                </c:pt>
                <c:pt idx="4">
                  <c:v>2029</c:v>
                </c:pt>
                <c:pt idx="5">
                  <c:v>2030</c:v>
                </c:pt>
              </c:numCache>
            </c:numRef>
          </c:cat>
          <c:val>
            <c:numRef>
              <c:f>Kaavio!$C$54:$H$54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012B-47D3-B0AF-CBA5B1FAA434}"/>
            </c:ext>
          </c:extLst>
        </c:ser>
        <c:dLbls>
          <c:dLblPos val="inEnd"/>
          <c:showLegendKey val="0"/>
          <c:showVal val="1"/>
          <c:showCatName val="0"/>
          <c:showSerName val="0"/>
          <c:showPercent val="0"/>
          <c:showBubbleSize val="0"/>
        </c:dLbls>
        <c:gapWidth val="100"/>
        <c:overlap val="-24"/>
        <c:axId val="1772874063"/>
        <c:axId val="1772875311"/>
      </c:barChart>
      <c:catAx>
        <c:axId val="177287406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crossAx val="1772875311"/>
        <c:crosses val="autoZero"/>
        <c:auto val="1"/>
        <c:lblAlgn val="ctr"/>
        <c:lblOffset val="100"/>
        <c:noMultiLvlLbl val="0"/>
      </c:catAx>
      <c:valAx>
        <c:axId val="1772875311"/>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728740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ayout>
        <c:manualLayout>
          <c:xMode val="edge"/>
          <c:yMode val="edge"/>
          <c:x val="0.31272865770381236"/>
          <c:y val="0.91523421859658816"/>
          <c:w val="0.40911427776247133"/>
          <c:h val="8.111090842067735E-2"/>
        </c:manualLayout>
      </c:layout>
      <c:overlay val="0"/>
      <c:spPr>
        <a:noFill/>
        <a:ln>
          <a:solidFill>
            <a:schemeClr val="accent1"/>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200" b="1" i="0" u="none" strike="noStrike" kern="1200" baseline="0">
                <a:solidFill>
                  <a:sysClr val="windowText" lastClr="000000">
                    <a:lumMod val="65000"/>
                    <a:lumOff val="35000"/>
                  </a:sysClr>
                </a:solidFill>
                <a:latin typeface="+mn-lt"/>
                <a:cs typeface="Arial" panose="020B0604020202020204" pitchFamily="34" charset="0"/>
              </a:rPr>
              <a:t>AFFÄRVERKSAMHETENS LÖNSAMHET </a:t>
            </a:r>
            <a:r>
              <a:rPr lang="en-US" sz="1000" b="1" i="0" u="none" strike="noStrike" kern="1200" baseline="0">
                <a:solidFill>
                  <a:sysClr val="windowText" lastClr="000000">
                    <a:lumMod val="65000"/>
                    <a:lumOff val="35000"/>
                  </a:sysClr>
                </a:solidFill>
                <a:latin typeface="+mn-lt"/>
                <a:cs typeface="Arial" panose="020B0604020202020204" pitchFamily="34" charset="0"/>
              </a:rPr>
              <a:t>(%/omsättning)</a:t>
            </a:r>
            <a:endParaRPr lang="en-US" sz="1400" b="1" i="0" u="none" strike="noStrike" kern="1200" baseline="0">
              <a:solidFill>
                <a:sysClr val="windowText" lastClr="000000">
                  <a:lumMod val="65000"/>
                  <a:lumOff val="35000"/>
                </a:sysClr>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Kaavio!$B$27</c:f>
              <c:strCache>
                <c:ptCount val="1"/>
                <c:pt idx="0">
                  <c:v>Driftsbidrag-%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Kaavio!$C$27:$H$27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F96-437F-AD5B-7EFEF782D78F}"/>
            </c:ext>
          </c:extLst>
        </c:ser>
        <c:ser>
          <c:idx val="1"/>
          <c:order val="1"/>
          <c:tx>
            <c:strRef>
              <c:f>Kaavio!$B$28</c:f>
              <c:strCache>
                <c:ptCount val="1"/>
                <c:pt idx="0">
                  <c:v>Rörelseresultat EBIT-%</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Kaavio!$C$28:$H$28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F96-437F-AD5B-7EFEF782D78F}"/>
            </c:ext>
          </c:extLst>
        </c:ser>
        <c:ser>
          <c:idx val="2"/>
          <c:order val="2"/>
          <c:tx>
            <c:strRef>
              <c:f>Kaavio!$B$29</c:f>
              <c:strCache>
                <c:ptCount val="1"/>
                <c:pt idx="0">
                  <c:v>Räkenskapsperiodens vinst-%</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Kaavio!$C$29:$H$29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F96-437F-AD5B-7EFEF782D78F}"/>
            </c:ext>
          </c:extLst>
        </c:ser>
        <c:ser>
          <c:idx val="3"/>
          <c:order val="3"/>
          <c:tx>
            <c:strRef>
              <c:f>Kaavio!$B$30</c:f>
              <c:strCache>
                <c:ptCount val="1"/>
                <c:pt idx="0">
                  <c:v>Avkastning på investerat kapital</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Kaavio!$C$30:$H$30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F96-437F-AD5B-7EFEF782D78F}"/>
            </c:ext>
          </c:extLst>
        </c:ser>
        <c:dLbls>
          <c:dLblPos val="outEnd"/>
          <c:showLegendKey val="0"/>
          <c:showVal val="1"/>
          <c:showCatName val="0"/>
          <c:showSerName val="0"/>
          <c:showPercent val="0"/>
          <c:showBubbleSize val="0"/>
        </c:dLbls>
        <c:gapWidth val="100"/>
        <c:overlap val="-24"/>
        <c:axId val="374930976"/>
        <c:axId val="519967728"/>
      </c:barChart>
      <c:catAx>
        <c:axId val="374930976"/>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crossAx val="519967728"/>
        <c:crosses val="autoZero"/>
        <c:auto val="1"/>
        <c:lblAlgn val="ctr"/>
        <c:lblOffset val="100"/>
        <c:noMultiLvlLbl val="0"/>
      </c:catAx>
      <c:valAx>
        <c:axId val="519967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374930976"/>
        <c:crosses val="autoZero"/>
        <c:crossBetween val="between"/>
      </c:valAx>
      <c:spPr>
        <a:noFill/>
        <a:ln>
          <a:noFill/>
        </a:ln>
        <a:effectLst/>
      </c:spPr>
    </c:plotArea>
    <c:legend>
      <c:legendPos val="b"/>
      <c:layout>
        <c:manualLayout>
          <c:xMode val="edge"/>
          <c:yMode val="edge"/>
          <c:x val="0.11888674924432238"/>
          <c:y val="0.88651257909909353"/>
          <c:w val="0.78177057344744316"/>
          <c:h val="8.9536571815017979E-2"/>
        </c:manualLayout>
      </c:layout>
      <c:overlay val="0"/>
      <c:spPr>
        <a:noFill/>
        <a:ln>
          <a:solidFill>
            <a:schemeClr val="accent1"/>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UTSKRIVNING!A1"/><Relationship Id="rId18" Type="http://schemas.openxmlformats.org/officeDocument/2006/relationships/hyperlink" Target="#'6. E2 OMS&#196;TTNING'!A1"/><Relationship Id="rId3" Type="http://schemas.openxmlformats.org/officeDocument/2006/relationships/image" Target="../media/image2.png"/><Relationship Id="rId21" Type="http://schemas.openxmlformats.org/officeDocument/2006/relationships/image" Target="../media/image12.png"/><Relationship Id="rId7" Type="http://schemas.openxmlformats.org/officeDocument/2006/relationships/image" Target="../media/image4.png"/><Relationship Id="rId12" Type="http://schemas.openxmlformats.org/officeDocument/2006/relationships/image" Target="../media/image7.png"/><Relationship Id="rId17" Type="http://schemas.openxmlformats.org/officeDocument/2006/relationships/image" Target="../media/image10.png"/><Relationship Id="rId2" Type="http://schemas.openxmlformats.org/officeDocument/2006/relationships/hyperlink" Target="#'1. T1 INVESTERINGSP.'!A1"/><Relationship Id="rId16" Type="http://schemas.openxmlformats.org/officeDocument/2006/relationships/hyperlink" Target="#'4. T7 L&#197;N '!A1"/><Relationship Id="rId20" Type="http://schemas.openxmlformats.org/officeDocument/2006/relationships/hyperlink" Target="#'5. E1 VERKSAMHETSKOSTN.'!A1"/><Relationship Id="rId1" Type="http://schemas.openxmlformats.org/officeDocument/2006/relationships/image" Target="../media/image1.png"/><Relationship Id="rId6" Type="http://schemas.openxmlformats.org/officeDocument/2006/relationships/hyperlink" Target="#'3. T3 BALANS'!A1"/><Relationship Id="rId11" Type="http://schemas.openxmlformats.org/officeDocument/2006/relationships/hyperlink" Target="#'9. T5 KASSABUDGET'!A1"/><Relationship Id="rId24" Type="http://schemas.openxmlformats.org/officeDocument/2006/relationships/image" Target="../media/image15.png"/><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4.png"/><Relationship Id="rId10" Type="http://schemas.openxmlformats.org/officeDocument/2006/relationships/image" Target="../media/image6.png"/><Relationship Id="rId19" Type="http://schemas.openxmlformats.org/officeDocument/2006/relationships/image" Target="../media/image11.png"/><Relationship Id="rId4" Type="http://schemas.openxmlformats.org/officeDocument/2006/relationships/hyperlink" Target="#'2. &amp; 7. T2 RESULTATB.'!A1"/><Relationship Id="rId9" Type="http://schemas.openxmlformats.org/officeDocument/2006/relationships/hyperlink" Target="#'8. T4 FINANSIERINGSB.'!A1"/><Relationship Id="rId14" Type="http://schemas.openxmlformats.org/officeDocument/2006/relationships/image" Target="../media/image8.png"/><Relationship Id="rId22"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hyperlink" Target="#'4. T7 L&#197;N '!A1"/><Relationship Id="rId18" Type="http://schemas.openxmlformats.org/officeDocument/2006/relationships/image" Target="../media/image97.png"/><Relationship Id="rId3" Type="http://schemas.openxmlformats.org/officeDocument/2006/relationships/image" Target="../media/image90.png"/><Relationship Id="rId21" Type="http://schemas.openxmlformats.org/officeDocument/2006/relationships/image" Target="../media/image99.jpeg"/><Relationship Id="rId7" Type="http://schemas.openxmlformats.org/officeDocument/2006/relationships/image" Target="../media/image8.png"/><Relationship Id="rId12" Type="http://schemas.openxmlformats.org/officeDocument/2006/relationships/image" Target="../media/image93.png"/><Relationship Id="rId17" Type="http://schemas.openxmlformats.org/officeDocument/2006/relationships/image" Target="../media/image96.png"/><Relationship Id="rId2" Type="http://schemas.openxmlformats.org/officeDocument/2006/relationships/hyperlink" Target="#'3. T3 BALANS'!A1"/><Relationship Id="rId16" Type="http://schemas.openxmlformats.org/officeDocument/2006/relationships/hyperlink" Target="#'1. T1 INVESTERINGSP.'!A1"/><Relationship Id="rId20" Type="http://schemas.openxmlformats.org/officeDocument/2006/relationships/image" Target="../media/image98.jpeg"/><Relationship Id="rId1" Type="http://schemas.openxmlformats.org/officeDocument/2006/relationships/chart" Target="../charts/chart3.xml"/><Relationship Id="rId6" Type="http://schemas.openxmlformats.org/officeDocument/2006/relationships/hyperlink" Target="#UTSKRIVNING!A1"/><Relationship Id="rId11" Type="http://schemas.openxmlformats.org/officeDocument/2006/relationships/hyperlink" Target="#'5. E1 VERKSAMHETSKOSTN.'!A1"/><Relationship Id="rId5" Type="http://schemas.openxmlformats.org/officeDocument/2006/relationships/image" Target="../media/image91.png"/><Relationship Id="rId15" Type="http://schemas.openxmlformats.org/officeDocument/2006/relationships/image" Target="../media/image95.png"/><Relationship Id="rId23" Type="http://schemas.openxmlformats.org/officeDocument/2006/relationships/image" Target="../media/image100.png"/><Relationship Id="rId10" Type="http://schemas.openxmlformats.org/officeDocument/2006/relationships/image" Target="../media/image92.png"/><Relationship Id="rId19" Type="http://schemas.openxmlformats.org/officeDocument/2006/relationships/chart" Target="../charts/chart4.xml"/><Relationship Id="rId4" Type="http://schemas.openxmlformats.org/officeDocument/2006/relationships/hyperlink" Target="#'2. &amp; 7. T2 RESULTATB.'!A1"/><Relationship Id="rId9" Type="http://schemas.openxmlformats.org/officeDocument/2006/relationships/hyperlink" Target="#'8. T4 FINANSIERINGSB.'!A1"/><Relationship Id="rId14" Type="http://schemas.openxmlformats.org/officeDocument/2006/relationships/image" Target="../media/image94.png"/><Relationship Id="rId22" Type="http://schemas.openxmlformats.org/officeDocument/2006/relationships/hyperlink" Target="#'6. E2 LIIKEVAIHTO '!A1"/></Relationships>
</file>

<file path=xl/drawings/_rels/drawing11.xml.rels><?xml version="1.0" encoding="UTF-8" standalone="yes"?>
<Relationships xmlns="http://schemas.openxmlformats.org/package/2006/relationships"><Relationship Id="rId8" Type="http://schemas.openxmlformats.org/officeDocument/2006/relationships/image" Target="../media/image103.png"/><Relationship Id="rId13" Type="http://schemas.openxmlformats.org/officeDocument/2006/relationships/hyperlink" Target="#'4. T7 L&#197;N '!A1"/><Relationship Id="rId18" Type="http://schemas.openxmlformats.org/officeDocument/2006/relationships/hyperlink" Target="#'1. T1 INVESTERINGSP.'!A1"/><Relationship Id="rId26" Type="http://schemas.openxmlformats.org/officeDocument/2006/relationships/image" Target="../media/image115.jpeg"/><Relationship Id="rId3" Type="http://schemas.openxmlformats.org/officeDocument/2006/relationships/hyperlink" Target="#'9. T5 KASSABUDGET'!A1"/><Relationship Id="rId21" Type="http://schemas.openxmlformats.org/officeDocument/2006/relationships/image" Target="../media/image111.svg"/><Relationship Id="rId7" Type="http://schemas.openxmlformats.org/officeDocument/2006/relationships/hyperlink" Target="#'2. &amp; 7. T2 RESULTATB.'!A1"/><Relationship Id="rId12" Type="http://schemas.openxmlformats.org/officeDocument/2006/relationships/image" Target="../media/image105.png"/><Relationship Id="rId17" Type="http://schemas.openxmlformats.org/officeDocument/2006/relationships/image" Target="../media/image108.png"/><Relationship Id="rId25" Type="http://schemas.openxmlformats.org/officeDocument/2006/relationships/image" Target="../media/image114.jpeg"/><Relationship Id="rId2" Type="http://schemas.openxmlformats.org/officeDocument/2006/relationships/chart" Target="../charts/chart6.xml"/><Relationship Id="rId16" Type="http://schemas.openxmlformats.org/officeDocument/2006/relationships/image" Target="../media/image107.png"/><Relationship Id="rId20" Type="http://schemas.openxmlformats.org/officeDocument/2006/relationships/image" Target="../media/image110.png"/><Relationship Id="rId1" Type="http://schemas.openxmlformats.org/officeDocument/2006/relationships/chart" Target="../charts/chart5.xml"/><Relationship Id="rId6" Type="http://schemas.openxmlformats.org/officeDocument/2006/relationships/image" Target="../media/image102.png"/><Relationship Id="rId11" Type="http://schemas.openxmlformats.org/officeDocument/2006/relationships/hyperlink" Target="#'5. E1 VERKSAMHETSKOSTN.'!A1"/><Relationship Id="rId24" Type="http://schemas.openxmlformats.org/officeDocument/2006/relationships/image" Target="../media/image113.jpeg"/><Relationship Id="rId5" Type="http://schemas.openxmlformats.org/officeDocument/2006/relationships/hyperlink" Target="#'8. T4 FINANSIERINGSB.'!A1"/><Relationship Id="rId15" Type="http://schemas.openxmlformats.org/officeDocument/2006/relationships/hyperlink" Target="#'3. T3 BALANS'!A1"/><Relationship Id="rId23" Type="http://schemas.openxmlformats.org/officeDocument/2006/relationships/image" Target="../media/image112.jpeg"/><Relationship Id="rId10" Type="http://schemas.openxmlformats.org/officeDocument/2006/relationships/image" Target="../media/image104.png"/><Relationship Id="rId19" Type="http://schemas.openxmlformats.org/officeDocument/2006/relationships/image" Target="../media/image109.png"/><Relationship Id="rId4" Type="http://schemas.openxmlformats.org/officeDocument/2006/relationships/image" Target="../media/image101.png"/><Relationship Id="rId9" Type="http://schemas.openxmlformats.org/officeDocument/2006/relationships/hyperlink" Target="#'6. E2 OMS&#196;TTNING'!A1"/><Relationship Id="rId14" Type="http://schemas.openxmlformats.org/officeDocument/2006/relationships/image" Target="../media/image106.png"/><Relationship Id="rId22"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3. T3 BALANS'!A1"/><Relationship Id="rId18" Type="http://schemas.openxmlformats.org/officeDocument/2006/relationships/image" Target="../media/image8.png"/><Relationship Id="rId3" Type="http://schemas.openxmlformats.org/officeDocument/2006/relationships/hyperlink" Target="#'8. T4 FINANSIERINGSB.'!A1"/><Relationship Id="rId7" Type="http://schemas.openxmlformats.org/officeDocument/2006/relationships/hyperlink" Target="#'6. E2 OMS&#196;TTNING'!A1"/><Relationship Id="rId12" Type="http://schemas.openxmlformats.org/officeDocument/2006/relationships/image" Target="../media/image21.png"/><Relationship Id="rId17" Type="http://schemas.openxmlformats.org/officeDocument/2006/relationships/hyperlink" Target="#UTSKRIVNING!A1"/><Relationship Id="rId2" Type="http://schemas.openxmlformats.org/officeDocument/2006/relationships/image" Target="../media/image16.png"/><Relationship Id="rId16" Type="http://schemas.openxmlformats.org/officeDocument/2006/relationships/image" Target="../media/image24.png"/><Relationship Id="rId20" Type="http://schemas.openxmlformats.org/officeDocument/2006/relationships/image" Target="../media/image25.jpeg"/><Relationship Id="rId1" Type="http://schemas.openxmlformats.org/officeDocument/2006/relationships/hyperlink" Target="#'9. T5 KASSABUDGET'!A1"/><Relationship Id="rId6" Type="http://schemas.openxmlformats.org/officeDocument/2006/relationships/image" Target="../media/image18.png"/><Relationship Id="rId11" Type="http://schemas.openxmlformats.org/officeDocument/2006/relationships/hyperlink" Target="#'4. T7 L&#197;N '!A1"/><Relationship Id="rId5" Type="http://schemas.openxmlformats.org/officeDocument/2006/relationships/hyperlink" Target="#'2. &amp; 7. T2 RESULTATB.'!A1"/><Relationship Id="rId15" Type="http://schemas.openxmlformats.org/officeDocument/2006/relationships/image" Target="../media/image23.png"/><Relationship Id="rId10" Type="http://schemas.openxmlformats.org/officeDocument/2006/relationships/image" Target="../media/image20.png"/><Relationship Id="rId19" Type="http://schemas.openxmlformats.org/officeDocument/2006/relationships/image" Target="../media/image9.svg"/><Relationship Id="rId4" Type="http://schemas.openxmlformats.org/officeDocument/2006/relationships/image" Target="../media/image17.png"/><Relationship Id="rId9" Type="http://schemas.openxmlformats.org/officeDocument/2006/relationships/hyperlink" Target="#'5. E1 VERKSAMHETSKOSTN.'!A1"/><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hyperlink" Target="#'5. E1 VERKSAMHETSKOSTN.'!A1"/><Relationship Id="rId13" Type="http://schemas.openxmlformats.org/officeDocument/2006/relationships/image" Target="../media/image30.pn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jpeg"/><Relationship Id="rId7" Type="http://schemas.openxmlformats.org/officeDocument/2006/relationships/image" Target="../media/image27.png"/><Relationship Id="rId12" Type="http://schemas.openxmlformats.org/officeDocument/2006/relationships/hyperlink" Target="#'3. T3 BALANS'!A1"/><Relationship Id="rId17" Type="http://schemas.openxmlformats.org/officeDocument/2006/relationships/hyperlink" Target="#'1. T1 INVESTERINGSP.'!A1"/><Relationship Id="rId2" Type="http://schemas.openxmlformats.org/officeDocument/2006/relationships/hyperlink" Target="#'9. T5 KASSABUDGET'!A1"/><Relationship Id="rId16" Type="http://schemas.openxmlformats.org/officeDocument/2006/relationships/image" Target="../media/image9.svg"/><Relationship Id="rId20" Type="http://schemas.openxmlformats.org/officeDocument/2006/relationships/image" Target="../media/image33.png"/><Relationship Id="rId1" Type="http://schemas.openxmlformats.org/officeDocument/2006/relationships/image" Target="../media/image26.jpeg"/><Relationship Id="rId6" Type="http://schemas.openxmlformats.org/officeDocument/2006/relationships/hyperlink" Target="#'6. E2 OMS&#196;TTNING'!A1"/><Relationship Id="rId11" Type="http://schemas.openxmlformats.org/officeDocument/2006/relationships/image" Target="../media/image29.png"/><Relationship Id="rId5" Type="http://schemas.openxmlformats.org/officeDocument/2006/relationships/image" Target="../media/image17.png"/><Relationship Id="rId15" Type="http://schemas.openxmlformats.org/officeDocument/2006/relationships/image" Target="../media/image8.png"/><Relationship Id="rId10" Type="http://schemas.openxmlformats.org/officeDocument/2006/relationships/hyperlink" Target="#'4. T7 L&#197;N '!A1"/><Relationship Id="rId19" Type="http://schemas.openxmlformats.org/officeDocument/2006/relationships/image" Target="../media/image32.png"/><Relationship Id="rId4" Type="http://schemas.openxmlformats.org/officeDocument/2006/relationships/hyperlink" Target="#'8. T4 FINANSIERINGSB.'!A1"/><Relationship Id="rId9" Type="http://schemas.openxmlformats.org/officeDocument/2006/relationships/image" Target="../media/image28.png"/><Relationship Id="rId14" Type="http://schemas.openxmlformats.org/officeDocument/2006/relationships/hyperlink" Target="#UTSKRIVNING!A1"/></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0.png"/><Relationship Id="rId18" Type="http://schemas.openxmlformats.org/officeDocument/2006/relationships/hyperlink" Target="#'8. T4 FINANSIERINGSB.'!A1"/><Relationship Id="rId3" Type="http://schemas.openxmlformats.org/officeDocument/2006/relationships/hyperlink" Target="#'5. E1 VERKSAMHETSKOSTN.'!A1"/><Relationship Id="rId7" Type="http://schemas.openxmlformats.org/officeDocument/2006/relationships/hyperlink" Target="#'6. E2 OMS&#196;TTNING'!A1"/><Relationship Id="rId12" Type="http://schemas.openxmlformats.org/officeDocument/2006/relationships/hyperlink" Target="#'9. T5 KASSABUDGET'!A1"/><Relationship Id="rId17" Type="http://schemas.openxmlformats.org/officeDocument/2006/relationships/image" Target="../media/image41.png"/><Relationship Id="rId2" Type="http://schemas.openxmlformats.org/officeDocument/2006/relationships/image" Target="../media/image35.png"/><Relationship Id="rId16" Type="http://schemas.openxmlformats.org/officeDocument/2006/relationships/image" Target="../media/image9.svg"/><Relationship Id="rId20" Type="http://schemas.openxmlformats.org/officeDocument/2006/relationships/image" Target="../media/image43.jpeg"/><Relationship Id="rId1" Type="http://schemas.openxmlformats.org/officeDocument/2006/relationships/hyperlink" Target="#'2. &amp; 7. T2 RESULTATB.'!A1"/><Relationship Id="rId6" Type="http://schemas.openxmlformats.org/officeDocument/2006/relationships/image" Target="../media/image37.png"/><Relationship Id="rId11" Type="http://schemas.openxmlformats.org/officeDocument/2006/relationships/image" Target="../media/image39.png"/><Relationship Id="rId5" Type="http://schemas.openxmlformats.org/officeDocument/2006/relationships/hyperlink" Target="#'4. T7 L&#197;N '!A1"/><Relationship Id="rId15" Type="http://schemas.openxmlformats.org/officeDocument/2006/relationships/image" Target="../media/image8.png"/><Relationship Id="rId10" Type="http://schemas.openxmlformats.org/officeDocument/2006/relationships/image" Target="../media/image31.png"/><Relationship Id="rId19" Type="http://schemas.openxmlformats.org/officeDocument/2006/relationships/image" Target="../media/image42.png"/><Relationship Id="rId4" Type="http://schemas.openxmlformats.org/officeDocument/2006/relationships/image" Target="../media/image36.png"/><Relationship Id="rId9" Type="http://schemas.openxmlformats.org/officeDocument/2006/relationships/hyperlink" Target="#'1. T1 INVESTERINGSP.'!A1"/><Relationship Id="rId14" Type="http://schemas.openxmlformats.org/officeDocument/2006/relationships/hyperlink" Target="#UTSKRIVNING!A1"/></Relationships>
</file>

<file path=xl/drawings/_rels/drawing6.xml.rels><?xml version="1.0" encoding="UTF-8" standalone="yes"?>
<Relationships xmlns="http://schemas.openxmlformats.org/package/2006/relationships"><Relationship Id="rId8" Type="http://schemas.openxmlformats.org/officeDocument/2006/relationships/hyperlink" Target="#'2. &amp; 7. T2 RESULTATB.'!A1"/><Relationship Id="rId13" Type="http://schemas.openxmlformats.org/officeDocument/2006/relationships/image" Target="../media/image48.png"/><Relationship Id="rId18" Type="http://schemas.openxmlformats.org/officeDocument/2006/relationships/hyperlink" Target="#'1. T1 INVESTERINGSP.'!A1"/><Relationship Id="rId3" Type="http://schemas.openxmlformats.org/officeDocument/2006/relationships/image" Target="../media/image9.svg"/><Relationship Id="rId7" Type="http://schemas.openxmlformats.org/officeDocument/2006/relationships/image" Target="../media/image45.png"/><Relationship Id="rId12" Type="http://schemas.openxmlformats.org/officeDocument/2006/relationships/hyperlink" Target="#'5. E1 VERKSAMHETSKOSTN.'!A1"/><Relationship Id="rId17" Type="http://schemas.openxmlformats.org/officeDocument/2006/relationships/image" Target="../media/image51.png"/><Relationship Id="rId2" Type="http://schemas.openxmlformats.org/officeDocument/2006/relationships/image" Target="../media/image8.png"/><Relationship Id="rId16" Type="http://schemas.openxmlformats.org/officeDocument/2006/relationships/image" Target="../media/image50.png"/><Relationship Id="rId20" Type="http://schemas.openxmlformats.org/officeDocument/2006/relationships/image" Target="../media/image53.jpeg"/><Relationship Id="rId1" Type="http://schemas.openxmlformats.org/officeDocument/2006/relationships/hyperlink" Target="#UTSKRIVNING!A1"/><Relationship Id="rId6" Type="http://schemas.openxmlformats.org/officeDocument/2006/relationships/hyperlink" Target="#'8. T4 FINANSIERINGSB.'!A1"/><Relationship Id="rId11" Type="http://schemas.openxmlformats.org/officeDocument/2006/relationships/image" Target="../media/image47.png"/><Relationship Id="rId5" Type="http://schemas.openxmlformats.org/officeDocument/2006/relationships/image" Target="../media/image44.png"/><Relationship Id="rId15" Type="http://schemas.openxmlformats.org/officeDocument/2006/relationships/hyperlink" Target="#'3. T3 BALANS'!A1"/><Relationship Id="rId10" Type="http://schemas.openxmlformats.org/officeDocument/2006/relationships/hyperlink" Target="#'6. E2 OMS&#196;TTNING'!A1"/><Relationship Id="rId19" Type="http://schemas.openxmlformats.org/officeDocument/2006/relationships/image" Target="../media/image52.png"/><Relationship Id="rId4" Type="http://schemas.openxmlformats.org/officeDocument/2006/relationships/hyperlink" Target="#'9. T5 KASSABUDGET'!A1"/><Relationship Id="rId9" Type="http://schemas.openxmlformats.org/officeDocument/2006/relationships/image" Target="../media/image46.png"/><Relationship Id="rId14" Type="http://schemas.openxmlformats.org/officeDocument/2006/relationships/image" Target="../media/image49.png"/></Relationships>
</file>

<file path=xl/drawings/_rels/drawing7.xml.rels><?xml version="1.0" encoding="UTF-8" standalone="yes"?>
<Relationships xmlns="http://schemas.openxmlformats.org/package/2006/relationships"><Relationship Id="rId13" Type="http://schemas.openxmlformats.org/officeDocument/2006/relationships/hyperlink" Target="#'4. T7 L&#197;N '!A1"/><Relationship Id="rId18" Type="http://schemas.openxmlformats.org/officeDocument/2006/relationships/hyperlink" Target="#'1. T1 INVESTERINGSP.'!A1"/><Relationship Id="rId26" Type="http://schemas.openxmlformats.org/officeDocument/2006/relationships/hyperlink" Target="#'6. E2 LIIKEVAIHTO '!A1"/><Relationship Id="rId3" Type="http://schemas.openxmlformats.org/officeDocument/2006/relationships/image" Target="../media/image9.svg"/><Relationship Id="rId21" Type="http://schemas.openxmlformats.org/officeDocument/2006/relationships/image" Target="../media/image63.png"/><Relationship Id="rId34" Type="http://schemas.openxmlformats.org/officeDocument/2006/relationships/image" Target="../media/image71.png"/><Relationship Id="rId7" Type="http://schemas.openxmlformats.org/officeDocument/2006/relationships/hyperlink" Target="#'8. T4 FINANSIERINGSB.'!A1"/><Relationship Id="rId12" Type="http://schemas.openxmlformats.org/officeDocument/2006/relationships/image" Target="../media/image58.png"/><Relationship Id="rId17" Type="http://schemas.openxmlformats.org/officeDocument/2006/relationships/image" Target="../media/image61.png"/><Relationship Id="rId25" Type="http://schemas.openxmlformats.org/officeDocument/2006/relationships/image" Target="../media/image65.png"/><Relationship Id="rId33" Type="http://schemas.openxmlformats.org/officeDocument/2006/relationships/hyperlink" Target="#'1. T1 NVESTOINTISUUN.'!A1"/><Relationship Id="rId2" Type="http://schemas.openxmlformats.org/officeDocument/2006/relationships/image" Target="../media/image8.png"/><Relationship Id="rId16" Type="http://schemas.openxmlformats.org/officeDocument/2006/relationships/image" Target="../media/image60.png"/><Relationship Id="rId20" Type="http://schemas.openxmlformats.org/officeDocument/2006/relationships/hyperlink" Target="#'9. T4 RAHOITUSSUUN. '!A1"/><Relationship Id="rId29" Type="http://schemas.openxmlformats.org/officeDocument/2006/relationships/hyperlink" Target="#'4. T4 LAINAT '!A1"/><Relationship Id="rId1" Type="http://schemas.openxmlformats.org/officeDocument/2006/relationships/hyperlink" Target="#Tulostussivu!A1"/><Relationship Id="rId6" Type="http://schemas.openxmlformats.org/officeDocument/2006/relationships/image" Target="../media/image54.png"/><Relationship Id="rId11" Type="http://schemas.openxmlformats.org/officeDocument/2006/relationships/image" Target="../media/image57.png"/><Relationship Id="rId24" Type="http://schemas.openxmlformats.org/officeDocument/2006/relationships/hyperlink" Target="#'2. &amp; 7. T2 TULOSSUUN. '!A1"/><Relationship Id="rId32" Type="http://schemas.openxmlformats.org/officeDocument/2006/relationships/image" Target="../media/image70.png"/><Relationship Id="rId5" Type="http://schemas.openxmlformats.org/officeDocument/2006/relationships/hyperlink" Target="#'6. E2 OMS&#196;TTNING'!A1"/><Relationship Id="rId15" Type="http://schemas.openxmlformats.org/officeDocument/2006/relationships/hyperlink" Target="#'3. T3 BALANS'!A1"/><Relationship Id="rId23" Type="http://schemas.openxmlformats.org/officeDocument/2006/relationships/image" Target="../media/image64.png"/><Relationship Id="rId28" Type="http://schemas.openxmlformats.org/officeDocument/2006/relationships/image" Target="../media/image67.png"/><Relationship Id="rId10" Type="http://schemas.openxmlformats.org/officeDocument/2006/relationships/image" Target="../media/image56.png"/><Relationship Id="rId19" Type="http://schemas.openxmlformats.org/officeDocument/2006/relationships/image" Target="../media/image62.png"/><Relationship Id="rId31" Type="http://schemas.openxmlformats.org/officeDocument/2006/relationships/image" Target="../media/image69.png"/><Relationship Id="rId4" Type="http://schemas.openxmlformats.org/officeDocument/2006/relationships/hyperlink" Target="#'9. T5 KASSABUDGET'!A1"/><Relationship Id="rId9" Type="http://schemas.openxmlformats.org/officeDocument/2006/relationships/hyperlink" Target="#'2. &amp; 7. T2 RESULTATB.'!A1"/><Relationship Id="rId14" Type="http://schemas.openxmlformats.org/officeDocument/2006/relationships/image" Target="../media/image59.png"/><Relationship Id="rId22" Type="http://schemas.openxmlformats.org/officeDocument/2006/relationships/hyperlink" Target="#'3. &amp; 8. T3 TASE '!A1"/><Relationship Id="rId27" Type="http://schemas.openxmlformats.org/officeDocument/2006/relationships/image" Target="../media/image66.png"/><Relationship Id="rId30" Type="http://schemas.openxmlformats.org/officeDocument/2006/relationships/image" Target="../media/image68.png"/><Relationship Id="rId8" Type="http://schemas.openxmlformats.org/officeDocument/2006/relationships/image" Target="../media/image55.png"/></Relationships>
</file>

<file path=xl/drawings/_rels/drawing8.xml.rels><?xml version="1.0" encoding="UTF-8" standalone="yes"?>
<Relationships xmlns="http://schemas.openxmlformats.org/package/2006/relationships"><Relationship Id="rId8" Type="http://schemas.openxmlformats.org/officeDocument/2006/relationships/hyperlink" Target="#'2. &amp; 7. T2 RESULTATB.'!A1"/><Relationship Id="rId13" Type="http://schemas.openxmlformats.org/officeDocument/2006/relationships/hyperlink" Target="#'4. T7 L&#197;N '!A1"/><Relationship Id="rId18" Type="http://schemas.openxmlformats.org/officeDocument/2006/relationships/hyperlink" Target="#'1. T1 INVESTERINGSP.'!A1"/><Relationship Id="rId3" Type="http://schemas.openxmlformats.org/officeDocument/2006/relationships/image" Target="../media/image9.svg"/><Relationship Id="rId7" Type="http://schemas.openxmlformats.org/officeDocument/2006/relationships/image" Target="../media/image72.png"/><Relationship Id="rId12" Type="http://schemas.openxmlformats.org/officeDocument/2006/relationships/image" Target="../media/image74.png"/><Relationship Id="rId17" Type="http://schemas.openxmlformats.org/officeDocument/2006/relationships/image" Target="../media/image77.png"/><Relationship Id="rId2" Type="http://schemas.openxmlformats.org/officeDocument/2006/relationships/image" Target="../media/image8.png"/><Relationship Id="rId16" Type="http://schemas.openxmlformats.org/officeDocument/2006/relationships/image" Target="../media/image76.png"/><Relationship Id="rId20" Type="http://schemas.openxmlformats.org/officeDocument/2006/relationships/image" Target="../media/image79.jpeg"/><Relationship Id="rId1" Type="http://schemas.openxmlformats.org/officeDocument/2006/relationships/hyperlink" Target="#UTSKRIVNING!A1"/><Relationship Id="rId6" Type="http://schemas.openxmlformats.org/officeDocument/2006/relationships/hyperlink" Target="#'8. T4 FINANSIERINGSB.'!A1"/><Relationship Id="rId11" Type="http://schemas.openxmlformats.org/officeDocument/2006/relationships/hyperlink" Target="#'5. E1 VERKSAMHETSKOSTN.'!A1"/><Relationship Id="rId5" Type="http://schemas.openxmlformats.org/officeDocument/2006/relationships/image" Target="../media/image40.png"/><Relationship Id="rId15" Type="http://schemas.openxmlformats.org/officeDocument/2006/relationships/hyperlink" Target="#'3. T3 BALANS'!A1"/><Relationship Id="rId10" Type="http://schemas.openxmlformats.org/officeDocument/2006/relationships/image" Target="../media/image73.png"/><Relationship Id="rId19" Type="http://schemas.openxmlformats.org/officeDocument/2006/relationships/image" Target="../media/image78.png"/><Relationship Id="rId4" Type="http://schemas.openxmlformats.org/officeDocument/2006/relationships/hyperlink" Target="#'9. T5 KASSABUDGET'!A1"/><Relationship Id="rId9" Type="http://schemas.openxmlformats.org/officeDocument/2006/relationships/image" Target="../media/image56.png"/><Relationship Id="rId14" Type="http://schemas.openxmlformats.org/officeDocument/2006/relationships/image" Target="../media/image75.png"/></Relationships>
</file>

<file path=xl/drawings/_rels/drawing9.xml.rels><?xml version="1.0" encoding="UTF-8" standalone="yes"?>
<Relationships xmlns="http://schemas.openxmlformats.org/package/2006/relationships"><Relationship Id="rId8" Type="http://schemas.openxmlformats.org/officeDocument/2006/relationships/image" Target="../media/image83.png"/><Relationship Id="rId13" Type="http://schemas.openxmlformats.org/officeDocument/2006/relationships/image" Target="../media/image9.svg"/><Relationship Id="rId18" Type="http://schemas.openxmlformats.org/officeDocument/2006/relationships/hyperlink" Target="#'9. T5 KASSABUDGET'!A1"/><Relationship Id="rId3" Type="http://schemas.openxmlformats.org/officeDocument/2006/relationships/hyperlink" Target="#'4. T7 L&#197;N '!A1"/><Relationship Id="rId21" Type="http://schemas.openxmlformats.org/officeDocument/2006/relationships/image" Target="../media/image89.jpeg"/><Relationship Id="rId7" Type="http://schemas.openxmlformats.org/officeDocument/2006/relationships/hyperlink" Target="#'3. T3 BALANS'!A1"/><Relationship Id="rId12" Type="http://schemas.openxmlformats.org/officeDocument/2006/relationships/image" Target="../media/image8.png"/><Relationship Id="rId17" Type="http://schemas.openxmlformats.org/officeDocument/2006/relationships/image" Target="../media/image86.png"/><Relationship Id="rId2" Type="http://schemas.openxmlformats.org/officeDocument/2006/relationships/image" Target="../media/image80.png"/><Relationship Id="rId16" Type="http://schemas.openxmlformats.org/officeDocument/2006/relationships/image" Target="../media/image85.png"/><Relationship Id="rId20" Type="http://schemas.openxmlformats.org/officeDocument/2006/relationships/image" Target="../media/image88.jpeg"/><Relationship Id="rId1" Type="http://schemas.openxmlformats.org/officeDocument/2006/relationships/hyperlink" Target="#'5. E1 VERKSAMHETSKOSTN.'!A1"/><Relationship Id="rId6" Type="http://schemas.openxmlformats.org/officeDocument/2006/relationships/image" Target="../media/image82.png"/><Relationship Id="rId11" Type="http://schemas.openxmlformats.org/officeDocument/2006/relationships/hyperlink" Target="#UTSKRIVNING!A1"/><Relationship Id="rId5" Type="http://schemas.openxmlformats.org/officeDocument/2006/relationships/hyperlink" Target="#'2. &amp; 7. T2 RESULTATB.'!A1"/><Relationship Id="rId15" Type="http://schemas.openxmlformats.org/officeDocument/2006/relationships/hyperlink" Target="#'6. E2 OMS&#196;TTNING'!A1"/><Relationship Id="rId10" Type="http://schemas.openxmlformats.org/officeDocument/2006/relationships/image" Target="../media/image84.png"/><Relationship Id="rId19" Type="http://schemas.openxmlformats.org/officeDocument/2006/relationships/image" Target="../media/image87.png"/><Relationship Id="rId4" Type="http://schemas.openxmlformats.org/officeDocument/2006/relationships/image" Target="../media/image81.png"/><Relationship Id="rId9" Type="http://schemas.openxmlformats.org/officeDocument/2006/relationships/hyperlink" Target="#'1. T1 INVESTERINGSP.'!A1"/><Relationship Id="rId14" Type="http://schemas.openxmlformats.org/officeDocument/2006/relationships/image" Target="../media/image61.png"/></Relationships>
</file>

<file path=xl/drawings/drawing1.xml><?xml version="1.0" encoding="utf-8"?>
<xdr:wsDr xmlns:xdr="http://schemas.openxmlformats.org/drawingml/2006/spreadsheetDrawing" xmlns:a="http://schemas.openxmlformats.org/drawingml/2006/main">
  <xdr:twoCellAnchor editAs="oneCell">
    <xdr:from>
      <xdr:col>3</xdr:col>
      <xdr:colOff>841265</xdr:colOff>
      <xdr:row>4</xdr:row>
      <xdr:rowOff>158434</xdr:rowOff>
    </xdr:from>
    <xdr:to>
      <xdr:col>8</xdr:col>
      <xdr:colOff>269347</xdr:colOff>
      <xdr:row>20</xdr:row>
      <xdr:rowOff>119227</xdr:rowOff>
    </xdr:to>
    <xdr:pic>
      <xdr:nvPicPr>
        <xdr:cNvPr id="19" name="Kuva 18">
          <a:extLst>
            <a:ext uri="{FF2B5EF4-FFF2-40B4-BE49-F238E27FC236}">
              <a16:creationId xmlns:a16="http://schemas.microsoft.com/office/drawing/2014/main" id="{6DDC5BFA-B360-4276-AAFA-80DBB2902F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66679" y="841606"/>
          <a:ext cx="5622617" cy="4322587"/>
        </a:xfrm>
        <a:prstGeom prst="rect">
          <a:avLst/>
        </a:prstGeom>
      </xdr:spPr>
    </xdr:pic>
    <xdr:clientData/>
  </xdr:twoCellAnchor>
  <xdr:twoCellAnchor>
    <xdr:from>
      <xdr:col>1</xdr:col>
      <xdr:colOff>247649</xdr:colOff>
      <xdr:row>4</xdr:row>
      <xdr:rowOff>293379</xdr:rowOff>
    </xdr:from>
    <xdr:to>
      <xdr:col>3</xdr:col>
      <xdr:colOff>2345942</xdr:colOff>
      <xdr:row>7</xdr:row>
      <xdr:rowOff>85993</xdr:rowOff>
    </xdr:to>
    <xdr:sp macro="" textlink="">
      <xdr:nvSpPr>
        <xdr:cNvPr id="4" name="Suorakulmio: Vastakkaiset kulmat leikattu 3">
          <a:hlinkClick xmlns:r="http://schemas.openxmlformats.org/officeDocument/2006/relationships" r:id="rId2"/>
          <a:extLst>
            <a:ext uri="{FF2B5EF4-FFF2-40B4-BE49-F238E27FC236}">
              <a16:creationId xmlns:a16="http://schemas.microsoft.com/office/drawing/2014/main" id="{B057A6C2-D4E0-4ABB-A78D-680A7CC0721B}"/>
            </a:ext>
          </a:extLst>
        </xdr:cNvPr>
        <xdr:cNvSpPr/>
      </xdr:nvSpPr>
      <xdr:spPr>
        <a:xfrm>
          <a:off x="1791356" y="976551"/>
          <a:ext cx="2880000" cy="758252"/>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1000" b="1">
              <a:solidFill>
                <a:schemeClr val="tx1"/>
              </a:solidFill>
              <a:effectLst/>
              <a:latin typeface="+mn-lt"/>
              <a:ea typeface="+mn-ea"/>
              <a:cs typeface="+mn-cs"/>
            </a:rPr>
            <a:t>T1 INVESTERINGSPLAN</a:t>
          </a:r>
          <a:endParaRPr lang="fi-FI" sz="700">
            <a:solidFill>
              <a:schemeClr val="tx1"/>
            </a:solidFill>
            <a:effectLst/>
          </a:endParaRPr>
        </a:p>
        <a:p>
          <a:pPr marL="360000"/>
          <a:r>
            <a:rPr lang="fi-FI" sz="900" b="0">
              <a:solidFill>
                <a:schemeClr val="tx1"/>
              </a:solidFill>
              <a:effectLst/>
              <a:latin typeface="Arial" panose="020B0604020202020204" pitchFamily="34" charset="0"/>
              <a:ea typeface="+mn-ea"/>
              <a:cs typeface="Arial" panose="020B0604020202020204" pitchFamily="34" charset="0"/>
            </a:rPr>
            <a:t>Projektens grundinformation, uträknande av penningbehovet och finansieringen. </a:t>
          </a:r>
          <a:endParaRPr lang="fi-FI" sz="800">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308802</xdr:colOff>
      <xdr:row>5</xdr:row>
      <xdr:rowOff>2443</xdr:rowOff>
    </xdr:from>
    <xdr:to>
      <xdr:col>2</xdr:col>
      <xdr:colOff>93888</xdr:colOff>
      <xdr:row>6</xdr:row>
      <xdr:rowOff>273632</xdr:rowOff>
    </xdr:to>
    <xdr:pic>
      <xdr:nvPicPr>
        <xdr:cNvPr id="9" name="Kuva 8">
          <a:hlinkClick xmlns:r="http://schemas.openxmlformats.org/officeDocument/2006/relationships" r:id="rId2"/>
          <a:extLst>
            <a:ext uri="{FF2B5EF4-FFF2-40B4-BE49-F238E27FC236}">
              <a16:creationId xmlns:a16="http://schemas.microsoft.com/office/drawing/2014/main" id="{1442D111-B239-40F0-B46F-4CC37D8C47C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52509" y="1106029"/>
          <a:ext cx="396000" cy="396000"/>
        </a:xfrm>
        <a:prstGeom prst="rect">
          <a:avLst/>
        </a:prstGeom>
      </xdr:spPr>
    </xdr:pic>
    <xdr:clientData/>
  </xdr:twoCellAnchor>
  <xdr:twoCellAnchor>
    <xdr:from>
      <xdr:col>5</xdr:col>
      <xdr:colOff>9527</xdr:colOff>
      <xdr:row>4</xdr:row>
      <xdr:rowOff>299995</xdr:rowOff>
    </xdr:from>
    <xdr:to>
      <xdr:col>6</xdr:col>
      <xdr:colOff>97717</xdr:colOff>
      <xdr:row>7</xdr:row>
      <xdr:rowOff>93595</xdr:rowOff>
    </xdr:to>
    <xdr:sp macro="" textlink="">
      <xdr:nvSpPr>
        <xdr:cNvPr id="65" name="Suorakulmio: Vastakkaiset kulmat leikattu 64">
          <a:hlinkClick xmlns:r="http://schemas.openxmlformats.org/officeDocument/2006/relationships" r:id="rId4"/>
          <a:extLst>
            <a:ext uri="{FF2B5EF4-FFF2-40B4-BE49-F238E27FC236}">
              <a16:creationId xmlns:a16="http://schemas.microsoft.com/office/drawing/2014/main" id="{C2147FDC-C54C-44CB-8E25-EFCB6A58AB56}"/>
            </a:ext>
          </a:extLst>
        </xdr:cNvPr>
        <xdr:cNvSpPr/>
      </xdr:nvSpPr>
      <xdr:spPr>
        <a:xfrm>
          <a:off x="4962527" y="983167"/>
          <a:ext cx="2880000" cy="759238"/>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T2 RESULTATBUDGET</a:t>
          </a:r>
          <a:endParaRPr lang="fi-FI" sz="900">
            <a:solidFill>
              <a:schemeClr val="tx1"/>
            </a:solidFill>
            <a:effectLst/>
            <a:latin typeface="Arial" panose="020B0604020202020204" pitchFamily="34" charset="0"/>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den förverkligade resultaträkningen i gula cellerna. </a:t>
          </a:r>
          <a:endParaRPr lang="fi-FI" sz="900">
            <a:solidFill>
              <a:schemeClr val="tx1"/>
            </a:solidFill>
            <a:effectLst/>
            <a:latin typeface="Arial" panose="020B0604020202020204" pitchFamily="34" charset="0"/>
            <a:cs typeface="Arial" panose="020B0604020202020204" pitchFamily="34" charset="0"/>
          </a:endParaRPr>
        </a:p>
        <a:p>
          <a:pPr algn="l"/>
          <a:endParaRPr lang="fi-FI" sz="800" b="1">
            <a:solidFill>
              <a:sysClr val="windowText" lastClr="000000"/>
            </a:solidFill>
            <a:latin typeface="Arial" pitchFamily="34" charset="0"/>
            <a:cs typeface="Arial" pitchFamily="34" charset="0"/>
          </a:endParaRPr>
        </a:p>
      </xdr:txBody>
    </xdr:sp>
    <xdr:clientData/>
  </xdr:twoCellAnchor>
  <xdr:twoCellAnchor editAs="oneCell">
    <xdr:from>
      <xdr:col>5</xdr:col>
      <xdr:colOff>81077</xdr:colOff>
      <xdr:row>5</xdr:row>
      <xdr:rowOff>10339</xdr:rowOff>
    </xdr:from>
    <xdr:to>
      <xdr:col>5</xdr:col>
      <xdr:colOff>473267</xdr:colOff>
      <xdr:row>6</xdr:row>
      <xdr:rowOff>274668</xdr:rowOff>
    </xdr:to>
    <xdr:pic>
      <xdr:nvPicPr>
        <xdr:cNvPr id="11" name="Kuva 10">
          <a:hlinkClick xmlns:r="http://schemas.openxmlformats.org/officeDocument/2006/relationships" r:id="rId4"/>
          <a:extLst>
            <a:ext uri="{FF2B5EF4-FFF2-40B4-BE49-F238E27FC236}">
              <a16:creationId xmlns:a16="http://schemas.microsoft.com/office/drawing/2014/main" id="{049E994A-A3E7-439A-8F48-59BBC2E7ECC6}"/>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34077" y="1113925"/>
          <a:ext cx="392190" cy="389140"/>
        </a:xfrm>
        <a:prstGeom prst="rect">
          <a:avLst/>
        </a:prstGeom>
      </xdr:spPr>
    </xdr:pic>
    <xdr:clientData/>
  </xdr:twoCellAnchor>
  <xdr:twoCellAnchor>
    <xdr:from>
      <xdr:col>7</xdr:col>
      <xdr:colOff>103508</xdr:colOff>
      <xdr:row>4</xdr:row>
      <xdr:rowOff>315612</xdr:rowOff>
    </xdr:from>
    <xdr:to>
      <xdr:col>12</xdr:col>
      <xdr:colOff>119439</xdr:colOff>
      <xdr:row>7</xdr:row>
      <xdr:rowOff>105974</xdr:rowOff>
    </xdr:to>
    <xdr:grpSp>
      <xdr:nvGrpSpPr>
        <xdr:cNvPr id="3" name="Ryhmä 2">
          <a:extLst>
            <a:ext uri="{FF2B5EF4-FFF2-40B4-BE49-F238E27FC236}">
              <a16:creationId xmlns:a16="http://schemas.microsoft.com/office/drawing/2014/main" id="{102F0BF7-C75E-A7AF-96D8-528DD4935F7C}"/>
            </a:ext>
          </a:extLst>
        </xdr:cNvPr>
        <xdr:cNvGrpSpPr/>
      </xdr:nvGrpSpPr>
      <xdr:grpSpPr>
        <a:xfrm>
          <a:off x="7688872" y="999680"/>
          <a:ext cx="2864772" cy="742862"/>
          <a:chOff x="496661" y="2034977"/>
          <a:chExt cx="2932949" cy="754639"/>
        </a:xfrm>
      </xdr:grpSpPr>
      <xdr:sp macro="" textlink="">
        <xdr:nvSpPr>
          <xdr:cNvPr id="67" name="Suorakulmio: Vastakkaiset kulmat leikattu 66">
            <a:hlinkClick xmlns:r="http://schemas.openxmlformats.org/officeDocument/2006/relationships" r:id="rId6"/>
            <a:extLst>
              <a:ext uri="{FF2B5EF4-FFF2-40B4-BE49-F238E27FC236}">
                <a16:creationId xmlns:a16="http://schemas.microsoft.com/office/drawing/2014/main" id="{F6D0B228-57C2-4B99-80BC-23DCD29C2A40}"/>
              </a:ext>
            </a:extLst>
          </xdr:cNvPr>
          <xdr:cNvSpPr/>
        </xdr:nvSpPr>
        <xdr:spPr>
          <a:xfrm>
            <a:off x="496661" y="2034977"/>
            <a:ext cx="2932949" cy="754639"/>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1100" b="1">
                <a:solidFill>
                  <a:schemeClr val="tx1"/>
                </a:solidFill>
                <a:effectLst/>
                <a:latin typeface="+mn-lt"/>
                <a:ea typeface="+mn-ea"/>
                <a:cs typeface="+mn-cs"/>
              </a:rPr>
              <a:t>T3 BALANS</a:t>
            </a:r>
            <a:endParaRPr lang="fi-FI" sz="900">
              <a:solidFill>
                <a:schemeClr val="tx1"/>
              </a:solidFill>
              <a:effectLst/>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den förverkligade balansen i gula cellerna</a:t>
            </a:r>
            <a:r>
              <a:rPr lang="fi-FI" sz="900" b="1">
                <a:solidFill>
                  <a:schemeClr val="tx1"/>
                </a:solidFill>
                <a:effectLst/>
                <a:latin typeface="Arial" panose="020B0604020202020204" pitchFamily="34" charset="0"/>
                <a:ea typeface="+mn-ea"/>
                <a:cs typeface="Arial" panose="020B0604020202020204" pitchFamily="34" charset="0"/>
              </a:rPr>
              <a:t>.</a:t>
            </a:r>
            <a:endParaRPr lang="fi-FI" sz="600">
              <a:solidFill>
                <a:schemeClr val="tx1"/>
              </a:solidFill>
              <a:effectLst/>
              <a:latin typeface="Arial" panose="020B0604020202020204" pitchFamily="34" charset="0"/>
              <a:cs typeface="Arial" panose="020B0604020202020204" pitchFamily="34" charset="0"/>
            </a:endParaRPr>
          </a:p>
        </xdr:txBody>
      </xdr:sp>
      <xdr:pic>
        <xdr:nvPicPr>
          <xdr:cNvPr id="13" name="Kuva 12">
            <a:hlinkClick xmlns:r="http://schemas.openxmlformats.org/officeDocument/2006/relationships" r:id="rId6"/>
            <a:extLst>
              <a:ext uri="{FF2B5EF4-FFF2-40B4-BE49-F238E27FC236}">
                <a16:creationId xmlns:a16="http://schemas.microsoft.com/office/drawing/2014/main" id="{B2023352-C06B-46CD-8999-B0C2C588BD6F}"/>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2881" y="2161801"/>
            <a:ext cx="378492" cy="393150"/>
          </a:xfrm>
          <a:prstGeom prst="rect">
            <a:avLst/>
          </a:prstGeom>
        </xdr:spPr>
      </xdr:pic>
    </xdr:grpSp>
    <xdr:clientData/>
  </xdr:twoCellAnchor>
  <xdr:twoCellAnchor>
    <xdr:from>
      <xdr:col>1</xdr:col>
      <xdr:colOff>250652</xdr:colOff>
      <xdr:row>12</xdr:row>
      <xdr:rowOff>253849</xdr:rowOff>
    </xdr:from>
    <xdr:to>
      <xdr:col>3</xdr:col>
      <xdr:colOff>2348945</xdr:colOff>
      <xdr:row>15</xdr:row>
      <xdr:rowOff>45102</xdr:rowOff>
    </xdr:to>
    <xdr:sp macro="" textlink="">
      <xdr:nvSpPr>
        <xdr:cNvPr id="72" name="Suorakulmio: Vastakkaiset kulmat leikattu 71">
          <a:hlinkClick xmlns:r="http://schemas.openxmlformats.org/officeDocument/2006/relationships" r:id="rId4"/>
          <a:extLst>
            <a:ext uri="{FF2B5EF4-FFF2-40B4-BE49-F238E27FC236}">
              <a16:creationId xmlns:a16="http://schemas.microsoft.com/office/drawing/2014/main" id="{7EA1A239-7B30-4481-A227-163DB174AD3F}"/>
            </a:ext>
          </a:extLst>
        </xdr:cNvPr>
        <xdr:cNvSpPr/>
      </xdr:nvSpPr>
      <xdr:spPr>
        <a:xfrm>
          <a:off x="1794359" y="3117918"/>
          <a:ext cx="2880000" cy="756891"/>
        </a:xfrm>
        <a:prstGeom prst="snip2Diag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144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T2 RESULTATBUDGET</a:t>
          </a:r>
          <a:endParaRPr lang="fi-FI" sz="900">
            <a:solidFill>
              <a:schemeClr val="tx1"/>
            </a:solidFill>
            <a:effectLst/>
            <a:latin typeface="Arial" panose="020B0604020202020204" pitchFamily="34" charset="0"/>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Fylls i de gula cellerna av prognosåren</a:t>
          </a:r>
          <a:r>
            <a:rPr lang="fi-FI" sz="1100" b="0">
              <a:solidFill>
                <a:schemeClr val="tx1"/>
              </a:solidFill>
              <a:effectLst/>
              <a:latin typeface="+mn-lt"/>
              <a:ea typeface="+mn-ea"/>
              <a:cs typeface="+mn-cs"/>
            </a:rPr>
            <a:t>.</a:t>
          </a:r>
          <a:endParaRPr lang="fi-FI" sz="900">
            <a:solidFill>
              <a:schemeClr val="tx1"/>
            </a:solidFill>
            <a:effectLst/>
          </a:endParaRPr>
        </a:p>
        <a:p>
          <a:pPr algn="l"/>
          <a:endParaRPr lang="fi-FI" sz="800" b="1">
            <a:solidFill>
              <a:sysClr val="windowText" lastClr="000000"/>
            </a:solidFill>
            <a:latin typeface="Arial" pitchFamily="34" charset="0"/>
            <a:cs typeface="Arial" pitchFamily="34" charset="0"/>
          </a:endParaRPr>
        </a:p>
      </xdr:txBody>
    </xdr:sp>
    <xdr:clientData/>
  </xdr:twoCellAnchor>
  <xdr:twoCellAnchor>
    <xdr:from>
      <xdr:col>1</xdr:col>
      <xdr:colOff>339843</xdr:colOff>
      <xdr:row>12</xdr:row>
      <xdr:rowOff>398844</xdr:rowOff>
    </xdr:from>
    <xdr:to>
      <xdr:col>2</xdr:col>
      <xdr:colOff>124929</xdr:colOff>
      <xdr:row>14</xdr:row>
      <xdr:rowOff>252384</xdr:rowOff>
    </xdr:to>
    <xdr:pic>
      <xdr:nvPicPr>
        <xdr:cNvPr id="21" name="Kuva 20">
          <a:hlinkClick xmlns:r="http://schemas.openxmlformats.org/officeDocument/2006/relationships" r:id="rId4"/>
          <a:extLst>
            <a:ext uri="{FF2B5EF4-FFF2-40B4-BE49-F238E27FC236}">
              <a16:creationId xmlns:a16="http://schemas.microsoft.com/office/drawing/2014/main" id="{240B63FE-1919-4E8C-8624-935F8DD96AAC}"/>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83550" y="3262913"/>
          <a:ext cx="396000" cy="398764"/>
        </a:xfrm>
        <a:prstGeom prst="rect">
          <a:avLst/>
        </a:prstGeom>
      </xdr:spPr>
    </xdr:pic>
    <xdr:clientData/>
  </xdr:twoCellAnchor>
  <xdr:twoCellAnchor>
    <xdr:from>
      <xdr:col>5</xdr:col>
      <xdr:colOff>4878</xdr:colOff>
      <xdr:row>12</xdr:row>
      <xdr:rowOff>244752</xdr:rowOff>
    </xdr:from>
    <xdr:to>
      <xdr:col>6</xdr:col>
      <xdr:colOff>93068</xdr:colOff>
      <xdr:row>15</xdr:row>
      <xdr:rowOff>36990</xdr:rowOff>
    </xdr:to>
    <xdr:sp macro="" textlink="">
      <xdr:nvSpPr>
        <xdr:cNvPr id="74" name="Suorakulmio: Vastakkaiset kulmat leikattu 73">
          <a:hlinkClick xmlns:r="http://schemas.openxmlformats.org/officeDocument/2006/relationships" r:id="rId9"/>
          <a:extLst>
            <a:ext uri="{FF2B5EF4-FFF2-40B4-BE49-F238E27FC236}">
              <a16:creationId xmlns:a16="http://schemas.microsoft.com/office/drawing/2014/main" id="{A1668049-B4AD-4C0C-A1FA-F20B726EAE69}"/>
            </a:ext>
          </a:extLst>
        </xdr:cNvPr>
        <xdr:cNvSpPr/>
      </xdr:nvSpPr>
      <xdr:spPr>
        <a:xfrm>
          <a:off x="4957878" y="3108821"/>
          <a:ext cx="2880000" cy="757876"/>
        </a:xfrm>
        <a:prstGeom prst="snip2DiagRect">
          <a:avLst/>
        </a:prstGeom>
        <a:solidFill>
          <a:schemeClr val="tx2">
            <a:lumMod val="20000"/>
            <a:lumOff val="80000"/>
            <a:alpha val="9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T4 FINANSIERINGSBUDGET</a:t>
          </a:r>
          <a:br>
            <a:rPr lang="fi-FI" sz="900" b="1">
              <a:solidFill>
                <a:schemeClr val="tx1"/>
              </a:solidFill>
              <a:effectLst/>
              <a:latin typeface="Arial" panose="020B0604020202020204" pitchFamily="34" charset="0"/>
              <a:ea typeface="+mn-ea"/>
              <a:cs typeface="Arial" panose="020B0604020202020204" pitchFamily="34" charset="0"/>
            </a:rPr>
          </a:br>
          <a:r>
            <a:rPr lang="fi-FI" sz="900" b="0">
              <a:solidFill>
                <a:schemeClr val="tx1"/>
              </a:solidFill>
              <a:effectLst/>
              <a:latin typeface="Arial" panose="020B0604020202020204" pitchFamily="34" charset="0"/>
              <a:ea typeface="+mn-ea"/>
              <a:cs typeface="Arial" panose="020B0604020202020204" pitchFamily="34" charset="0"/>
            </a:rPr>
            <a:t>Fylls i förverkligade siffrorna av balansen och prognos för framtiden.</a:t>
          </a:r>
          <a:endParaRPr lang="fi-FI" sz="900">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5</xdr:col>
      <xdr:colOff>55476</xdr:colOff>
      <xdr:row>12</xdr:row>
      <xdr:rowOff>378386</xdr:rowOff>
    </xdr:from>
    <xdr:to>
      <xdr:col>5</xdr:col>
      <xdr:colOff>445494</xdr:colOff>
      <xdr:row>14</xdr:row>
      <xdr:rowOff>216657</xdr:rowOff>
    </xdr:to>
    <xdr:pic>
      <xdr:nvPicPr>
        <xdr:cNvPr id="23" name="Kuva 22">
          <a:hlinkClick xmlns:r="http://schemas.openxmlformats.org/officeDocument/2006/relationships" r:id="rId9"/>
          <a:extLst>
            <a:ext uri="{FF2B5EF4-FFF2-40B4-BE49-F238E27FC236}">
              <a16:creationId xmlns:a16="http://schemas.microsoft.com/office/drawing/2014/main" id="{8A0158C5-EE60-4C5D-9565-6B6B9DD19B5F}"/>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08476" y="3242455"/>
          <a:ext cx="390018" cy="383495"/>
        </a:xfrm>
        <a:prstGeom prst="rect">
          <a:avLst/>
        </a:prstGeom>
      </xdr:spPr>
    </xdr:pic>
    <xdr:clientData/>
  </xdr:twoCellAnchor>
  <xdr:twoCellAnchor>
    <xdr:from>
      <xdr:col>7</xdr:col>
      <xdr:colOff>130512</xdr:colOff>
      <xdr:row>12</xdr:row>
      <xdr:rowOff>249618</xdr:rowOff>
    </xdr:from>
    <xdr:to>
      <xdr:col>12</xdr:col>
      <xdr:colOff>146443</xdr:colOff>
      <xdr:row>16</xdr:row>
      <xdr:rowOff>16939</xdr:rowOff>
    </xdr:to>
    <xdr:grpSp>
      <xdr:nvGrpSpPr>
        <xdr:cNvPr id="22" name="Ryhmä 21">
          <a:extLst>
            <a:ext uri="{FF2B5EF4-FFF2-40B4-BE49-F238E27FC236}">
              <a16:creationId xmlns:a16="http://schemas.microsoft.com/office/drawing/2014/main" id="{41937F2D-4362-ECC5-ED79-FBE3C5B4354A}"/>
            </a:ext>
          </a:extLst>
        </xdr:cNvPr>
        <xdr:cNvGrpSpPr/>
      </xdr:nvGrpSpPr>
      <xdr:grpSpPr>
        <a:xfrm>
          <a:off x="7715876" y="3081141"/>
          <a:ext cx="2864772" cy="841048"/>
          <a:chOff x="1803628" y="4867272"/>
          <a:chExt cx="2911179" cy="853171"/>
        </a:xfrm>
      </xdr:grpSpPr>
      <xdr:sp macro="" textlink="">
        <xdr:nvSpPr>
          <xdr:cNvPr id="77" name="Suorakulmio: Vastakkaiset kulmat leikattu 76">
            <a:hlinkClick xmlns:r="http://schemas.openxmlformats.org/officeDocument/2006/relationships" r:id="rId11"/>
            <a:extLst>
              <a:ext uri="{FF2B5EF4-FFF2-40B4-BE49-F238E27FC236}">
                <a16:creationId xmlns:a16="http://schemas.microsoft.com/office/drawing/2014/main" id="{06ED7FE6-4CC7-4E13-B487-99714302A739}"/>
              </a:ext>
            </a:extLst>
          </xdr:cNvPr>
          <xdr:cNvSpPr/>
        </xdr:nvSpPr>
        <xdr:spPr>
          <a:xfrm>
            <a:off x="1803628" y="4867272"/>
            <a:ext cx="2911179" cy="853171"/>
          </a:xfrm>
          <a:prstGeom prst="snip2DiagRect">
            <a:avLst/>
          </a:prstGeom>
          <a:solidFill>
            <a:schemeClr val="tx2">
              <a:lumMod val="20000"/>
              <a:lumOff val="80000"/>
              <a:alpha val="9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lgn="l">
              <a:lnSpc>
                <a:spcPts val="1100"/>
              </a:lnSpc>
            </a:pPr>
            <a:r>
              <a:rPr lang="fi-FI" sz="900" b="1">
                <a:solidFill>
                  <a:schemeClr val="tx1"/>
                </a:solidFill>
                <a:latin typeface="Arial" pitchFamily="34" charset="0"/>
                <a:cs typeface="Arial" pitchFamily="34" charset="0"/>
              </a:rPr>
              <a:t>T5 KASSABUDGET </a:t>
            </a:r>
            <a:br>
              <a:rPr lang="fi-FI" sz="900" b="1">
                <a:solidFill>
                  <a:schemeClr val="tx1"/>
                </a:solidFill>
                <a:latin typeface="Arial" pitchFamily="34" charset="0"/>
                <a:cs typeface="Arial" pitchFamily="34" charset="0"/>
              </a:rPr>
            </a:br>
            <a:r>
              <a:rPr lang="fi-FI" sz="900" b="0">
                <a:solidFill>
                  <a:schemeClr val="tx1"/>
                </a:solidFill>
                <a:latin typeface="Arial" pitchFamily="34" charset="0"/>
                <a:cs typeface="Arial" pitchFamily="34" charset="0"/>
              </a:rPr>
              <a:t>Programmet gör ett budgetförslag, men månatlig fördelning av utgifter och inkomster bör justeras.</a:t>
            </a:r>
          </a:p>
        </xdr:txBody>
      </xdr:sp>
      <xdr:pic>
        <xdr:nvPicPr>
          <xdr:cNvPr id="25" name="Kuva 24">
            <a:hlinkClick xmlns:r="http://schemas.openxmlformats.org/officeDocument/2006/relationships" r:id="rId11"/>
            <a:extLst>
              <a:ext uri="{FF2B5EF4-FFF2-40B4-BE49-F238E27FC236}">
                <a16:creationId xmlns:a16="http://schemas.microsoft.com/office/drawing/2014/main" id="{1B7AC58E-109B-4CFD-865E-219E2AADC14B}"/>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72190" y="4998436"/>
            <a:ext cx="376950" cy="384026"/>
          </a:xfrm>
          <a:prstGeom prst="rect">
            <a:avLst/>
          </a:prstGeom>
        </xdr:spPr>
      </xdr:pic>
    </xdr:grpSp>
    <xdr:clientData/>
  </xdr:twoCellAnchor>
  <xdr:twoCellAnchor>
    <xdr:from>
      <xdr:col>7</xdr:col>
      <xdr:colOff>160123</xdr:colOff>
      <xdr:row>16</xdr:row>
      <xdr:rowOff>270677</xdr:rowOff>
    </xdr:from>
    <xdr:to>
      <xdr:col>12</xdr:col>
      <xdr:colOff>176054</xdr:colOff>
      <xdr:row>18</xdr:row>
      <xdr:rowOff>369549</xdr:rowOff>
    </xdr:to>
    <xdr:sp macro="" textlink="">
      <xdr:nvSpPr>
        <xdr:cNvPr id="78" name="Suorakulmio: Vastakkaiset kulmat leikattu 77">
          <a:hlinkClick xmlns:r="http://schemas.openxmlformats.org/officeDocument/2006/relationships" r:id="rId13"/>
          <a:extLst>
            <a:ext uri="{FF2B5EF4-FFF2-40B4-BE49-F238E27FC236}">
              <a16:creationId xmlns:a16="http://schemas.microsoft.com/office/drawing/2014/main" id="{818CDAF1-09A6-4C87-A128-D465C5AB00C8}"/>
            </a:ext>
          </a:extLst>
        </xdr:cNvPr>
        <xdr:cNvSpPr/>
      </xdr:nvSpPr>
      <xdr:spPr>
        <a:xfrm>
          <a:off x="7747278" y="4225194"/>
          <a:ext cx="2880000" cy="644096"/>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lgn="l">
            <a:lnSpc>
              <a:spcPts val="1100"/>
            </a:lnSpc>
          </a:pPr>
          <a:br>
            <a:rPr lang="fi-FI" sz="900" b="1">
              <a:solidFill>
                <a:sysClr val="windowText" lastClr="000000"/>
              </a:solidFill>
              <a:latin typeface="Arial" pitchFamily="34" charset="0"/>
              <a:cs typeface="Arial" pitchFamily="34" charset="0"/>
            </a:rPr>
          </a:br>
          <a:r>
            <a:rPr lang="fi-FI" sz="900" b="1">
              <a:solidFill>
                <a:sysClr val="windowText" lastClr="000000"/>
              </a:solidFill>
              <a:latin typeface="Arial" pitchFamily="34" charset="0"/>
              <a:cs typeface="Arial" pitchFamily="34" charset="0"/>
            </a:rPr>
            <a:t>SKRIV UT TILL PDF ELLER PAPPER</a:t>
          </a:r>
          <a:endParaRPr lang="fi-FI" sz="900" b="0">
            <a:solidFill>
              <a:sysClr val="windowText" lastClr="000000"/>
            </a:solidFill>
            <a:latin typeface="Arial" pitchFamily="34" charset="0"/>
            <a:cs typeface="Arial" pitchFamily="34" charset="0"/>
          </a:endParaRPr>
        </a:p>
      </xdr:txBody>
    </xdr:sp>
    <xdr:clientData/>
  </xdr:twoCellAnchor>
  <xdr:twoCellAnchor>
    <xdr:from>
      <xdr:col>7</xdr:col>
      <xdr:colOff>329487</xdr:colOff>
      <xdr:row>16</xdr:row>
      <xdr:rowOff>398380</xdr:rowOff>
    </xdr:from>
    <xdr:to>
      <xdr:col>8</xdr:col>
      <xdr:colOff>194880</xdr:colOff>
      <xdr:row>18</xdr:row>
      <xdr:rowOff>208142</xdr:rowOff>
    </xdr:to>
    <xdr:pic>
      <xdr:nvPicPr>
        <xdr:cNvPr id="89" name="Kuva 88" descr="Tulostin">
          <a:hlinkClick xmlns:r="http://schemas.openxmlformats.org/officeDocument/2006/relationships" r:id="rId13"/>
          <a:extLst>
            <a:ext uri="{FF2B5EF4-FFF2-40B4-BE49-F238E27FC236}">
              <a16:creationId xmlns:a16="http://schemas.microsoft.com/office/drawing/2014/main" id="{9E9A1FAC-BEA9-47E4-99B7-D544C8DAA5B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363332" y="4352897"/>
          <a:ext cx="351496" cy="354986"/>
        </a:xfrm>
        <a:prstGeom prst="rect">
          <a:avLst/>
        </a:prstGeom>
      </xdr:spPr>
    </xdr:pic>
    <xdr:clientData/>
  </xdr:twoCellAnchor>
  <xdr:twoCellAnchor>
    <xdr:from>
      <xdr:col>0</xdr:col>
      <xdr:colOff>182880</xdr:colOff>
      <xdr:row>3</xdr:row>
      <xdr:rowOff>106680</xdr:rowOff>
    </xdr:from>
    <xdr:to>
      <xdr:col>7</xdr:col>
      <xdr:colOff>99060</xdr:colOff>
      <xdr:row>14</xdr:row>
      <xdr:rowOff>30480</xdr:rowOff>
    </xdr:to>
    <xdr:sp macro="" textlink="">
      <xdr:nvSpPr>
        <xdr:cNvPr id="2" name="Suorakulmio 1">
          <a:extLst>
            <a:ext uri="{FF2B5EF4-FFF2-40B4-BE49-F238E27FC236}">
              <a16:creationId xmlns:a16="http://schemas.microsoft.com/office/drawing/2014/main" id="{D8DEB3ED-3659-46FD-9749-1ACF7B3E1A02}"/>
            </a:ext>
          </a:extLst>
        </xdr:cNvPr>
        <xdr:cNvSpPr/>
      </xdr:nvSpPr>
      <xdr:spPr>
        <a:xfrm>
          <a:off x="182880" y="601980"/>
          <a:ext cx="6728460" cy="2834640"/>
        </a:xfrm>
        <a:prstGeom prst="rect">
          <a:avLst/>
        </a:prstGeom>
        <a:no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xdr:col>
      <xdr:colOff>250801</xdr:colOff>
      <xdr:row>8</xdr:row>
      <xdr:rowOff>188119</xdr:rowOff>
    </xdr:from>
    <xdr:to>
      <xdr:col>3</xdr:col>
      <xdr:colOff>2349094</xdr:colOff>
      <xdr:row>11</xdr:row>
      <xdr:rowOff>111673</xdr:rowOff>
    </xdr:to>
    <xdr:grpSp>
      <xdr:nvGrpSpPr>
        <xdr:cNvPr id="14" name="Ryhmä 13">
          <a:extLst>
            <a:ext uri="{FF2B5EF4-FFF2-40B4-BE49-F238E27FC236}">
              <a16:creationId xmlns:a16="http://schemas.microsoft.com/office/drawing/2014/main" id="{7E701EE7-6482-91B3-A194-BB214D45C955}"/>
            </a:ext>
          </a:extLst>
        </xdr:cNvPr>
        <xdr:cNvGrpSpPr/>
      </xdr:nvGrpSpPr>
      <xdr:grpSpPr>
        <a:xfrm>
          <a:off x="1350506" y="1945914"/>
          <a:ext cx="2877611" cy="876054"/>
          <a:chOff x="4972901" y="1845468"/>
          <a:chExt cx="2988638" cy="964407"/>
        </a:xfrm>
      </xdr:grpSpPr>
      <xdr:sp macro="" textlink="">
        <xdr:nvSpPr>
          <xdr:cNvPr id="33" name="Suorakulmio: Vastakkaiset kulmat leikattu 32">
            <a:hlinkClick xmlns:r="http://schemas.openxmlformats.org/officeDocument/2006/relationships" r:id="rId16"/>
            <a:extLst>
              <a:ext uri="{FF2B5EF4-FFF2-40B4-BE49-F238E27FC236}">
                <a16:creationId xmlns:a16="http://schemas.microsoft.com/office/drawing/2014/main" id="{A68A0E9A-C631-4575-8885-F3A4BB1A5B27}"/>
              </a:ext>
            </a:extLst>
          </xdr:cNvPr>
          <xdr:cNvSpPr/>
        </xdr:nvSpPr>
        <xdr:spPr>
          <a:xfrm>
            <a:off x="4972901" y="1845468"/>
            <a:ext cx="2988638" cy="964407"/>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lIns="144000" tIns="72000" rtlCol="0" anchor="t"/>
          <a:lstStyle/>
          <a:p>
            <a:pPr marL="360000"/>
            <a:r>
              <a:rPr lang="fi-FI" sz="1100" b="1">
                <a:solidFill>
                  <a:schemeClr val="tx1"/>
                </a:solidFill>
                <a:effectLst/>
                <a:latin typeface="+mn-lt"/>
                <a:ea typeface="+mn-ea"/>
                <a:cs typeface="+mn-cs"/>
              </a:rPr>
              <a:t>T7 LÅN</a:t>
            </a:r>
            <a:endParaRPr lang="fi-FI" sz="900">
              <a:solidFill>
                <a:schemeClr val="tx1"/>
              </a:solidFill>
              <a:effectLst/>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 förverkligade verksamhetskostnaderna av resultaträkningen i gula cellerna. </a:t>
            </a:r>
            <a:endParaRPr lang="fi-FI" sz="600">
              <a:solidFill>
                <a:schemeClr val="tx1"/>
              </a:solidFill>
              <a:effectLst/>
              <a:latin typeface="Arial" panose="020B0604020202020204" pitchFamily="34" charset="0"/>
              <a:cs typeface="Arial" panose="020B0604020202020204" pitchFamily="34" charset="0"/>
            </a:endParaRPr>
          </a:p>
        </xdr:txBody>
      </xdr:sp>
      <xdr:pic>
        <xdr:nvPicPr>
          <xdr:cNvPr id="75" name="Kuva 74">
            <a:hlinkClick xmlns:r="http://schemas.openxmlformats.org/officeDocument/2006/relationships" r:id="rId16"/>
            <a:extLst>
              <a:ext uri="{FF2B5EF4-FFF2-40B4-BE49-F238E27FC236}">
                <a16:creationId xmlns:a16="http://schemas.microsoft.com/office/drawing/2014/main" id="{6FB4B2AE-D46A-42F1-B527-69EE52FC83F4}"/>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045698" y="2009926"/>
            <a:ext cx="400263" cy="388199"/>
          </a:xfrm>
          <a:prstGeom prst="rect">
            <a:avLst/>
          </a:prstGeom>
        </xdr:spPr>
      </xdr:pic>
    </xdr:grpSp>
    <xdr:clientData/>
  </xdr:twoCellAnchor>
  <xdr:twoCellAnchor>
    <xdr:from>
      <xdr:col>7</xdr:col>
      <xdr:colOff>96812</xdr:colOff>
      <xdr:row>8</xdr:row>
      <xdr:rowOff>200945</xdr:rowOff>
    </xdr:from>
    <xdr:to>
      <xdr:col>12</xdr:col>
      <xdr:colOff>112743</xdr:colOff>
      <xdr:row>10</xdr:row>
      <xdr:rowOff>411721</xdr:rowOff>
    </xdr:to>
    <xdr:sp macro="" textlink="">
      <xdr:nvSpPr>
        <xdr:cNvPr id="68" name="Suorakulmio: Vastakkaiset kulmat leikattu 67">
          <a:hlinkClick xmlns:r="http://schemas.openxmlformats.org/officeDocument/2006/relationships" r:id="rId18"/>
          <a:extLst>
            <a:ext uri="{FF2B5EF4-FFF2-40B4-BE49-F238E27FC236}">
              <a16:creationId xmlns:a16="http://schemas.microsoft.com/office/drawing/2014/main" id="{BCA897AA-A8DE-488A-9926-6517EEA5E196}"/>
            </a:ext>
          </a:extLst>
        </xdr:cNvPr>
        <xdr:cNvSpPr/>
      </xdr:nvSpPr>
      <xdr:spPr>
        <a:xfrm>
          <a:off x="7683967" y="1974566"/>
          <a:ext cx="2880000" cy="756000"/>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Ins="36000" bIns="36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E2 OMSÄTTNING</a:t>
          </a:r>
          <a:endParaRPr lang="fi-FI" sz="900">
            <a:solidFill>
              <a:schemeClr val="tx1"/>
            </a:solidFill>
            <a:effectLst/>
            <a:latin typeface="Arial" panose="020B0604020202020204" pitchFamily="34" charset="0"/>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nuvarande lånen och ny finansiering</a:t>
          </a:r>
          <a:r>
            <a:rPr lang="fi-FI" sz="1100" b="0">
              <a:solidFill>
                <a:schemeClr val="tx1"/>
              </a:solidFill>
              <a:effectLst/>
              <a:latin typeface="+mn-lt"/>
              <a:ea typeface="+mn-ea"/>
              <a:cs typeface="+mn-cs"/>
            </a:rPr>
            <a:t>.</a:t>
          </a:r>
          <a:endParaRPr lang="fi-FI" sz="900">
            <a:solidFill>
              <a:schemeClr val="tx1"/>
            </a:solidFill>
            <a:effectLst/>
          </a:endParaRPr>
        </a:p>
      </xdr:txBody>
    </xdr:sp>
    <xdr:clientData/>
  </xdr:twoCellAnchor>
  <xdr:twoCellAnchor>
    <xdr:from>
      <xdr:col>7</xdr:col>
      <xdr:colOff>191060</xdr:colOff>
      <xdr:row>8</xdr:row>
      <xdr:rowOff>335447</xdr:rowOff>
    </xdr:from>
    <xdr:to>
      <xdr:col>8</xdr:col>
      <xdr:colOff>100957</xdr:colOff>
      <xdr:row>10</xdr:row>
      <xdr:rowOff>186223</xdr:rowOff>
    </xdr:to>
    <xdr:pic>
      <xdr:nvPicPr>
        <xdr:cNvPr id="17" name="Kuva 16">
          <a:hlinkClick xmlns:r="http://schemas.openxmlformats.org/officeDocument/2006/relationships" r:id="rId18"/>
          <a:extLst>
            <a:ext uri="{FF2B5EF4-FFF2-40B4-BE49-F238E27FC236}">
              <a16:creationId xmlns:a16="http://schemas.microsoft.com/office/drawing/2014/main" id="{A6FF0714-4765-4561-BE4A-2FE02D812819}"/>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778215" y="2109068"/>
          <a:ext cx="396001" cy="396000"/>
        </a:xfrm>
        <a:prstGeom prst="rect">
          <a:avLst/>
        </a:prstGeom>
      </xdr:spPr>
    </xdr:pic>
    <xdr:clientData/>
  </xdr:twoCellAnchor>
  <xdr:twoCellAnchor>
    <xdr:from>
      <xdr:col>5</xdr:col>
      <xdr:colOff>8617</xdr:colOff>
      <xdr:row>8</xdr:row>
      <xdr:rowOff>189830</xdr:rowOff>
    </xdr:from>
    <xdr:to>
      <xdr:col>6</xdr:col>
      <xdr:colOff>96807</xdr:colOff>
      <xdr:row>10</xdr:row>
      <xdr:rowOff>401545</xdr:rowOff>
    </xdr:to>
    <xdr:sp macro="" textlink="">
      <xdr:nvSpPr>
        <xdr:cNvPr id="30" name="Suorakulmio: Vastakkaiset kulmat leikattu 29">
          <a:hlinkClick xmlns:r="http://schemas.openxmlformats.org/officeDocument/2006/relationships" r:id="rId20"/>
          <a:extLst>
            <a:ext uri="{FF2B5EF4-FFF2-40B4-BE49-F238E27FC236}">
              <a16:creationId xmlns:a16="http://schemas.microsoft.com/office/drawing/2014/main" id="{7AD019F9-7D95-4E53-9CB3-51A4E7CE1E22}"/>
            </a:ext>
          </a:extLst>
        </xdr:cNvPr>
        <xdr:cNvSpPr/>
      </xdr:nvSpPr>
      <xdr:spPr>
        <a:xfrm>
          <a:off x="4961617" y="1963451"/>
          <a:ext cx="2880000" cy="756939"/>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1100" b="1">
              <a:solidFill>
                <a:schemeClr val="tx1"/>
              </a:solidFill>
              <a:effectLst/>
              <a:latin typeface="+mn-lt"/>
              <a:ea typeface="+mn-ea"/>
              <a:cs typeface="Arial" panose="020B0604020202020204" pitchFamily="34" charset="0"/>
            </a:rPr>
            <a:t>E1 VERKSAMHETSKOSTNADER</a:t>
          </a:r>
          <a:endParaRPr lang="fi-FI" sz="1100">
            <a:solidFill>
              <a:schemeClr val="tx1"/>
            </a:solidFill>
            <a:effectLst/>
            <a:latin typeface="+mn-lt"/>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 förverkligade försäljningssiffrorna av resultaträkningen i gula cellerna. </a:t>
          </a:r>
          <a:endParaRPr lang="fi-FI" sz="900">
            <a:solidFill>
              <a:schemeClr val="tx1"/>
            </a:solidFill>
            <a:effectLst/>
            <a:latin typeface="Arial" panose="020B0604020202020204" pitchFamily="34" charset="0"/>
            <a:cs typeface="Arial" panose="020B0604020202020204" pitchFamily="34" charset="0"/>
          </a:endParaRPr>
        </a:p>
        <a:p>
          <a:pPr marL="180000" algn="l">
            <a:lnSpc>
              <a:spcPts val="1100"/>
            </a:lnSpc>
          </a:pPr>
          <a:endParaRPr lang="fi-FI" sz="900" b="0">
            <a:solidFill>
              <a:sysClr val="windowText" lastClr="000000"/>
            </a:solidFill>
            <a:latin typeface="Arial" pitchFamily="34" charset="0"/>
            <a:cs typeface="Arial" pitchFamily="34" charset="0"/>
          </a:endParaRPr>
        </a:p>
      </xdr:txBody>
    </xdr:sp>
    <xdr:clientData/>
  </xdr:twoCellAnchor>
  <xdr:twoCellAnchor>
    <xdr:from>
      <xdr:col>5</xdr:col>
      <xdr:colOff>75432</xdr:colOff>
      <xdr:row>8</xdr:row>
      <xdr:rowOff>327875</xdr:rowOff>
    </xdr:from>
    <xdr:to>
      <xdr:col>5</xdr:col>
      <xdr:colOff>427613</xdr:colOff>
      <xdr:row>10</xdr:row>
      <xdr:rowOff>159613</xdr:rowOff>
    </xdr:to>
    <xdr:pic>
      <xdr:nvPicPr>
        <xdr:cNvPr id="15" name="Kuva 14">
          <a:hlinkClick xmlns:r="http://schemas.openxmlformats.org/officeDocument/2006/relationships" r:id="rId20"/>
          <a:extLst>
            <a:ext uri="{FF2B5EF4-FFF2-40B4-BE49-F238E27FC236}">
              <a16:creationId xmlns:a16="http://schemas.microsoft.com/office/drawing/2014/main" id="{281C92CD-1D51-40DF-81E3-3D0073109372}"/>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028432" y="2101496"/>
          <a:ext cx="352181" cy="376962"/>
        </a:xfrm>
        <a:prstGeom prst="rect">
          <a:avLst/>
        </a:prstGeom>
      </xdr:spPr>
    </xdr:pic>
    <xdr:clientData/>
  </xdr:twoCellAnchor>
  <xdr:oneCellAnchor>
    <xdr:from>
      <xdr:col>3</xdr:col>
      <xdr:colOff>567559</xdr:colOff>
      <xdr:row>16</xdr:row>
      <xdr:rowOff>261775</xdr:rowOff>
    </xdr:from>
    <xdr:ext cx="4272455" cy="1401816"/>
    <xdr:sp macro="" textlink="">
      <xdr:nvSpPr>
        <xdr:cNvPr id="5" name="Suorakulmio: Yksi kulma pyöristetty 4">
          <a:extLst>
            <a:ext uri="{FF2B5EF4-FFF2-40B4-BE49-F238E27FC236}">
              <a16:creationId xmlns:a16="http://schemas.microsoft.com/office/drawing/2014/main" id="{B68229C3-3ABF-4351-AC7D-BD9CEF72A35A}"/>
            </a:ext>
          </a:extLst>
        </xdr:cNvPr>
        <xdr:cNvSpPr/>
      </xdr:nvSpPr>
      <xdr:spPr>
        <a:xfrm>
          <a:off x="2892973" y="4216292"/>
          <a:ext cx="4272455" cy="1401816"/>
        </a:xfrm>
        <a:prstGeom prst="round1Rect">
          <a:avLst/>
        </a:prstGeom>
        <a:solidFill>
          <a:srgbClr val="FFC000">
            <a:alpha val="88000"/>
          </a:srgb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noAutofit/>
        </a:bodyPr>
        <a:lstStyle/>
        <a:p>
          <a:pPr marL="0" marR="0" lvl="0" indent="0" defTabSz="914400" eaLnBrk="1" fontAlgn="auto" latinLnBrk="0" hangingPunct="1">
            <a:lnSpc>
              <a:spcPts val="1400"/>
            </a:lnSpc>
            <a:spcBef>
              <a:spcPts val="600"/>
            </a:spcBef>
            <a:spcAft>
              <a:spcPts val="0"/>
            </a:spcAft>
            <a:buClrTx/>
            <a:buSzTx/>
            <a:buFontTx/>
            <a:buNone/>
            <a:tabLst/>
            <a:defRPr/>
          </a:pPr>
          <a:r>
            <a:rPr kumimoji="0" lang="fi-FI" sz="1100" b="1" i="0" u="none" strike="noStrike" kern="0" cap="none" spc="0" normalizeH="0" baseline="0" noProof="0">
              <a:ln>
                <a:noFill/>
              </a:ln>
              <a:solidFill>
                <a:prstClr val="black"/>
              </a:solidFill>
              <a:effectLst/>
              <a:uLnTx/>
              <a:uFillTx/>
              <a:latin typeface="+mn-lt"/>
              <a:ea typeface="+mn-ea"/>
              <a:cs typeface="+mn-cs"/>
            </a:rPr>
            <a:t>Kalkylprogram behövs, då </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man söker finansiering för investering eller för rörelsekapital</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man bedömer köpandet av ett företag</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man bedömer företagets värde eller intjäningsförmåga</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företaget stor i kris och väg ut bör hittas</a:t>
          </a:r>
          <a:endParaRPr lang="fi-FI" sz="1800" b="1">
            <a:solidFill>
              <a:sysClr val="windowText" lastClr="000000"/>
            </a:solidFill>
            <a:latin typeface="Arial" pitchFamily="34" charset="0"/>
            <a:cs typeface="Arial" pitchFamily="34" charset="0"/>
          </a:endParaRPr>
        </a:p>
      </xdr:txBody>
    </xdr:sp>
    <xdr:clientData/>
  </xdr:oneCellAnchor>
  <xdr:twoCellAnchor>
    <xdr:from>
      <xdr:col>0</xdr:col>
      <xdr:colOff>0</xdr:colOff>
      <xdr:row>0</xdr:row>
      <xdr:rowOff>0</xdr:rowOff>
    </xdr:from>
    <xdr:to>
      <xdr:col>15</xdr:col>
      <xdr:colOff>438149</xdr:colOff>
      <xdr:row>4</xdr:row>
      <xdr:rowOff>14102</xdr:rowOff>
    </xdr:to>
    <xdr:pic>
      <xdr:nvPicPr>
        <xdr:cNvPr id="10" name="Kuva 9">
          <a:extLst>
            <a:ext uri="{FF2B5EF4-FFF2-40B4-BE49-F238E27FC236}">
              <a16:creationId xmlns:a16="http://schemas.microsoft.com/office/drawing/2014/main" id="{7005D07E-86A6-49AE-8286-59E71A0863A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12690763" cy="698170"/>
        </a:xfrm>
        <a:prstGeom prst="rect">
          <a:avLst/>
        </a:prstGeom>
      </xdr:spPr>
    </xdr:pic>
    <xdr:clientData/>
  </xdr:twoCellAnchor>
  <xdr:twoCellAnchor>
    <xdr:from>
      <xdr:col>3</xdr:col>
      <xdr:colOff>907541</xdr:colOff>
      <xdr:row>1</xdr:row>
      <xdr:rowOff>38586</xdr:rowOff>
    </xdr:from>
    <xdr:to>
      <xdr:col>9</xdr:col>
      <xdr:colOff>605594</xdr:colOff>
      <xdr:row>3</xdr:row>
      <xdr:rowOff>32255</xdr:rowOff>
    </xdr:to>
    <xdr:sp macro="" textlink="">
      <xdr:nvSpPr>
        <xdr:cNvPr id="53" name="Tekstikehys 35">
          <a:extLst>
            <a:ext uri="{FF2B5EF4-FFF2-40B4-BE49-F238E27FC236}">
              <a16:creationId xmlns:a16="http://schemas.microsoft.com/office/drawing/2014/main" id="{00000000-0008-0000-0000-000035000000}"/>
            </a:ext>
          </a:extLst>
        </xdr:cNvPr>
        <xdr:cNvSpPr txBox="1"/>
      </xdr:nvSpPr>
      <xdr:spPr>
        <a:xfrm>
          <a:off x="2783233" y="199778"/>
          <a:ext cx="6372880" cy="34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i-FI" sz="1400" b="1" i="0">
              <a:solidFill>
                <a:schemeClr val="bg1"/>
              </a:solidFill>
              <a:effectLst/>
              <a:latin typeface="+mn-lt"/>
              <a:ea typeface="+mn-ea"/>
              <a:cs typeface="+mn-cs"/>
            </a:rPr>
            <a:t>FT22 DET AKTIVA FÖRETAGETS</a:t>
          </a:r>
          <a:r>
            <a:rPr lang="fi-FI" sz="1400" b="1" i="0" baseline="0">
              <a:solidFill>
                <a:schemeClr val="bg1"/>
              </a:solidFill>
              <a:effectLst/>
              <a:latin typeface="+mn-lt"/>
              <a:ea typeface="+mn-ea"/>
              <a:cs typeface="+mn-cs"/>
            </a:rPr>
            <a:t> RESULTATPLAN</a:t>
          </a:r>
          <a:endParaRPr lang="fi-FI" sz="2000" i="0">
            <a:solidFill>
              <a:schemeClr val="bg1"/>
            </a:solidFill>
            <a:effectLst/>
          </a:endParaRPr>
        </a:p>
      </xdr:txBody>
    </xdr:sp>
    <xdr:clientData/>
  </xdr:twoCellAnchor>
  <xdr:twoCellAnchor editAs="oneCell">
    <xdr:from>
      <xdr:col>3</xdr:col>
      <xdr:colOff>1348781</xdr:colOff>
      <xdr:row>1</xdr:row>
      <xdr:rowOff>1302</xdr:rowOff>
    </xdr:from>
    <xdr:to>
      <xdr:col>3</xdr:col>
      <xdr:colOff>2203101</xdr:colOff>
      <xdr:row>2</xdr:row>
      <xdr:rowOff>183592</xdr:rowOff>
    </xdr:to>
    <xdr:pic>
      <xdr:nvPicPr>
        <xdr:cNvPr id="8" name="Kuva 7">
          <a:extLst>
            <a:ext uri="{FF2B5EF4-FFF2-40B4-BE49-F238E27FC236}">
              <a16:creationId xmlns:a16="http://schemas.microsoft.com/office/drawing/2014/main" id="{5210F73A-7A0A-0A65-3EC7-518281E91C4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224473" y="162494"/>
          <a:ext cx="854320" cy="343483"/>
        </a:xfrm>
        <a:prstGeom prst="rect">
          <a:avLst/>
        </a:prstGeom>
      </xdr:spPr>
    </xdr:pic>
    <xdr:clientData/>
  </xdr:twoCellAnchor>
  <xdr:twoCellAnchor>
    <xdr:from>
      <xdr:col>8</xdr:col>
      <xdr:colOff>435347</xdr:colOff>
      <xdr:row>1</xdr:row>
      <xdr:rowOff>83451</xdr:rowOff>
    </xdr:from>
    <xdr:to>
      <xdr:col>11</xdr:col>
      <xdr:colOff>16170</xdr:colOff>
      <xdr:row>3</xdr:row>
      <xdr:rowOff>83451</xdr:rowOff>
    </xdr:to>
    <xdr:sp macro="" textlink="">
      <xdr:nvSpPr>
        <xdr:cNvPr id="6" name="Tekstiruutu 5">
          <a:extLst>
            <a:ext uri="{FF2B5EF4-FFF2-40B4-BE49-F238E27FC236}">
              <a16:creationId xmlns:a16="http://schemas.microsoft.com/office/drawing/2014/main" id="{AA255713-084E-17F1-86CA-9AFE412A58E2}"/>
            </a:ext>
          </a:extLst>
        </xdr:cNvPr>
        <xdr:cNvSpPr txBox="1"/>
      </xdr:nvSpPr>
      <xdr:spPr>
        <a:xfrm>
          <a:off x="8502289" y="244643"/>
          <a:ext cx="1280669" cy="35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bg1"/>
              </a:solidFill>
            </a:rPr>
            <a:t>27.5.2026</a:t>
          </a:r>
        </a:p>
      </xdr:txBody>
    </xdr:sp>
    <xdr:clientData/>
  </xdr:twoCellAnchor>
  <xdr:twoCellAnchor editAs="oneCell">
    <xdr:from>
      <xdr:col>8</xdr:col>
      <xdr:colOff>69273</xdr:colOff>
      <xdr:row>20</xdr:row>
      <xdr:rowOff>190500</xdr:rowOff>
    </xdr:from>
    <xdr:to>
      <xdr:col>11</xdr:col>
      <xdr:colOff>502227</xdr:colOff>
      <xdr:row>21</xdr:row>
      <xdr:rowOff>106778</xdr:rowOff>
    </xdr:to>
    <xdr:pic>
      <xdr:nvPicPr>
        <xdr:cNvPr id="18" name="Kuva 17">
          <a:extLst>
            <a:ext uri="{FF2B5EF4-FFF2-40B4-BE49-F238E27FC236}">
              <a16:creationId xmlns:a16="http://schemas.microsoft.com/office/drawing/2014/main" id="{B74E62E9-EAD2-6212-7BDD-38DB9D69DDD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139546" y="5169477"/>
          <a:ext cx="2130136" cy="3319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147549</xdr:colOff>
      <xdr:row>10</xdr:row>
      <xdr:rowOff>58132</xdr:rowOff>
    </xdr:from>
    <xdr:to>
      <xdr:col>37</xdr:col>
      <xdr:colOff>231368</xdr:colOff>
      <xdr:row>38</xdr:row>
      <xdr:rowOff>14317</xdr:rowOff>
    </xdr:to>
    <xdr:graphicFrame macro="">
      <xdr:nvGraphicFramePr>
        <xdr:cNvPr id="5474107" name="Kaavio 3">
          <a:extLst>
            <a:ext uri="{FF2B5EF4-FFF2-40B4-BE49-F238E27FC236}">
              <a16:creationId xmlns:a16="http://schemas.microsoft.com/office/drawing/2014/main" id="{00000000-0008-0000-0600-00003B875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137710</xdr:colOff>
      <xdr:row>22</xdr:row>
      <xdr:rowOff>68579</xdr:rowOff>
    </xdr:from>
    <xdr:to>
      <xdr:col>0</xdr:col>
      <xdr:colOff>497710</xdr:colOff>
      <xdr:row>25</xdr:row>
      <xdr:rowOff>146638</xdr:rowOff>
    </xdr:to>
    <xdr:pic>
      <xdr:nvPicPr>
        <xdr:cNvPr id="49" name="Kuva 48">
          <a:hlinkClick xmlns:r="http://schemas.openxmlformats.org/officeDocument/2006/relationships" r:id="rId2"/>
          <a:extLst>
            <a:ext uri="{FF2B5EF4-FFF2-40B4-BE49-F238E27FC236}">
              <a16:creationId xmlns:a16="http://schemas.microsoft.com/office/drawing/2014/main" id="{17C6952C-C994-4F51-A3AD-F7FE273E4F9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710" y="3848099"/>
          <a:ext cx="360000" cy="398099"/>
        </a:xfrm>
        <a:prstGeom prst="rect">
          <a:avLst/>
        </a:prstGeom>
      </xdr:spPr>
    </xdr:pic>
    <xdr:clientData/>
  </xdr:twoCellAnchor>
  <xdr:twoCellAnchor>
    <xdr:from>
      <xdr:col>0</xdr:col>
      <xdr:colOff>145732</xdr:colOff>
      <xdr:row>33</xdr:row>
      <xdr:rowOff>121920</xdr:rowOff>
    </xdr:from>
    <xdr:to>
      <xdr:col>0</xdr:col>
      <xdr:colOff>505732</xdr:colOff>
      <xdr:row>35</xdr:row>
      <xdr:rowOff>137032</xdr:rowOff>
    </xdr:to>
    <xdr:pic>
      <xdr:nvPicPr>
        <xdr:cNvPr id="35" name="Kuva 34">
          <a:hlinkClick xmlns:r="http://schemas.openxmlformats.org/officeDocument/2006/relationships" r:id="rId4"/>
          <a:extLst>
            <a:ext uri="{FF2B5EF4-FFF2-40B4-BE49-F238E27FC236}">
              <a16:creationId xmlns:a16="http://schemas.microsoft.com/office/drawing/2014/main" id="{DA2DB834-3EA4-4A4C-8D49-DA9FBE906AA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5732" y="5501640"/>
          <a:ext cx="360000" cy="335152"/>
        </a:xfrm>
        <a:prstGeom prst="rect">
          <a:avLst/>
        </a:prstGeom>
      </xdr:spPr>
    </xdr:pic>
    <xdr:clientData/>
  </xdr:twoCellAnchor>
  <xdr:twoCellAnchor>
    <xdr:from>
      <xdr:col>0</xdr:col>
      <xdr:colOff>81643</xdr:colOff>
      <xdr:row>42</xdr:row>
      <xdr:rowOff>75869</xdr:rowOff>
    </xdr:from>
    <xdr:to>
      <xdr:col>0</xdr:col>
      <xdr:colOff>502243</xdr:colOff>
      <xdr:row>45</xdr:row>
      <xdr:rowOff>14597</xdr:rowOff>
    </xdr:to>
    <xdr:pic>
      <xdr:nvPicPr>
        <xdr:cNvPr id="31" name="Kuva 30" descr="Tulostin">
          <a:hlinkClick xmlns:r="http://schemas.openxmlformats.org/officeDocument/2006/relationships" r:id="rId6"/>
          <a:extLst>
            <a:ext uri="{FF2B5EF4-FFF2-40B4-BE49-F238E27FC236}">
              <a16:creationId xmlns:a16="http://schemas.microsoft.com/office/drawing/2014/main" id="{B87B4561-C7E2-48B4-9000-AFF9105BE3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1643" y="6803240"/>
          <a:ext cx="420600" cy="455800"/>
        </a:xfrm>
        <a:prstGeom prst="rect">
          <a:avLst/>
        </a:prstGeom>
      </xdr:spPr>
    </xdr:pic>
    <xdr:clientData/>
  </xdr:twoCellAnchor>
  <xdr:twoCellAnchor>
    <xdr:from>
      <xdr:col>0</xdr:col>
      <xdr:colOff>146843</xdr:colOff>
      <xdr:row>36</xdr:row>
      <xdr:rowOff>10103</xdr:rowOff>
    </xdr:from>
    <xdr:to>
      <xdr:col>0</xdr:col>
      <xdr:colOff>509564</xdr:colOff>
      <xdr:row>38</xdr:row>
      <xdr:rowOff>54982</xdr:rowOff>
    </xdr:to>
    <xdr:pic>
      <xdr:nvPicPr>
        <xdr:cNvPr id="34" name="Kuva 33">
          <a:hlinkClick xmlns:r="http://schemas.openxmlformats.org/officeDocument/2006/relationships" r:id="rId9"/>
          <a:extLst>
            <a:ext uri="{FF2B5EF4-FFF2-40B4-BE49-F238E27FC236}">
              <a16:creationId xmlns:a16="http://schemas.microsoft.com/office/drawing/2014/main" id="{39E980FF-0D7C-4EE0-AA82-10995ED36C2E}"/>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6843" y="5869883"/>
          <a:ext cx="362721" cy="364919"/>
        </a:xfrm>
        <a:prstGeom prst="rect">
          <a:avLst/>
        </a:prstGeom>
      </xdr:spPr>
    </xdr:pic>
    <xdr:clientData/>
  </xdr:twoCellAnchor>
  <xdr:twoCellAnchor>
    <xdr:from>
      <xdr:col>0</xdr:col>
      <xdr:colOff>144017</xdr:colOff>
      <xdr:row>28</xdr:row>
      <xdr:rowOff>109386</xdr:rowOff>
    </xdr:from>
    <xdr:to>
      <xdr:col>0</xdr:col>
      <xdr:colOff>504017</xdr:colOff>
      <xdr:row>30</xdr:row>
      <xdr:rowOff>152400</xdr:rowOff>
    </xdr:to>
    <xdr:pic>
      <xdr:nvPicPr>
        <xdr:cNvPr id="36" name="Kuva 35">
          <a:hlinkClick xmlns:r="http://schemas.openxmlformats.org/officeDocument/2006/relationships" r:id="rId11"/>
          <a:extLst>
            <a:ext uri="{FF2B5EF4-FFF2-40B4-BE49-F238E27FC236}">
              <a16:creationId xmlns:a16="http://schemas.microsoft.com/office/drawing/2014/main" id="{123D93DC-29E2-440E-AA8C-47B24D6037F1}"/>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4017" y="4689006"/>
          <a:ext cx="360000" cy="363054"/>
        </a:xfrm>
        <a:prstGeom prst="rect">
          <a:avLst/>
        </a:prstGeom>
      </xdr:spPr>
    </xdr:pic>
    <xdr:clientData/>
  </xdr:twoCellAnchor>
  <xdr:twoCellAnchor>
    <xdr:from>
      <xdr:col>0</xdr:col>
      <xdr:colOff>137755</xdr:colOff>
      <xdr:row>26</xdr:row>
      <xdr:rowOff>20705</xdr:rowOff>
    </xdr:from>
    <xdr:to>
      <xdr:col>0</xdr:col>
      <xdr:colOff>497755</xdr:colOff>
      <xdr:row>28</xdr:row>
      <xdr:rowOff>65397</xdr:rowOff>
    </xdr:to>
    <xdr:pic>
      <xdr:nvPicPr>
        <xdr:cNvPr id="48" name="Kuva 47">
          <a:hlinkClick xmlns:r="http://schemas.openxmlformats.org/officeDocument/2006/relationships" r:id="rId13"/>
          <a:extLst>
            <a:ext uri="{FF2B5EF4-FFF2-40B4-BE49-F238E27FC236}">
              <a16:creationId xmlns:a16="http://schemas.microsoft.com/office/drawing/2014/main" id="{A4F7D700-A371-494F-BA1F-67DCFE032AE9}"/>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7755" y="4380434"/>
          <a:ext cx="360000" cy="360377"/>
        </a:xfrm>
        <a:prstGeom prst="rect">
          <a:avLst/>
        </a:prstGeom>
      </xdr:spPr>
    </xdr:pic>
    <xdr:clientData/>
  </xdr:twoCellAnchor>
  <xdr:twoCellAnchor>
    <xdr:from>
      <xdr:col>0</xdr:col>
      <xdr:colOff>152671</xdr:colOff>
      <xdr:row>20</xdr:row>
      <xdr:rowOff>38770</xdr:rowOff>
    </xdr:from>
    <xdr:to>
      <xdr:col>0</xdr:col>
      <xdr:colOff>502920</xdr:colOff>
      <xdr:row>22</xdr:row>
      <xdr:rowOff>33010</xdr:rowOff>
    </xdr:to>
    <xdr:pic>
      <xdr:nvPicPr>
        <xdr:cNvPr id="50" name="Kuva 49">
          <a:hlinkClick xmlns:r="http://schemas.openxmlformats.org/officeDocument/2006/relationships" r:id="rId4"/>
          <a:extLst>
            <a:ext uri="{FF2B5EF4-FFF2-40B4-BE49-F238E27FC236}">
              <a16:creationId xmlns:a16="http://schemas.microsoft.com/office/drawing/2014/main" id="{69C12A22-E265-49BC-8C12-A9E99D7E9661}"/>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2671" y="3452530"/>
          <a:ext cx="350249" cy="360000"/>
        </a:xfrm>
        <a:prstGeom prst="rect">
          <a:avLst/>
        </a:prstGeom>
      </xdr:spPr>
    </xdr:pic>
    <xdr:clientData/>
  </xdr:twoCellAnchor>
  <xdr:twoCellAnchor>
    <xdr:from>
      <xdr:col>0</xdr:col>
      <xdr:colOff>140591</xdr:colOff>
      <xdr:row>17</xdr:row>
      <xdr:rowOff>21866</xdr:rowOff>
    </xdr:from>
    <xdr:to>
      <xdr:col>0</xdr:col>
      <xdr:colOff>503312</xdr:colOff>
      <xdr:row>19</xdr:row>
      <xdr:rowOff>20831</xdr:rowOff>
    </xdr:to>
    <xdr:pic>
      <xdr:nvPicPr>
        <xdr:cNvPr id="51" name="Kuva 50">
          <a:hlinkClick xmlns:r="http://schemas.openxmlformats.org/officeDocument/2006/relationships" r:id="rId16"/>
          <a:extLst>
            <a:ext uri="{FF2B5EF4-FFF2-40B4-BE49-F238E27FC236}">
              <a16:creationId xmlns:a16="http://schemas.microsoft.com/office/drawing/2014/main" id="{50711A83-EF49-4428-A78F-E7EB1DC77F48}"/>
            </a:ext>
          </a:extLst>
        </xdr:cNvPr>
        <xdr:cNvPicPr preferRelativeResize="0">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0591" y="3016526"/>
          <a:ext cx="362721" cy="364725"/>
        </a:xfrm>
        <a:prstGeom prst="rect">
          <a:avLst/>
        </a:prstGeom>
      </xdr:spPr>
    </xdr:pic>
    <xdr:clientData/>
  </xdr:twoCellAnchor>
  <xdr:twoCellAnchor>
    <xdr:from>
      <xdr:col>0</xdr:col>
      <xdr:colOff>145232</xdr:colOff>
      <xdr:row>38</xdr:row>
      <xdr:rowOff>90087</xdr:rowOff>
    </xdr:from>
    <xdr:to>
      <xdr:col>0</xdr:col>
      <xdr:colOff>502511</xdr:colOff>
      <xdr:row>40</xdr:row>
      <xdr:rowOff>141230</xdr:rowOff>
    </xdr:to>
    <xdr:pic>
      <xdr:nvPicPr>
        <xdr:cNvPr id="5" name="Kuva 4">
          <a:extLst>
            <a:ext uri="{FF2B5EF4-FFF2-40B4-BE49-F238E27FC236}">
              <a16:creationId xmlns:a16="http://schemas.microsoft.com/office/drawing/2014/main" id="{2B136A0C-8C61-4828-AE4A-B0624CE004BE}"/>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5232" y="6269907"/>
          <a:ext cx="357279" cy="371183"/>
        </a:xfrm>
        <a:prstGeom prst="rect">
          <a:avLst/>
        </a:prstGeom>
      </xdr:spPr>
    </xdr:pic>
    <xdr:clientData/>
  </xdr:twoCellAnchor>
  <xdr:twoCellAnchor>
    <xdr:from>
      <xdr:col>22</xdr:col>
      <xdr:colOff>176893</xdr:colOff>
      <xdr:row>67</xdr:row>
      <xdr:rowOff>61764</xdr:rowOff>
    </xdr:from>
    <xdr:to>
      <xdr:col>37</xdr:col>
      <xdr:colOff>244926</xdr:colOff>
      <xdr:row>97</xdr:row>
      <xdr:rowOff>130627</xdr:rowOff>
    </xdr:to>
    <xdr:graphicFrame macro="">
      <xdr:nvGraphicFramePr>
        <xdr:cNvPr id="11" name="Kaavio 10">
          <a:extLst>
            <a:ext uri="{FF2B5EF4-FFF2-40B4-BE49-F238E27FC236}">
              <a16:creationId xmlns:a16="http://schemas.microsoft.com/office/drawing/2014/main" id="{01A2B959-A8F0-45DA-1B87-90D1995979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36</xdr:col>
      <xdr:colOff>130629</xdr:colOff>
      <xdr:row>65</xdr:row>
      <xdr:rowOff>54429</xdr:rowOff>
    </xdr:from>
    <xdr:to>
      <xdr:col>37</xdr:col>
      <xdr:colOff>192387</xdr:colOff>
      <xdr:row>66</xdr:row>
      <xdr:rowOff>117965</xdr:rowOff>
    </xdr:to>
    <xdr:pic>
      <xdr:nvPicPr>
        <xdr:cNvPr id="6" name="Kuva 5">
          <a:extLst>
            <a:ext uri="{FF2B5EF4-FFF2-40B4-BE49-F238E27FC236}">
              <a16:creationId xmlns:a16="http://schemas.microsoft.com/office/drawing/2014/main" id="{E2791CD5-1364-A2D3-3E3C-979589F3CC0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4743229" y="10297886"/>
          <a:ext cx="720344" cy="266192"/>
        </a:xfrm>
        <a:prstGeom prst="rect">
          <a:avLst/>
        </a:prstGeom>
      </xdr:spPr>
    </xdr:pic>
    <xdr:clientData/>
  </xdr:twoCellAnchor>
  <xdr:twoCellAnchor editAs="oneCell">
    <xdr:from>
      <xdr:col>36</xdr:col>
      <xdr:colOff>157842</xdr:colOff>
      <xdr:row>8</xdr:row>
      <xdr:rowOff>48985</xdr:rowOff>
    </xdr:from>
    <xdr:to>
      <xdr:col>37</xdr:col>
      <xdr:colOff>223410</xdr:colOff>
      <xdr:row>9</xdr:row>
      <xdr:rowOff>113792</xdr:rowOff>
    </xdr:to>
    <xdr:pic>
      <xdr:nvPicPr>
        <xdr:cNvPr id="8" name="Kuva 7">
          <a:extLst>
            <a:ext uri="{FF2B5EF4-FFF2-40B4-BE49-F238E27FC236}">
              <a16:creationId xmlns:a16="http://schemas.microsoft.com/office/drawing/2014/main" id="{86BB2FA5-6607-5E1F-B405-E096C2DDBEC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4770442" y="1545771"/>
          <a:ext cx="720344" cy="266192"/>
        </a:xfrm>
        <a:prstGeom prst="rect">
          <a:avLst/>
        </a:prstGeom>
      </xdr:spPr>
    </xdr:pic>
    <xdr:clientData/>
  </xdr:twoCellAnchor>
  <xdr:twoCellAnchor editAs="oneCell">
    <xdr:from>
      <xdr:col>17</xdr:col>
      <xdr:colOff>691243</xdr:colOff>
      <xdr:row>4</xdr:row>
      <xdr:rowOff>38099</xdr:rowOff>
    </xdr:from>
    <xdr:to>
      <xdr:col>19</xdr:col>
      <xdr:colOff>10595</xdr:colOff>
      <xdr:row>5</xdr:row>
      <xdr:rowOff>110888</xdr:rowOff>
    </xdr:to>
    <xdr:pic>
      <xdr:nvPicPr>
        <xdr:cNvPr id="10" name="Kuva 9">
          <a:extLst>
            <a:ext uri="{FF2B5EF4-FFF2-40B4-BE49-F238E27FC236}">
              <a16:creationId xmlns:a16="http://schemas.microsoft.com/office/drawing/2014/main" id="{28092D06-3A74-FB17-B042-F34EFFC0FC0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758057" y="838199"/>
          <a:ext cx="720344" cy="266192"/>
        </a:xfrm>
        <a:prstGeom prst="rect">
          <a:avLst/>
        </a:prstGeom>
      </xdr:spPr>
    </xdr:pic>
    <xdr:clientData/>
  </xdr:twoCellAnchor>
  <xdr:twoCellAnchor editAs="oneCell">
    <xdr:from>
      <xdr:col>17</xdr:col>
      <xdr:colOff>664029</xdr:colOff>
      <xdr:row>61</xdr:row>
      <xdr:rowOff>59872</xdr:rowOff>
    </xdr:from>
    <xdr:to>
      <xdr:col>19</xdr:col>
      <xdr:colOff>2389</xdr:colOff>
      <xdr:row>62</xdr:row>
      <xdr:rowOff>75692</xdr:rowOff>
    </xdr:to>
    <xdr:pic>
      <xdr:nvPicPr>
        <xdr:cNvPr id="13" name="Kuva 12">
          <a:extLst>
            <a:ext uri="{FF2B5EF4-FFF2-40B4-BE49-F238E27FC236}">
              <a16:creationId xmlns:a16="http://schemas.microsoft.com/office/drawing/2014/main" id="{75D190A5-F73E-92AA-AFFA-AB1DA620F06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730843" y="9492343"/>
          <a:ext cx="720344" cy="266192"/>
        </a:xfrm>
        <a:prstGeom prst="rect">
          <a:avLst/>
        </a:prstGeom>
      </xdr:spPr>
    </xdr:pic>
    <xdr:clientData/>
  </xdr:twoCellAnchor>
  <xdr:twoCellAnchor>
    <xdr:from>
      <xdr:col>0</xdr:col>
      <xdr:colOff>139029</xdr:colOff>
      <xdr:row>31</xdr:row>
      <xdr:rowOff>41520</xdr:rowOff>
    </xdr:from>
    <xdr:to>
      <xdr:col>0</xdr:col>
      <xdr:colOff>499029</xdr:colOff>
      <xdr:row>33</xdr:row>
      <xdr:rowOff>86398</xdr:rowOff>
    </xdr:to>
    <xdr:pic>
      <xdr:nvPicPr>
        <xdr:cNvPr id="2" name="Kuva 1">
          <a:hlinkClick xmlns:r="http://schemas.openxmlformats.org/officeDocument/2006/relationships" r:id="rId22"/>
          <a:extLst>
            <a:ext uri="{FF2B5EF4-FFF2-40B4-BE49-F238E27FC236}">
              <a16:creationId xmlns:a16="http://schemas.microsoft.com/office/drawing/2014/main" id="{52269DF3-8587-40F9-BDC8-137C40CAFC33}"/>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41569" y="5058020"/>
          <a:ext cx="357460" cy="3611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179235</xdr:colOff>
      <xdr:row>21</xdr:row>
      <xdr:rowOff>35989</xdr:rowOff>
    </xdr:from>
    <xdr:to>
      <xdr:col>51</xdr:col>
      <xdr:colOff>0</xdr:colOff>
      <xdr:row>38</xdr:row>
      <xdr:rowOff>99061</xdr:rowOff>
    </xdr:to>
    <xdr:graphicFrame macro="">
      <xdr:nvGraphicFramePr>
        <xdr:cNvPr id="4" name="Kaavi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994</xdr:colOff>
      <xdr:row>57</xdr:row>
      <xdr:rowOff>106680</xdr:rowOff>
    </xdr:from>
    <xdr:to>
      <xdr:col>51</xdr:col>
      <xdr:colOff>0</xdr:colOff>
      <xdr:row>77</xdr:row>
      <xdr:rowOff>38099</xdr:rowOff>
    </xdr:to>
    <xdr:graphicFrame macro="">
      <xdr:nvGraphicFramePr>
        <xdr:cNvPr id="6" name="Kaavio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136113</xdr:colOff>
      <xdr:row>38</xdr:row>
      <xdr:rowOff>25599</xdr:rowOff>
    </xdr:from>
    <xdr:to>
      <xdr:col>0</xdr:col>
      <xdr:colOff>545312</xdr:colOff>
      <xdr:row>40</xdr:row>
      <xdr:rowOff>138279</xdr:rowOff>
    </xdr:to>
    <xdr:pic>
      <xdr:nvPicPr>
        <xdr:cNvPr id="68" name="Kuva 67">
          <a:hlinkClick xmlns:r="http://schemas.openxmlformats.org/officeDocument/2006/relationships" r:id="rId3"/>
          <a:extLst>
            <a:ext uri="{FF2B5EF4-FFF2-40B4-BE49-F238E27FC236}">
              <a16:creationId xmlns:a16="http://schemas.microsoft.com/office/drawing/2014/main" id="{C03FB4B6-9F90-4CC8-917A-A7478C7233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113" y="5567108"/>
          <a:ext cx="409199" cy="398430"/>
        </a:xfrm>
        <a:prstGeom prst="rect">
          <a:avLst/>
        </a:prstGeom>
      </xdr:spPr>
    </xdr:pic>
    <xdr:clientData/>
  </xdr:twoCellAnchor>
  <xdr:twoCellAnchor>
    <xdr:from>
      <xdr:col>0</xdr:col>
      <xdr:colOff>146564</xdr:colOff>
      <xdr:row>35</xdr:row>
      <xdr:rowOff>36794</xdr:rowOff>
    </xdr:from>
    <xdr:to>
      <xdr:col>0</xdr:col>
      <xdr:colOff>551801</xdr:colOff>
      <xdr:row>38</xdr:row>
      <xdr:rowOff>2741</xdr:rowOff>
    </xdr:to>
    <xdr:pic>
      <xdr:nvPicPr>
        <xdr:cNvPr id="69" name="Kuva 68">
          <a:hlinkClick xmlns:r="http://schemas.openxmlformats.org/officeDocument/2006/relationships" r:id="rId5"/>
          <a:extLst>
            <a:ext uri="{FF2B5EF4-FFF2-40B4-BE49-F238E27FC236}">
              <a16:creationId xmlns:a16="http://schemas.microsoft.com/office/drawing/2014/main" id="{9F25D90E-BA93-4B5A-8D1D-1DEEA690EC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6564" y="5149678"/>
          <a:ext cx="405237" cy="394572"/>
        </a:xfrm>
        <a:prstGeom prst="rect">
          <a:avLst/>
        </a:prstGeom>
      </xdr:spPr>
    </xdr:pic>
    <xdr:clientData/>
  </xdr:twoCellAnchor>
  <xdr:twoCellAnchor>
    <xdr:from>
      <xdr:col>0</xdr:col>
      <xdr:colOff>138458</xdr:colOff>
      <xdr:row>32</xdr:row>
      <xdr:rowOff>42592</xdr:rowOff>
    </xdr:from>
    <xdr:to>
      <xdr:col>0</xdr:col>
      <xdr:colOff>550319</xdr:colOff>
      <xdr:row>35</xdr:row>
      <xdr:rowOff>14318</xdr:rowOff>
    </xdr:to>
    <xdr:pic>
      <xdr:nvPicPr>
        <xdr:cNvPr id="70" name="Kuva 69">
          <a:hlinkClick xmlns:r="http://schemas.openxmlformats.org/officeDocument/2006/relationships" r:id="rId7"/>
          <a:extLst>
            <a:ext uri="{FF2B5EF4-FFF2-40B4-BE49-F238E27FC236}">
              <a16:creationId xmlns:a16="http://schemas.microsoft.com/office/drawing/2014/main" id="{BD94C0D9-6E5E-4EA3-B7E2-4274721F76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8458" y="4696235"/>
          <a:ext cx="411861" cy="396269"/>
        </a:xfrm>
        <a:prstGeom prst="rect">
          <a:avLst/>
        </a:prstGeom>
      </xdr:spPr>
    </xdr:pic>
    <xdr:clientData/>
  </xdr:twoCellAnchor>
  <xdr:twoCellAnchor>
    <xdr:from>
      <xdr:col>0</xdr:col>
      <xdr:colOff>140247</xdr:colOff>
      <xdr:row>29</xdr:row>
      <xdr:rowOff>46158</xdr:rowOff>
    </xdr:from>
    <xdr:to>
      <xdr:col>0</xdr:col>
      <xdr:colOff>545484</xdr:colOff>
      <xdr:row>32</xdr:row>
      <xdr:rowOff>19185</xdr:rowOff>
    </xdr:to>
    <xdr:pic>
      <xdr:nvPicPr>
        <xdr:cNvPr id="71" name="Kuva 70">
          <a:hlinkClick xmlns:r="http://schemas.openxmlformats.org/officeDocument/2006/relationships" r:id="rId9"/>
          <a:extLst>
            <a:ext uri="{FF2B5EF4-FFF2-40B4-BE49-F238E27FC236}">
              <a16:creationId xmlns:a16="http://schemas.microsoft.com/office/drawing/2014/main" id="{5E935D0B-E4E6-4B9F-ACD6-9A563383073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0247" y="19143783"/>
          <a:ext cx="405237" cy="401652"/>
        </a:xfrm>
        <a:prstGeom prst="rect">
          <a:avLst/>
        </a:prstGeom>
      </xdr:spPr>
    </xdr:pic>
    <xdr:clientData/>
  </xdr:twoCellAnchor>
  <xdr:twoCellAnchor>
    <xdr:from>
      <xdr:col>0</xdr:col>
      <xdr:colOff>141877</xdr:colOff>
      <xdr:row>26</xdr:row>
      <xdr:rowOff>42157</xdr:rowOff>
    </xdr:from>
    <xdr:to>
      <xdr:col>0</xdr:col>
      <xdr:colOff>551091</xdr:colOff>
      <xdr:row>29</xdr:row>
      <xdr:rowOff>12621</xdr:rowOff>
    </xdr:to>
    <xdr:pic>
      <xdr:nvPicPr>
        <xdr:cNvPr id="72" name="Kuva 71">
          <a:hlinkClick xmlns:r="http://schemas.openxmlformats.org/officeDocument/2006/relationships" r:id="rId11"/>
          <a:extLst>
            <a:ext uri="{FF2B5EF4-FFF2-40B4-BE49-F238E27FC236}">
              <a16:creationId xmlns:a16="http://schemas.microsoft.com/office/drawing/2014/main" id="{0BA885AA-28D4-4F8C-A801-9A80F703F97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877" y="3875970"/>
          <a:ext cx="409214" cy="399089"/>
        </a:xfrm>
        <a:prstGeom prst="rect">
          <a:avLst/>
        </a:prstGeom>
      </xdr:spPr>
    </xdr:pic>
    <xdr:clientData/>
  </xdr:twoCellAnchor>
  <xdr:twoCellAnchor>
    <xdr:from>
      <xdr:col>0</xdr:col>
      <xdr:colOff>134609</xdr:colOff>
      <xdr:row>23</xdr:row>
      <xdr:rowOff>46276</xdr:rowOff>
    </xdr:from>
    <xdr:to>
      <xdr:col>0</xdr:col>
      <xdr:colOff>551093</xdr:colOff>
      <xdr:row>26</xdr:row>
      <xdr:rowOff>13357</xdr:rowOff>
    </xdr:to>
    <xdr:pic>
      <xdr:nvPicPr>
        <xdr:cNvPr id="73" name="Kuva 72">
          <a:hlinkClick xmlns:r="http://schemas.openxmlformats.org/officeDocument/2006/relationships" r:id="rId13"/>
          <a:extLst>
            <a:ext uri="{FF2B5EF4-FFF2-40B4-BE49-F238E27FC236}">
              <a16:creationId xmlns:a16="http://schemas.microsoft.com/office/drawing/2014/main" id="{61461501-D212-4D75-956E-7D5CEF120D4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4609" y="3452416"/>
          <a:ext cx="416484" cy="378561"/>
        </a:xfrm>
        <a:prstGeom prst="rect">
          <a:avLst/>
        </a:prstGeom>
      </xdr:spPr>
    </xdr:pic>
    <xdr:clientData/>
  </xdr:twoCellAnchor>
  <xdr:twoCellAnchor>
    <xdr:from>
      <xdr:col>0</xdr:col>
      <xdr:colOff>136187</xdr:colOff>
      <xdr:row>20</xdr:row>
      <xdr:rowOff>34987</xdr:rowOff>
    </xdr:from>
    <xdr:to>
      <xdr:col>0</xdr:col>
      <xdr:colOff>543530</xdr:colOff>
      <xdr:row>23</xdr:row>
      <xdr:rowOff>22537</xdr:rowOff>
    </xdr:to>
    <xdr:pic>
      <xdr:nvPicPr>
        <xdr:cNvPr id="74" name="Kuva 73">
          <a:hlinkClick xmlns:r="http://schemas.openxmlformats.org/officeDocument/2006/relationships" r:id="rId15"/>
          <a:extLst>
            <a:ext uri="{FF2B5EF4-FFF2-40B4-BE49-F238E27FC236}">
              <a16:creationId xmlns:a16="http://schemas.microsoft.com/office/drawing/2014/main" id="{2DBE7F28-27A7-45D4-A195-4A3B6B4F9B41}"/>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6187" y="3029647"/>
          <a:ext cx="407343" cy="399030"/>
        </a:xfrm>
        <a:prstGeom prst="rect">
          <a:avLst/>
        </a:prstGeom>
      </xdr:spPr>
    </xdr:pic>
    <xdr:clientData/>
  </xdr:twoCellAnchor>
  <xdr:twoCellAnchor>
    <xdr:from>
      <xdr:col>0</xdr:col>
      <xdr:colOff>143417</xdr:colOff>
      <xdr:row>17</xdr:row>
      <xdr:rowOff>51318</xdr:rowOff>
    </xdr:from>
    <xdr:to>
      <xdr:col>0</xdr:col>
      <xdr:colOff>555701</xdr:colOff>
      <xdr:row>20</xdr:row>
      <xdr:rowOff>21125</xdr:rowOff>
    </xdr:to>
    <xdr:pic>
      <xdr:nvPicPr>
        <xdr:cNvPr id="75" name="Kuva 74">
          <a:hlinkClick xmlns:r="http://schemas.openxmlformats.org/officeDocument/2006/relationships" r:id="rId7"/>
          <a:extLst>
            <a:ext uri="{FF2B5EF4-FFF2-40B4-BE49-F238E27FC236}">
              <a16:creationId xmlns:a16="http://schemas.microsoft.com/office/drawing/2014/main" id="{668D8A35-21BC-43EA-B4B7-F979D070DE6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3417" y="17520168"/>
          <a:ext cx="412284" cy="398432"/>
        </a:xfrm>
        <a:prstGeom prst="rect">
          <a:avLst/>
        </a:prstGeom>
      </xdr:spPr>
    </xdr:pic>
    <xdr:clientData/>
  </xdr:twoCellAnchor>
  <xdr:twoCellAnchor>
    <xdr:from>
      <xdr:col>0</xdr:col>
      <xdr:colOff>144615</xdr:colOff>
      <xdr:row>14</xdr:row>
      <xdr:rowOff>47625</xdr:rowOff>
    </xdr:from>
    <xdr:to>
      <xdr:col>0</xdr:col>
      <xdr:colOff>551318</xdr:colOff>
      <xdr:row>17</xdr:row>
      <xdr:rowOff>18571</xdr:rowOff>
    </xdr:to>
    <xdr:pic>
      <xdr:nvPicPr>
        <xdr:cNvPr id="76" name="Kuva 75">
          <a:hlinkClick xmlns:r="http://schemas.openxmlformats.org/officeDocument/2006/relationships" r:id="rId18"/>
          <a:extLst>
            <a:ext uri="{FF2B5EF4-FFF2-40B4-BE49-F238E27FC236}">
              <a16:creationId xmlns:a16="http://schemas.microsoft.com/office/drawing/2014/main" id="{2FA22DEE-C0F9-4EC1-ACEC-73F8BE141CD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15" y="2219325"/>
          <a:ext cx="406703" cy="382426"/>
        </a:xfrm>
        <a:prstGeom prst="rect">
          <a:avLst/>
        </a:prstGeom>
      </xdr:spPr>
    </xdr:pic>
    <xdr:clientData/>
  </xdr:twoCellAnchor>
  <xdr:twoCellAnchor>
    <xdr:from>
      <xdr:col>0</xdr:col>
      <xdr:colOff>149679</xdr:colOff>
      <xdr:row>41</xdr:row>
      <xdr:rowOff>23137</xdr:rowOff>
    </xdr:from>
    <xdr:to>
      <xdr:col>0</xdr:col>
      <xdr:colOff>564837</xdr:colOff>
      <xdr:row>44</xdr:row>
      <xdr:rowOff>9013</xdr:rowOff>
    </xdr:to>
    <xdr:pic>
      <xdr:nvPicPr>
        <xdr:cNvPr id="77" name="Kuva 76" descr="Tulostin">
          <a:extLst>
            <a:ext uri="{FF2B5EF4-FFF2-40B4-BE49-F238E27FC236}">
              <a16:creationId xmlns:a16="http://schemas.microsoft.com/office/drawing/2014/main" id="{3DC131CB-7A2D-4D7C-8BFE-D5405C04E17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49679" y="5993271"/>
          <a:ext cx="415158" cy="414501"/>
        </a:xfrm>
        <a:prstGeom prst="rect">
          <a:avLst/>
        </a:prstGeom>
      </xdr:spPr>
    </xdr:pic>
    <xdr:clientData/>
  </xdr:twoCellAnchor>
  <xdr:twoCellAnchor>
    <xdr:from>
      <xdr:col>43</xdr:col>
      <xdr:colOff>7620</xdr:colOff>
      <xdr:row>39</xdr:row>
      <xdr:rowOff>38100</xdr:rowOff>
    </xdr:from>
    <xdr:to>
      <xdr:col>51</xdr:col>
      <xdr:colOff>2816</xdr:colOff>
      <xdr:row>57</xdr:row>
      <xdr:rowOff>53340</xdr:rowOff>
    </xdr:to>
    <xdr:graphicFrame macro="">
      <xdr:nvGraphicFramePr>
        <xdr:cNvPr id="23" name="Kaavio 22">
          <a:extLst>
            <a:ext uri="{FF2B5EF4-FFF2-40B4-BE49-F238E27FC236}">
              <a16:creationId xmlns:a16="http://schemas.microsoft.com/office/drawing/2014/main" id="{5109D65D-2D53-43F3-87B9-6C9C62789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38878</xdr:colOff>
      <xdr:row>1</xdr:row>
      <xdr:rowOff>69980</xdr:rowOff>
    </xdr:from>
    <xdr:to>
      <xdr:col>14</xdr:col>
      <xdr:colOff>388776</xdr:colOff>
      <xdr:row>2</xdr:row>
      <xdr:rowOff>178837</xdr:rowOff>
    </xdr:to>
    <xdr:sp macro="" textlink="">
      <xdr:nvSpPr>
        <xdr:cNvPr id="2" name="Tekstiruutu 1">
          <a:extLst>
            <a:ext uri="{FF2B5EF4-FFF2-40B4-BE49-F238E27FC236}">
              <a16:creationId xmlns:a16="http://schemas.microsoft.com/office/drawing/2014/main" id="{790F7EE1-8F3B-4D54-81B6-C49EE969D19C}"/>
            </a:ext>
          </a:extLst>
        </xdr:cNvPr>
        <xdr:cNvSpPr txBox="1"/>
      </xdr:nvSpPr>
      <xdr:spPr>
        <a:xfrm>
          <a:off x="785327" y="225490"/>
          <a:ext cx="7472265" cy="318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T1 INVESTERINGSPLAN</a:t>
          </a:r>
          <a:r>
            <a:rPr lang="fi-FI" sz="1100" b="1" baseline="0">
              <a:solidFill>
                <a:schemeClr val="dk1"/>
              </a:solidFill>
              <a:effectLst/>
              <a:latin typeface="+mn-lt"/>
              <a:ea typeface="+mn-ea"/>
              <a:cs typeface="+mn-cs"/>
            </a:rPr>
            <a:t> </a:t>
          </a:r>
          <a:endParaRPr lang="fi-FI" sz="1200">
            <a:effectLst/>
          </a:endParaRPr>
        </a:p>
      </xdr:txBody>
    </xdr:sp>
    <xdr:clientData/>
  </xdr:twoCellAnchor>
  <xdr:twoCellAnchor>
    <xdr:from>
      <xdr:col>15</xdr:col>
      <xdr:colOff>54429</xdr:colOff>
      <xdr:row>1</xdr:row>
      <xdr:rowOff>34291</xdr:rowOff>
    </xdr:from>
    <xdr:to>
      <xdr:col>24</xdr:col>
      <xdr:colOff>738675</xdr:colOff>
      <xdr:row>3</xdr:row>
      <xdr:rowOff>38877</xdr:rowOff>
    </xdr:to>
    <xdr:sp macro="" textlink="">
      <xdr:nvSpPr>
        <xdr:cNvPr id="7" name="Tekstiruutu 6">
          <a:extLst>
            <a:ext uri="{FF2B5EF4-FFF2-40B4-BE49-F238E27FC236}">
              <a16:creationId xmlns:a16="http://schemas.microsoft.com/office/drawing/2014/main" id="{A6D7F756-5254-4124-A44B-DD21C6C7EA9C}"/>
            </a:ext>
          </a:extLst>
        </xdr:cNvPr>
        <xdr:cNvSpPr txBox="1"/>
      </xdr:nvSpPr>
      <xdr:spPr>
        <a:xfrm>
          <a:off x="8327572" y="189801"/>
          <a:ext cx="7301204" cy="408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T3 BALANS OCH T4 FINANSIERINGSBUDGET</a:t>
          </a:r>
          <a:endParaRPr lang="fi-FI" sz="1200">
            <a:effectLst/>
          </a:endParaRPr>
        </a:p>
      </xdr:txBody>
    </xdr:sp>
    <xdr:clientData/>
  </xdr:twoCellAnchor>
  <xdr:twoCellAnchor>
    <xdr:from>
      <xdr:col>25</xdr:col>
      <xdr:colOff>31102</xdr:colOff>
      <xdr:row>1</xdr:row>
      <xdr:rowOff>38099</xdr:rowOff>
    </xdr:from>
    <xdr:to>
      <xdr:col>41</xdr:col>
      <xdr:colOff>295470</xdr:colOff>
      <xdr:row>3</xdr:row>
      <xdr:rowOff>15551</xdr:rowOff>
    </xdr:to>
    <xdr:sp macro="" textlink="">
      <xdr:nvSpPr>
        <xdr:cNvPr id="28" name="Tekstiruutu 27">
          <a:extLst>
            <a:ext uri="{FF2B5EF4-FFF2-40B4-BE49-F238E27FC236}">
              <a16:creationId xmlns:a16="http://schemas.microsoft.com/office/drawing/2014/main" id="{5B2309E4-39DF-4692-A79C-419E8B4477F9}"/>
            </a:ext>
          </a:extLst>
        </xdr:cNvPr>
        <xdr:cNvSpPr txBox="1"/>
      </xdr:nvSpPr>
      <xdr:spPr>
        <a:xfrm>
          <a:off x="15675429" y="193609"/>
          <a:ext cx="8187612" cy="381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T4 FINANSIENRINGBUDGET OCH T7 LÅN</a:t>
          </a:r>
          <a:endParaRPr lang="fi-FI" sz="1200" b="1">
            <a:solidFill>
              <a:schemeClr val="tx1"/>
            </a:solidFill>
          </a:endParaRPr>
        </a:p>
      </xdr:txBody>
    </xdr:sp>
    <xdr:clientData/>
  </xdr:twoCellAnchor>
  <xdr:twoCellAnchor>
    <xdr:from>
      <xdr:col>42</xdr:col>
      <xdr:colOff>62205</xdr:colOff>
      <xdr:row>1</xdr:row>
      <xdr:rowOff>38100</xdr:rowOff>
    </xdr:from>
    <xdr:to>
      <xdr:col>50</xdr:col>
      <xdr:colOff>738674</xdr:colOff>
      <xdr:row>3</xdr:row>
      <xdr:rowOff>46653</xdr:rowOff>
    </xdr:to>
    <xdr:sp macro="" textlink="">
      <xdr:nvSpPr>
        <xdr:cNvPr id="31" name="Tekstiruutu 30">
          <a:extLst>
            <a:ext uri="{FF2B5EF4-FFF2-40B4-BE49-F238E27FC236}">
              <a16:creationId xmlns:a16="http://schemas.microsoft.com/office/drawing/2014/main" id="{AE575780-8BD0-4C9A-BDDE-D389856E03A0}"/>
            </a:ext>
          </a:extLst>
        </xdr:cNvPr>
        <xdr:cNvSpPr txBox="1"/>
      </xdr:nvSpPr>
      <xdr:spPr>
        <a:xfrm>
          <a:off x="23987449" y="193610"/>
          <a:ext cx="7425612" cy="41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EKONOMISKA PARAMETRAR</a:t>
          </a:r>
          <a:endParaRPr lang="fi-FI" sz="1200">
            <a:effectLst/>
          </a:endParaRPr>
        </a:p>
      </xdr:txBody>
    </xdr:sp>
    <xdr:clientData/>
  </xdr:twoCellAnchor>
  <xdr:twoCellAnchor editAs="oneCell">
    <xdr:from>
      <xdr:col>13</xdr:col>
      <xdr:colOff>103415</xdr:colOff>
      <xdr:row>1</xdr:row>
      <xdr:rowOff>51706</xdr:rowOff>
    </xdr:from>
    <xdr:to>
      <xdr:col>14</xdr:col>
      <xdr:colOff>340705</xdr:colOff>
      <xdr:row>2</xdr:row>
      <xdr:rowOff>113791</xdr:rowOff>
    </xdr:to>
    <xdr:pic>
      <xdr:nvPicPr>
        <xdr:cNvPr id="8" name="Kuva 7">
          <a:extLst>
            <a:ext uri="{FF2B5EF4-FFF2-40B4-BE49-F238E27FC236}">
              <a16:creationId xmlns:a16="http://schemas.microsoft.com/office/drawing/2014/main" id="{F5D882BC-B9C2-0066-C8FB-BC4E2C701BC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132865" y="213631"/>
          <a:ext cx="684965" cy="271635"/>
        </a:xfrm>
        <a:prstGeom prst="rect">
          <a:avLst/>
        </a:prstGeom>
      </xdr:spPr>
    </xdr:pic>
    <xdr:clientData/>
  </xdr:twoCellAnchor>
  <xdr:twoCellAnchor editAs="oneCell">
    <xdr:from>
      <xdr:col>24</xdr:col>
      <xdr:colOff>27214</xdr:colOff>
      <xdr:row>77</xdr:row>
      <xdr:rowOff>146957</xdr:rowOff>
    </xdr:from>
    <xdr:to>
      <xdr:col>25</xdr:col>
      <xdr:colOff>2966</xdr:colOff>
      <xdr:row>79</xdr:row>
      <xdr:rowOff>113792</xdr:rowOff>
    </xdr:to>
    <xdr:pic>
      <xdr:nvPicPr>
        <xdr:cNvPr id="10" name="Kuva 9">
          <a:extLst>
            <a:ext uri="{FF2B5EF4-FFF2-40B4-BE49-F238E27FC236}">
              <a16:creationId xmlns:a16="http://schemas.microsoft.com/office/drawing/2014/main" id="{662765F8-D4D9-E6FA-127A-5146EC1EAF3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907985" y="11185071"/>
          <a:ext cx="720344" cy="266192"/>
        </a:xfrm>
        <a:prstGeom prst="rect">
          <a:avLst/>
        </a:prstGeom>
      </xdr:spPr>
    </xdr:pic>
    <xdr:clientData/>
  </xdr:twoCellAnchor>
  <xdr:twoCellAnchor editAs="oneCell">
    <xdr:from>
      <xdr:col>40</xdr:col>
      <xdr:colOff>65315</xdr:colOff>
      <xdr:row>77</xdr:row>
      <xdr:rowOff>146959</xdr:rowOff>
    </xdr:from>
    <xdr:to>
      <xdr:col>42</xdr:col>
      <xdr:colOff>4563</xdr:colOff>
      <xdr:row>79</xdr:row>
      <xdr:rowOff>113794</xdr:rowOff>
    </xdr:to>
    <xdr:pic>
      <xdr:nvPicPr>
        <xdr:cNvPr id="12" name="Kuva 11">
          <a:extLst>
            <a:ext uri="{FF2B5EF4-FFF2-40B4-BE49-F238E27FC236}">
              <a16:creationId xmlns:a16="http://schemas.microsoft.com/office/drawing/2014/main" id="{5DC42EFE-71E9-6CC0-13D8-22670AE5379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24672" y="11185073"/>
          <a:ext cx="720344" cy="266192"/>
        </a:xfrm>
        <a:prstGeom prst="rect">
          <a:avLst/>
        </a:prstGeom>
      </xdr:spPr>
    </xdr:pic>
    <xdr:clientData/>
  </xdr:twoCellAnchor>
  <xdr:twoCellAnchor editAs="oneCell">
    <xdr:from>
      <xdr:col>50</xdr:col>
      <xdr:colOff>81643</xdr:colOff>
      <xdr:row>77</xdr:row>
      <xdr:rowOff>146957</xdr:rowOff>
    </xdr:from>
    <xdr:to>
      <xdr:col>51</xdr:col>
      <xdr:colOff>1888</xdr:colOff>
      <xdr:row>79</xdr:row>
      <xdr:rowOff>113792</xdr:rowOff>
    </xdr:to>
    <xdr:pic>
      <xdr:nvPicPr>
        <xdr:cNvPr id="14" name="Kuva 13">
          <a:extLst>
            <a:ext uri="{FF2B5EF4-FFF2-40B4-BE49-F238E27FC236}">
              <a16:creationId xmlns:a16="http://schemas.microsoft.com/office/drawing/2014/main" id="{C07CCA6E-2B6C-ACC4-814C-95B63CB5D05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0773914" y="11185071"/>
          <a:ext cx="720344" cy="2661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151377</xdr:colOff>
      <xdr:row>34</xdr:row>
      <xdr:rowOff>53895</xdr:rowOff>
    </xdr:from>
    <xdr:to>
      <xdr:col>0</xdr:col>
      <xdr:colOff>514098</xdr:colOff>
      <xdr:row>36</xdr:row>
      <xdr:rowOff>77994</xdr:rowOff>
    </xdr:to>
    <xdr:pic>
      <xdr:nvPicPr>
        <xdr:cNvPr id="6" name="Kuva 5">
          <a:hlinkClick xmlns:r="http://schemas.openxmlformats.org/officeDocument/2006/relationships" r:id="rId1"/>
          <a:extLst>
            <a:ext uri="{FF2B5EF4-FFF2-40B4-BE49-F238E27FC236}">
              <a16:creationId xmlns:a16="http://schemas.microsoft.com/office/drawing/2014/main" id="{F00217E1-7E54-4E7D-9958-25E553D395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377" y="5655373"/>
          <a:ext cx="360000" cy="360000"/>
        </a:xfrm>
        <a:prstGeom prst="rect">
          <a:avLst/>
        </a:prstGeom>
      </xdr:spPr>
    </xdr:pic>
    <xdr:clientData/>
  </xdr:twoCellAnchor>
  <xdr:twoCellAnchor editAs="oneCell">
    <xdr:from>
      <xdr:col>0</xdr:col>
      <xdr:colOff>151159</xdr:colOff>
      <xdr:row>31</xdr:row>
      <xdr:rowOff>152849</xdr:rowOff>
    </xdr:from>
    <xdr:to>
      <xdr:col>0</xdr:col>
      <xdr:colOff>513880</xdr:colOff>
      <xdr:row>34</xdr:row>
      <xdr:rowOff>16071</xdr:rowOff>
    </xdr:to>
    <xdr:pic>
      <xdr:nvPicPr>
        <xdr:cNvPr id="8" name="Kuva 7">
          <a:hlinkClick xmlns:r="http://schemas.openxmlformats.org/officeDocument/2006/relationships" r:id="rId3"/>
          <a:extLst>
            <a:ext uri="{FF2B5EF4-FFF2-40B4-BE49-F238E27FC236}">
              <a16:creationId xmlns:a16="http://schemas.microsoft.com/office/drawing/2014/main" id="{856AE791-D90E-47B6-AECA-572109BE8C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159" y="5250474"/>
          <a:ext cx="360000" cy="360000"/>
        </a:xfrm>
        <a:prstGeom prst="rect">
          <a:avLst/>
        </a:prstGeom>
      </xdr:spPr>
    </xdr:pic>
    <xdr:clientData/>
  </xdr:twoCellAnchor>
  <xdr:twoCellAnchor editAs="oneCell">
    <xdr:from>
      <xdr:col>0</xdr:col>
      <xdr:colOff>147292</xdr:colOff>
      <xdr:row>29</xdr:row>
      <xdr:rowOff>80945</xdr:rowOff>
    </xdr:from>
    <xdr:to>
      <xdr:col>0</xdr:col>
      <xdr:colOff>512162</xdr:colOff>
      <xdr:row>31</xdr:row>
      <xdr:rowOff>97967</xdr:rowOff>
    </xdr:to>
    <xdr:pic>
      <xdr:nvPicPr>
        <xdr:cNvPr id="10" name="Kuva 9">
          <a:hlinkClick xmlns:r="http://schemas.openxmlformats.org/officeDocument/2006/relationships" r:id="rId5"/>
          <a:extLst>
            <a:ext uri="{FF2B5EF4-FFF2-40B4-BE49-F238E27FC236}">
              <a16:creationId xmlns:a16="http://schemas.microsoft.com/office/drawing/2014/main" id="{0764B5CD-C05A-48F3-9CAD-09FF14D036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7292" y="4842667"/>
          <a:ext cx="362149" cy="360000"/>
        </a:xfrm>
        <a:prstGeom prst="rect">
          <a:avLst/>
        </a:prstGeom>
      </xdr:spPr>
    </xdr:pic>
    <xdr:clientData/>
  </xdr:twoCellAnchor>
  <xdr:twoCellAnchor editAs="oneCell">
    <xdr:from>
      <xdr:col>0</xdr:col>
      <xdr:colOff>154524</xdr:colOff>
      <xdr:row>27</xdr:row>
      <xdr:rowOff>4468</xdr:rowOff>
    </xdr:from>
    <xdr:to>
      <xdr:col>0</xdr:col>
      <xdr:colOff>514746</xdr:colOff>
      <xdr:row>29</xdr:row>
      <xdr:rowOff>21492</xdr:rowOff>
    </xdr:to>
    <xdr:pic>
      <xdr:nvPicPr>
        <xdr:cNvPr id="12" name="Kuva 11">
          <a:hlinkClick xmlns:r="http://schemas.openxmlformats.org/officeDocument/2006/relationships" r:id="rId7"/>
          <a:extLst>
            <a:ext uri="{FF2B5EF4-FFF2-40B4-BE49-F238E27FC236}">
              <a16:creationId xmlns:a16="http://schemas.microsoft.com/office/drawing/2014/main" id="{E4F8C9AE-352A-4007-AA59-99398A4C88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4524" y="4430289"/>
          <a:ext cx="357501" cy="360000"/>
        </a:xfrm>
        <a:prstGeom prst="rect">
          <a:avLst/>
        </a:prstGeom>
      </xdr:spPr>
    </xdr:pic>
    <xdr:clientData/>
  </xdr:twoCellAnchor>
  <xdr:twoCellAnchor editAs="oneCell">
    <xdr:from>
      <xdr:col>0</xdr:col>
      <xdr:colOff>155862</xdr:colOff>
      <xdr:row>24</xdr:row>
      <xdr:rowOff>96180</xdr:rowOff>
    </xdr:from>
    <xdr:to>
      <xdr:col>0</xdr:col>
      <xdr:colOff>513141</xdr:colOff>
      <xdr:row>26</xdr:row>
      <xdr:rowOff>131164</xdr:rowOff>
    </xdr:to>
    <xdr:pic>
      <xdr:nvPicPr>
        <xdr:cNvPr id="14" name="Kuva 13">
          <a:hlinkClick xmlns:r="http://schemas.openxmlformats.org/officeDocument/2006/relationships" r:id="rId9"/>
          <a:extLst>
            <a:ext uri="{FF2B5EF4-FFF2-40B4-BE49-F238E27FC236}">
              <a16:creationId xmlns:a16="http://schemas.microsoft.com/office/drawing/2014/main" id="{24138B4F-2C7D-4336-A7D0-EA401210C477}"/>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5862" y="4021258"/>
          <a:ext cx="360000" cy="360000"/>
        </a:xfrm>
        <a:prstGeom prst="rect">
          <a:avLst/>
        </a:prstGeom>
      </xdr:spPr>
    </xdr:pic>
    <xdr:clientData/>
  </xdr:twoCellAnchor>
  <xdr:twoCellAnchor editAs="oneCell">
    <xdr:from>
      <xdr:col>0</xdr:col>
      <xdr:colOff>158413</xdr:colOff>
      <xdr:row>22</xdr:row>
      <xdr:rowOff>22124</xdr:rowOff>
    </xdr:from>
    <xdr:to>
      <xdr:col>0</xdr:col>
      <xdr:colOff>515692</xdr:colOff>
      <xdr:row>24</xdr:row>
      <xdr:rowOff>59011</xdr:rowOff>
    </xdr:to>
    <xdr:pic>
      <xdr:nvPicPr>
        <xdr:cNvPr id="16" name="Kuva 15">
          <a:hlinkClick xmlns:r="http://schemas.openxmlformats.org/officeDocument/2006/relationships" r:id="rId11"/>
          <a:extLst>
            <a:ext uri="{FF2B5EF4-FFF2-40B4-BE49-F238E27FC236}">
              <a16:creationId xmlns:a16="http://schemas.microsoft.com/office/drawing/2014/main" id="{66C57688-5F80-439D-A566-3CC55D8382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8413" y="3611299"/>
          <a:ext cx="360000" cy="360000"/>
        </a:xfrm>
        <a:prstGeom prst="rect">
          <a:avLst/>
        </a:prstGeom>
      </xdr:spPr>
    </xdr:pic>
    <xdr:clientData/>
  </xdr:twoCellAnchor>
  <xdr:twoCellAnchor editAs="oneCell">
    <xdr:from>
      <xdr:col>0</xdr:col>
      <xdr:colOff>166135</xdr:colOff>
      <xdr:row>19</xdr:row>
      <xdr:rowOff>120538</xdr:rowOff>
    </xdr:from>
    <xdr:to>
      <xdr:col>0</xdr:col>
      <xdr:colOff>517945</xdr:colOff>
      <xdr:row>21</xdr:row>
      <xdr:rowOff>131845</xdr:rowOff>
    </xdr:to>
    <xdr:pic>
      <xdr:nvPicPr>
        <xdr:cNvPr id="22" name="Kuva 21">
          <a:hlinkClick xmlns:r="http://schemas.openxmlformats.org/officeDocument/2006/relationships" r:id="rId13"/>
          <a:extLst>
            <a:ext uri="{FF2B5EF4-FFF2-40B4-BE49-F238E27FC236}">
              <a16:creationId xmlns:a16="http://schemas.microsoft.com/office/drawing/2014/main" id="{6708BB22-90F3-4B2B-A113-8B45D33CE88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6135" y="3205860"/>
          <a:ext cx="358885" cy="360000"/>
        </a:xfrm>
        <a:prstGeom prst="rect">
          <a:avLst/>
        </a:prstGeom>
      </xdr:spPr>
    </xdr:pic>
    <xdr:clientData/>
  </xdr:twoCellAnchor>
  <xdr:twoCellAnchor editAs="oneCell">
    <xdr:from>
      <xdr:col>0</xdr:col>
      <xdr:colOff>157814</xdr:colOff>
      <xdr:row>17</xdr:row>
      <xdr:rowOff>62091</xdr:rowOff>
    </xdr:from>
    <xdr:to>
      <xdr:col>0</xdr:col>
      <xdr:colOff>533081</xdr:colOff>
      <xdr:row>19</xdr:row>
      <xdr:rowOff>93265</xdr:rowOff>
    </xdr:to>
    <xdr:pic>
      <xdr:nvPicPr>
        <xdr:cNvPr id="37" name="Kuva 36">
          <a:hlinkClick xmlns:r="http://schemas.openxmlformats.org/officeDocument/2006/relationships" r:id="rId5"/>
          <a:extLst>
            <a:ext uri="{FF2B5EF4-FFF2-40B4-BE49-F238E27FC236}">
              <a16:creationId xmlns:a16="http://schemas.microsoft.com/office/drawing/2014/main" id="{73924D1C-8FCC-49E1-B183-2C48CD98CA3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7814" y="2811512"/>
          <a:ext cx="375267" cy="360000"/>
        </a:xfrm>
        <a:prstGeom prst="rect">
          <a:avLst/>
        </a:prstGeom>
      </xdr:spPr>
    </xdr:pic>
    <xdr:clientData/>
  </xdr:twoCellAnchor>
  <xdr:twoCellAnchor editAs="oneCell">
    <xdr:from>
      <xdr:col>0</xdr:col>
      <xdr:colOff>162240</xdr:colOff>
      <xdr:row>15</xdr:row>
      <xdr:rowOff>2695</xdr:rowOff>
    </xdr:from>
    <xdr:to>
      <xdr:col>0</xdr:col>
      <xdr:colOff>514216</xdr:colOff>
      <xdr:row>17</xdr:row>
      <xdr:rowOff>21350</xdr:rowOff>
    </xdr:to>
    <xdr:pic>
      <xdr:nvPicPr>
        <xdr:cNvPr id="44" name="Kuva 43">
          <a:extLst>
            <a:ext uri="{FF2B5EF4-FFF2-40B4-BE49-F238E27FC236}">
              <a16:creationId xmlns:a16="http://schemas.microsoft.com/office/drawing/2014/main" id="{1E0F419A-A73B-4422-BA93-788135C5D76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2240" y="2416213"/>
          <a:ext cx="364766" cy="360000"/>
        </a:xfrm>
        <a:prstGeom prst="rect">
          <a:avLst/>
        </a:prstGeom>
      </xdr:spPr>
    </xdr:pic>
    <xdr:clientData/>
  </xdr:twoCellAnchor>
  <xdr:twoCellAnchor editAs="oneCell">
    <xdr:from>
      <xdr:col>0</xdr:col>
      <xdr:colOff>134838</xdr:colOff>
      <xdr:row>36</xdr:row>
      <xdr:rowOff>123454</xdr:rowOff>
    </xdr:from>
    <xdr:to>
      <xdr:col>0</xdr:col>
      <xdr:colOff>550082</xdr:colOff>
      <xdr:row>41</xdr:row>
      <xdr:rowOff>17601</xdr:rowOff>
    </xdr:to>
    <xdr:pic>
      <xdr:nvPicPr>
        <xdr:cNvPr id="57" name="Kuva 56" descr="Tulostin">
          <a:hlinkClick xmlns:r="http://schemas.openxmlformats.org/officeDocument/2006/relationships" r:id="rId17"/>
          <a:extLst>
            <a:ext uri="{FF2B5EF4-FFF2-40B4-BE49-F238E27FC236}">
              <a16:creationId xmlns:a16="http://schemas.microsoft.com/office/drawing/2014/main" id="{10AC6680-B895-4631-82E0-FA100F72512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34838" y="6060833"/>
          <a:ext cx="402726" cy="400722"/>
        </a:xfrm>
        <a:prstGeom prst="rect">
          <a:avLst/>
        </a:prstGeom>
      </xdr:spPr>
    </xdr:pic>
    <xdr:clientData/>
  </xdr:twoCellAnchor>
  <xdr:twoCellAnchor editAs="oneCell">
    <xdr:from>
      <xdr:col>6</xdr:col>
      <xdr:colOff>734198</xdr:colOff>
      <xdr:row>2</xdr:row>
      <xdr:rowOff>66261</xdr:rowOff>
    </xdr:from>
    <xdr:to>
      <xdr:col>7</xdr:col>
      <xdr:colOff>729750</xdr:colOff>
      <xdr:row>4</xdr:row>
      <xdr:rowOff>2840</xdr:rowOff>
    </xdr:to>
    <xdr:pic>
      <xdr:nvPicPr>
        <xdr:cNvPr id="3" name="Kuva 2">
          <a:extLst>
            <a:ext uri="{FF2B5EF4-FFF2-40B4-BE49-F238E27FC236}">
              <a16:creationId xmlns:a16="http://schemas.microsoft.com/office/drawing/2014/main" id="{8FE7D70D-694B-E483-524C-E98CE81DCA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142571" y="302907"/>
          <a:ext cx="781275" cy="288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18</xdr:col>
      <xdr:colOff>511084</xdr:colOff>
      <xdr:row>0</xdr:row>
      <xdr:rowOff>0</xdr:rowOff>
    </xdr:to>
    <xdr:pic>
      <xdr:nvPicPr>
        <xdr:cNvPr id="5503073" name="Kuva 12" descr="tulkki_vari2rivi.jpg">
          <a:extLst>
            <a:ext uri="{FF2B5EF4-FFF2-40B4-BE49-F238E27FC236}">
              <a16:creationId xmlns:a16="http://schemas.microsoft.com/office/drawing/2014/main" id="{00000000-0008-0000-0200-000061F85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147285</xdr:colOff>
      <xdr:row>28</xdr:row>
      <xdr:rowOff>137265</xdr:rowOff>
    </xdr:from>
    <xdr:to>
      <xdr:col>0</xdr:col>
      <xdr:colOff>513816</xdr:colOff>
      <xdr:row>30</xdr:row>
      <xdr:rowOff>135472</xdr:rowOff>
    </xdr:to>
    <xdr:pic>
      <xdr:nvPicPr>
        <xdr:cNvPr id="3" name="Kuva 2">
          <a:hlinkClick xmlns:r="http://schemas.openxmlformats.org/officeDocument/2006/relationships" r:id="rId2"/>
          <a:extLst>
            <a:ext uri="{FF2B5EF4-FFF2-40B4-BE49-F238E27FC236}">
              <a16:creationId xmlns:a16="http://schemas.microsoft.com/office/drawing/2014/main" id="{4FC233BF-7F4A-41F7-A722-535E2DFDF8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85" y="5512555"/>
          <a:ext cx="366531" cy="368088"/>
        </a:xfrm>
        <a:prstGeom prst="rect">
          <a:avLst/>
        </a:prstGeom>
      </xdr:spPr>
    </xdr:pic>
    <xdr:clientData/>
  </xdr:twoCellAnchor>
  <xdr:twoCellAnchor editAs="oneCell">
    <xdr:from>
      <xdr:col>0</xdr:col>
      <xdr:colOff>143539</xdr:colOff>
      <xdr:row>26</xdr:row>
      <xdr:rowOff>83480</xdr:rowOff>
    </xdr:from>
    <xdr:to>
      <xdr:col>0</xdr:col>
      <xdr:colOff>517690</xdr:colOff>
      <xdr:row>28</xdr:row>
      <xdr:rowOff>97198</xdr:rowOff>
    </xdr:to>
    <xdr:pic>
      <xdr:nvPicPr>
        <xdr:cNvPr id="5" name="Kuva 4">
          <a:hlinkClick xmlns:r="http://schemas.openxmlformats.org/officeDocument/2006/relationships" r:id="rId4"/>
          <a:extLst>
            <a:ext uri="{FF2B5EF4-FFF2-40B4-BE49-F238E27FC236}">
              <a16:creationId xmlns:a16="http://schemas.microsoft.com/office/drawing/2014/main" id="{8F45B8C4-A02E-4A8B-AF50-6CDFA0C79B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3539" y="5098416"/>
          <a:ext cx="366531" cy="379787"/>
        </a:xfrm>
        <a:prstGeom prst="rect">
          <a:avLst/>
        </a:prstGeom>
      </xdr:spPr>
    </xdr:pic>
    <xdr:clientData/>
  </xdr:twoCellAnchor>
  <xdr:twoCellAnchor editAs="oneCell">
    <xdr:from>
      <xdr:col>0</xdr:col>
      <xdr:colOff>154524</xdr:colOff>
      <xdr:row>22</xdr:row>
      <xdr:rowOff>128341</xdr:rowOff>
    </xdr:from>
    <xdr:to>
      <xdr:col>0</xdr:col>
      <xdr:colOff>510936</xdr:colOff>
      <xdr:row>24</xdr:row>
      <xdr:rowOff>133935</xdr:rowOff>
    </xdr:to>
    <xdr:pic>
      <xdr:nvPicPr>
        <xdr:cNvPr id="7" name="Kuva 6">
          <a:hlinkClick xmlns:r="http://schemas.openxmlformats.org/officeDocument/2006/relationships" r:id="rId6"/>
          <a:extLst>
            <a:ext uri="{FF2B5EF4-FFF2-40B4-BE49-F238E27FC236}">
              <a16:creationId xmlns:a16="http://schemas.microsoft.com/office/drawing/2014/main" id="{2456760A-0916-4BFE-92AE-56A8DC106D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4524" y="4302449"/>
          <a:ext cx="356412" cy="358329"/>
        </a:xfrm>
        <a:prstGeom prst="rect">
          <a:avLst/>
        </a:prstGeom>
      </xdr:spPr>
    </xdr:pic>
    <xdr:clientData/>
  </xdr:twoCellAnchor>
  <xdr:twoCellAnchor editAs="oneCell">
    <xdr:from>
      <xdr:col>0</xdr:col>
      <xdr:colOff>148355</xdr:colOff>
      <xdr:row>20</xdr:row>
      <xdr:rowOff>54890</xdr:rowOff>
    </xdr:from>
    <xdr:to>
      <xdr:col>0</xdr:col>
      <xdr:colOff>517064</xdr:colOff>
      <xdr:row>22</xdr:row>
      <xdr:rowOff>78444</xdr:rowOff>
    </xdr:to>
    <xdr:pic>
      <xdr:nvPicPr>
        <xdr:cNvPr id="8" name="Kuva 7">
          <a:hlinkClick xmlns:r="http://schemas.openxmlformats.org/officeDocument/2006/relationships" r:id="rId8"/>
          <a:extLst>
            <a:ext uri="{FF2B5EF4-FFF2-40B4-BE49-F238E27FC236}">
              <a16:creationId xmlns:a16="http://schemas.microsoft.com/office/drawing/2014/main" id="{83633D70-43D8-41F7-A74C-0AB42C7D7245}"/>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8355" y="3868644"/>
          <a:ext cx="361089" cy="383908"/>
        </a:xfrm>
        <a:prstGeom prst="rect">
          <a:avLst/>
        </a:prstGeom>
      </xdr:spPr>
    </xdr:pic>
    <xdr:clientData/>
  </xdr:twoCellAnchor>
  <xdr:twoCellAnchor editAs="oneCell">
    <xdr:from>
      <xdr:col>0</xdr:col>
      <xdr:colOff>169674</xdr:colOff>
      <xdr:row>17</xdr:row>
      <xdr:rowOff>172273</xdr:rowOff>
    </xdr:from>
    <xdr:to>
      <xdr:col>0</xdr:col>
      <xdr:colOff>511855</xdr:colOff>
      <xdr:row>20</xdr:row>
      <xdr:rowOff>467</xdr:rowOff>
    </xdr:to>
    <xdr:pic>
      <xdr:nvPicPr>
        <xdr:cNvPr id="9" name="Kuva 8">
          <a:hlinkClick xmlns:r="http://schemas.openxmlformats.org/officeDocument/2006/relationships" r:id="rId10"/>
          <a:extLst>
            <a:ext uri="{FF2B5EF4-FFF2-40B4-BE49-F238E27FC236}">
              <a16:creationId xmlns:a16="http://schemas.microsoft.com/office/drawing/2014/main" id="{BDA53ED6-A5EA-4A67-9718-59CDF6B08E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674" y="3445494"/>
          <a:ext cx="336466" cy="360000"/>
        </a:xfrm>
        <a:prstGeom prst="rect">
          <a:avLst/>
        </a:prstGeom>
      </xdr:spPr>
    </xdr:pic>
    <xdr:clientData/>
  </xdr:twoCellAnchor>
  <xdr:twoCellAnchor editAs="oneCell">
    <xdr:from>
      <xdr:col>0</xdr:col>
      <xdr:colOff>166135</xdr:colOff>
      <xdr:row>15</xdr:row>
      <xdr:rowOff>120538</xdr:rowOff>
    </xdr:from>
    <xdr:to>
      <xdr:col>0</xdr:col>
      <xdr:colOff>514135</xdr:colOff>
      <xdr:row>17</xdr:row>
      <xdr:rowOff>129940</xdr:rowOff>
    </xdr:to>
    <xdr:pic>
      <xdr:nvPicPr>
        <xdr:cNvPr id="10" name="Kuva 9">
          <a:hlinkClick xmlns:r="http://schemas.openxmlformats.org/officeDocument/2006/relationships" r:id="rId12"/>
          <a:extLst>
            <a:ext uri="{FF2B5EF4-FFF2-40B4-BE49-F238E27FC236}">
              <a16:creationId xmlns:a16="http://schemas.microsoft.com/office/drawing/2014/main" id="{40A95B40-EEC7-44E4-AF36-CB3C053BE0D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6135" y="3054238"/>
          <a:ext cx="348000" cy="350397"/>
        </a:xfrm>
        <a:prstGeom prst="rect">
          <a:avLst/>
        </a:prstGeom>
      </xdr:spPr>
    </xdr:pic>
    <xdr:clientData/>
  </xdr:twoCellAnchor>
  <xdr:twoCellAnchor editAs="oneCell">
    <xdr:from>
      <xdr:col>0</xdr:col>
      <xdr:colOff>119823</xdr:colOff>
      <xdr:row>30</xdr:row>
      <xdr:rowOff>191021</xdr:rowOff>
    </xdr:from>
    <xdr:to>
      <xdr:col>0</xdr:col>
      <xdr:colOff>554117</xdr:colOff>
      <xdr:row>33</xdr:row>
      <xdr:rowOff>96374</xdr:rowOff>
    </xdr:to>
    <xdr:pic>
      <xdr:nvPicPr>
        <xdr:cNvPr id="13" name="Kuva 12" descr="Tulostin">
          <a:hlinkClick xmlns:r="http://schemas.openxmlformats.org/officeDocument/2006/relationships" r:id="rId14"/>
          <a:extLst>
            <a:ext uri="{FF2B5EF4-FFF2-40B4-BE49-F238E27FC236}">
              <a16:creationId xmlns:a16="http://schemas.microsoft.com/office/drawing/2014/main" id="{C0A33616-304E-4976-8AD5-3BE779E7392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9823" y="5926667"/>
          <a:ext cx="419054" cy="397086"/>
        </a:xfrm>
        <a:prstGeom prst="rect">
          <a:avLst/>
        </a:prstGeom>
      </xdr:spPr>
    </xdr:pic>
    <xdr:clientData/>
  </xdr:twoCellAnchor>
  <xdr:oneCellAnchor>
    <xdr:from>
      <xdr:col>0</xdr:col>
      <xdr:colOff>160020</xdr:colOff>
      <xdr:row>11</xdr:row>
      <xdr:rowOff>0</xdr:rowOff>
    </xdr:from>
    <xdr:ext cx="360000" cy="360000"/>
    <xdr:pic>
      <xdr:nvPicPr>
        <xdr:cNvPr id="14" name="Kuva 13">
          <a:hlinkClick xmlns:r="http://schemas.openxmlformats.org/officeDocument/2006/relationships" r:id="rId17"/>
          <a:extLst>
            <a:ext uri="{FF2B5EF4-FFF2-40B4-BE49-F238E27FC236}">
              <a16:creationId xmlns:a16="http://schemas.microsoft.com/office/drawing/2014/main" id="{57611CBE-BEDA-48A2-8826-FF168D4A2E69}"/>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0020" y="2232660"/>
          <a:ext cx="360000" cy="360000"/>
        </a:xfrm>
        <a:prstGeom prst="rect">
          <a:avLst/>
        </a:prstGeom>
      </xdr:spPr>
    </xdr:pic>
    <xdr:clientData/>
  </xdr:oneCellAnchor>
  <xdr:twoCellAnchor editAs="oneCell">
    <xdr:from>
      <xdr:col>0</xdr:col>
      <xdr:colOff>153150</xdr:colOff>
      <xdr:row>13</xdr:row>
      <xdr:rowOff>54803</xdr:rowOff>
    </xdr:from>
    <xdr:to>
      <xdr:col>0</xdr:col>
      <xdr:colOff>517165</xdr:colOff>
      <xdr:row>15</xdr:row>
      <xdr:rowOff>55574</xdr:rowOff>
    </xdr:to>
    <xdr:pic>
      <xdr:nvPicPr>
        <xdr:cNvPr id="12" name="Kuva 11">
          <a:extLst>
            <a:ext uri="{FF2B5EF4-FFF2-40B4-BE49-F238E27FC236}">
              <a16:creationId xmlns:a16="http://schemas.microsoft.com/office/drawing/2014/main" id="{D3A45D40-0972-082D-74AA-8B9BA0F168A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3150" y="2607315"/>
          <a:ext cx="369730" cy="361126"/>
        </a:xfrm>
        <a:prstGeom prst="rect">
          <a:avLst/>
        </a:prstGeom>
      </xdr:spPr>
    </xdr:pic>
    <xdr:clientData/>
  </xdr:twoCellAnchor>
  <xdr:twoCellAnchor editAs="oneCell">
    <xdr:from>
      <xdr:col>0</xdr:col>
      <xdr:colOff>140387</xdr:colOff>
      <xdr:row>24</xdr:row>
      <xdr:rowOff>163287</xdr:rowOff>
    </xdr:from>
    <xdr:to>
      <xdr:col>0</xdr:col>
      <xdr:colOff>517737</xdr:colOff>
      <xdr:row>26</xdr:row>
      <xdr:rowOff>58991</xdr:rowOff>
    </xdr:to>
    <xdr:pic>
      <xdr:nvPicPr>
        <xdr:cNvPr id="16" name="Kuva 15">
          <a:extLst>
            <a:ext uri="{FF2B5EF4-FFF2-40B4-BE49-F238E27FC236}">
              <a16:creationId xmlns:a16="http://schemas.microsoft.com/office/drawing/2014/main" id="{6E904FE8-3867-B784-8FF8-9C18EE257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0387" y="4697750"/>
          <a:ext cx="369730" cy="360937"/>
        </a:xfrm>
        <a:prstGeom prst="rect">
          <a:avLst/>
        </a:prstGeom>
      </xdr:spPr>
    </xdr:pic>
    <xdr:clientData/>
  </xdr:twoCellAnchor>
  <xdr:twoCellAnchor editAs="oneCell">
    <xdr:from>
      <xdr:col>13</xdr:col>
      <xdr:colOff>337457</xdr:colOff>
      <xdr:row>1</xdr:row>
      <xdr:rowOff>34791</xdr:rowOff>
    </xdr:from>
    <xdr:to>
      <xdr:col>14</xdr:col>
      <xdr:colOff>796543</xdr:colOff>
      <xdr:row>2</xdr:row>
      <xdr:rowOff>157334</xdr:rowOff>
    </xdr:to>
    <xdr:pic>
      <xdr:nvPicPr>
        <xdr:cNvPr id="6" name="Kuva 5">
          <a:extLst>
            <a:ext uri="{FF2B5EF4-FFF2-40B4-BE49-F238E27FC236}">
              <a16:creationId xmlns:a16="http://schemas.microsoft.com/office/drawing/2014/main" id="{EDB7071C-00C9-F779-DD7F-859E61C30F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33214" y="421234"/>
          <a:ext cx="861858" cy="318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285750</xdr:colOff>
      <xdr:row>6</xdr:row>
      <xdr:rowOff>47625</xdr:rowOff>
    </xdr:from>
    <xdr:to>
      <xdr:col>7</xdr:col>
      <xdr:colOff>28575</xdr:colOff>
      <xdr:row>23</xdr:row>
      <xdr:rowOff>38100</xdr:rowOff>
    </xdr:to>
    <xdr:graphicFrame macro="">
      <xdr:nvGraphicFramePr>
        <xdr:cNvPr id="2" name="Kaavi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31</xdr:row>
      <xdr:rowOff>133350</xdr:rowOff>
    </xdr:from>
    <xdr:to>
      <xdr:col>7</xdr:col>
      <xdr:colOff>85725</xdr:colOff>
      <xdr:row>48</xdr:row>
      <xdr:rowOff>123825</xdr:rowOff>
    </xdr:to>
    <xdr:graphicFrame macro="">
      <xdr:nvGraphicFramePr>
        <xdr:cNvPr id="3" name="Kaavi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2540</xdr:colOff>
      <xdr:row>98</xdr:row>
      <xdr:rowOff>57150</xdr:rowOff>
    </xdr:from>
    <xdr:to>
      <xdr:col>7</xdr:col>
      <xdr:colOff>0</xdr:colOff>
      <xdr:row>100</xdr:row>
      <xdr:rowOff>16328</xdr:rowOff>
    </xdr:to>
    <xdr:sp macro="" textlink="">
      <xdr:nvSpPr>
        <xdr:cNvPr id="36" name="Pyöristetty suorakulmio 3">
          <a:extLst>
            <a:ext uri="{FF2B5EF4-FFF2-40B4-BE49-F238E27FC236}">
              <a16:creationId xmlns:a16="http://schemas.microsoft.com/office/drawing/2014/main" id="{00000000-0008-0000-0300-000024000000}"/>
            </a:ext>
          </a:extLst>
        </xdr:cNvPr>
        <xdr:cNvSpPr/>
      </xdr:nvSpPr>
      <xdr:spPr>
        <a:xfrm>
          <a:off x="813526" y="15672707"/>
          <a:ext cx="4335417" cy="274864"/>
        </a:xfrm>
        <a:prstGeom prst="roundRect">
          <a:avLst/>
        </a:prstGeom>
        <a:solidFill>
          <a:srgbClr val="FFC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lIns="36000" tIns="36000" rIns="36000" bIns="72000" rtlCol="0" anchor="ctr"/>
        <a:lstStyle/>
        <a:p>
          <a:pPr algn="ctr"/>
          <a:r>
            <a:rPr lang="fi-FI" sz="1100" b="1" i="0">
              <a:solidFill>
                <a:schemeClr val="dk1"/>
              </a:solidFill>
              <a:effectLst/>
              <a:latin typeface="+mn-lt"/>
              <a:ea typeface="+mn-ea"/>
              <a:cs typeface="+mn-cs"/>
            </a:rPr>
            <a:t>OM SEMESTERLÖNERESERVERING INTE GÖRS</a:t>
          </a:r>
          <a:r>
            <a:rPr lang="fi-FI" sz="1100" b="1" i="0" baseline="0">
              <a:solidFill>
                <a:schemeClr val="dk1"/>
              </a:solidFill>
              <a:effectLst/>
              <a:latin typeface="+mn-lt"/>
              <a:ea typeface="+mn-ea"/>
              <a:cs typeface="+mn-cs"/>
            </a:rPr>
            <a:t>, SKRIV RADEN 93 = 0</a:t>
          </a:r>
          <a:endParaRPr lang="fi-FI">
            <a:effectLst/>
          </a:endParaRPr>
        </a:p>
      </xdr:txBody>
    </xdr:sp>
    <xdr:clientData fPrintsWithSheet="0"/>
  </xdr:twoCellAnchor>
  <xdr:oneCellAnchor>
    <xdr:from>
      <xdr:col>0</xdr:col>
      <xdr:colOff>225028</xdr:colOff>
      <xdr:row>13</xdr:row>
      <xdr:rowOff>9156</xdr:rowOff>
    </xdr:from>
    <xdr:ext cx="360000" cy="360000"/>
    <xdr:pic>
      <xdr:nvPicPr>
        <xdr:cNvPr id="53" name="Kuva 52">
          <a:hlinkClick xmlns:r="http://schemas.openxmlformats.org/officeDocument/2006/relationships" r:id="rId1"/>
          <a:extLst>
            <a:ext uri="{FF2B5EF4-FFF2-40B4-BE49-F238E27FC236}">
              <a16:creationId xmlns:a16="http://schemas.microsoft.com/office/drawing/2014/main" id="{A05A6A82-F14D-4720-9A86-273436096B2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028" y="2114764"/>
          <a:ext cx="360000" cy="360000"/>
        </a:xfrm>
        <a:prstGeom prst="rect">
          <a:avLst/>
        </a:prstGeom>
      </xdr:spPr>
    </xdr:pic>
    <xdr:clientData/>
  </xdr:oneCellAnchor>
  <xdr:oneCellAnchor>
    <xdr:from>
      <xdr:col>0</xdr:col>
      <xdr:colOff>219775</xdr:colOff>
      <xdr:row>20</xdr:row>
      <xdr:rowOff>102576</xdr:rowOff>
    </xdr:from>
    <xdr:ext cx="360000" cy="360000"/>
    <xdr:pic>
      <xdr:nvPicPr>
        <xdr:cNvPr id="55" name="Kuva 54">
          <a:hlinkClick xmlns:r="http://schemas.openxmlformats.org/officeDocument/2006/relationships" r:id="rId3"/>
          <a:extLst>
            <a:ext uri="{FF2B5EF4-FFF2-40B4-BE49-F238E27FC236}">
              <a16:creationId xmlns:a16="http://schemas.microsoft.com/office/drawing/2014/main" id="{7001592F-737A-4092-9C67-93ED6C40904A}"/>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775" y="3318527"/>
          <a:ext cx="360000" cy="360000"/>
        </a:xfrm>
        <a:prstGeom prst="rect">
          <a:avLst/>
        </a:prstGeom>
      </xdr:spPr>
    </xdr:pic>
    <xdr:clientData/>
  </xdr:oneCellAnchor>
  <xdr:oneCellAnchor>
    <xdr:from>
      <xdr:col>0</xdr:col>
      <xdr:colOff>212854</xdr:colOff>
      <xdr:row>18</xdr:row>
      <xdr:rowOff>15089</xdr:rowOff>
    </xdr:from>
    <xdr:ext cx="360000" cy="360000"/>
    <xdr:pic>
      <xdr:nvPicPr>
        <xdr:cNvPr id="56" name="Kuva 55">
          <a:hlinkClick xmlns:r="http://schemas.openxmlformats.org/officeDocument/2006/relationships" r:id="rId5"/>
          <a:extLst>
            <a:ext uri="{FF2B5EF4-FFF2-40B4-BE49-F238E27FC236}">
              <a16:creationId xmlns:a16="http://schemas.microsoft.com/office/drawing/2014/main" id="{A56DB1F8-90D1-4019-8FC2-415B1F235287}"/>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2854" y="2913799"/>
          <a:ext cx="360000" cy="360000"/>
        </a:xfrm>
        <a:prstGeom prst="rect">
          <a:avLst/>
        </a:prstGeom>
      </xdr:spPr>
    </xdr:pic>
    <xdr:clientData/>
  </xdr:oneCellAnchor>
  <xdr:oneCellAnchor>
    <xdr:from>
      <xdr:col>0</xdr:col>
      <xdr:colOff>219804</xdr:colOff>
      <xdr:row>23</xdr:row>
      <xdr:rowOff>23521</xdr:rowOff>
    </xdr:from>
    <xdr:ext cx="360000" cy="360000"/>
    <xdr:pic>
      <xdr:nvPicPr>
        <xdr:cNvPr id="57" name="Kuva 56">
          <a:hlinkClick xmlns:r="http://schemas.openxmlformats.org/officeDocument/2006/relationships" r:id="rId7"/>
          <a:extLst>
            <a:ext uri="{FF2B5EF4-FFF2-40B4-BE49-F238E27FC236}">
              <a16:creationId xmlns:a16="http://schemas.microsoft.com/office/drawing/2014/main" id="{4D925B4D-874C-474B-8C28-0E2DBFF9E477}"/>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9804" y="3715333"/>
          <a:ext cx="360000" cy="360000"/>
        </a:xfrm>
        <a:prstGeom prst="rect">
          <a:avLst/>
        </a:prstGeom>
      </xdr:spPr>
    </xdr:pic>
    <xdr:clientData/>
  </xdr:oneCellAnchor>
  <xdr:oneCellAnchor>
    <xdr:from>
      <xdr:col>0</xdr:col>
      <xdr:colOff>220719</xdr:colOff>
      <xdr:row>10</xdr:row>
      <xdr:rowOff>75214</xdr:rowOff>
    </xdr:from>
    <xdr:ext cx="360000" cy="360000"/>
    <xdr:pic>
      <xdr:nvPicPr>
        <xdr:cNvPr id="58" name="Kuva 57">
          <a:hlinkClick xmlns:r="http://schemas.openxmlformats.org/officeDocument/2006/relationships" r:id="rId9"/>
          <a:extLst>
            <a:ext uri="{FF2B5EF4-FFF2-40B4-BE49-F238E27FC236}">
              <a16:creationId xmlns:a16="http://schemas.microsoft.com/office/drawing/2014/main" id="{DD919E59-062D-4999-AE36-7EFC522D2A68}"/>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0719" y="1696810"/>
          <a:ext cx="360000" cy="360000"/>
        </a:xfrm>
        <a:prstGeom prst="rect">
          <a:avLst/>
        </a:prstGeom>
      </xdr:spPr>
    </xdr:pic>
    <xdr:clientData/>
  </xdr:oneCellAnchor>
  <xdr:oneCellAnchor>
    <xdr:from>
      <xdr:col>0</xdr:col>
      <xdr:colOff>211221</xdr:colOff>
      <xdr:row>15</xdr:row>
      <xdr:rowOff>84223</xdr:rowOff>
    </xdr:from>
    <xdr:ext cx="373090" cy="360000"/>
    <xdr:pic>
      <xdr:nvPicPr>
        <xdr:cNvPr id="59" name="Kuva 58">
          <a:extLst>
            <a:ext uri="{FF2B5EF4-FFF2-40B4-BE49-F238E27FC236}">
              <a16:creationId xmlns:a16="http://schemas.microsoft.com/office/drawing/2014/main" id="{93EBB33B-C495-45E0-8EA5-26DE582F52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1221" y="2507072"/>
          <a:ext cx="373090" cy="360000"/>
        </a:xfrm>
        <a:prstGeom prst="rect">
          <a:avLst/>
        </a:prstGeom>
      </xdr:spPr>
    </xdr:pic>
    <xdr:clientData/>
  </xdr:oneCellAnchor>
  <xdr:twoCellAnchor>
    <xdr:from>
      <xdr:col>0</xdr:col>
      <xdr:colOff>223552</xdr:colOff>
      <xdr:row>30</xdr:row>
      <xdr:rowOff>112388</xdr:rowOff>
    </xdr:from>
    <xdr:to>
      <xdr:col>0</xdr:col>
      <xdr:colOff>583552</xdr:colOff>
      <xdr:row>32</xdr:row>
      <xdr:rowOff>158043</xdr:rowOff>
    </xdr:to>
    <xdr:pic>
      <xdr:nvPicPr>
        <xdr:cNvPr id="61" name="Kuva 60">
          <a:hlinkClick xmlns:r="http://schemas.openxmlformats.org/officeDocument/2006/relationships" r:id="rId12"/>
          <a:extLst>
            <a:ext uri="{FF2B5EF4-FFF2-40B4-BE49-F238E27FC236}">
              <a16:creationId xmlns:a16="http://schemas.microsoft.com/office/drawing/2014/main" id="{87D4A36C-0A70-4242-A2BC-4F7152BC3476}"/>
            </a:ext>
          </a:extLst>
        </xdr:cNvPr>
        <xdr:cNvPicPr preferRelativeResize="0">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3552" y="4914543"/>
          <a:ext cx="360000" cy="362896"/>
        </a:xfrm>
        <a:prstGeom prst="rect">
          <a:avLst/>
        </a:prstGeom>
      </xdr:spPr>
    </xdr:pic>
    <xdr:clientData/>
  </xdr:twoCellAnchor>
  <xdr:oneCellAnchor>
    <xdr:from>
      <xdr:col>0</xdr:col>
      <xdr:colOff>192216</xdr:colOff>
      <xdr:row>33</xdr:row>
      <xdr:rowOff>17454</xdr:rowOff>
    </xdr:from>
    <xdr:ext cx="415158" cy="417431"/>
    <xdr:pic>
      <xdr:nvPicPr>
        <xdr:cNvPr id="63" name="Kuva 62" descr="Tulostin">
          <a:hlinkClick xmlns:r="http://schemas.openxmlformats.org/officeDocument/2006/relationships" r:id="rId14"/>
          <a:extLst>
            <a:ext uri="{FF2B5EF4-FFF2-40B4-BE49-F238E27FC236}">
              <a16:creationId xmlns:a16="http://schemas.microsoft.com/office/drawing/2014/main" id="{9055F567-F01E-4B73-9D99-154B9E21B4E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92216" y="5295471"/>
          <a:ext cx="415158" cy="417431"/>
        </a:xfrm>
        <a:prstGeom prst="rect">
          <a:avLst/>
        </a:prstGeom>
      </xdr:spPr>
    </xdr:pic>
    <xdr:clientData/>
  </xdr:oneCellAnchor>
  <xdr:twoCellAnchor>
    <xdr:from>
      <xdr:col>0</xdr:col>
      <xdr:colOff>218686</xdr:colOff>
      <xdr:row>25</xdr:row>
      <xdr:rowOff>110413</xdr:rowOff>
    </xdr:from>
    <xdr:to>
      <xdr:col>0</xdr:col>
      <xdr:colOff>578686</xdr:colOff>
      <xdr:row>27</xdr:row>
      <xdr:rowOff>155102</xdr:rowOff>
    </xdr:to>
    <xdr:pic>
      <xdr:nvPicPr>
        <xdr:cNvPr id="28" name="Kuva 27">
          <a:hlinkClick xmlns:r="http://schemas.openxmlformats.org/officeDocument/2006/relationships" r:id="rId1"/>
          <a:extLst>
            <a:ext uri="{FF2B5EF4-FFF2-40B4-BE49-F238E27FC236}">
              <a16:creationId xmlns:a16="http://schemas.microsoft.com/office/drawing/2014/main" id="{E806157D-3CC8-4501-9CE6-F310D84C2481}"/>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8686" y="4119466"/>
          <a:ext cx="360000" cy="361930"/>
        </a:xfrm>
        <a:prstGeom prst="rect">
          <a:avLst/>
        </a:prstGeom>
      </xdr:spPr>
    </xdr:pic>
    <xdr:clientData/>
  </xdr:twoCellAnchor>
  <xdr:twoCellAnchor editAs="oneCell">
    <xdr:from>
      <xdr:col>0</xdr:col>
      <xdr:colOff>213360</xdr:colOff>
      <xdr:row>28</xdr:row>
      <xdr:rowOff>38100</xdr:rowOff>
    </xdr:from>
    <xdr:to>
      <xdr:col>0</xdr:col>
      <xdr:colOff>588328</xdr:colOff>
      <xdr:row>30</xdr:row>
      <xdr:rowOff>54508</xdr:rowOff>
    </xdr:to>
    <xdr:pic>
      <xdr:nvPicPr>
        <xdr:cNvPr id="2" name="Kuva 1">
          <a:hlinkClick xmlns:r="http://schemas.openxmlformats.org/officeDocument/2006/relationships" r:id="rId18"/>
          <a:extLst>
            <a:ext uri="{FF2B5EF4-FFF2-40B4-BE49-F238E27FC236}">
              <a16:creationId xmlns:a16="http://schemas.microsoft.com/office/drawing/2014/main" id="{2C340B6E-1139-4EFC-90B5-05D014B210D7}"/>
            </a:ext>
          </a:extLst>
        </xdr:cNvPr>
        <xdr:cNvPicPr preferRelativeResize="0">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 y="4501243"/>
          <a:ext cx="374968" cy="332094"/>
        </a:xfrm>
        <a:prstGeom prst="rect">
          <a:avLst/>
        </a:prstGeom>
      </xdr:spPr>
    </xdr:pic>
    <xdr:clientData/>
  </xdr:twoCellAnchor>
  <xdr:twoCellAnchor editAs="oneCell">
    <xdr:from>
      <xdr:col>9</xdr:col>
      <xdr:colOff>615043</xdr:colOff>
      <xdr:row>2</xdr:row>
      <xdr:rowOff>132764</xdr:rowOff>
    </xdr:from>
    <xdr:to>
      <xdr:col>10</xdr:col>
      <xdr:colOff>676801</xdr:colOff>
      <xdr:row>4</xdr:row>
      <xdr:rowOff>135565</xdr:rowOff>
    </xdr:to>
    <xdr:pic>
      <xdr:nvPicPr>
        <xdr:cNvPr id="5" name="Kuva 4">
          <a:extLst>
            <a:ext uri="{FF2B5EF4-FFF2-40B4-BE49-F238E27FC236}">
              <a16:creationId xmlns:a16="http://schemas.microsoft.com/office/drawing/2014/main" id="{DDB57A21-87FB-D167-FE41-D39C1DC008A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64186" y="486550"/>
          <a:ext cx="861858" cy="3184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157691</xdr:colOff>
      <xdr:row>40</xdr:row>
      <xdr:rowOff>7901</xdr:rowOff>
    </xdr:from>
    <xdr:to>
      <xdr:col>0</xdr:col>
      <xdr:colOff>517691</xdr:colOff>
      <xdr:row>42</xdr:row>
      <xdr:rowOff>76917</xdr:rowOff>
    </xdr:to>
    <xdr:pic>
      <xdr:nvPicPr>
        <xdr:cNvPr id="48" name="Kuva 47" descr="Tulostin">
          <a:hlinkClick xmlns:r="http://schemas.openxmlformats.org/officeDocument/2006/relationships" r:id="rId1"/>
          <a:extLst>
            <a:ext uri="{FF2B5EF4-FFF2-40B4-BE49-F238E27FC236}">
              <a16:creationId xmlns:a16="http://schemas.microsoft.com/office/drawing/2014/main" id="{2F009E7E-719B-472F-B652-BAAED12604B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691" y="6365158"/>
          <a:ext cx="360000" cy="362930"/>
        </a:xfrm>
        <a:prstGeom prst="rect">
          <a:avLst/>
        </a:prstGeom>
      </xdr:spPr>
    </xdr:pic>
    <xdr:clientData/>
  </xdr:twoCellAnchor>
  <xdr:twoCellAnchor>
    <xdr:from>
      <xdr:col>0</xdr:col>
      <xdr:colOff>163288</xdr:colOff>
      <xdr:row>38</xdr:row>
      <xdr:rowOff>28707</xdr:rowOff>
    </xdr:from>
    <xdr:to>
      <xdr:col>0</xdr:col>
      <xdr:colOff>523288</xdr:colOff>
      <xdr:row>39</xdr:row>
      <xdr:rowOff>198207</xdr:rowOff>
    </xdr:to>
    <xdr:pic>
      <xdr:nvPicPr>
        <xdr:cNvPr id="16" name="Kuva 15">
          <a:hlinkClick xmlns:r="http://schemas.openxmlformats.org/officeDocument/2006/relationships" r:id="rId4"/>
          <a:extLst>
            <a:ext uri="{FF2B5EF4-FFF2-40B4-BE49-F238E27FC236}">
              <a16:creationId xmlns:a16="http://schemas.microsoft.com/office/drawing/2014/main" id="{BAC397E2-3280-4EF3-9754-56F113DEB692}"/>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288" y="5966864"/>
          <a:ext cx="360000" cy="360000"/>
        </a:xfrm>
        <a:prstGeom prst="rect">
          <a:avLst/>
        </a:prstGeom>
      </xdr:spPr>
    </xdr:pic>
    <xdr:clientData/>
  </xdr:twoCellAnchor>
  <xdr:twoCellAnchor>
    <xdr:from>
      <xdr:col>0</xdr:col>
      <xdr:colOff>165858</xdr:colOff>
      <xdr:row>35</xdr:row>
      <xdr:rowOff>93577</xdr:rowOff>
    </xdr:from>
    <xdr:to>
      <xdr:col>0</xdr:col>
      <xdr:colOff>525858</xdr:colOff>
      <xdr:row>38</xdr:row>
      <xdr:rowOff>15217</xdr:rowOff>
    </xdr:to>
    <xdr:pic>
      <xdr:nvPicPr>
        <xdr:cNvPr id="17" name="Kuva 16">
          <a:hlinkClick xmlns:r="http://schemas.openxmlformats.org/officeDocument/2006/relationships" r:id="rId6"/>
          <a:extLst>
            <a:ext uri="{FF2B5EF4-FFF2-40B4-BE49-F238E27FC236}">
              <a16:creationId xmlns:a16="http://schemas.microsoft.com/office/drawing/2014/main" id="{C6137E18-BD96-4B55-A88B-9657413E98F8}"/>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5858" y="5666225"/>
          <a:ext cx="360000" cy="361256"/>
        </a:xfrm>
        <a:prstGeom prst="rect">
          <a:avLst/>
        </a:prstGeom>
      </xdr:spPr>
    </xdr:pic>
    <xdr:clientData/>
  </xdr:twoCellAnchor>
  <xdr:twoCellAnchor>
    <xdr:from>
      <xdr:col>0</xdr:col>
      <xdr:colOff>161729</xdr:colOff>
      <xdr:row>32</xdr:row>
      <xdr:rowOff>144696</xdr:rowOff>
    </xdr:from>
    <xdr:to>
      <xdr:col>0</xdr:col>
      <xdr:colOff>521729</xdr:colOff>
      <xdr:row>35</xdr:row>
      <xdr:rowOff>76963</xdr:rowOff>
    </xdr:to>
    <xdr:pic>
      <xdr:nvPicPr>
        <xdr:cNvPr id="18" name="Kuva 17">
          <a:hlinkClick xmlns:r="http://schemas.openxmlformats.org/officeDocument/2006/relationships" r:id="rId8"/>
          <a:extLst>
            <a:ext uri="{FF2B5EF4-FFF2-40B4-BE49-F238E27FC236}">
              <a16:creationId xmlns:a16="http://schemas.microsoft.com/office/drawing/2014/main" id="{7F6A351D-0846-441B-9FFA-F8CA90E69D1A}"/>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729" y="5277729"/>
          <a:ext cx="360000" cy="371882"/>
        </a:xfrm>
        <a:prstGeom prst="rect">
          <a:avLst/>
        </a:prstGeom>
      </xdr:spPr>
    </xdr:pic>
    <xdr:clientData/>
  </xdr:twoCellAnchor>
  <xdr:twoCellAnchor>
    <xdr:from>
      <xdr:col>0</xdr:col>
      <xdr:colOff>167130</xdr:colOff>
      <xdr:row>30</xdr:row>
      <xdr:rowOff>67406</xdr:rowOff>
    </xdr:from>
    <xdr:to>
      <xdr:col>0</xdr:col>
      <xdr:colOff>527130</xdr:colOff>
      <xdr:row>32</xdr:row>
      <xdr:rowOff>145319</xdr:rowOff>
    </xdr:to>
    <xdr:pic>
      <xdr:nvPicPr>
        <xdr:cNvPr id="19" name="Kuva 18">
          <a:hlinkClick xmlns:r="http://schemas.openxmlformats.org/officeDocument/2006/relationships" r:id="rId10"/>
          <a:extLst>
            <a:ext uri="{FF2B5EF4-FFF2-40B4-BE49-F238E27FC236}">
              <a16:creationId xmlns:a16="http://schemas.microsoft.com/office/drawing/2014/main" id="{27AA2B1D-594A-44F7-B56E-EBEE1FB24D57}"/>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7130" y="4907362"/>
          <a:ext cx="360000" cy="370990"/>
        </a:xfrm>
        <a:prstGeom prst="rect">
          <a:avLst/>
        </a:prstGeom>
      </xdr:spPr>
    </xdr:pic>
    <xdr:clientData/>
  </xdr:twoCellAnchor>
  <xdr:twoCellAnchor>
    <xdr:from>
      <xdr:col>0</xdr:col>
      <xdr:colOff>167869</xdr:colOff>
      <xdr:row>27</xdr:row>
      <xdr:rowOff>134685</xdr:rowOff>
    </xdr:from>
    <xdr:to>
      <xdr:col>0</xdr:col>
      <xdr:colOff>527869</xdr:colOff>
      <xdr:row>30</xdr:row>
      <xdr:rowOff>61978</xdr:rowOff>
    </xdr:to>
    <xdr:pic>
      <xdr:nvPicPr>
        <xdr:cNvPr id="20" name="Kuva 19">
          <a:hlinkClick xmlns:r="http://schemas.openxmlformats.org/officeDocument/2006/relationships" r:id="rId12"/>
          <a:extLst>
            <a:ext uri="{FF2B5EF4-FFF2-40B4-BE49-F238E27FC236}">
              <a16:creationId xmlns:a16="http://schemas.microsoft.com/office/drawing/2014/main" id="{D5F7C226-326B-4A7B-BFD1-31D94F169ED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7869" y="4527071"/>
          <a:ext cx="360000" cy="368164"/>
        </a:xfrm>
        <a:prstGeom prst="rect">
          <a:avLst/>
        </a:prstGeom>
      </xdr:spPr>
    </xdr:pic>
    <xdr:clientData/>
  </xdr:twoCellAnchor>
  <xdr:twoCellAnchor>
    <xdr:from>
      <xdr:col>0</xdr:col>
      <xdr:colOff>160880</xdr:colOff>
      <xdr:row>25</xdr:row>
      <xdr:rowOff>58930</xdr:rowOff>
    </xdr:from>
    <xdr:to>
      <xdr:col>0</xdr:col>
      <xdr:colOff>520880</xdr:colOff>
      <xdr:row>27</xdr:row>
      <xdr:rowOff>133179</xdr:rowOff>
    </xdr:to>
    <xdr:pic>
      <xdr:nvPicPr>
        <xdr:cNvPr id="21" name="Kuva 20">
          <a:extLst>
            <a:ext uri="{FF2B5EF4-FFF2-40B4-BE49-F238E27FC236}">
              <a16:creationId xmlns:a16="http://schemas.microsoft.com/office/drawing/2014/main" id="{4F51FA2E-D15D-4BA5-9BA1-417237CCC496}"/>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0880" y="4157401"/>
          <a:ext cx="360000" cy="368164"/>
        </a:xfrm>
        <a:prstGeom prst="rect">
          <a:avLst/>
        </a:prstGeom>
      </xdr:spPr>
    </xdr:pic>
    <xdr:clientData/>
  </xdr:twoCellAnchor>
  <xdr:twoCellAnchor>
    <xdr:from>
      <xdr:col>0</xdr:col>
      <xdr:colOff>168983</xdr:colOff>
      <xdr:row>22</xdr:row>
      <xdr:rowOff>146565</xdr:rowOff>
    </xdr:from>
    <xdr:to>
      <xdr:col>0</xdr:col>
      <xdr:colOff>528983</xdr:colOff>
      <xdr:row>25</xdr:row>
      <xdr:rowOff>54808</xdr:rowOff>
    </xdr:to>
    <xdr:pic>
      <xdr:nvPicPr>
        <xdr:cNvPr id="22" name="Kuva 21">
          <a:hlinkClick xmlns:r="http://schemas.openxmlformats.org/officeDocument/2006/relationships" r:id="rId15"/>
          <a:extLst>
            <a:ext uri="{FF2B5EF4-FFF2-40B4-BE49-F238E27FC236}">
              <a16:creationId xmlns:a16="http://schemas.microsoft.com/office/drawing/2014/main" id="{D053A9F9-8B3A-48FC-8F45-8D368E88DF4A}"/>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8983" y="3793279"/>
          <a:ext cx="360000" cy="360000"/>
        </a:xfrm>
        <a:prstGeom prst="rect">
          <a:avLst/>
        </a:prstGeom>
      </xdr:spPr>
    </xdr:pic>
    <xdr:clientData/>
  </xdr:twoCellAnchor>
  <xdr:twoCellAnchor>
    <xdr:from>
      <xdr:col>0</xdr:col>
      <xdr:colOff>167370</xdr:colOff>
      <xdr:row>21</xdr:row>
      <xdr:rowOff>5733</xdr:rowOff>
    </xdr:from>
    <xdr:to>
      <xdr:col>0</xdr:col>
      <xdr:colOff>527370</xdr:colOff>
      <xdr:row>22</xdr:row>
      <xdr:rowOff>137133</xdr:rowOff>
    </xdr:to>
    <xdr:pic>
      <xdr:nvPicPr>
        <xdr:cNvPr id="23" name="Kuva 22">
          <a:hlinkClick xmlns:r="http://schemas.openxmlformats.org/officeDocument/2006/relationships" r:id="rId8"/>
          <a:extLst>
            <a:ext uri="{FF2B5EF4-FFF2-40B4-BE49-F238E27FC236}">
              <a16:creationId xmlns:a16="http://schemas.microsoft.com/office/drawing/2014/main" id="{C4F05256-763C-4865-A9AE-7597F0923B1A}"/>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7370" y="3423847"/>
          <a:ext cx="360000" cy="360000"/>
        </a:xfrm>
        <a:prstGeom prst="rect">
          <a:avLst/>
        </a:prstGeom>
      </xdr:spPr>
    </xdr:pic>
    <xdr:clientData/>
  </xdr:twoCellAnchor>
  <xdr:twoCellAnchor>
    <xdr:from>
      <xdr:col>0</xdr:col>
      <xdr:colOff>174690</xdr:colOff>
      <xdr:row>18</xdr:row>
      <xdr:rowOff>166008</xdr:rowOff>
    </xdr:from>
    <xdr:to>
      <xdr:col>0</xdr:col>
      <xdr:colOff>534690</xdr:colOff>
      <xdr:row>20</xdr:row>
      <xdr:rowOff>145008</xdr:rowOff>
    </xdr:to>
    <xdr:pic>
      <xdr:nvPicPr>
        <xdr:cNvPr id="24" name="Kuva 23">
          <a:hlinkClick xmlns:r="http://schemas.openxmlformats.org/officeDocument/2006/relationships" r:id="rId18"/>
          <a:extLst>
            <a:ext uri="{FF2B5EF4-FFF2-40B4-BE49-F238E27FC236}">
              <a16:creationId xmlns:a16="http://schemas.microsoft.com/office/drawing/2014/main" id="{2A3B2C25-BF65-4ACF-B6B8-1B063C34230E}"/>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74690" y="3056165"/>
          <a:ext cx="360000" cy="360000"/>
        </a:xfrm>
        <a:prstGeom prst="rect">
          <a:avLst/>
        </a:prstGeom>
      </xdr:spPr>
    </xdr:pic>
    <xdr:clientData/>
  </xdr:twoCellAnchor>
  <xdr:twoCellAnchor editAs="oneCell">
    <xdr:from>
      <xdr:col>15</xdr:col>
      <xdr:colOff>315686</xdr:colOff>
      <xdr:row>1</xdr:row>
      <xdr:rowOff>95493</xdr:rowOff>
    </xdr:from>
    <xdr:to>
      <xdr:col>16</xdr:col>
      <xdr:colOff>578829</xdr:colOff>
      <xdr:row>3</xdr:row>
      <xdr:rowOff>157336</xdr:rowOff>
    </xdr:to>
    <xdr:pic>
      <xdr:nvPicPr>
        <xdr:cNvPr id="4" name="Kuva 3">
          <a:extLst>
            <a:ext uri="{FF2B5EF4-FFF2-40B4-BE49-F238E27FC236}">
              <a16:creationId xmlns:a16="http://schemas.microsoft.com/office/drawing/2014/main" id="{2B4B4F8D-FC36-1CB9-E6F3-971874C3C02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0529" y="264222"/>
          <a:ext cx="889072" cy="328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8166</xdr:colOff>
      <xdr:row>10</xdr:row>
      <xdr:rowOff>43545</xdr:rowOff>
    </xdr:from>
    <xdr:to>
      <xdr:col>5</xdr:col>
      <xdr:colOff>6805</xdr:colOff>
      <xdr:row>43</xdr:row>
      <xdr:rowOff>20682</xdr:rowOff>
    </xdr:to>
    <xdr:sp macro="" textlink="">
      <xdr:nvSpPr>
        <xdr:cNvPr id="3" name="Tekstiruutu 2">
          <a:extLst>
            <a:ext uri="{FF2B5EF4-FFF2-40B4-BE49-F238E27FC236}">
              <a16:creationId xmlns:a16="http://schemas.microsoft.com/office/drawing/2014/main" id="{00000000-0008-0000-0900-000003000000}"/>
            </a:ext>
          </a:extLst>
        </xdr:cNvPr>
        <xdr:cNvSpPr txBox="1"/>
      </xdr:nvSpPr>
      <xdr:spPr>
        <a:xfrm>
          <a:off x="3535137" y="2008416"/>
          <a:ext cx="1141639" cy="5724795"/>
        </a:xfrm>
        <a:prstGeom prst="rect">
          <a:avLst/>
        </a:prstGeom>
        <a:solidFill>
          <a:srgbClr val="FFC000">
            <a:alpha val="7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bIns="0" rtlCol="0" anchor="ctr"/>
        <a:lstStyle/>
        <a:p>
          <a:r>
            <a:rPr lang="fi-FI" sz="1100">
              <a:solidFill>
                <a:schemeClr val="dk1"/>
              </a:solidFill>
              <a:effectLst/>
              <a:latin typeface="+mn-lt"/>
              <a:ea typeface="+mn-ea"/>
              <a:cs typeface="+mn-cs"/>
            </a:rPr>
            <a:t>Personalkost-naderna under</a:t>
          </a:r>
          <a:r>
            <a:rPr lang="fi-FI" sz="1100" baseline="0">
              <a:solidFill>
                <a:schemeClr val="dk1"/>
              </a:solidFill>
              <a:effectLst/>
              <a:latin typeface="+mn-lt"/>
              <a:ea typeface="+mn-ea"/>
              <a:cs typeface="+mn-cs"/>
            </a:rPr>
            <a:t> realiserade räkenskaps-perioden behövs inte specificera.</a:t>
          </a:r>
          <a:r>
            <a:rPr lang="fi-FI" sz="1100">
              <a:solidFill>
                <a:schemeClr val="dk1"/>
              </a:solidFill>
              <a:effectLst/>
              <a:latin typeface="+mn-lt"/>
              <a:ea typeface="+mn-ea"/>
              <a:cs typeface="+mn-cs"/>
            </a:rPr>
            <a:t> Personalkost-naderna skrivs sammanlagt</a:t>
          </a:r>
          <a:br>
            <a:rPr lang="fi-FI" sz="1100">
              <a:solidFill>
                <a:schemeClr val="dk1"/>
              </a:solidFill>
              <a:effectLst/>
              <a:latin typeface="+mn-lt"/>
              <a:ea typeface="+mn-ea"/>
              <a:cs typeface="+mn-cs"/>
            </a:rPr>
          </a:br>
          <a:r>
            <a:rPr lang="fi-FI" sz="1100">
              <a:solidFill>
                <a:schemeClr val="dk1"/>
              </a:solidFill>
              <a:effectLst/>
              <a:latin typeface="+mn-lt"/>
              <a:ea typeface="+mn-ea"/>
              <a:cs typeface="+mn-cs"/>
            </a:rPr>
            <a:t>i tabell </a:t>
          </a:r>
          <a:br>
            <a:rPr lang="fi-FI" sz="1100">
              <a:solidFill>
                <a:schemeClr val="dk1"/>
              </a:solidFill>
              <a:effectLst/>
              <a:latin typeface="+mn-lt"/>
              <a:ea typeface="+mn-ea"/>
              <a:cs typeface="+mn-cs"/>
            </a:rPr>
          </a:br>
          <a:r>
            <a:rPr lang="fi-FI" sz="1100">
              <a:solidFill>
                <a:schemeClr val="dk1"/>
              </a:solidFill>
              <a:effectLst/>
              <a:latin typeface="+mn-lt"/>
              <a:ea typeface="+mn-ea"/>
              <a:cs typeface="+mn-cs"/>
            </a:rPr>
            <a:t>2. T2 RESULTAT-BUDGET </a:t>
          </a:r>
          <a:endParaRPr lang="fi-FI" sz="900">
            <a:effectLst/>
          </a:endParaRPr>
        </a:p>
      </xdr:txBody>
    </xdr:sp>
    <xdr:clientData fPrintsWithSheet="0"/>
  </xdr:twoCellAnchor>
  <xdr:twoCellAnchor>
    <xdr:from>
      <xdr:col>0</xdr:col>
      <xdr:colOff>703398</xdr:colOff>
      <xdr:row>125</xdr:row>
      <xdr:rowOff>79919</xdr:rowOff>
    </xdr:from>
    <xdr:to>
      <xdr:col>7</xdr:col>
      <xdr:colOff>136071</xdr:colOff>
      <xdr:row>126</xdr:row>
      <xdr:rowOff>127272</xdr:rowOff>
    </xdr:to>
    <xdr:sp macro="" textlink="">
      <xdr:nvSpPr>
        <xdr:cNvPr id="4" name="Pyöristetty suorakulmio 3">
          <a:extLst>
            <a:ext uri="{FF2B5EF4-FFF2-40B4-BE49-F238E27FC236}">
              <a16:creationId xmlns:a16="http://schemas.microsoft.com/office/drawing/2014/main" id="{00000000-0008-0000-0900-000004000000}"/>
            </a:ext>
          </a:extLst>
        </xdr:cNvPr>
        <xdr:cNvSpPr/>
      </xdr:nvSpPr>
      <xdr:spPr>
        <a:xfrm>
          <a:off x="703398" y="22123490"/>
          <a:ext cx="5240202" cy="265068"/>
        </a:xfrm>
        <a:prstGeom prst="roundRect">
          <a:avLst/>
        </a:prstGeom>
        <a:solidFill>
          <a:srgbClr val="FFC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bIns="72000" rtlCol="0" anchor="ctr"/>
        <a:lstStyle/>
        <a:p>
          <a:r>
            <a:rPr lang="fi-FI" sz="1100" b="1" i="0">
              <a:solidFill>
                <a:schemeClr val="dk1"/>
              </a:solidFill>
              <a:effectLst/>
              <a:latin typeface="+mn-lt"/>
              <a:ea typeface="+mn-ea"/>
              <a:cs typeface="+mn-cs"/>
            </a:rPr>
            <a:t>KONROLLERA,</a:t>
          </a:r>
          <a:r>
            <a:rPr lang="fi-FI" sz="1100" b="1" i="0" baseline="0">
              <a:solidFill>
                <a:schemeClr val="dk1"/>
              </a:solidFill>
              <a:effectLst/>
              <a:latin typeface="+mn-lt"/>
              <a:ea typeface="+mn-ea"/>
              <a:cs typeface="+mn-cs"/>
            </a:rPr>
            <a:t> ATT CELLEN </a:t>
          </a:r>
          <a:r>
            <a:rPr lang="fi-FI" sz="1100" b="1" i="0">
              <a:solidFill>
                <a:schemeClr val="dk1"/>
              </a:solidFill>
              <a:effectLst/>
              <a:latin typeface="+mn-lt"/>
              <a:ea typeface="+mn-ea"/>
              <a:cs typeface="+mn-cs"/>
            </a:rPr>
            <a:t>D125 = CELLEN </a:t>
          </a:r>
          <a:r>
            <a:rPr lang="fi-FI" sz="1100" b="1" i="0" baseline="0">
              <a:solidFill>
                <a:schemeClr val="dk1"/>
              </a:solidFill>
              <a:effectLst/>
              <a:latin typeface="+mn-lt"/>
              <a:ea typeface="+mn-ea"/>
              <a:cs typeface="+mn-cs"/>
            </a:rPr>
            <a:t> </a:t>
          </a:r>
          <a:r>
            <a:rPr lang="fi-FI" sz="1100" b="1" i="0">
              <a:solidFill>
                <a:schemeClr val="dk1"/>
              </a:solidFill>
              <a:effectLst/>
              <a:latin typeface="+mn-lt"/>
              <a:ea typeface="+mn-ea"/>
              <a:cs typeface="+mn-cs"/>
            </a:rPr>
            <a:t>'2.&amp;7. T2  RESULTATPLAN 'G18!</a:t>
          </a:r>
          <a:r>
            <a:rPr lang="fi-FI" sz="1100">
              <a:solidFill>
                <a:schemeClr val="dk1"/>
              </a:solidFill>
              <a:effectLst/>
              <a:latin typeface="+mn-lt"/>
              <a:ea typeface="+mn-ea"/>
              <a:cs typeface="+mn-cs"/>
            </a:rPr>
            <a:t> </a:t>
          </a:r>
          <a:endParaRPr lang="fi-FI">
            <a:effectLst/>
          </a:endParaRPr>
        </a:p>
      </xdr:txBody>
    </xdr:sp>
    <xdr:clientData fPrintsWithSheet="0"/>
  </xdr:twoCellAnchor>
  <xdr:twoCellAnchor>
    <xdr:from>
      <xdr:col>0</xdr:col>
      <xdr:colOff>167507</xdr:colOff>
      <xdr:row>113</xdr:row>
      <xdr:rowOff>47630</xdr:rowOff>
    </xdr:from>
    <xdr:to>
      <xdr:col>0</xdr:col>
      <xdr:colOff>582665</xdr:colOff>
      <xdr:row>116</xdr:row>
      <xdr:rowOff>4931</xdr:rowOff>
    </xdr:to>
    <xdr:pic>
      <xdr:nvPicPr>
        <xdr:cNvPr id="48" name="Kuva 47" descr="Tulostin">
          <a:hlinkClick xmlns:r="http://schemas.openxmlformats.org/officeDocument/2006/relationships" r:id="rId1"/>
          <a:extLst>
            <a:ext uri="{FF2B5EF4-FFF2-40B4-BE49-F238E27FC236}">
              <a16:creationId xmlns:a16="http://schemas.microsoft.com/office/drawing/2014/main" id="{A13830F7-E08E-462B-AB4F-9F2E73EC16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7507" y="17125955"/>
          <a:ext cx="415158" cy="414501"/>
        </a:xfrm>
        <a:prstGeom prst="rect">
          <a:avLst/>
        </a:prstGeom>
      </xdr:spPr>
    </xdr:pic>
    <xdr:clientData/>
  </xdr:twoCellAnchor>
  <xdr:twoCellAnchor>
    <xdr:from>
      <xdr:col>0</xdr:col>
      <xdr:colOff>135553</xdr:colOff>
      <xdr:row>52</xdr:row>
      <xdr:rowOff>74468</xdr:rowOff>
    </xdr:from>
    <xdr:to>
      <xdr:col>0</xdr:col>
      <xdr:colOff>550711</xdr:colOff>
      <xdr:row>55</xdr:row>
      <xdr:rowOff>473</xdr:rowOff>
    </xdr:to>
    <xdr:pic>
      <xdr:nvPicPr>
        <xdr:cNvPr id="60" name="Kuva 59" descr="Tulostin">
          <a:hlinkClick xmlns:r="http://schemas.openxmlformats.org/officeDocument/2006/relationships" r:id="rId4"/>
          <a:extLst>
            <a:ext uri="{FF2B5EF4-FFF2-40B4-BE49-F238E27FC236}">
              <a16:creationId xmlns:a16="http://schemas.microsoft.com/office/drawing/2014/main" id="{8E126744-7D8D-4866-A58D-D6AF8D0938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553" y="9229729"/>
          <a:ext cx="415158" cy="444015"/>
        </a:xfrm>
        <a:prstGeom prst="rect">
          <a:avLst/>
        </a:prstGeom>
      </xdr:spPr>
    </xdr:pic>
    <xdr:clientData/>
  </xdr:twoCellAnchor>
  <xdr:twoCellAnchor>
    <xdr:from>
      <xdr:col>0</xdr:col>
      <xdr:colOff>177691</xdr:colOff>
      <xdr:row>50</xdr:row>
      <xdr:rowOff>50260</xdr:rowOff>
    </xdr:from>
    <xdr:to>
      <xdr:col>0</xdr:col>
      <xdr:colOff>537691</xdr:colOff>
      <xdr:row>52</xdr:row>
      <xdr:rowOff>60416</xdr:rowOff>
    </xdr:to>
    <xdr:pic>
      <xdr:nvPicPr>
        <xdr:cNvPr id="62" name="Kuva 61">
          <a:hlinkClick xmlns:r="http://schemas.openxmlformats.org/officeDocument/2006/relationships" r:id="rId5"/>
          <a:extLst>
            <a:ext uri="{FF2B5EF4-FFF2-40B4-BE49-F238E27FC236}">
              <a16:creationId xmlns:a16="http://schemas.microsoft.com/office/drawing/2014/main" id="{36C49982-BE68-4003-B1C5-395E73F8D393}"/>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7691" y="8860181"/>
          <a:ext cx="360000" cy="355496"/>
        </a:xfrm>
        <a:prstGeom prst="rect">
          <a:avLst/>
        </a:prstGeom>
      </xdr:spPr>
    </xdr:pic>
    <xdr:clientData/>
  </xdr:twoCellAnchor>
  <xdr:twoCellAnchor>
    <xdr:from>
      <xdr:col>0</xdr:col>
      <xdr:colOff>173659</xdr:colOff>
      <xdr:row>48</xdr:row>
      <xdr:rowOff>4045</xdr:rowOff>
    </xdr:from>
    <xdr:to>
      <xdr:col>0</xdr:col>
      <xdr:colOff>533659</xdr:colOff>
      <xdr:row>50</xdr:row>
      <xdr:rowOff>15701</xdr:rowOff>
    </xdr:to>
    <xdr:pic>
      <xdr:nvPicPr>
        <xdr:cNvPr id="63" name="Kuva 62">
          <a:hlinkClick xmlns:r="http://schemas.openxmlformats.org/officeDocument/2006/relationships" r:id="rId7"/>
          <a:extLst>
            <a:ext uri="{FF2B5EF4-FFF2-40B4-BE49-F238E27FC236}">
              <a16:creationId xmlns:a16="http://schemas.microsoft.com/office/drawing/2014/main" id="{D6547DC0-3736-4071-8345-819B3613F34F}"/>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3659" y="8468626"/>
          <a:ext cx="360000" cy="356996"/>
        </a:xfrm>
        <a:prstGeom prst="rect">
          <a:avLst/>
        </a:prstGeom>
      </xdr:spPr>
    </xdr:pic>
    <xdr:clientData/>
  </xdr:twoCellAnchor>
  <xdr:twoCellAnchor>
    <xdr:from>
      <xdr:col>0</xdr:col>
      <xdr:colOff>177495</xdr:colOff>
      <xdr:row>45</xdr:row>
      <xdr:rowOff>122592</xdr:rowOff>
    </xdr:from>
    <xdr:to>
      <xdr:col>0</xdr:col>
      <xdr:colOff>537495</xdr:colOff>
      <xdr:row>47</xdr:row>
      <xdr:rowOff>134250</xdr:rowOff>
    </xdr:to>
    <xdr:pic>
      <xdr:nvPicPr>
        <xdr:cNvPr id="64" name="Kuva 63">
          <a:hlinkClick xmlns:r="http://schemas.openxmlformats.org/officeDocument/2006/relationships" r:id="rId9"/>
          <a:extLst>
            <a:ext uri="{FF2B5EF4-FFF2-40B4-BE49-F238E27FC236}">
              <a16:creationId xmlns:a16="http://schemas.microsoft.com/office/drawing/2014/main" id="{53F1EACF-90C3-4943-89C2-7D3055E892B8}"/>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7495" y="8069164"/>
          <a:ext cx="360000" cy="356997"/>
        </a:xfrm>
        <a:prstGeom prst="rect">
          <a:avLst/>
        </a:prstGeom>
      </xdr:spPr>
    </xdr:pic>
    <xdr:clientData/>
  </xdr:twoCellAnchor>
  <xdr:twoCellAnchor>
    <xdr:from>
      <xdr:col>0</xdr:col>
      <xdr:colOff>171776</xdr:colOff>
      <xdr:row>43</xdr:row>
      <xdr:rowOff>78158</xdr:rowOff>
    </xdr:from>
    <xdr:to>
      <xdr:col>0</xdr:col>
      <xdr:colOff>531776</xdr:colOff>
      <xdr:row>45</xdr:row>
      <xdr:rowOff>89815</xdr:rowOff>
    </xdr:to>
    <xdr:pic>
      <xdr:nvPicPr>
        <xdr:cNvPr id="65" name="Kuva 64">
          <a:hlinkClick xmlns:r="http://schemas.openxmlformats.org/officeDocument/2006/relationships" r:id="rId5"/>
          <a:extLst>
            <a:ext uri="{FF2B5EF4-FFF2-40B4-BE49-F238E27FC236}">
              <a16:creationId xmlns:a16="http://schemas.microsoft.com/office/drawing/2014/main" id="{D6CEC3E7-FDAC-4A88-9075-92DF367F4C58}"/>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776" y="7679390"/>
          <a:ext cx="360000" cy="356997"/>
        </a:xfrm>
        <a:prstGeom prst="rect">
          <a:avLst/>
        </a:prstGeom>
      </xdr:spPr>
    </xdr:pic>
    <xdr:clientData/>
  </xdr:twoCellAnchor>
  <xdr:twoCellAnchor>
    <xdr:from>
      <xdr:col>0</xdr:col>
      <xdr:colOff>167939</xdr:colOff>
      <xdr:row>41</xdr:row>
      <xdr:rowOff>38116</xdr:rowOff>
    </xdr:from>
    <xdr:to>
      <xdr:col>0</xdr:col>
      <xdr:colOff>527939</xdr:colOff>
      <xdr:row>43</xdr:row>
      <xdr:rowOff>49773</xdr:rowOff>
    </xdr:to>
    <xdr:pic>
      <xdr:nvPicPr>
        <xdr:cNvPr id="66" name="Kuva 65">
          <a:extLst>
            <a:ext uri="{FF2B5EF4-FFF2-40B4-BE49-F238E27FC236}">
              <a16:creationId xmlns:a16="http://schemas.microsoft.com/office/drawing/2014/main" id="{64E990D2-62FE-40A3-9237-D5FC83444B5C}"/>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7939" y="7294008"/>
          <a:ext cx="360000" cy="356997"/>
        </a:xfrm>
        <a:prstGeom prst="rect">
          <a:avLst/>
        </a:prstGeom>
      </xdr:spPr>
    </xdr:pic>
    <xdr:clientData/>
  </xdr:twoCellAnchor>
  <xdr:twoCellAnchor>
    <xdr:from>
      <xdr:col>0</xdr:col>
      <xdr:colOff>171581</xdr:colOff>
      <xdr:row>38</xdr:row>
      <xdr:rowOff>165418</xdr:rowOff>
    </xdr:from>
    <xdr:to>
      <xdr:col>0</xdr:col>
      <xdr:colOff>531581</xdr:colOff>
      <xdr:row>41</xdr:row>
      <xdr:rowOff>4405</xdr:rowOff>
    </xdr:to>
    <xdr:pic>
      <xdr:nvPicPr>
        <xdr:cNvPr id="67" name="Kuva 66">
          <a:hlinkClick xmlns:r="http://schemas.openxmlformats.org/officeDocument/2006/relationships" r:id="rId13"/>
          <a:extLst>
            <a:ext uri="{FF2B5EF4-FFF2-40B4-BE49-F238E27FC236}">
              <a16:creationId xmlns:a16="http://schemas.microsoft.com/office/drawing/2014/main" id="{073AFC70-A66D-4DD1-90C0-65A7DC842BAA}"/>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1581" y="6903300"/>
          <a:ext cx="360000" cy="356997"/>
        </a:xfrm>
        <a:prstGeom prst="rect">
          <a:avLst/>
        </a:prstGeom>
      </xdr:spPr>
    </xdr:pic>
    <xdr:clientData/>
  </xdr:twoCellAnchor>
  <xdr:twoCellAnchor>
    <xdr:from>
      <xdr:col>0</xdr:col>
      <xdr:colOff>173160</xdr:colOff>
      <xdr:row>36</xdr:row>
      <xdr:rowOff>118319</xdr:rowOff>
    </xdr:from>
    <xdr:to>
      <xdr:col>0</xdr:col>
      <xdr:colOff>533160</xdr:colOff>
      <xdr:row>38</xdr:row>
      <xdr:rowOff>129976</xdr:rowOff>
    </xdr:to>
    <xdr:pic>
      <xdr:nvPicPr>
        <xdr:cNvPr id="68" name="Kuva 67">
          <a:hlinkClick xmlns:r="http://schemas.openxmlformats.org/officeDocument/2006/relationships" r:id="rId15"/>
          <a:extLst>
            <a:ext uri="{FF2B5EF4-FFF2-40B4-BE49-F238E27FC236}">
              <a16:creationId xmlns:a16="http://schemas.microsoft.com/office/drawing/2014/main" id="{18ECAD20-0D0F-4E6E-A38D-9A3CB645428A}"/>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3160" y="6510861"/>
          <a:ext cx="360000" cy="356997"/>
        </a:xfrm>
        <a:prstGeom prst="rect">
          <a:avLst/>
        </a:prstGeom>
      </xdr:spPr>
    </xdr:pic>
    <xdr:clientData/>
  </xdr:twoCellAnchor>
  <xdr:twoCellAnchor>
    <xdr:from>
      <xdr:col>0</xdr:col>
      <xdr:colOff>174946</xdr:colOff>
      <xdr:row>34</xdr:row>
      <xdr:rowOff>76140</xdr:rowOff>
    </xdr:from>
    <xdr:to>
      <xdr:col>0</xdr:col>
      <xdr:colOff>534946</xdr:colOff>
      <xdr:row>36</xdr:row>
      <xdr:rowOff>87797</xdr:rowOff>
    </xdr:to>
    <xdr:pic>
      <xdr:nvPicPr>
        <xdr:cNvPr id="69" name="Kuva 68">
          <a:hlinkClick xmlns:r="http://schemas.openxmlformats.org/officeDocument/2006/relationships" r:id="rId9"/>
          <a:extLst>
            <a:ext uri="{FF2B5EF4-FFF2-40B4-BE49-F238E27FC236}">
              <a16:creationId xmlns:a16="http://schemas.microsoft.com/office/drawing/2014/main" id="{89A75043-33A4-4CD7-A5AD-B3E101E27F05}"/>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4946" y="6123342"/>
          <a:ext cx="360000" cy="356997"/>
        </a:xfrm>
        <a:prstGeom prst="rect">
          <a:avLst/>
        </a:prstGeom>
      </xdr:spPr>
    </xdr:pic>
    <xdr:clientData/>
  </xdr:twoCellAnchor>
  <xdr:twoCellAnchor>
    <xdr:from>
      <xdr:col>0</xdr:col>
      <xdr:colOff>180600</xdr:colOff>
      <xdr:row>32</xdr:row>
      <xdr:rowOff>32281</xdr:rowOff>
    </xdr:from>
    <xdr:to>
      <xdr:col>0</xdr:col>
      <xdr:colOff>540600</xdr:colOff>
      <xdr:row>34</xdr:row>
      <xdr:rowOff>43939</xdr:rowOff>
    </xdr:to>
    <xdr:pic>
      <xdr:nvPicPr>
        <xdr:cNvPr id="70" name="Kuva 69">
          <a:hlinkClick xmlns:r="http://schemas.openxmlformats.org/officeDocument/2006/relationships" r:id="rId18"/>
          <a:extLst>
            <a:ext uri="{FF2B5EF4-FFF2-40B4-BE49-F238E27FC236}">
              <a16:creationId xmlns:a16="http://schemas.microsoft.com/office/drawing/2014/main" id="{0BE8E66D-3B87-4AEF-BA64-F267068C8486}"/>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0600" y="5734143"/>
          <a:ext cx="360000" cy="356998"/>
        </a:xfrm>
        <a:prstGeom prst="rect">
          <a:avLst/>
        </a:prstGeom>
      </xdr:spPr>
    </xdr:pic>
    <xdr:clientData/>
  </xdr:twoCellAnchor>
  <xdr:twoCellAnchor>
    <xdr:from>
      <xdr:col>0</xdr:col>
      <xdr:colOff>161925</xdr:colOff>
      <xdr:row>106</xdr:row>
      <xdr:rowOff>86133</xdr:rowOff>
    </xdr:from>
    <xdr:to>
      <xdr:col>0</xdr:col>
      <xdr:colOff>574209</xdr:colOff>
      <xdr:row>108</xdr:row>
      <xdr:rowOff>140804</xdr:rowOff>
    </xdr:to>
    <xdr:pic>
      <xdr:nvPicPr>
        <xdr:cNvPr id="72" name="Kuva 71">
          <a:hlinkClick xmlns:r="http://schemas.openxmlformats.org/officeDocument/2006/relationships" r:id="rId20"/>
          <a:extLst>
            <a:ext uri="{FF2B5EF4-FFF2-40B4-BE49-F238E27FC236}">
              <a16:creationId xmlns:a16="http://schemas.microsoft.com/office/drawing/2014/main" id="{D854FF75-A676-4FB2-BE2B-D8BD018F878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61925" y="18755133"/>
          <a:ext cx="412284" cy="402541"/>
        </a:xfrm>
        <a:prstGeom prst="rect">
          <a:avLst/>
        </a:prstGeom>
      </xdr:spPr>
    </xdr:pic>
    <xdr:clientData/>
  </xdr:twoCellAnchor>
  <xdr:twoCellAnchor>
    <xdr:from>
      <xdr:col>0</xdr:col>
      <xdr:colOff>163712</xdr:colOff>
      <xdr:row>103</xdr:row>
      <xdr:rowOff>142930</xdr:rowOff>
    </xdr:from>
    <xdr:to>
      <xdr:col>0</xdr:col>
      <xdr:colOff>568949</xdr:colOff>
      <xdr:row>106</xdr:row>
      <xdr:rowOff>41413</xdr:rowOff>
    </xdr:to>
    <xdr:pic>
      <xdr:nvPicPr>
        <xdr:cNvPr id="73" name="Kuva 72">
          <a:hlinkClick xmlns:r="http://schemas.openxmlformats.org/officeDocument/2006/relationships" r:id="rId22"/>
          <a:extLst>
            <a:ext uri="{FF2B5EF4-FFF2-40B4-BE49-F238E27FC236}">
              <a16:creationId xmlns:a16="http://schemas.microsoft.com/office/drawing/2014/main" id="{F60D83D5-4445-4B2D-B493-B591626E499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63712" y="18290126"/>
          <a:ext cx="405237" cy="420287"/>
        </a:xfrm>
        <a:prstGeom prst="rect">
          <a:avLst/>
        </a:prstGeom>
      </xdr:spPr>
    </xdr:pic>
    <xdr:clientData/>
  </xdr:twoCellAnchor>
  <xdr:twoCellAnchor>
    <xdr:from>
      <xdr:col>0</xdr:col>
      <xdr:colOff>167172</xdr:colOff>
      <xdr:row>101</xdr:row>
      <xdr:rowOff>49395</xdr:rowOff>
    </xdr:from>
    <xdr:to>
      <xdr:col>0</xdr:col>
      <xdr:colOff>579033</xdr:colOff>
      <xdr:row>103</xdr:row>
      <xdr:rowOff>143586</xdr:rowOff>
    </xdr:to>
    <xdr:pic>
      <xdr:nvPicPr>
        <xdr:cNvPr id="74" name="Kuva 73">
          <a:hlinkClick xmlns:r="http://schemas.openxmlformats.org/officeDocument/2006/relationships" r:id="rId24"/>
          <a:extLst>
            <a:ext uri="{FF2B5EF4-FFF2-40B4-BE49-F238E27FC236}">
              <a16:creationId xmlns:a16="http://schemas.microsoft.com/office/drawing/2014/main" id="{23B0D67C-C6B3-439C-8E93-25742ADFD4E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7172" y="6935970"/>
          <a:ext cx="411861" cy="398991"/>
        </a:xfrm>
        <a:prstGeom prst="rect">
          <a:avLst/>
        </a:prstGeom>
      </xdr:spPr>
    </xdr:pic>
    <xdr:clientData/>
  </xdr:twoCellAnchor>
  <xdr:twoCellAnchor>
    <xdr:from>
      <xdr:col>0</xdr:col>
      <xdr:colOff>174404</xdr:colOff>
      <xdr:row>98</xdr:row>
      <xdr:rowOff>103308</xdr:rowOff>
    </xdr:from>
    <xdr:to>
      <xdr:col>0</xdr:col>
      <xdr:colOff>579641</xdr:colOff>
      <xdr:row>101</xdr:row>
      <xdr:rowOff>47760</xdr:rowOff>
    </xdr:to>
    <xdr:pic>
      <xdr:nvPicPr>
        <xdr:cNvPr id="75" name="Kuva 74">
          <a:hlinkClick xmlns:r="http://schemas.openxmlformats.org/officeDocument/2006/relationships" r:id="rId26"/>
          <a:extLst>
            <a:ext uri="{FF2B5EF4-FFF2-40B4-BE49-F238E27FC236}">
              <a16:creationId xmlns:a16="http://schemas.microsoft.com/office/drawing/2014/main" id="{7B9B7F61-CC47-4563-9664-796F28B4AA2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74404" y="6504108"/>
          <a:ext cx="405237" cy="430227"/>
        </a:xfrm>
        <a:prstGeom prst="rect">
          <a:avLst/>
        </a:prstGeom>
      </xdr:spPr>
    </xdr:pic>
    <xdr:clientData/>
  </xdr:twoCellAnchor>
  <xdr:twoCellAnchor>
    <xdr:from>
      <xdr:col>0</xdr:col>
      <xdr:colOff>172632</xdr:colOff>
      <xdr:row>96</xdr:row>
      <xdr:rowOff>3018</xdr:rowOff>
    </xdr:from>
    <xdr:to>
      <xdr:col>0</xdr:col>
      <xdr:colOff>581846</xdr:colOff>
      <xdr:row>98</xdr:row>
      <xdr:rowOff>96663</xdr:rowOff>
    </xdr:to>
    <xdr:pic>
      <xdr:nvPicPr>
        <xdr:cNvPr id="76" name="Kuva 75">
          <a:extLst>
            <a:ext uri="{FF2B5EF4-FFF2-40B4-BE49-F238E27FC236}">
              <a16:creationId xmlns:a16="http://schemas.microsoft.com/office/drawing/2014/main" id="{1AA15EC3-4D39-429C-B959-361AD20F5DD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72632" y="6099018"/>
          <a:ext cx="409214" cy="398445"/>
        </a:xfrm>
        <a:prstGeom prst="rect">
          <a:avLst/>
        </a:prstGeom>
      </xdr:spPr>
    </xdr:pic>
    <xdr:clientData/>
  </xdr:twoCellAnchor>
  <xdr:twoCellAnchor>
    <xdr:from>
      <xdr:col>0</xdr:col>
      <xdr:colOff>168766</xdr:colOff>
      <xdr:row>93</xdr:row>
      <xdr:rowOff>69136</xdr:rowOff>
    </xdr:from>
    <xdr:to>
      <xdr:col>0</xdr:col>
      <xdr:colOff>585250</xdr:colOff>
      <xdr:row>96</xdr:row>
      <xdr:rowOff>7642</xdr:rowOff>
    </xdr:to>
    <xdr:pic>
      <xdr:nvPicPr>
        <xdr:cNvPr id="77" name="Kuva 76">
          <a:hlinkClick xmlns:r="http://schemas.openxmlformats.org/officeDocument/2006/relationships" r:id="rId29"/>
          <a:extLst>
            <a:ext uri="{FF2B5EF4-FFF2-40B4-BE49-F238E27FC236}">
              <a16:creationId xmlns:a16="http://schemas.microsoft.com/office/drawing/2014/main" id="{9C2B0764-9AC3-4497-BA41-A7D1CBE0F3F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68766" y="5698411"/>
          <a:ext cx="416484" cy="405231"/>
        </a:xfrm>
        <a:prstGeom prst="rect">
          <a:avLst/>
        </a:prstGeom>
      </xdr:spPr>
    </xdr:pic>
    <xdr:clientData/>
  </xdr:twoCellAnchor>
  <xdr:twoCellAnchor>
    <xdr:from>
      <xdr:col>0</xdr:col>
      <xdr:colOff>170344</xdr:colOff>
      <xdr:row>90</xdr:row>
      <xdr:rowOff>111187</xdr:rowOff>
    </xdr:from>
    <xdr:to>
      <xdr:col>0</xdr:col>
      <xdr:colOff>578818</xdr:colOff>
      <xdr:row>93</xdr:row>
      <xdr:rowOff>51711</xdr:rowOff>
    </xdr:to>
    <xdr:pic>
      <xdr:nvPicPr>
        <xdr:cNvPr id="78" name="Kuva 77">
          <a:hlinkClick xmlns:r="http://schemas.openxmlformats.org/officeDocument/2006/relationships" r:id="rId22"/>
          <a:extLst>
            <a:ext uri="{FF2B5EF4-FFF2-40B4-BE49-F238E27FC236}">
              <a16:creationId xmlns:a16="http://schemas.microsoft.com/office/drawing/2014/main" id="{79679A0D-2C4C-461D-942E-4F854C2F48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70344" y="5283262"/>
          <a:ext cx="408474" cy="397724"/>
        </a:xfrm>
        <a:prstGeom prst="rect">
          <a:avLst/>
        </a:prstGeom>
      </xdr:spPr>
    </xdr:pic>
    <xdr:clientData/>
  </xdr:twoCellAnchor>
  <xdr:twoCellAnchor>
    <xdr:from>
      <xdr:col>0</xdr:col>
      <xdr:colOff>177574</xdr:colOff>
      <xdr:row>88</xdr:row>
      <xdr:rowOff>3693</xdr:rowOff>
    </xdr:from>
    <xdr:to>
      <xdr:col>0</xdr:col>
      <xdr:colOff>589858</xdr:colOff>
      <xdr:row>90</xdr:row>
      <xdr:rowOff>97325</xdr:rowOff>
    </xdr:to>
    <xdr:pic>
      <xdr:nvPicPr>
        <xdr:cNvPr id="79" name="Kuva 78">
          <a:hlinkClick xmlns:r="http://schemas.openxmlformats.org/officeDocument/2006/relationships" r:id="rId24"/>
          <a:extLst>
            <a:ext uri="{FF2B5EF4-FFF2-40B4-BE49-F238E27FC236}">
              <a16:creationId xmlns:a16="http://schemas.microsoft.com/office/drawing/2014/main" id="{085612D0-5321-4AE8-9270-53A29D51799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77574" y="4870968"/>
          <a:ext cx="412284" cy="398432"/>
        </a:xfrm>
        <a:prstGeom prst="rect">
          <a:avLst/>
        </a:prstGeom>
      </xdr:spPr>
    </xdr:pic>
    <xdr:clientData/>
  </xdr:twoCellAnchor>
  <xdr:twoCellAnchor>
    <xdr:from>
      <xdr:col>0</xdr:col>
      <xdr:colOff>178772</xdr:colOff>
      <xdr:row>85</xdr:row>
      <xdr:rowOff>66675</xdr:rowOff>
    </xdr:from>
    <xdr:to>
      <xdr:col>0</xdr:col>
      <xdr:colOff>585475</xdr:colOff>
      <xdr:row>88</xdr:row>
      <xdr:rowOff>9046</xdr:rowOff>
    </xdr:to>
    <xdr:pic>
      <xdr:nvPicPr>
        <xdr:cNvPr id="80" name="Kuva 79">
          <a:hlinkClick xmlns:r="http://schemas.openxmlformats.org/officeDocument/2006/relationships" r:id="rId33"/>
          <a:extLst>
            <a:ext uri="{FF2B5EF4-FFF2-40B4-BE49-F238E27FC236}">
              <a16:creationId xmlns:a16="http://schemas.microsoft.com/office/drawing/2014/main" id="{006F34F0-3284-4A91-937C-F89A1780AB6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78772" y="4457700"/>
          <a:ext cx="406703" cy="4186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614039</xdr:colOff>
      <xdr:row>85</xdr:row>
      <xdr:rowOff>59221</xdr:rowOff>
    </xdr:from>
    <xdr:to>
      <xdr:col>5</xdr:col>
      <xdr:colOff>937118</xdr:colOff>
      <xdr:row>87</xdr:row>
      <xdr:rowOff>28574</xdr:rowOff>
    </xdr:to>
    <xdr:sp macro="" textlink="">
      <xdr:nvSpPr>
        <xdr:cNvPr id="33" name="Pyöristetty suorakulmio 32">
          <a:extLst>
            <a:ext uri="{FF2B5EF4-FFF2-40B4-BE49-F238E27FC236}">
              <a16:creationId xmlns:a16="http://schemas.microsoft.com/office/drawing/2014/main" id="{00000000-0008-0000-0A00-000021000000}"/>
            </a:ext>
          </a:extLst>
        </xdr:cNvPr>
        <xdr:cNvSpPr/>
      </xdr:nvSpPr>
      <xdr:spPr>
        <a:xfrm>
          <a:off x="614039" y="12218091"/>
          <a:ext cx="4488048" cy="281726"/>
        </a:xfrm>
        <a:prstGeom prst="roundRect">
          <a:avLst/>
        </a:prstGeom>
        <a:solidFill>
          <a:srgbClr val="FFC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bIns="72000" rtlCol="0" anchor="ctr"/>
        <a:lstStyle/>
        <a:p>
          <a:r>
            <a:rPr lang="fi-FI" sz="1100" b="1" i="0">
              <a:solidFill>
                <a:schemeClr val="dk1"/>
              </a:solidFill>
              <a:effectLst/>
              <a:latin typeface="+mn-lt"/>
              <a:ea typeface="+mn-ea"/>
              <a:cs typeface="+mn-cs"/>
            </a:rPr>
            <a:t>KONTROLLERA, ATT CELLEN D10 = CELLEN G11 i T2 RESULTATBUDGET</a:t>
          </a:r>
          <a:endParaRPr lang="fi-FI">
            <a:effectLst/>
          </a:endParaRPr>
        </a:p>
      </xdr:txBody>
    </xdr:sp>
    <xdr:clientData fPrintsWithSheet="0"/>
  </xdr:twoCellAnchor>
  <xdr:twoCellAnchor>
    <xdr:from>
      <xdr:col>0</xdr:col>
      <xdr:colOff>157893</xdr:colOff>
      <xdr:row>57</xdr:row>
      <xdr:rowOff>77396</xdr:rowOff>
    </xdr:from>
    <xdr:to>
      <xdr:col>0</xdr:col>
      <xdr:colOff>517893</xdr:colOff>
      <xdr:row>59</xdr:row>
      <xdr:rowOff>92396</xdr:rowOff>
    </xdr:to>
    <xdr:pic>
      <xdr:nvPicPr>
        <xdr:cNvPr id="47" name="Kuva 46" descr="Tulostin">
          <a:hlinkClick xmlns:r="http://schemas.openxmlformats.org/officeDocument/2006/relationships" r:id="rId1"/>
          <a:extLst>
            <a:ext uri="{FF2B5EF4-FFF2-40B4-BE49-F238E27FC236}">
              <a16:creationId xmlns:a16="http://schemas.microsoft.com/office/drawing/2014/main" id="{AB56D6ED-4667-4CF5-B1F3-DB5D5240AEB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893" y="8307943"/>
          <a:ext cx="360000" cy="317906"/>
        </a:xfrm>
        <a:prstGeom prst="rect">
          <a:avLst/>
        </a:prstGeom>
      </xdr:spPr>
    </xdr:pic>
    <xdr:clientData/>
  </xdr:twoCellAnchor>
  <xdr:twoCellAnchor>
    <xdr:from>
      <xdr:col>0</xdr:col>
      <xdr:colOff>153417</xdr:colOff>
      <xdr:row>54</xdr:row>
      <xdr:rowOff>44048</xdr:rowOff>
    </xdr:from>
    <xdr:to>
      <xdr:col>0</xdr:col>
      <xdr:colOff>513417</xdr:colOff>
      <xdr:row>57</xdr:row>
      <xdr:rowOff>23048</xdr:rowOff>
    </xdr:to>
    <xdr:pic>
      <xdr:nvPicPr>
        <xdr:cNvPr id="17" name="Kuva 16">
          <a:hlinkClick xmlns:r="http://schemas.openxmlformats.org/officeDocument/2006/relationships" r:id="rId4"/>
          <a:extLst>
            <a:ext uri="{FF2B5EF4-FFF2-40B4-BE49-F238E27FC236}">
              <a16:creationId xmlns:a16="http://schemas.microsoft.com/office/drawing/2014/main" id="{E8B20AF1-B756-4A99-A140-60E47BF1A06E}"/>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3417" y="7895961"/>
          <a:ext cx="360000" cy="357634"/>
        </a:xfrm>
        <a:prstGeom prst="rect">
          <a:avLst/>
        </a:prstGeom>
      </xdr:spPr>
    </xdr:pic>
    <xdr:clientData/>
  </xdr:twoCellAnchor>
  <xdr:twoCellAnchor>
    <xdr:from>
      <xdr:col>0</xdr:col>
      <xdr:colOff>145448</xdr:colOff>
      <xdr:row>51</xdr:row>
      <xdr:rowOff>119146</xdr:rowOff>
    </xdr:from>
    <xdr:to>
      <xdr:col>0</xdr:col>
      <xdr:colOff>505448</xdr:colOff>
      <xdr:row>54</xdr:row>
      <xdr:rowOff>19846</xdr:rowOff>
    </xdr:to>
    <xdr:pic>
      <xdr:nvPicPr>
        <xdr:cNvPr id="18" name="Kuva 17">
          <a:hlinkClick xmlns:r="http://schemas.openxmlformats.org/officeDocument/2006/relationships" r:id="rId6"/>
          <a:extLst>
            <a:ext uri="{FF2B5EF4-FFF2-40B4-BE49-F238E27FC236}">
              <a16:creationId xmlns:a16="http://schemas.microsoft.com/office/drawing/2014/main" id="{CF203AD6-8779-4DAB-A4F5-CC119F81966F}"/>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448" y="7516699"/>
          <a:ext cx="360000" cy="355060"/>
        </a:xfrm>
        <a:prstGeom prst="rect">
          <a:avLst/>
        </a:prstGeom>
      </xdr:spPr>
    </xdr:pic>
    <xdr:clientData/>
  </xdr:twoCellAnchor>
  <xdr:twoCellAnchor>
    <xdr:from>
      <xdr:col>0</xdr:col>
      <xdr:colOff>150862</xdr:colOff>
      <xdr:row>48</xdr:row>
      <xdr:rowOff>120133</xdr:rowOff>
    </xdr:from>
    <xdr:to>
      <xdr:col>0</xdr:col>
      <xdr:colOff>510862</xdr:colOff>
      <xdr:row>51</xdr:row>
      <xdr:rowOff>99133</xdr:rowOff>
    </xdr:to>
    <xdr:pic>
      <xdr:nvPicPr>
        <xdr:cNvPr id="19" name="Kuva 18">
          <a:hlinkClick xmlns:r="http://schemas.openxmlformats.org/officeDocument/2006/relationships" r:id="rId8"/>
          <a:extLst>
            <a:ext uri="{FF2B5EF4-FFF2-40B4-BE49-F238E27FC236}">
              <a16:creationId xmlns:a16="http://schemas.microsoft.com/office/drawing/2014/main" id="{0812917B-B9B9-4E4C-B994-EAA1D0E175FB}"/>
            </a:ext>
          </a:extLst>
        </xdr:cNvPr>
        <xdr:cNvPicPr preferRelativeResize="0">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0862" y="7139052"/>
          <a:ext cx="360000" cy="357634"/>
        </a:xfrm>
        <a:prstGeom prst="rect">
          <a:avLst/>
        </a:prstGeom>
      </xdr:spPr>
    </xdr:pic>
    <xdr:clientData/>
  </xdr:twoCellAnchor>
  <xdr:twoCellAnchor>
    <xdr:from>
      <xdr:col>0</xdr:col>
      <xdr:colOff>132921</xdr:colOff>
      <xdr:row>46</xdr:row>
      <xdr:rowOff>40134</xdr:rowOff>
    </xdr:from>
    <xdr:to>
      <xdr:col>0</xdr:col>
      <xdr:colOff>528921</xdr:colOff>
      <xdr:row>48</xdr:row>
      <xdr:rowOff>95334</xdr:rowOff>
    </xdr:to>
    <xdr:pic>
      <xdr:nvPicPr>
        <xdr:cNvPr id="20" name="Kuva 19">
          <a:extLst>
            <a:ext uri="{FF2B5EF4-FFF2-40B4-BE49-F238E27FC236}">
              <a16:creationId xmlns:a16="http://schemas.microsoft.com/office/drawing/2014/main" id="{5C1DCA4E-009E-4DA9-A630-CE966DBD0A03}"/>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921" y="6844794"/>
          <a:ext cx="396000" cy="360000"/>
        </a:xfrm>
        <a:prstGeom prst="rect">
          <a:avLst/>
        </a:prstGeom>
      </xdr:spPr>
    </xdr:pic>
    <xdr:clientData/>
  </xdr:twoCellAnchor>
  <xdr:twoCellAnchor>
    <xdr:from>
      <xdr:col>0</xdr:col>
      <xdr:colOff>161390</xdr:colOff>
      <xdr:row>43</xdr:row>
      <xdr:rowOff>119796</xdr:rowOff>
    </xdr:from>
    <xdr:to>
      <xdr:col>0</xdr:col>
      <xdr:colOff>521390</xdr:colOff>
      <xdr:row>46</xdr:row>
      <xdr:rowOff>25435</xdr:rowOff>
    </xdr:to>
    <xdr:pic>
      <xdr:nvPicPr>
        <xdr:cNvPr id="21" name="Kuva 20">
          <a:hlinkClick xmlns:r="http://schemas.openxmlformats.org/officeDocument/2006/relationships" r:id="rId11"/>
          <a:extLst>
            <a:ext uri="{FF2B5EF4-FFF2-40B4-BE49-F238E27FC236}">
              <a16:creationId xmlns:a16="http://schemas.microsoft.com/office/drawing/2014/main" id="{218AB3B1-F4E8-4986-AF80-72B6DE7B49CD}"/>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1390" y="6467256"/>
          <a:ext cx="360000" cy="362839"/>
        </a:xfrm>
        <a:prstGeom prst="rect">
          <a:avLst/>
        </a:prstGeom>
      </xdr:spPr>
    </xdr:pic>
    <xdr:clientData/>
  </xdr:twoCellAnchor>
  <xdr:twoCellAnchor>
    <xdr:from>
      <xdr:col>0</xdr:col>
      <xdr:colOff>154566</xdr:colOff>
      <xdr:row>40</xdr:row>
      <xdr:rowOff>129871</xdr:rowOff>
    </xdr:from>
    <xdr:to>
      <xdr:col>0</xdr:col>
      <xdr:colOff>514566</xdr:colOff>
      <xdr:row>43</xdr:row>
      <xdr:rowOff>108871</xdr:rowOff>
    </xdr:to>
    <xdr:pic>
      <xdr:nvPicPr>
        <xdr:cNvPr id="22" name="Kuva 21">
          <a:hlinkClick xmlns:r="http://schemas.openxmlformats.org/officeDocument/2006/relationships" r:id="rId13"/>
          <a:extLst>
            <a:ext uri="{FF2B5EF4-FFF2-40B4-BE49-F238E27FC236}">
              <a16:creationId xmlns:a16="http://schemas.microsoft.com/office/drawing/2014/main" id="{D0A3A462-7EC4-4DEE-B341-4BB7ED80A87D}"/>
            </a:ext>
          </a:extLst>
        </xdr:cNvPr>
        <xdr:cNvPicPr preferRelativeResize="0">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4566" y="6096331"/>
          <a:ext cx="360000" cy="360000"/>
        </a:xfrm>
        <a:prstGeom prst="rect">
          <a:avLst/>
        </a:prstGeom>
      </xdr:spPr>
    </xdr:pic>
    <xdr:clientData/>
  </xdr:twoCellAnchor>
  <xdr:twoCellAnchor>
    <xdr:from>
      <xdr:col>0</xdr:col>
      <xdr:colOff>149566</xdr:colOff>
      <xdr:row>38</xdr:row>
      <xdr:rowOff>52976</xdr:rowOff>
    </xdr:from>
    <xdr:to>
      <xdr:col>0</xdr:col>
      <xdr:colOff>509566</xdr:colOff>
      <xdr:row>40</xdr:row>
      <xdr:rowOff>106076</xdr:rowOff>
    </xdr:to>
    <xdr:pic>
      <xdr:nvPicPr>
        <xdr:cNvPr id="23" name="Kuva 22">
          <a:hlinkClick xmlns:r="http://schemas.openxmlformats.org/officeDocument/2006/relationships" r:id="rId15"/>
          <a:extLst>
            <a:ext uri="{FF2B5EF4-FFF2-40B4-BE49-F238E27FC236}">
              <a16:creationId xmlns:a16="http://schemas.microsoft.com/office/drawing/2014/main" id="{49AA96EC-89D9-455D-8688-24C3A7B9D664}"/>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566" y="5633088"/>
          <a:ext cx="360000" cy="356006"/>
        </a:xfrm>
        <a:prstGeom prst="rect">
          <a:avLst/>
        </a:prstGeom>
      </xdr:spPr>
    </xdr:pic>
    <xdr:clientData/>
  </xdr:twoCellAnchor>
  <xdr:twoCellAnchor>
    <xdr:from>
      <xdr:col>0</xdr:col>
      <xdr:colOff>159682</xdr:colOff>
      <xdr:row>35</xdr:row>
      <xdr:rowOff>52881</xdr:rowOff>
    </xdr:from>
    <xdr:to>
      <xdr:col>0</xdr:col>
      <xdr:colOff>519682</xdr:colOff>
      <xdr:row>38</xdr:row>
      <xdr:rowOff>31881</xdr:rowOff>
    </xdr:to>
    <xdr:pic>
      <xdr:nvPicPr>
        <xdr:cNvPr id="24" name="Kuva 23">
          <a:hlinkClick xmlns:r="http://schemas.openxmlformats.org/officeDocument/2006/relationships" r:id="rId8"/>
          <a:extLst>
            <a:ext uri="{FF2B5EF4-FFF2-40B4-BE49-F238E27FC236}">
              <a16:creationId xmlns:a16="http://schemas.microsoft.com/office/drawing/2014/main" id="{3E14B7EF-76A0-472B-9FC5-7D387F559646}"/>
            </a:ext>
          </a:extLst>
        </xdr:cNvPr>
        <xdr:cNvPicPr preferRelativeResize="0">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9682" y="5254359"/>
          <a:ext cx="360000" cy="357634"/>
        </a:xfrm>
        <a:prstGeom prst="rect">
          <a:avLst/>
        </a:prstGeom>
      </xdr:spPr>
    </xdr:pic>
    <xdr:clientData/>
  </xdr:twoCellAnchor>
  <xdr:twoCellAnchor>
    <xdr:from>
      <xdr:col>0</xdr:col>
      <xdr:colOff>150772</xdr:colOff>
      <xdr:row>32</xdr:row>
      <xdr:rowOff>107437</xdr:rowOff>
    </xdr:from>
    <xdr:to>
      <xdr:col>0</xdr:col>
      <xdr:colOff>522014</xdr:colOff>
      <xdr:row>35</xdr:row>
      <xdr:rowOff>8181</xdr:rowOff>
    </xdr:to>
    <xdr:pic>
      <xdr:nvPicPr>
        <xdr:cNvPr id="25" name="Kuva 24">
          <a:hlinkClick xmlns:r="http://schemas.openxmlformats.org/officeDocument/2006/relationships" r:id="rId18"/>
          <a:extLst>
            <a:ext uri="{FF2B5EF4-FFF2-40B4-BE49-F238E27FC236}">
              <a16:creationId xmlns:a16="http://schemas.microsoft.com/office/drawing/2014/main" id="{7D55026C-EA09-4F3A-8254-8F69E7F25C07}"/>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0772" y="4854555"/>
          <a:ext cx="371242" cy="355104"/>
        </a:xfrm>
        <a:prstGeom prst="rect">
          <a:avLst/>
        </a:prstGeom>
      </xdr:spPr>
    </xdr:pic>
    <xdr:clientData/>
  </xdr:twoCellAnchor>
  <xdr:twoCellAnchor editAs="oneCell">
    <xdr:from>
      <xdr:col>8</xdr:col>
      <xdr:colOff>151454</xdr:colOff>
      <xdr:row>2</xdr:row>
      <xdr:rowOff>4733</xdr:rowOff>
    </xdr:from>
    <xdr:to>
      <xdr:col>8</xdr:col>
      <xdr:colOff>871798</xdr:colOff>
      <xdr:row>3</xdr:row>
      <xdr:rowOff>100540</xdr:rowOff>
    </xdr:to>
    <xdr:pic>
      <xdr:nvPicPr>
        <xdr:cNvPr id="4" name="Kuva 3">
          <a:extLst>
            <a:ext uri="{FF2B5EF4-FFF2-40B4-BE49-F238E27FC236}">
              <a16:creationId xmlns:a16="http://schemas.microsoft.com/office/drawing/2014/main" id="{A8F66A70-BDAD-C532-8CA9-090E75C969C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141976" y="354969"/>
          <a:ext cx="720344" cy="2661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61479</xdr:colOff>
      <xdr:row>29</xdr:row>
      <xdr:rowOff>11681</xdr:rowOff>
    </xdr:from>
    <xdr:to>
      <xdr:col>0</xdr:col>
      <xdr:colOff>421479</xdr:colOff>
      <xdr:row>30</xdr:row>
      <xdr:rowOff>95701</xdr:rowOff>
    </xdr:to>
    <xdr:pic>
      <xdr:nvPicPr>
        <xdr:cNvPr id="97" name="Kuva 96">
          <a:hlinkClick xmlns:r="http://schemas.openxmlformats.org/officeDocument/2006/relationships" r:id="rId1"/>
          <a:extLst>
            <a:ext uri="{FF2B5EF4-FFF2-40B4-BE49-F238E27FC236}">
              <a16:creationId xmlns:a16="http://schemas.microsoft.com/office/drawing/2014/main" id="{CFC43C9E-8D3F-4DC4-BC7D-E5606F2451F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479" y="4883038"/>
          <a:ext cx="360000" cy="372492"/>
        </a:xfrm>
        <a:prstGeom prst="rect">
          <a:avLst/>
        </a:prstGeom>
      </xdr:spPr>
    </xdr:pic>
    <xdr:clientData/>
  </xdr:twoCellAnchor>
  <xdr:twoCellAnchor>
    <xdr:from>
      <xdr:col>0</xdr:col>
      <xdr:colOff>64742</xdr:colOff>
      <xdr:row>26</xdr:row>
      <xdr:rowOff>123224</xdr:rowOff>
    </xdr:from>
    <xdr:to>
      <xdr:col>0</xdr:col>
      <xdr:colOff>424742</xdr:colOff>
      <xdr:row>28</xdr:row>
      <xdr:rowOff>120355</xdr:rowOff>
    </xdr:to>
    <xdr:pic>
      <xdr:nvPicPr>
        <xdr:cNvPr id="98" name="Kuva 97">
          <a:hlinkClick xmlns:r="http://schemas.openxmlformats.org/officeDocument/2006/relationships" r:id="rId3"/>
          <a:extLst>
            <a:ext uri="{FF2B5EF4-FFF2-40B4-BE49-F238E27FC236}">
              <a16:creationId xmlns:a16="http://schemas.microsoft.com/office/drawing/2014/main" id="{B9F1BF6C-A806-442A-88D3-EB340EDDDD3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742" y="4461181"/>
          <a:ext cx="360000" cy="372688"/>
        </a:xfrm>
        <a:prstGeom prst="rect">
          <a:avLst/>
        </a:prstGeom>
      </xdr:spPr>
    </xdr:pic>
    <xdr:clientData/>
  </xdr:twoCellAnchor>
  <xdr:twoCellAnchor>
    <xdr:from>
      <xdr:col>0</xdr:col>
      <xdr:colOff>61459</xdr:colOff>
      <xdr:row>33</xdr:row>
      <xdr:rowOff>78975</xdr:rowOff>
    </xdr:from>
    <xdr:to>
      <xdr:col>0</xdr:col>
      <xdr:colOff>421459</xdr:colOff>
      <xdr:row>35</xdr:row>
      <xdr:rowOff>135781</xdr:rowOff>
    </xdr:to>
    <xdr:pic>
      <xdr:nvPicPr>
        <xdr:cNvPr id="95" name="Kuva 94">
          <a:hlinkClick xmlns:r="http://schemas.openxmlformats.org/officeDocument/2006/relationships" r:id="rId5"/>
          <a:extLst>
            <a:ext uri="{FF2B5EF4-FFF2-40B4-BE49-F238E27FC236}">
              <a16:creationId xmlns:a16="http://schemas.microsoft.com/office/drawing/2014/main" id="{A4ABFE14-8321-4E51-815A-925DA03888BF}"/>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459" y="5712332"/>
          <a:ext cx="360000" cy="372492"/>
        </a:xfrm>
        <a:prstGeom prst="rect">
          <a:avLst/>
        </a:prstGeom>
      </xdr:spPr>
    </xdr:pic>
    <xdr:clientData/>
  </xdr:twoCellAnchor>
  <xdr:twoCellAnchor>
    <xdr:from>
      <xdr:col>0</xdr:col>
      <xdr:colOff>58813</xdr:colOff>
      <xdr:row>24</xdr:row>
      <xdr:rowOff>23006</xdr:rowOff>
    </xdr:from>
    <xdr:to>
      <xdr:col>0</xdr:col>
      <xdr:colOff>418813</xdr:colOff>
      <xdr:row>26</xdr:row>
      <xdr:rowOff>79812</xdr:rowOff>
    </xdr:to>
    <xdr:pic>
      <xdr:nvPicPr>
        <xdr:cNvPr id="99" name="Kuva 98">
          <a:hlinkClick xmlns:r="http://schemas.openxmlformats.org/officeDocument/2006/relationships" r:id="rId7"/>
          <a:extLst>
            <a:ext uri="{FF2B5EF4-FFF2-40B4-BE49-F238E27FC236}">
              <a16:creationId xmlns:a16="http://schemas.microsoft.com/office/drawing/2014/main" id="{EF71669D-44FA-47FA-8B2D-738D14E13C1E}"/>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813" y="4045277"/>
          <a:ext cx="360000" cy="372492"/>
        </a:xfrm>
        <a:prstGeom prst="rect">
          <a:avLst/>
        </a:prstGeom>
      </xdr:spPr>
    </xdr:pic>
    <xdr:clientData/>
  </xdr:twoCellAnchor>
  <xdr:twoCellAnchor>
    <xdr:from>
      <xdr:col>0</xdr:col>
      <xdr:colOff>57669</xdr:colOff>
      <xdr:row>19</xdr:row>
      <xdr:rowOff>179614</xdr:rowOff>
    </xdr:from>
    <xdr:to>
      <xdr:col>0</xdr:col>
      <xdr:colOff>417669</xdr:colOff>
      <xdr:row>21</xdr:row>
      <xdr:rowOff>56031</xdr:rowOff>
    </xdr:to>
    <xdr:pic>
      <xdr:nvPicPr>
        <xdr:cNvPr id="101" name="Kuva 100">
          <a:hlinkClick xmlns:r="http://schemas.openxmlformats.org/officeDocument/2006/relationships" r:id="rId9"/>
          <a:extLst>
            <a:ext uri="{FF2B5EF4-FFF2-40B4-BE49-F238E27FC236}">
              <a16:creationId xmlns:a16="http://schemas.microsoft.com/office/drawing/2014/main" id="{105C7E7D-7134-486F-83CF-CD27B9A71989}"/>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669" y="3222171"/>
          <a:ext cx="360000" cy="371717"/>
        </a:xfrm>
        <a:prstGeom prst="rect">
          <a:avLst/>
        </a:prstGeom>
      </xdr:spPr>
    </xdr:pic>
    <xdr:clientData/>
  </xdr:twoCellAnchor>
  <xdr:twoCellAnchor>
    <xdr:from>
      <xdr:col>0</xdr:col>
      <xdr:colOff>18440</xdr:colOff>
      <xdr:row>40</xdr:row>
      <xdr:rowOff>137019</xdr:rowOff>
    </xdr:from>
    <xdr:to>
      <xdr:col>0</xdr:col>
      <xdr:colOff>433598</xdr:colOff>
      <xdr:row>43</xdr:row>
      <xdr:rowOff>117071</xdr:rowOff>
    </xdr:to>
    <xdr:pic>
      <xdr:nvPicPr>
        <xdr:cNvPr id="91" name="Kuva 90" descr="Tulostin">
          <a:hlinkClick xmlns:r="http://schemas.openxmlformats.org/officeDocument/2006/relationships" r:id="rId11"/>
          <a:extLst>
            <a:ext uri="{FF2B5EF4-FFF2-40B4-BE49-F238E27FC236}">
              <a16:creationId xmlns:a16="http://schemas.microsoft.com/office/drawing/2014/main" id="{43FAFA4F-0F94-48C2-8F06-33262F9F101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8440" y="6913376"/>
          <a:ext cx="415158" cy="491681"/>
        </a:xfrm>
        <a:prstGeom prst="rect">
          <a:avLst/>
        </a:prstGeom>
      </xdr:spPr>
    </xdr:pic>
    <xdr:clientData/>
  </xdr:twoCellAnchor>
  <xdr:twoCellAnchor>
    <xdr:from>
      <xdr:col>0</xdr:col>
      <xdr:colOff>66043</xdr:colOff>
      <xdr:row>21</xdr:row>
      <xdr:rowOff>96298</xdr:rowOff>
    </xdr:from>
    <xdr:to>
      <xdr:col>0</xdr:col>
      <xdr:colOff>426043</xdr:colOff>
      <xdr:row>23</xdr:row>
      <xdr:rowOff>142413</xdr:rowOff>
    </xdr:to>
    <xdr:pic>
      <xdr:nvPicPr>
        <xdr:cNvPr id="100" name="Kuva 99">
          <a:hlinkClick xmlns:r="http://schemas.openxmlformats.org/officeDocument/2006/relationships" r:id="rId5"/>
          <a:extLst>
            <a:ext uri="{FF2B5EF4-FFF2-40B4-BE49-F238E27FC236}">
              <a16:creationId xmlns:a16="http://schemas.microsoft.com/office/drawing/2014/main" id="{BBA8DD8A-1617-4717-9E73-F851070614FB}"/>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043" y="3634155"/>
          <a:ext cx="360000" cy="372687"/>
        </a:xfrm>
        <a:prstGeom prst="rect">
          <a:avLst/>
        </a:prstGeom>
      </xdr:spPr>
    </xdr:pic>
    <xdr:clientData/>
  </xdr:twoCellAnchor>
  <xdr:twoCellAnchor>
    <xdr:from>
      <xdr:col>0</xdr:col>
      <xdr:colOff>62310</xdr:colOff>
      <xdr:row>30</xdr:row>
      <xdr:rowOff>138045</xdr:rowOff>
    </xdr:from>
    <xdr:to>
      <xdr:col>0</xdr:col>
      <xdr:colOff>422310</xdr:colOff>
      <xdr:row>33</xdr:row>
      <xdr:rowOff>37009</xdr:rowOff>
    </xdr:to>
    <xdr:pic>
      <xdr:nvPicPr>
        <xdr:cNvPr id="102" name="Kuva 101">
          <a:hlinkClick xmlns:r="http://schemas.openxmlformats.org/officeDocument/2006/relationships" r:id="rId15"/>
          <a:extLst>
            <a:ext uri="{FF2B5EF4-FFF2-40B4-BE49-F238E27FC236}">
              <a16:creationId xmlns:a16="http://schemas.microsoft.com/office/drawing/2014/main" id="{A02CA0AF-F1BD-4356-AAB3-1FC349C7551E}"/>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2310" y="5297874"/>
          <a:ext cx="360000" cy="372492"/>
        </a:xfrm>
        <a:prstGeom prst="rect">
          <a:avLst/>
        </a:prstGeom>
      </xdr:spPr>
    </xdr:pic>
    <xdr:clientData/>
  </xdr:twoCellAnchor>
  <xdr:twoCellAnchor>
    <xdr:from>
      <xdr:col>0</xdr:col>
      <xdr:colOff>55931</xdr:colOff>
      <xdr:row>35</xdr:row>
      <xdr:rowOff>165212</xdr:rowOff>
    </xdr:from>
    <xdr:to>
      <xdr:col>0</xdr:col>
      <xdr:colOff>419741</xdr:colOff>
      <xdr:row>38</xdr:row>
      <xdr:rowOff>30015</xdr:rowOff>
    </xdr:to>
    <xdr:pic>
      <xdr:nvPicPr>
        <xdr:cNvPr id="7" name="Kuva 6">
          <a:extLst>
            <a:ext uri="{FF2B5EF4-FFF2-40B4-BE49-F238E27FC236}">
              <a16:creationId xmlns:a16="http://schemas.microsoft.com/office/drawing/2014/main" id="{0D9B919A-D441-DEB1-62ED-62F95349C95D}"/>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931" y="6114255"/>
          <a:ext cx="363810" cy="376431"/>
        </a:xfrm>
        <a:prstGeom prst="rect">
          <a:avLst/>
        </a:prstGeom>
      </xdr:spPr>
    </xdr:pic>
    <xdr:clientData/>
  </xdr:twoCellAnchor>
  <xdr:twoCellAnchor>
    <xdr:from>
      <xdr:col>0</xdr:col>
      <xdr:colOff>48433</xdr:colOff>
      <xdr:row>38</xdr:row>
      <xdr:rowOff>53603</xdr:rowOff>
    </xdr:from>
    <xdr:to>
      <xdr:col>0</xdr:col>
      <xdr:colOff>414352</xdr:colOff>
      <xdr:row>40</xdr:row>
      <xdr:rowOff>114347</xdr:rowOff>
    </xdr:to>
    <xdr:pic>
      <xdr:nvPicPr>
        <xdr:cNvPr id="9" name="Kuva 8">
          <a:hlinkClick xmlns:r="http://schemas.openxmlformats.org/officeDocument/2006/relationships" r:id="rId18"/>
          <a:extLst>
            <a:ext uri="{FF2B5EF4-FFF2-40B4-BE49-F238E27FC236}">
              <a16:creationId xmlns:a16="http://schemas.microsoft.com/office/drawing/2014/main" id="{ED7C53E2-A07C-4DC5-B003-1E9F6BAC598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8433" y="6514274"/>
          <a:ext cx="365919" cy="376430"/>
        </a:xfrm>
        <a:prstGeom prst="rect">
          <a:avLst/>
        </a:prstGeom>
      </xdr:spPr>
    </xdr:pic>
    <xdr:clientData/>
  </xdr:twoCellAnchor>
  <xdr:twoCellAnchor editAs="oneCell">
    <xdr:from>
      <xdr:col>19</xdr:col>
      <xdr:colOff>723900</xdr:colOff>
      <xdr:row>1</xdr:row>
      <xdr:rowOff>38100</xdr:rowOff>
    </xdr:from>
    <xdr:to>
      <xdr:col>20</xdr:col>
      <xdr:colOff>773365</xdr:colOff>
      <xdr:row>4</xdr:row>
      <xdr:rowOff>19200</xdr:rowOff>
    </xdr:to>
    <xdr:pic>
      <xdr:nvPicPr>
        <xdr:cNvPr id="5" name="Kuva 4">
          <a:extLst>
            <a:ext uri="{FF2B5EF4-FFF2-40B4-BE49-F238E27FC236}">
              <a16:creationId xmlns:a16="http://schemas.microsoft.com/office/drawing/2014/main" id="{2ADF5E5E-9142-75C8-71BD-5DA15F8640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510657" y="195943"/>
          <a:ext cx="876779" cy="324000"/>
        </a:xfrm>
        <a:prstGeom prst="rect">
          <a:avLst/>
        </a:prstGeom>
      </xdr:spPr>
    </xdr:pic>
    <xdr:clientData/>
  </xdr:twoCellAnchor>
  <xdr:twoCellAnchor editAs="oneCell">
    <xdr:from>
      <xdr:col>9</xdr:col>
      <xdr:colOff>723899</xdr:colOff>
      <xdr:row>1</xdr:row>
      <xdr:rowOff>43542</xdr:rowOff>
    </xdr:from>
    <xdr:to>
      <xdr:col>11</xdr:col>
      <xdr:colOff>478</xdr:colOff>
      <xdr:row>4</xdr:row>
      <xdr:rowOff>24642</xdr:rowOff>
    </xdr:to>
    <xdr:pic>
      <xdr:nvPicPr>
        <xdr:cNvPr id="8" name="Kuva 7">
          <a:extLst>
            <a:ext uri="{FF2B5EF4-FFF2-40B4-BE49-F238E27FC236}">
              <a16:creationId xmlns:a16="http://schemas.microsoft.com/office/drawing/2014/main" id="{5F6B5388-1E7C-83A6-3E78-F024D8302E4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108370" y="201385"/>
          <a:ext cx="876779" cy="324000"/>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horzOverflow="clip" rtlCol="0" anchor="ctr"/>
      <a:lstStyle>
        <a:defPPr algn="ctr">
          <a:defRPr sz="1800" b="1">
            <a:solidFill>
              <a:sysClr val="windowText" lastClr="000000"/>
            </a:solidFill>
            <a:latin typeface="Arial" pitchFamily="34" charset="0"/>
            <a:cs typeface="Arial"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2">
    <tabColor rgb="FFFFC000"/>
  </sheetPr>
  <dimension ref="B1:N61"/>
  <sheetViews>
    <sheetView showGridLines="0" showZeros="0" tabSelected="1" zoomScale="110" zoomScaleNormal="110" workbookViewId="0">
      <selection activeCell="R28" sqref="R28"/>
    </sheetView>
  </sheetViews>
  <sheetFormatPr defaultRowHeight="12.75" x14ac:dyDescent="0.2"/>
  <cols>
    <col min="1" max="1" width="16.42578125" customWidth="1"/>
    <col min="2" max="2" width="9.140625" style="33" customWidth="1"/>
    <col min="3" max="3" width="2.5703125" style="33" customWidth="1"/>
    <col min="4" max="4" width="36.5703125" customWidth="1"/>
    <col min="5" max="5" width="2.85546875" customWidth="1"/>
    <col min="6" max="6" width="41.85546875" customWidth="1"/>
    <col min="7" max="7" width="4.28515625" customWidth="1"/>
    <col min="8" max="9" width="7.28515625" customWidth="1"/>
    <col min="12" max="12" width="10" customWidth="1"/>
  </cols>
  <sheetData>
    <row r="1" spans="2:14" ht="12.75" customHeight="1" x14ac:dyDescent="0.2">
      <c r="I1" s="76"/>
    </row>
    <row r="2" spans="2:14" ht="12.75" customHeight="1" x14ac:dyDescent="0.2">
      <c r="H2" s="1772"/>
      <c r="I2" s="1772"/>
    </row>
    <row r="3" spans="2:14" ht="15" x14ac:dyDescent="0.2">
      <c r="D3" s="1766" t="s">
        <v>155</v>
      </c>
      <c r="E3" s="1767"/>
      <c r="F3" s="1767"/>
      <c r="H3" s="1772"/>
      <c r="I3" s="1772"/>
    </row>
    <row r="4" spans="2:14" x14ac:dyDescent="0.2">
      <c r="B4" s="35"/>
      <c r="C4" s="35"/>
      <c r="D4" s="1"/>
    </row>
    <row r="5" spans="2:14" ht="33" customHeight="1" x14ac:dyDescent="0.2">
      <c r="F5" s="486"/>
      <c r="H5" s="899"/>
      <c r="I5" s="1769"/>
      <c r="J5" s="1769"/>
      <c r="K5" s="1769"/>
      <c r="L5" s="1769"/>
    </row>
    <row r="6" spans="2:14" ht="10.15" customHeight="1" x14ac:dyDescent="0.2">
      <c r="H6" s="1068"/>
      <c r="I6" s="417"/>
      <c r="J6" s="1068"/>
      <c r="K6" s="1068"/>
      <c r="L6" s="1068"/>
    </row>
    <row r="7" spans="2:14" ht="33" customHeight="1" x14ac:dyDescent="0.2">
      <c r="B7" s="35" t="s">
        <v>0</v>
      </c>
      <c r="F7" s="486"/>
    </row>
    <row r="8" spans="2:14" ht="10.15" customHeight="1" x14ac:dyDescent="0.2"/>
    <row r="9" spans="2:14" ht="33" customHeight="1" x14ac:dyDescent="0.2">
      <c r="F9" s="486"/>
      <c r="N9" s="232"/>
    </row>
    <row r="10" spans="2:14" ht="10.15" customHeight="1" x14ac:dyDescent="0.2"/>
    <row r="11" spans="2:14" ht="33" customHeight="1" x14ac:dyDescent="0.2">
      <c r="F11" s="486"/>
      <c r="I11" s="1770"/>
      <c r="J11" s="1771"/>
      <c r="L11" s="232"/>
    </row>
    <row r="12" spans="2:14" ht="10.15" customHeight="1" x14ac:dyDescent="0.2"/>
    <row r="13" spans="2:14" ht="33" customHeight="1" x14ac:dyDescent="0.2">
      <c r="F13" s="486"/>
    </row>
    <row r="14" spans="2:14" ht="10.15" customHeight="1" x14ac:dyDescent="0.2">
      <c r="I14" s="1763"/>
      <c r="J14" s="1763"/>
      <c r="K14" s="1763"/>
      <c r="L14" s="1763"/>
    </row>
    <row r="15" spans="2:14" ht="33" customHeight="1" x14ac:dyDescent="0.2">
      <c r="F15" s="486"/>
      <c r="I15" s="1763"/>
      <c r="J15" s="1763"/>
      <c r="K15" s="1763"/>
      <c r="L15" s="1763"/>
      <c r="N15" s="1"/>
    </row>
    <row r="16" spans="2:14" ht="10.15" customHeight="1" x14ac:dyDescent="0.2">
      <c r="H16" s="1"/>
      <c r="I16" s="1763"/>
      <c r="J16" s="1763"/>
      <c r="K16" s="1763"/>
      <c r="L16" s="1763"/>
    </row>
    <row r="17" spans="2:13" ht="33" customHeight="1" x14ac:dyDescent="0.2">
      <c r="F17" s="486"/>
      <c r="I17" s="1763"/>
      <c r="J17" s="1763"/>
      <c r="K17" s="1763"/>
      <c r="L17" s="1763"/>
      <c r="M17" s="232"/>
    </row>
    <row r="18" spans="2:13" ht="10.15" customHeight="1" x14ac:dyDescent="0.2">
      <c r="F18" s="414"/>
      <c r="I18" s="1763"/>
      <c r="J18" s="1763"/>
      <c r="K18" s="1763"/>
      <c r="L18" s="1763"/>
      <c r="M18" s="232"/>
    </row>
    <row r="19" spans="2:13" ht="33" customHeight="1" x14ac:dyDescent="0.2">
      <c r="F19" s="486"/>
      <c r="I19" s="1763"/>
      <c r="J19" s="1763"/>
      <c r="K19" s="1763"/>
      <c r="L19" s="1763"/>
    </row>
    <row r="20" spans="2:13" ht="10.15" customHeight="1" x14ac:dyDescent="0.2"/>
    <row r="21" spans="2:13" ht="33" customHeight="1" x14ac:dyDescent="0.2">
      <c r="F21" s="486"/>
      <c r="I21" s="1776" t="s">
        <v>813</v>
      </c>
      <c r="J21" s="1776"/>
      <c r="K21" s="1776"/>
      <c r="L21" s="1776"/>
      <c r="M21" s="1776"/>
    </row>
    <row r="22" spans="2:13" ht="10.15" customHeight="1" x14ac:dyDescent="0.2"/>
    <row r="23" spans="2:13" ht="18" customHeight="1" x14ac:dyDescent="0.2">
      <c r="F23" s="486"/>
      <c r="H23" s="464"/>
      <c r="I23" s="178"/>
      <c r="J23" s="1775"/>
      <c r="K23" s="1775"/>
    </row>
    <row r="24" spans="2:13" ht="12" customHeight="1" x14ac:dyDescent="0.2">
      <c r="B24" s="35"/>
      <c r="C24" s="35"/>
      <c r="G24" s="1768" t="s">
        <v>253</v>
      </c>
      <c r="H24" s="1768"/>
      <c r="I24" s="1768"/>
      <c r="J24" s="1768"/>
      <c r="K24" s="1768"/>
      <c r="L24" s="1768"/>
    </row>
    <row r="25" spans="2:13" ht="12" customHeight="1" x14ac:dyDescent="0.2">
      <c r="F25" s="486"/>
      <c r="G25" s="178"/>
      <c r="H25" s="464"/>
      <c r="I25" s="1764"/>
      <c r="J25" s="1765"/>
      <c r="K25" s="1765"/>
      <c r="L25" s="1765"/>
    </row>
    <row r="26" spans="2:13" ht="12" customHeight="1" x14ac:dyDescent="0.2">
      <c r="D26" s="68"/>
      <c r="E26" s="45"/>
      <c r="F26" s="78"/>
      <c r="G26" s="45"/>
      <c r="H26" s="45"/>
      <c r="I26" s="45"/>
      <c r="J26" s="1777"/>
      <c r="K26" s="1777"/>
      <c r="L26" s="1777"/>
    </row>
    <row r="27" spans="2:13" x14ac:dyDescent="0.2">
      <c r="D27" s="68"/>
      <c r="F27" s="1773"/>
    </row>
    <row r="28" spans="2:13" x14ac:dyDescent="0.2">
      <c r="F28" s="1773"/>
    </row>
    <row r="29" spans="2:13" x14ac:dyDescent="0.2">
      <c r="D29" s="1772"/>
      <c r="E29" s="1774"/>
    </row>
    <row r="40" spans="4:6" x14ac:dyDescent="0.2">
      <c r="D40" s="13"/>
      <c r="F40" s="13"/>
    </row>
    <row r="51" spans="4:4" x14ac:dyDescent="0.2">
      <c r="D51" s="13"/>
    </row>
    <row r="61" spans="4:4" x14ac:dyDescent="0.2">
      <c r="D61" s="460"/>
    </row>
  </sheetData>
  <sheetProtection algorithmName="SHA-512" hashValue="CnEsO1wjG1wZvVguAUJeeICpUGn8nhX0aafe6AjFbvJN2FUrNZcO1mHwG83mDo/404ISfazBRhVhwfeTOsvtUQ==" saltValue="98Bd+uuqOLPbLIM4vPo+NA==" spinCount="100000" sheet="1" objects="1" scenarios="1" selectLockedCells="1" selectUnlockedCells="1"/>
  <mergeCells count="12">
    <mergeCell ref="F27:F28"/>
    <mergeCell ref="D29:E29"/>
    <mergeCell ref="J23:K23"/>
    <mergeCell ref="I21:M21"/>
    <mergeCell ref="J26:L26"/>
    <mergeCell ref="I14:L19"/>
    <mergeCell ref="I25:L25"/>
    <mergeCell ref="D3:F3"/>
    <mergeCell ref="G24:L24"/>
    <mergeCell ref="I5:L5"/>
    <mergeCell ref="I11:J11"/>
    <mergeCell ref="H2:I3"/>
  </mergeCells>
  <pageMargins left="0.25" right="0.25" top="0.75" bottom="0.75" header="0.3" footer="0.3"/>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6">
    <tabColor rgb="FF0152A1"/>
  </sheetPr>
  <dimension ref="A1:GX196"/>
  <sheetViews>
    <sheetView showGridLines="0" showZeros="0" zoomScaleNormal="100" workbookViewId="0">
      <selection activeCell="F35" sqref="F35"/>
    </sheetView>
  </sheetViews>
  <sheetFormatPr defaultRowHeight="12.75" x14ac:dyDescent="0.2"/>
  <cols>
    <col min="1" max="1" width="8.28515625" customWidth="1"/>
    <col min="2" max="2" width="3.85546875" customWidth="1"/>
    <col min="3" max="3" width="4.28515625" customWidth="1"/>
    <col min="4" max="4" width="30.28515625" customWidth="1"/>
    <col min="5" max="5" width="8.42578125" customWidth="1"/>
    <col min="6" max="6" width="7" style="33" customWidth="1"/>
    <col min="7" max="19" width="9.85546875" customWidth="1"/>
    <col min="20" max="20" width="10.7109375" customWidth="1"/>
    <col min="21" max="21" width="10.28515625" style="230" customWidth="1"/>
    <col min="22" max="22" width="6.28515625" style="230" customWidth="1"/>
    <col min="23" max="40" width="9.28515625" customWidth="1"/>
    <col min="41" max="41" width="9.28515625" hidden="1" customWidth="1"/>
    <col min="42" max="42" width="9.7109375" hidden="1" customWidth="1"/>
    <col min="43" max="67" width="8.85546875" hidden="1" customWidth="1"/>
    <col min="68" max="68" width="0" hidden="1" customWidth="1"/>
  </cols>
  <sheetData>
    <row r="1" spans="1:38" ht="16.350000000000001" customHeight="1" x14ac:dyDescent="0.2"/>
    <row r="2" spans="1:38" ht="15" customHeight="1" x14ac:dyDescent="0.2"/>
    <row r="3" spans="1:38" ht="19.7" customHeight="1" x14ac:dyDescent="0.2">
      <c r="A3" s="1363" t="s">
        <v>297</v>
      </c>
    </row>
    <row r="4" spans="1:38" x14ac:dyDescent="0.2">
      <c r="I4" s="1778"/>
      <c r="J4" s="1778"/>
    </row>
    <row r="5" spans="1:38" ht="15.75" customHeight="1" x14ac:dyDescent="0.3">
      <c r="B5" s="82" t="s">
        <v>627</v>
      </c>
      <c r="C5" s="91"/>
      <c r="D5" s="92"/>
      <c r="E5" s="1536"/>
      <c r="F5" s="1535"/>
      <c r="G5" s="1535"/>
      <c r="H5" s="1534"/>
      <c r="I5" s="359"/>
      <c r="J5" s="2137" t="s">
        <v>679</v>
      </c>
      <c r="K5" s="2137"/>
      <c r="L5" s="2137"/>
      <c r="M5" s="1534">
        <f>'2. &amp; 7. T2 RESULTATB.'!I8</f>
        <v>2027</v>
      </c>
      <c r="P5" s="1576"/>
      <c r="Q5" s="1576"/>
      <c r="R5" s="91"/>
      <c r="S5" s="91"/>
      <c r="W5" s="1578" t="str">
        <f>B5</f>
        <v xml:space="preserve">T5 KASSABUDGET </v>
      </c>
      <c r="X5" s="1224"/>
      <c r="Y5" s="1224"/>
      <c r="Z5" s="119"/>
      <c r="AA5" s="119"/>
      <c r="AB5" s="2137" t="str">
        <f>J5</f>
        <v>PROGNOSÅR</v>
      </c>
      <c r="AC5" s="2137"/>
      <c r="AD5" s="2137"/>
      <c r="AE5" s="1577">
        <f>M5</f>
        <v>2027</v>
      </c>
      <c r="AF5" s="119"/>
      <c r="AG5" s="2136"/>
      <c r="AH5" s="2136"/>
      <c r="AI5" s="119"/>
      <c r="AJ5" s="119"/>
      <c r="AK5" s="119"/>
      <c r="AL5" s="119"/>
    </row>
    <row r="6" spans="1:38" ht="14.1" customHeight="1" x14ac:dyDescent="0.3">
      <c r="B6" s="41" t="s">
        <v>255</v>
      </c>
      <c r="C6" s="1573"/>
      <c r="D6" s="1574"/>
      <c r="E6" s="92"/>
      <c r="F6" s="118"/>
      <c r="G6" s="118"/>
      <c r="H6" s="150"/>
      <c r="I6" s="93"/>
      <c r="J6" s="735"/>
      <c r="K6" s="736"/>
      <c r="L6" s="736"/>
      <c r="M6" s="736"/>
      <c r="O6" s="151"/>
      <c r="P6" s="151"/>
      <c r="Q6" s="151"/>
      <c r="R6" s="91"/>
      <c r="S6" s="91"/>
      <c r="U6" s="1581">
        <v>1</v>
      </c>
      <c r="W6" s="1224"/>
      <c r="X6" s="1224"/>
      <c r="Y6" s="1224"/>
      <c r="Z6" s="119"/>
      <c r="AA6" s="119"/>
      <c r="AF6" s="119"/>
      <c r="AG6" s="2136"/>
      <c r="AH6" s="2136"/>
      <c r="AI6" s="119"/>
      <c r="AJ6" s="119"/>
      <c r="AK6" s="119"/>
      <c r="AL6" s="119"/>
    </row>
    <row r="7" spans="1:38" ht="15.75" x14ac:dyDescent="0.25">
      <c r="B7" s="2051">
        <f>'1. T1 INVESTERINGSP.'!B7</f>
        <v>0</v>
      </c>
      <c r="C7" s="2051"/>
      <c r="D7" s="2051"/>
      <c r="E7" s="2051"/>
      <c r="G7" s="94"/>
      <c r="H7" s="94"/>
      <c r="I7" s="94"/>
      <c r="J7" s="2052"/>
      <c r="K7" s="2052"/>
      <c r="L7" s="2052"/>
      <c r="M7" s="2052"/>
      <c r="O7" s="2053">
        <v>0</v>
      </c>
      <c r="P7" s="2053"/>
      <c r="Q7" s="2053"/>
      <c r="R7" s="94"/>
      <c r="S7" s="95"/>
      <c r="U7" s="1061"/>
      <c r="V7" s="1061"/>
      <c r="W7" s="1575" t="str">
        <f>B6</f>
        <v>Företag</v>
      </c>
      <c r="X7" s="745"/>
      <c r="Y7" s="1224"/>
      <c r="Z7" s="119"/>
      <c r="AA7" s="744"/>
      <c r="AB7" s="119"/>
      <c r="AC7" s="119"/>
      <c r="AD7" s="119"/>
      <c r="AE7" s="119"/>
      <c r="AF7" s="119"/>
      <c r="AG7" s="744"/>
      <c r="AH7" s="119"/>
      <c r="AI7" s="119"/>
      <c r="AJ7" s="119"/>
      <c r="AK7" s="119"/>
      <c r="AL7" s="119"/>
    </row>
    <row r="8" spans="1:38" ht="10.15" customHeight="1" x14ac:dyDescent="0.2">
      <c r="B8" s="94"/>
      <c r="C8" s="94"/>
      <c r="G8" s="94"/>
      <c r="H8" s="94"/>
      <c r="I8" s="94"/>
      <c r="J8" s="94"/>
      <c r="K8" s="94"/>
      <c r="L8" s="94"/>
      <c r="M8" s="94"/>
      <c r="N8" s="1149"/>
      <c r="O8" s="1149"/>
      <c r="P8" s="1149"/>
      <c r="Q8" s="94"/>
      <c r="R8" s="94"/>
      <c r="S8" s="95"/>
      <c r="W8" s="1572">
        <f>B7</f>
        <v>0</v>
      </c>
      <c r="X8" s="119"/>
      <c r="Y8" s="125"/>
      <c r="Z8" s="119"/>
      <c r="AA8" s="119"/>
      <c r="AB8" s="119"/>
      <c r="AC8" s="119"/>
      <c r="AD8" s="119"/>
      <c r="AE8" s="119"/>
      <c r="AF8" s="119"/>
      <c r="AG8" s="119"/>
      <c r="AH8" s="119"/>
      <c r="AI8" s="119"/>
      <c r="AJ8" s="119"/>
      <c r="AK8" s="119"/>
      <c r="AL8" s="119"/>
    </row>
    <row r="9" spans="1:38" ht="16.149999999999999" customHeight="1" x14ac:dyDescent="0.25">
      <c r="B9" s="2054" t="s">
        <v>626</v>
      </c>
      <c r="C9" s="2055"/>
      <c r="D9" s="2055"/>
      <c r="E9" s="2056"/>
      <c r="F9" s="1147" t="s">
        <v>552</v>
      </c>
      <c r="G9" s="1674" t="s">
        <v>638</v>
      </c>
      <c r="H9" s="1674" t="s">
        <v>639</v>
      </c>
      <c r="I9" s="1674" t="s">
        <v>640</v>
      </c>
      <c r="J9" s="1674" t="s">
        <v>641</v>
      </c>
      <c r="K9" s="1674" t="s">
        <v>642</v>
      </c>
      <c r="L9" s="1674" t="s">
        <v>643</v>
      </c>
      <c r="M9" s="1674" t="s">
        <v>644</v>
      </c>
      <c r="N9" s="1674" t="s">
        <v>645</v>
      </c>
      <c r="O9" s="1674" t="s">
        <v>646</v>
      </c>
      <c r="P9" s="1674" t="s">
        <v>647</v>
      </c>
      <c r="Q9" s="1674" t="s">
        <v>648</v>
      </c>
      <c r="R9" s="1674" t="s">
        <v>649</v>
      </c>
      <c r="S9" s="1152" t="s">
        <v>650</v>
      </c>
      <c r="W9" s="2"/>
      <c r="X9" s="153"/>
      <c r="Y9" s="1541"/>
      <c r="Z9" s="153"/>
      <c r="AC9" s="19"/>
      <c r="AD9" s="19"/>
      <c r="AE9" s="19"/>
      <c r="AF9" s="19"/>
      <c r="AH9" s="19"/>
      <c r="AI9" s="19"/>
      <c r="AJ9" s="153"/>
    </row>
    <row r="10" spans="1:38" ht="12.6" customHeight="1" x14ac:dyDescent="0.2">
      <c r="B10" s="2144" t="s">
        <v>2</v>
      </c>
      <c r="C10" s="2059" t="s">
        <v>628</v>
      </c>
      <c r="D10" s="2060"/>
      <c r="E10" s="2060"/>
      <c r="F10" s="2061"/>
      <c r="G10" s="1150">
        <f>'3. T3 BALANS'!G49</f>
        <v>0</v>
      </c>
      <c r="H10" s="1151">
        <f>G57</f>
        <v>0</v>
      </c>
      <c r="I10" s="1151">
        <f t="shared" ref="I10:R10" si="0">H57</f>
        <v>0</v>
      </c>
      <c r="J10" s="1151">
        <f t="shared" si="0"/>
        <v>0</v>
      </c>
      <c r="K10" s="1151">
        <f t="shared" si="0"/>
        <v>0</v>
      </c>
      <c r="L10" s="1151">
        <f t="shared" si="0"/>
        <v>0</v>
      </c>
      <c r="M10" s="1151">
        <f t="shared" si="0"/>
        <v>0</v>
      </c>
      <c r="N10" s="1151">
        <f t="shared" si="0"/>
        <v>0</v>
      </c>
      <c r="O10" s="1151">
        <f t="shared" si="0"/>
        <v>0</v>
      </c>
      <c r="P10" s="1151">
        <f t="shared" si="0"/>
        <v>0</v>
      </c>
      <c r="Q10" s="1151">
        <f t="shared" si="0"/>
        <v>0</v>
      </c>
      <c r="R10" s="1151">
        <f t="shared" si="0"/>
        <v>0</v>
      </c>
      <c r="S10" s="1151"/>
      <c r="Y10" s="33"/>
    </row>
    <row r="11" spans="1:38" ht="12.6" customHeight="1" x14ac:dyDescent="0.2">
      <c r="B11" s="2058"/>
      <c r="C11" s="2062" t="s">
        <v>629</v>
      </c>
      <c r="D11" s="2063"/>
      <c r="E11" s="2063"/>
      <c r="F11" s="2064"/>
      <c r="G11" s="1314">
        <f>'AT T5 Kassa'!C11</f>
        <v>0</v>
      </c>
      <c r="H11" s="1314">
        <f>'AT T5 Kassa'!D11</f>
        <v>0</v>
      </c>
      <c r="I11" s="1314">
        <f>'AT T5 Kassa'!E11</f>
        <v>0</v>
      </c>
      <c r="J11" s="1314">
        <f>'AT T5 Kassa'!F11</f>
        <v>0</v>
      </c>
      <c r="K11" s="1314">
        <f>'AT T5 Kassa'!G11</f>
        <v>0</v>
      </c>
      <c r="L11" s="1314">
        <f>'AT T5 Kassa'!H11</f>
        <v>0</v>
      </c>
      <c r="M11" s="625"/>
      <c r="N11" s="625"/>
      <c r="O11" s="625"/>
      <c r="P11" s="625"/>
      <c r="Q11" s="625"/>
      <c r="R11" s="625"/>
      <c r="S11" s="626">
        <f>SUM(G11:R11)</f>
        <v>0</v>
      </c>
      <c r="U11" s="712"/>
      <c r="V11" s="712"/>
      <c r="Y11" s="33"/>
    </row>
    <row r="12" spans="1:38" ht="12.6" customHeight="1" x14ac:dyDescent="0.2">
      <c r="A12" s="46"/>
      <c r="B12" s="737" t="s">
        <v>3</v>
      </c>
      <c r="C12" s="2079" t="s">
        <v>630</v>
      </c>
      <c r="D12" s="2080"/>
      <c r="E12" s="344">
        <v>0.5</v>
      </c>
      <c r="F12" s="345">
        <v>25.5</v>
      </c>
      <c r="G12" s="627">
        <f t="shared" ref="G12:R12" si="1">G13*$S12</f>
        <v>0</v>
      </c>
      <c r="H12" s="627">
        <f t="shared" si="1"/>
        <v>0</v>
      </c>
      <c r="I12" s="627">
        <f t="shared" si="1"/>
        <v>0</v>
      </c>
      <c r="J12" s="627">
        <f t="shared" si="1"/>
        <v>0</v>
      </c>
      <c r="K12" s="627">
        <f t="shared" si="1"/>
        <v>0</v>
      </c>
      <c r="L12" s="627">
        <f t="shared" si="1"/>
        <v>0</v>
      </c>
      <c r="M12" s="627">
        <f>M13*$S12</f>
        <v>0</v>
      </c>
      <c r="N12" s="627">
        <f t="shared" si="1"/>
        <v>0</v>
      </c>
      <c r="O12" s="627">
        <f t="shared" si="1"/>
        <v>0</v>
      </c>
      <c r="P12" s="627">
        <f t="shared" si="1"/>
        <v>0</v>
      </c>
      <c r="Q12" s="627">
        <f t="shared" si="1"/>
        <v>0</v>
      </c>
      <c r="R12" s="627">
        <f t="shared" si="1"/>
        <v>0</v>
      </c>
      <c r="S12" s="628">
        <f>'6. E2 OMSÄTTNING'!F$10*E12+'6. E2 OMSÄTTNING'!F$10*E12*'9. T5 KASSABUDGET'!F12/100</f>
        <v>0</v>
      </c>
      <c r="U12" s="133"/>
      <c r="V12" s="133"/>
      <c r="Y12" s="33"/>
    </row>
    <row r="13" spans="1:38" ht="12.6" customHeight="1" x14ac:dyDescent="0.2">
      <c r="B13" s="738"/>
      <c r="C13" s="346"/>
      <c r="D13" s="2081" t="s">
        <v>631</v>
      </c>
      <c r="E13" s="2081"/>
      <c r="F13" s="2082"/>
      <c r="G13" s="629">
        <v>0.09</v>
      </c>
      <c r="H13" s="629">
        <v>0.09</v>
      </c>
      <c r="I13" s="629">
        <v>0.09</v>
      </c>
      <c r="J13" s="629">
        <v>0.09</v>
      </c>
      <c r="K13" s="629">
        <v>0.09</v>
      </c>
      <c r="L13" s="629">
        <v>0.09</v>
      </c>
      <c r="M13" s="629">
        <v>0.04</v>
      </c>
      <c r="N13" s="629">
        <v>7.0000000000000007E-2</v>
      </c>
      <c r="O13" s="629">
        <v>0.08</v>
      </c>
      <c r="P13" s="629">
        <v>0.09</v>
      </c>
      <c r="Q13" s="629">
        <v>0.09</v>
      </c>
      <c r="R13" s="629">
        <v>0.09</v>
      </c>
      <c r="S13" s="630">
        <f>SUM(G13:R13)</f>
        <v>0.99999999999999978</v>
      </c>
      <c r="T13" s="206" t="str">
        <f>IF(E12=0," ",IF(S13=100%," ","VIRHE!"))</f>
        <v xml:space="preserve"> </v>
      </c>
      <c r="Y13" s="33"/>
    </row>
    <row r="14" spans="1:38" ht="12.6" customHeight="1" x14ac:dyDescent="0.2">
      <c r="A14" s="46"/>
      <c r="B14" s="738" t="s">
        <v>4</v>
      </c>
      <c r="C14" s="2079" t="s">
        <v>632</v>
      </c>
      <c r="D14" s="2081"/>
      <c r="E14" s="2082"/>
      <c r="F14" s="347">
        <v>25.5</v>
      </c>
      <c r="G14" s="627">
        <f>G15*$S14</f>
        <v>0</v>
      </c>
      <c r="H14" s="627">
        <f>H15*$S14</f>
        <v>0</v>
      </c>
      <c r="I14" s="627">
        <f t="shared" ref="I14:R14" si="2">I15*$S14</f>
        <v>0</v>
      </c>
      <c r="J14" s="627">
        <f t="shared" si="2"/>
        <v>0</v>
      </c>
      <c r="K14" s="627">
        <f t="shared" si="2"/>
        <v>0</v>
      </c>
      <c r="L14" s="627">
        <f t="shared" si="2"/>
        <v>0</v>
      </c>
      <c r="M14" s="627">
        <f t="shared" si="2"/>
        <v>0</v>
      </c>
      <c r="N14" s="627">
        <f t="shared" si="2"/>
        <v>0</v>
      </c>
      <c r="O14" s="627">
        <f t="shared" si="2"/>
        <v>0</v>
      </c>
      <c r="P14" s="627">
        <f t="shared" si="2"/>
        <v>0</v>
      </c>
      <c r="Q14" s="627">
        <f t="shared" si="2"/>
        <v>0</v>
      </c>
      <c r="R14" s="627">
        <f t="shared" si="2"/>
        <v>0</v>
      </c>
      <c r="S14" s="627">
        <f>'6. E2 OMSÄTTNING'!F$10+'6. E2 OMSÄTTNING'!F$10*F14/100-S12</f>
        <v>0</v>
      </c>
      <c r="U14" s="239"/>
      <c r="V14" s="239"/>
      <c r="Y14" s="33"/>
    </row>
    <row r="15" spans="1:38" ht="12.6" customHeight="1" x14ac:dyDescent="0.2">
      <c r="A15" s="2"/>
      <c r="B15" s="738"/>
      <c r="C15" s="346"/>
      <c r="D15" s="2081" t="s">
        <v>631</v>
      </c>
      <c r="E15" s="2081"/>
      <c r="F15" s="2082"/>
      <c r="G15" s="631">
        <f>G13</f>
        <v>0.09</v>
      </c>
      <c r="H15" s="629">
        <f t="shared" ref="H15:R15" si="3">H13</f>
        <v>0.09</v>
      </c>
      <c r="I15" s="629">
        <f t="shared" si="3"/>
        <v>0.09</v>
      </c>
      <c r="J15" s="629">
        <f t="shared" si="3"/>
        <v>0.09</v>
      </c>
      <c r="K15" s="629">
        <f t="shared" si="3"/>
        <v>0.09</v>
      </c>
      <c r="L15" s="629">
        <f t="shared" si="3"/>
        <v>0.09</v>
      </c>
      <c r="M15" s="629">
        <f t="shared" si="3"/>
        <v>0.04</v>
      </c>
      <c r="N15" s="629">
        <f t="shared" si="3"/>
        <v>7.0000000000000007E-2</v>
      </c>
      <c r="O15" s="629">
        <f t="shared" si="3"/>
        <v>0.08</v>
      </c>
      <c r="P15" s="629">
        <f t="shared" si="3"/>
        <v>0.09</v>
      </c>
      <c r="Q15" s="629">
        <f t="shared" si="3"/>
        <v>0.09</v>
      </c>
      <c r="R15" s="629">
        <f t="shared" si="3"/>
        <v>0.09</v>
      </c>
      <c r="S15" s="630">
        <f>SUM(G15:R15)</f>
        <v>0.99999999999999978</v>
      </c>
      <c r="T15" s="206" t="str">
        <f>IF(E12=100%," ",IF(S15=100%," ","VIRHE!"))</f>
        <v xml:space="preserve"> </v>
      </c>
      <c r="Y15" s="33"/>
    </row>
    <row r="16" spans="1:38" ht="12.6" customHeight="1" thickBot="1" x14ac:dyDescent="0.25">
      <c r="A16" s="46"/>
      <c r="B16" s="738"/>
      <c r="C16" s="346"/>
      <c r="D16" s="348" t="s">
        <v>633</v>
      </c>
      <c r="E16" s="349">
        <v>0</v>
      </c>
      <c r="F16" s="350" t="s">
        <v>634</v>
      </c>
      <c r="G16" s="627">
        <f>'AT T5 Kassa'!C35</f>
        <v>0</v>
      </c>
      <c r="H16" s="627">
        <f>'AT T5 Kassa'!D35</f>
        <v>0</v>
      </c>
      <c r="I16" s="627">
        <f>'AT T5 Kassa'!E35</f>
        <v>0</v>
      </c>
      <c r="J16" s="627">
        <f>'AT T5 Kassa'!F35</f>
        <v>0</v>
      </c>
      <c r="K16" s="627">
        <f>'AT T5 Kassa'!G35</f>
        <v>0</v>
      </c>
      <c r="L16" s="627">
        <f>'AT T5 Kassa'!H35</f>
        <v>0</v>
      </c>
      <c r="M16" s="627">
        <f>'AT T5 Kassa'!I35</f>
        <v>0</v>
      </c>
      <c r="N16" s="627">
        <f>'AT T5 Kassa'!J35</f>
        <v>0</v>
      </c>
      <c r="O16" s="627">
        <f>'AT T5 Kassa'!K35</f>
        <v>0</v>
      </c>
      <c r="P16" s="627">
        <f>'AT T5 Kassa'!L35</f>
        <v>0</v>
      </c>
      <c r="Q16" s="627">
        <f>'AT T5 Kassa'!M35</f>
        <v>0</v>
      </c>
      <c r="R16" s="627">
        <f>'AT T5 Kassa'!N35</f>
        <v>0</v>
      </c>
      <c r="S16" s="628">
        <f>SUM(G16:R16)</f>
        <v>0</v>
      </c>
      <c r="Y16" s="33"/>
    </row>
    <row r="17" spans="1:67" ht="12.6" customHeight="1" x14ac:dyDescent="0.2">
      <c r="A17" s="46"/>
      <c r="B17" s="738" t="s">
        <v>5</v>
      </c>
      <c r="C17" s="2083" t="s">
        <v>635</v>
      </c>
      <c r="D17" s="2084"/>
      <c r="E17" s="2085"/>
      <c r="F17" s="347">
        <v>25.5</v>
      </c>
      <c r="G17" s="1315">
        <f>('2. &amp; 7. T2 RESULTATB.'!$I$12/12+'2. &amp; 7. T2 RESULTATB.'!$I$12/12*'9. T5 KASSABUDGET'!$F$17/100)</f>
        <v>0</v>
      </c>
      <c r="H17" s="1315">
        <f>('2. &amp; 7. T2 RESULTATB.'!$I$12/12+'2. &amp; 7. T2 RESULTATB.'!$I$12/12*'9. T5 KASSABUDGET'!$F$17/100)</f>
        <v>0</v>
      </c>
      <c r="I17" s="1315">
        <f>('2. &amp; 7. T2 RESULTATB.'!$I$12/12+'2. &amp; 7. T2 RESULTATB.'!$I$12/12*'9. T5 KASSABUDGET'!$F$17/100)</f>
        <v>0</v>
      </c>
      <c r="J17" s="1315">
        <f>('2. &amp; 7. T2 RESULTATB.'!$I$12/12+'2. &amp; 7. T2 RESULTATB.'!$I$12/12*'9. T5 KASSABUDGET'!$F$17/100)</f>
        <v>0</v>
      </c>
      <c r="K17" s="1315">
        <f>('2. &amp; 7. T2 RESULTATB.'!$I$12/12+'2. &amp; 7. T2 RESULTATB.'!$I$12/12*'9. T5 KASSABUDGET'!$F$17/100)</f>
        <v>0</v>
      </c>
      <c r="L17" s="1315">
        <f>('2. &amp; 7. T2 RESULTATB.'!$I$12/12+'2. &amp; 7. T2 RESULTATB.'!$I$12/12*'9. T5 KASSABUDGET'!$F$17/100)</f>
        <v>0</v>
      </c>
      <c r="M17" s="1315">
        <f>('2. &amp; 7. T2 RESULTATB.'!$I$12/12+'2. &amp; 7. T2 RESULTATB.'!$I$12/12*'9. T5 KASSABUDGET'!$F$17/100)</f>
        <v>0</v>
      </c>
      <c r="N17" s="1315">
        <f>('2. &amp; 7. T2 RESULTATB.'!$I$12/12+'2. &amp; 7. T2 RESULTATB.'!$I$12/12*'9. T5 KASSABUDGET'!$F$17/100)</f>
        <v>0</v>
      </c>
      <c r="O17" s="1315">
        <f>('2. &amp; 7. T2 RESULTATB.'!$I$12/12+'2. &amp; 7. T2 RESULTATB.'!$I$12/12*'9. T5 KASSABUDGET'!$F$17/100)</f>
        <v>0</v>
      </c>
      <c r="P17" s="1315">
        <f>('2. &amp; 7. T2 RESULTATB.'!$I$12/12+'2. &amp; 7. T2 RESULTATB.'!$I$12/12*'9. T5 KASSABUDGET'!$F$17/100)</f>
        <v>0</v>
      </c>
      <c r="Q17" s="1315">
        <f>('2. &amp; 7. T2 RESULTATB.'!$I$12/12+'2. &amp; 7. T2 RESULTATB.'!$I$12/12*'9. T5 KASSABUDGET'!$F$17/100)</f>
        <v>0</v>
      </c>
      <c r="R17" s="1315">
        <f>('2. &amp; 7. T2 RESULTATB.'!$I$12/12+'2. &amp; 7. T2 RESULTATB.'!$I$12/12*'9. T5 KASSABUDGET'!$F$17/100)</f>
        <v>0</v>
      </c>
      <c r="S17" s="628">
        <f>SUM(G17:R17)</f>
        <v>0</v>
      </c>
      <c r="U17" s="2094" t="s">
        <v>810</v>
      </c>
      <c r="V17" s="1061"/>
      <c r="Y17" s="33"/>
    </row>
    <row r="18" spans="1:67" ht="12.6" customHeight="1" thickBot="1" x14ac:dyDescent="0.25">
      <c r="B18" s="739" t="s">
        <v>6</v>
      </c>
      <c r="C18" s="2117" t="s">
        <v>636</v>
      </c>
      <c r="D18" s="2118"/>
      <c r="E18" s="2119"/>
      <c r="F18" s="351"/>
      <c r="G18" s="1316">
        <f>'5. E1 VERKSAMHETSKOSTN.'!$F$30/12</f>
        <v>0</v>
      </c>
      <c r="H18" s="1316">
        <f>'5. E1 VERKSAMHETSKOSTN.'!$F30/12</f>
        <v>0</v>
      </c>
      <c r="I18" s="1316">
        <f>'5. E1 VERKSAMHETSKOSTN.'!$F30/12</f>
        <v>0</v>
      </c>
      <c r="J18" s="1316">
        <f>'5. E1 VERKSAMHETSKOSTN.'!$F30/12</f>
        <v>0</v>
      </c>
      <c r="K18" s="1316">
        <f>'5. E1 VERKSAMHETSKOSTN.'!$F30/12</f>
        <v>0</v>
      </c>
      <c r="L18" s="1316">
        <f>'5. E1 VERKSAMHETSKOSTN.'!$F30/12</f>
        <v>0</v>
      </c>
      <c r="M18" s="1316">
        <f>'5. E1 VERKSAMHETSKOSTN.'!$F30/12+'1. T1 INVESTERINGSP.'!$D$61</f>
        <v>0</v>
      </c>
      <c r="N18" s="1316">
        <f>'5. E1 VERKSAMHETSKOSTN.'!$F30/12</f>
        <v>0</v>
      </c>
      <c r="O18" s="1316">
        <f>'5. E1 VERKSAMHETSKOSTN.'!$F30/12</f>
        <v>0</v>
      </c>
      <c r="P18" s="1316">
        <f>'5. E1 VERKSAMHETSKOSTN.'!$F30/12</f>
        <v>0</v>
      </c>
      <c r="Q18" s="1316">
        <f>'5. E1 VERKSAMHETSKOSTN.'!$F30/12</f>
        <v>0</v>
      </c>
      <c r="R18" s="1316">
        <f>'5. E1 VERKSAMHETSKOSTN.'!$F30/12</f>
        <v>0</v>
      </c>
      <c r="S18" s="628">
        <f>SUM(G18:R18)</f>
        <v>0</v>
      </c>
      <c r="U18" s="2095"/>
      <c r="V18" s="1061"/>
      <c r="Y18" s="33"/>
    </row>
    <row r="19" spans="1:67" ht="16.149999999999999" customHeight="1" thickTop="1" thickBot="1" x14ac:dyDescent="0.25">
      <c r="A19" s="46"/>
      <c r="B19" s="725"/>
      <c r="C19" s="2132" t="s">
        <v>637</v>
      </c>
      <c r="D19" s="2133"/>
      <c r="E19" s="2133"/>
      <c r="F19" s="726"/>
      <c r="G19" s="727">
        <f>G12+G16+G18+G17</f>
        <v>0</v>
      </c>
      <c r="H19" s="727">
        <f t="shared" ref="H19:R19" si="4">H12+H16+H18+H17</f>
        <v>0</v>
      </c>
      <c r="I19" s="727">
        <f t="shared" si="4"/>
        <v>0</v>
      </c>
      <c r="J19" s="727">
        <f t="shared" si="4"/>
        <v>0</v>
      </c>
      <c r="K19" s="727">
        <f t="shared" si="4"/>
        <v>0</v>
      </c>
      <c r="L19" s="727">
        <f t="shared" si="4"/>
        <v>0</v>
      </c>
      <c r="M19" s="727">
        <f t="shared" si="4"/>
        <v>0</v>
      </c>
      <c r="N19" s="727">
        <f t="shared" si="4"/>
        <v>0</v>
      </c>
      <c r="O19" s="727">
        <f t="shared" si="4"/>
        <v>0</v>
      </c>
      <c r="P19" s="727">
        <f t="shared" si="4"/>
        <v>0</v>
      </c>
      <c r="Q19" s="727">
        <f t="shared" si="4"/>
        <v>0</v>
      </c>
      <c r="R19" s="727">
        <f t="shared" si="4"/>
        <v>0</v>
      </c>
      <c r="S19" s="728">
        <f>SUM(G19:R19)</f>
        <v>0</v>
      </c>
      <c r="U19" s="2095"/>
      <c r="V19" s="1061"/>
      <c r="Y19" s="33"/>
      <c r="AP19" s="2148" t="s">
        <v>58</v>
      </c>
      <c r="AQ19" s="2148"/>
      <c r="AR19" s="2148"/>
      <c r="AS19" s="2148"/>
      <c r="AT19" s="2148"/>
      <c r="AU19" s="2148"/>
      <c r="AV19" s="2148"/>
      <c r="AW19" s="2148"/>
      <c r="AX19" s="2148"/>
      <c r="AY19" s="2148" t="s">
        <v>182</v>
      </c>
      <c r="AZ19" s="2148"/>
      <c r="BA19" s="2148"/>
      <c r="BB19" s="2148"/>
      <c r="BC19" s="2148"/>
      <c r="BD19" s="2148"/>
      <c r="BE19" s="2148"/>
      <c r="BF19" s="2148" t="s">
        <v>183</v>
      </c>
      <c r="BG19" s="2148"/>
      <c r="BH19" s="2148"/>
      <c r="BI19" s="2148"/>
      <c r="BJ19" s="2148"/>
      <c r="BK19" s="2148"/>
      <c r="BL19" s="2148"/>
      <c r="BM19" s="2145" t="s">
        <v>16</v>
      </c>
      <c r="BN19" s="2145"/>
      <c r="BO19" s="2145"/>
    </row>
    <row r="20" spans="1:67" ht="4.1500000000000004" customHeight="1" thickTop="1" x14ac:dyDescent="0.2">
      <c r="B20" s="740"/>
      <c r="C20" s="330"/>
      <c r="D20" s="330"/>
      <c r="E20" s="330"/>
      <c r="F20" s="331"/>
      <c r="G20" s="632"/>
      <c r="H20" s="632"/>
      <c r="I20" s="632"/>
      <c r="J20" s="632"/>
      <c r="K20" s="632"/>
      <c r="L20" s="632"/>
      <c r="M20" s="632"/>
      <c r="N20" s="632"/>
      <c r="O20" s="632"/>
      <c r="P20" s="632"/>
      <c r="Q20" s="632"/>
      <c r="R20" s="632"/>
      <c r="S20" s="633" t="s">
        <v>0</v>
      </c>
      <c r="U20" s="2095"/>
      <c r="V20" s="1061"/>
      <c r="Y20" s="33"/>
      <c r="AP20" s="507"/>
      <c r="AQ20" s="507"/>
      <c r="AR20" s="507"/>
      <c r="AS20" s="507"/>
      <c r="AT20" s="507"/>
      <c r="AU20" s="507"/>
      <c r="AV20" s="1021"/>
      <c r="AW20" s="1021"/>
      <c r="AX20" s="1021"/>
      <c r="AY20" s="507"/>
      <c r="AZ20" s="507"/>
      <c r="BA20" s="507"/>
      <c r="BB20" s="507"/>
      <c r="BC20" s="1021"/>
      <c r="BD20" s="1021"/>
      <c r="BE20" s="1021"/>
      <c r="BF20" s="507"/>
      <c r="BG20" s="507"/>
      <c r="BH20" s="507"/>
      <c r="BI20" s="507"/>
      <c r="BJ20" s="1021"/>
      <c r="BK20" s="1021"/>
      <c r="BL20" s="1021"/>
    </row>
    <row r="21" spans="1:67" ht="16.149999999999999" customHeight="1" x14ac:dyDescent="0.2">
      <c r="B21" s="2122" t="s">
        <v>651</v>
      </c>
      <c r="C21" s="2123"/>
      <c r="D21" s="2123"/>
      <c r="E21" s="2124"/>
      <c r="F21" s="1153" t="str">
        <f>F9</f>
        <v>Moms-%</v>
      </c>
      <c r="G21" s="1154" t="str">
        <f>G9</f>
        <v>JAN</v>
      </c>
      <c r="H21" s="1154" t="str">
        <f t="shared" ref="H21:S21" si="5">+H9</f>
        <v>FEB</v>
      </c>
      <c r="I21" s="1154" t="str">
        <f t="shared" si="5"/>
        <v>MARS</v>
      </c>
      <c r="J21" s="1154" t="str">
        <f t="shared" si="5"/>
        <v>APRIL</v>
      </c>
      <c r="K21" s="1154" t="str">
        <f t="shared" si="5"/>
        <v>MAJ</v>
      </c>
      <c r="L21" s="1154" t="str">
        <f t="shared" si="5"/>
        <v>JUNI</v>
      </c>
      <c r="M21" s="1154" t="str">
        <f t="shared" si="5"/>
        <v>JULI</v>
      </c>
      <c r="N21" s="1154" t="str">
        <f t="shared" si="5"/>
        <v>AUG</v>
      </c>
      <c r="O21" s="1154" t="str">
        <f t="shared" si="5"/>
        <v>SEP</v>
      </c>
      <c r="P21" s="1154" t="str">
        <f t="shared" si="5"/>
        <v>OKT</v>
      </c>
      <c r="Q21" s="1154" t="str">
        <f t="shared" si="5"/>
        <v>NOV</v>
      </c>
      <c r="R21" s="1154" t="str">
        <f t="shared" si="5"/>
        <v>DEC</v>
      </c>
      <c r="S21" s="1155" t="str">
        <f t="shared" si="5"/>
        <v>SLGT</v>
      </c>
      <c r="T21" s="1146" t="s">
        <v>678</v>
      </c>
      <c r="U21" s="2096"/>
      <c r="V21" s="1061"/>
      <c r="Y21" s="33"/>
      <c r="AP21" s="1023"/>
      <c r="AQ21" s="1024"/>
      <c r="AR21" s="1025" t="s">
        <v>51</v>
      </c>
      <c r="AS21" s="1026" t="s">
        <v>184</v>
      </c>
      <c r="AT21" s="1026" t="s">
        <v>59</v>
      </c>
      <c r="AU21" s="2146" t="s">
        <v>41</v>
      </c>
      <c r="AV21" s="1027" t="s">
        <v>52</v>
      </c>
      <c r="AW21" s="1027" t="s">
        <v>208</v>
      </c>
      <c r="AX21" s="1028" t="s">
        <v>53</v>
      </c>
      <c r="AY21" s="1025" t="s">
        <v>51</v>
      </c>
      <c r="AZ21" s="1026" t="s">
        <v>184</v>
      </c>
      <c r="BA21" s="1026" t="s">
        <v>59</v>
      </c>
      <c r="BB21" s="2146" t="s">
        <v>41</v>
      </c>
      <c r="BC21" s="1027" t="s">
        <v>52</v>
      </c>
      <c r="BD21" s="1027" t="s">
        <v>208</v>
      </c>
      <c r="BE21" s="1028" t="s">
        <v>53</v>
      </c>
      <c r="BF21" s="1029" t="s">
        <v>51</v>
      </c>
      <c r="BG21" s="1026" t="s">
        <v>184</v>
      </c>
      <c r="BH21" s="1026" t="s">
        <v>59</v>
      </c>
      <c r="BI21" s="2146" t="s">
        <v>41</v>
      </c>
      <c r="BJ21" s="1027" t="s">
        <v>52</v>
      </c>
      <c r="BK21" s="1027" t="s">
        <v>208</v>
      </c>
      <c r="BL21" s="1030" t="s">
        <v>53</v>
      </c>
      <c r="BM21" s="1031" t="s">
        <v>52</v>
      </c>
      <c r="BN21" s="1027" t="s">
        <v>208</v>
      </c>
      <c r="BO21" s="1028" t="s">
        <v>53</v>
      </c>
    </row>
    <row r="22" spans="1:67" ht="12.6" customHeight="1" x14ac:dyDescent="0.2">
      <c r="B22" s="2125" t="s">
        <v>7</v>
      </c>
      <c r="C22" s="2065" t="s">
        <v>652</v>
      </c>
      <c r="D22" s="2066"/>
      <c r="E22" s="2067"/>
      <c r="F22" s="1148">
        <v>25.5</v>
      </c>
      <c r="G22" s="1317">
        <f>IF(($S12+$S14)*$U22=0,0,(G12+G14)/($S12+$S14)*'9. T5 KASSABUDGET'!$U22)</f>
        <v>0</v>
      </c>
      <c r="H22" s="1317">
        <f>IF(($S12+$S14)*$U22=0,0,(H12+H14)/($S12+$S14)*'9. T5 KASSABUDGET'!$U22)</f>
        <v>0</v>
      </c>
      <c r="I22" s="1317">
        <f>IF(($S12+$S14)*$U22=0,0,(I12+I14)/($S12+$S14)*'9. T5 KASSABUDGET'!$U22)</f>
        <v>0</v>
      </c>
      <c r="J22" s="1317">
        <f>IF(($S12+$S14)*$U22=0,0,(J12+J14)/($S12+$S14)*'9. T5 KASSABUDGET'!$U22)</f>
        <v>0</v>
      </c>
      <c r="K22" s="1317">
        <f>IF(($S12+$S14)*$U22=0,0,(K12+K14)/($S12+$S14)*'9. T5 KASSABUDGET'!$U22)</f>
        <v>0</v>
      </c>
      <c r="L22" s="1317">
        <f>IF(($S12+$S14)*$U22=0,0,(L12+L14)/($S12+$S14)*'9. T5 KASSABUDGET'!$U22)</f>
        <v>0</v>
      </c>
      <c r="M22" s="1317">
        <f>IF(($S12+$S14)*$U22=0,0,(M12+M14)/($S12+$S14)*'9. T5 KASSABUDGET'!$U22)</f>
        <v>0</v>
      </c>
      <c r="N22" s="1317">
        <f>IF(($S12+$S14)*$U22=0,0,(N12+N14)/($S12+$S14)*'9. T5 KASSABUDGET'!$U22)</f>
        <v>0</v>
      </c>
      <c r="O22" s="1317">
        <f>IF(($S12+$S14)*$U22=0,0,(O12+O14)/($S12+$S14)*'9. T5 KASSABUDGET'!$U22)</f>
        <v>0</v>
      </c>
      <c r="P22" s="1317">
        <f>IF(($S12+$S14)*$U22=0,0,(P12+P14)/($S12+$S14)*'9. T5 KASSABUDGET'!$U22)</f>
        <v>0</v>
      </c>
      <c r="Q22" s="1317">
        <f>IF(($S12+$S14)*$U22=0,0,(Q12+Q14)/($S12+$S14)*'9. T5 KASSABUDGET'!$U22)</f>
        <v>0</v>
      </c>
      <c r="R22" s="1317">
        <f>IF(($S12+$S14)*$U22=0,0,(R12+R14)/($S12+$S14)*'9. T5 KASSABUDGET'!$U22)</f>
        <v>0</v>
      </c>
      <c r="S22" s="638">
        <f t="shared" ref="S22:S28" si="6">SUM(G22:R22)</f>
        <v>0</v>
      </c>
      <c r="T22" s="996">
        <f>U22-S22</f>
        <v>0</v>
      </c>
      <c r="U22" s="628">
        <f>-'2. &amp; 7. T2 RESULTATB.'!I15-'2. &amp; 7. T2 RESULTATB.'!I15*'9. T5 KASSABUDGET'!F22/100-'1. T1 INVESTERINGSP.'!D40</f>
        <v>0</v>
      </c>
      <c r="V22" s="1001"/>
      <c r="Y22" s="33"/>
      <c r="AP22" s="1032"/>
      <c r="AQ22" s="1033"/>
      <c r="AR22" s="1034" t="s">
        <v>54</v>
      </c>
      <c r="AS22" s="1035" t="s">
        <v>55</v>
      </c>
      <c r="AT22" s="1035" t="s">
        <v>60</v>
      </c>
      <c r="AU22" s="2147"/>
      <c r="AV22" s="1036" t="s">
        <v>56</v>
      </c>
      <c r="AW22" s="1036" t="s">
        <v>209</v>
      </c>
      <c r="AX22" s="1037" t="s">
        <v>54</v>
      </c>
      <c r="AY22" s="1034" t="s">
        <v>54</v>
      </c>
      <c r="AZ22" s="1035" t="s">
        <v>55</v>
      </c>
      <c r="BA22" s="1035" t="s">
        <v>60</v>
      </c>
      <c r="BB22" s="2147"/>
      <c r="BC22" s="1036" t="s">
        <v>56</v>
      </c>
      <c r="BD22" s="1036" t="s">
        <v>209</v>
      </c>
      <c r="BE22" s="1037" t="s">
        <v>54</v>
      </c>
      <c r="BF22" s="1038" t="s">
        <v>54</v>
      </c>
      <c r="BG22" s="1035" t="s">
        <v>55</v>
      </c>
      <c r="BH22" s="1035" t="s">
        <v>60</v>
      </c>
      <c r="BI22" s="2147"/>
      <c r="BJ22" s="1036" t="s">
        <v>56</v>
      </c>
      <c r="BK22" s="1036" t="s">
        <v>209</v>
      </c>
      <c r="BL22" s="373" t="s">
        <v>54</v>
      </c>
      <c r="BM22" s="1039" t="s">
        <v>56</v>
      </c>
      <c r="BN22" s="1036" t="s">
        <v>209</v>
      </c>
      <c r="BO22" s="1037" t="s">
        <v>54</v>
      </c>
    </row>
    <row r="23" spans="1:67" ht="12.6" customHeight="1" x14ac:dyDescent="0.2">
      <c r="B23" s="2058"/>
      <c r="C23" s="1177" t="s">
        <v>653</v>
      </c>
      <c r="D23" s="1518"/>
      <c r="E23" s="349">
        <v>0</v>
      </c>
      <c r="F23" s="1341"/>
      <c r="G23" s="1521">
        <f>'AT T5 Kassa'!Q8</f>
        <v>0</v>
      </c>
      <c r="H23" s="1521">
        <f>'AT T5 Kassa'!R8</f>
        <v>0</v>
      </c>
      <c r="I23" s="1521">
        <f>'AT T5 Kassa'!S8</f>
        <v>0</v>
      </c>
      <c r="J23" s="626"/>
      <c r="K23" s="626"/>
      <c r="L23" s="626"/>
      <c r="M23" s="626"/>
      <c r="N23" s="626"/>
      <c r="O23" s="626"/>
      <c r="P23" s="626"/>
      <c r="Q23" s="626"/>
      <c r="R23" s="626"/>
      <c r="S23" s="638">
        <f t="shared" si="6"/>
        <v>0</v>
      </c>
      <c r="T23" s="1529"/>
      <c r="U23" s="1351"/>
      <c r="V23" s="1001"/>
      <c r="Y23" s="33"/>
      <c r="AP23" s="1032"/>
      <c r="AQ23" s="1033"/>
      <c r="AR23" s="1034"/>
      <c r="AS23" s="1035"/>
      <c r="AT23" s="1035"/>
      <c r="AU23" s="1519"/>
      <c r="AV23" s="1520"/>
      <c r="AW23" s="1520"/>
      <c r="AX23" s="1037"/>
      <c r="AY23" s="1034"/>
      <c r="AZ23" s="1035"/>
      <c r="BA23" s="1035"/>
      <c r="BB23" s="1517"/>
      <c r="BC23" s="1036"/>
      <c r="BD23" s="1036"/>
      <c r="BE23" s="1037"/>
      <c r="BF23" s="1038"/>
      <c r="BG23" s="1035"/>
      <c r="BH23" s="1035"/>
      <c r="BI23" s="1517"/>
      <c r="BJ23" s="1036"/>
      <c r="BK23" s="1036"/>
      <c r="BL23" s="373"/>
      <c r="BM23" s="1039"/>
      <c r="BN23" s="1036"/>
      <c r="BO23" s="1037"/>
    </row>
    <row r="24" spans="1:67" ht="12.6" hidden="1" customHeight="1" x14ac:dyDescent="0.2">
      <c r="B24" s="741" t="s">
        <v>8</v>
      </c>
      <c r="C24" s="2129" t="s">
        <v>654</v>
      </c>
      <c r="D24" s="2130"/>
      <c r="E24" s="2131"/>
      <c r="F24" s="1636">
        <v>0</v>
      </c>
      <c r="G24" s="634"/>
      <c r="H24" s="634"/>
      <c r="I24" s="634"/>
      <c r="J24" s="634"/>
      <c r="K24" s="634"/>
      <c r="L24" s="634"/>
      <c r="M24" s="634"/>
      <c r="N24" s="634"/>
      <c r="O24" s="634"/>
      <c r="P24" s="634"/>
      <c r="Q24" s="634"/>
      <c r="R24" s="634"/>
      <c r="S24" s="626"/>
      <c r="T24" s="1527" t="s">
        <v>0</v>
      </c>
      <c r="U24" s="1528"/>
      <c r="V24" s="1001"/>
      <c r="Y24" s="33"/>
    </row>
    <row r="25" spans="1:67" ht="12.6" customHeight="1" x14ac:dyDescent="0.2">
      <c r="B25" s="741" t="s">
        <v>8</v>
      </c>
      <c r="C25" s="488" t="s">
        <v>655</v>
      </c>
      <c r="D25" s="489"/>
      <c r="E25" s="490"/>
      <c r="F25" s="1637">
        <v>25.5</v>
      </c>
      <c r="G25" s="634">
        <f>$U25/12</f>
        <v>0</v>
      </c>
      <c r="H25" s="634">
        <f t="shared" ref="H25:R25" si="7">$U25/12</f>
        <v>0</v>
      </c>
      <c r="I25" s="634">
        <f t="shared" si="7"/>
        <v>0</v>
      </c>
      <c r="J25" s="634">
        <f t="shared" si="7"/>
        <v>0</v>
      </c>
      <c r="K25" s="634">
        <f t="shared" si="7"/>
        <v>0</v>
      </c>
      <c r="L25" s="634">
        <f t="shared" si="7"/>
        <v>0</v>
      </c>
      <c r="M25" s="634">
        <f t="shared" si="7"/>
        <v>0</v>
      </c>
      <c r="N25" s="634">
        <f t="shared" si="7"/>
        <v>0</v>
      </c>
      <c r="O25" s="634">
        <f t="shared" si="7"/>
        <v>0</v>
      </c>
      <c r="P25" s="634">
        <f t="shared" si="7"/>
        <v>0</v>
      </c>
      <c r="Q25" s="634">
        <f t="shared" si="7"/>
        <v>0</v>
      </c>
      <c r="R25" s="634">
        <f t="shared" si="7"/>
        <v>0</v>
      </c>
      <c r="S25" s="626">
        <f t="shared" si="6"/>
        <v>0</v>
      </c>
      <c r="T25" s="996">
        <f t="shared" ref="T25:T42" si="8">U25-S25</f>
        <v>0</v>
      </c>
      <c r="U25" s="907">
        <f>-('2. &amp; 7. T2 RESULTATB.'!I16+'2. &amp; 7. T2 RESULTATB.'!I16*'9. T5 KASSABUDGET'!F25/100)</f>
        <v>0</v>
      </c>
      <c r="V25" s="1001"/>
      <c r="Y25" s="33"/>
      <c r="AK25" s="33"/>
      <c r="AP25" s="1040"/>
      <c r="AQ25" s="1041"/>
      <c r="AR25" s="2151" t="s">
        <v>0</v>
      </c>
      <c r="AS25" s="2152"/>
      <c r="AT25" s="1042"/>
      <c r="AU25" s="1043"/>
      <c r="AV25" s="1044">
        <v>1.9099999999999999E-2</v>
      </c>
      <c r="AW25" s="1045">
        <v>0</v>
      </c>
      <c r="AX25" s="1046"/>
      <c r="AY25" s="2151" t="s">
        <v>0</v>
      </c>
      <c r="AZ25" s="2152"/>
      <c r="BA25" s="1042">
        <v>0</v>
      </c>
      <c r="BB25" s="1042"/>
      <c r="BC25" s="1047">
        <f>AV25</f>
        <v>1.9099999999999999E-2</v>
      </c>
      <c r="BD25" s="1048">
        <v>8.1900000000000001E-2</v>
      </c>
      <c r="BE25" s="1046"/>
      <c r="BF25" s="2153" t="s">
        <v>0</v>
      </c>
      <c r="BG25" s="2152"/>
      <c r="BH25" s="1042" t="s">
        <v>0</v>
      </c>
      <c r="BI25" s="1042"/>
      <c r="BJ25" s="1047">
        <f>AV25</f>
        <v>1.9099999999999999E-2</v>
      </c>
      <c r="BK25" s="1047">
        <f>BD25</f>
        <v>8.1900000000000001E-2</v>
      </c>
      <c r="BL25" s="1049"/>
      <c r="BM25" s="1050"/>
      <c r="BN25" s="1051">
        <f>BK25</f>
        <v>8.1900000000000001E-2</v>
      </c>
      <c r="BO25" s="1052"/>
    </row>
    <row r="26" spans="1:67" ht="12.6" customHeight="1" x14ac:dyDescent="0.2">
      <c r="B26" s="741" t="s">
        <v>9</v>
      </c>
      <c r="C26" s="2071" t="s">
        <v>656</v>
      </c>
      <c r="D26" s="2072"/>
      <c r="E26" s="2073"/>
      <c r="F26" s="1637">
        <v>25.5</v>
      </c>
      <c r="G26" s="634">
        <f>'1. T1 INVESTERINGSP.'!D20+'1. T1 INVESTERINGSP.'!D27+'1. T1 INVESTERINGSP.'!D32+IF('1. T1 INVESTERINGSP.'!D36=0,0,'1. T1 INVESTERINGSP.'!D35)</f>
        <v>0</v>
      </c>
      <c r="H26" s="634">
        <v>0</v>
      </c>
      <c r="I26" s="634">
        <v>0</v>
      </c>
      <c r="J26" s="634">
        <v>0</v>
      </c>
      <c r="K26" s="634">
        <v>0</v>
      </c>
      <c r="L26" s="634">
        <v>0</v>
      </c>
      <c r="M26" s="634">
        <v>0</v>
      </c>
      <c r="N26" s="634">
        <v>0</v>
      </c>
      <c r="O26" s="634">
        <v>0</v>
      </c>
      <c r="P26" s="634">
        <v>0</v>
      </c>
      <c r="Q26" s="634">
        <v>0</v>
      </c>
      <c r="R26" s="634"/>
      <c r="S26" s="626">
        <f t="shared" si="6"/>
        <v>0</v>
      </c>
      <c r="T26" s="997" t="s">
        <v>0</v>
      </c>
      <c r="U26" s="1349"/>
      <c r="V26" s="1001"/>
      <c r="Y26" s="33"/>
      <c r="AP26" s="2149" t="s">
        <v>185</v>
      </c>
      <c r="AQ26" s="2150"/>
      <c r="AR26" s="809">
        <f>'5. E1 VERKSAMHETSKOSTN.'!F12</f>
        <v>0</v>
      </c>
      <c r="AS26" s="1053">
        <f>'5. E1 VERKSAMHETSKOSTN.'!F14*'5. E1 VERKSAMHETSKOSTN.'!F15</f>
        <v>0</v>
      </c>
      <c r="AT26" s="1053">
        <f>AS26+AR26</f>
        <v>0</v>
      </c>
      <c r="AU26" s="1054">
        <f>'5. E1 VERKSAMHETSKOSTN.'!F16</f>
        <v>0.28999999999999998</v>
      </c>
      <c r="AV26" s="1055">
        <f>(AU26+AV$25)*AT26</f>
        <v>0</v>
      </c>
      <c r="AW26" s="1045">
        <v>0</v>
      </c>
      <c r="AX26" s="1056">
        <f>AR26-AT26*AU26</f>
        <v>0</v>
      </c>
      <c r="AY26" s="809">
        <f>'5. E1 VERKSAMHETSKOSTN.'!F17</f>
        <v>0</v>
      </c>
      <c r="AZ26" s="1053">
        <f>'5. E1 VERKSAMHETSKOSTN.'!F22</f>
        <v>0</v>
      </c>
      <c r="BA26" s="1053">
        <f>AZ26+AY26</f>
        <v>0</v>
      </c>
      <c r="BB26" s="1054">
        <f>'5. E1 VERKSAMHETSKOSTN.'!F23</f>
        <v>0.2</v>
      </c>
      <c r="BC26" s="1055">
        <f>(BB26+BC$25)*BA26</f>
        <v>0</v>
      </c>
      <c r="BD26" s="1057">
        <f>BD25*BA26</f>
        <v>0</v>
      </c>
      <c r="BE26" s="1056">
        <f>AY26-BA26*BB26-BD26</f>
        <v>0</v>
      </c>
      <c r="BF26" s="1010">
        <f>'5. E1 VERKSAMHETSKOSTN.'!F24</f>
        <v>0</v>
      </c>
      <c r="BG26" s="1053">
        <f>'5. E1 VERKSAMHETSKOSTN.'!F28</f>
        <v>0</v>
      </c>
      <c r="BH26" s="1053">
        <f>BG26+BF26</f>
        <v>0</v>
      </c>
      <c r="BI26" s="1054">
        <f>'5. E1 VERKSAMHETSKOSTN.'!F29</f>
        <v>0.25</v>
      </c>
      <c r="BJ26" s="1055">
        <f>(BI26+BJ$25)*BH26</f>
        <v>0</v>
      </c>
      <c r="BK26" s="1057">
        <f>BK25*BH26</f>
        <v>0</v>
      </c>
      <c r="BL26" s="1056">
        <f>BF26-BH26*BI26-BK26</f>
        <v>0</v>
      </c>
      <c r="BM26" s="587">
        <f t="shared" ref="BM26:BO27" si="9">BJ26+BC26+AV26</f>
        <v>0</v>
      </c>
      <c r="BN26" s="1058">
        <f t="shared" si="9"/>
        <v>0</v>
      </c>
      <c r="BO26" s="1059">
        <f t="shared" si="9"/>
        <v>0</v>
      </c>
    </row>
    <row r="27" spans="1:67" ht="12.6" customHeight="1" x14ac:dyDescent="0.2">
      <c r="B27" s="741" t="s">
        <v>10</v>
      </c>
      <c r="C27" s="2074" t="s">
        <v>657</v>
      </c>
      <c r="D27" s="2075"/>
      <c r="E27" s="2076"/>
      <c r="F27" s="1637">
        <v>25.5</v>
      </c>
      <c r="G27" s="634">
        <f>$U27/12</f>
        <v>0</v>
      </c>
      <c r="H27" s="634">
        <f>$U27/12</f>
        <v>0</v>
      </c>
      <c r="I27" s="634">
        <f t="shared" ref="H27:R28" si="10">$U27/12</f>
        <v>0</v>
      </c>
      <c r="J27" s="634">
        <f t="shared" si="10"/>
        <v>0</v>
      </c>
      <c r="K27" s="634">
        <f t="shared" si="10"/>
        <v>0</v>
      </c>
      <c r="L27" s="634">
        <f t="shared" si="10"/>
        <v>0</v>
      </c>
      <c r="M27" s="634">
        <f t="shared" si="10"/>
        <v>0</v>
      </c>
      <c r="N27" s="634">
        <f t="shared" si="10"/>
        <v>0</v>
      </c>
      <c r="O27" s="634">
        <f t="shared" si="10"/>
        <v>0</v>
      </c>
      <c r="P27" s="634">
        <f t="shared" si="10"/>
        <v>0</v>
      </c>
      <c r="Q27" s="634">
        <f t="shared" si="10"/>
        <v>0</v>
      </c>
      <c r="R27" s="634">
        <f t="shared" si="10"/>
        <v>0</v>
      </c>
      <c r="S27" s="626">
        <f t="shared" si="6"/>
        <v>0</v>
      </c>
      <c r="T27" s="996">
        <f t="shared" si="8"/>
        <v>0</v>
      </c>
      <c r="U27" s="907">
        <f>'5. E1 VERKSAMHETSKOSTN.'!F53+'5. E1 VERKSAMHETSKOSTN.'!F53*'9. T5 KASSABUDGET'!F27/100</f>
        <v>0</v>
      </c>
      <c r="V27" s="1001"/>
      <c r="Y27" s="33"/>
      <c r="AP27" s="2149" t="s">
        <v>186</v>
      </c>
      <c r="AQ27" s="2150"/>
      <c r="AR27" s="809">
        <f>'5. E1 VERKSAMHETSKOSTN.'!H12</f>
        <v>0</v>
      </c>
      <c r="AS27" s="1053">
        <f>'5. E1 VERKSAMHETSKOSTN.'!H14*'5. E1 VERKSAMHETSKOSTN.'!H15</f>
        <v>0</v>
      </c>
      <c r="AT27" s="1053">
        <f>AS27+AR27</f>
        <v>0</v>
      </c>
      <c r="AU27" s="1054">
        <f>'5. E1 VERKSAMHETSKOSTN.'!H16</f>
        <v>0.28999999999999998</v>
      </c>
      <c r="AV27" s="1060">
        <f>(AU27+AV$25)*AT27</f>
        <v>0</v>
      </c>
      <c r="AW27" s="1047">
        <v>0</v>
      </c>
      <c r="AX27" s="1056">
        <f>AR27-AT27*AU27</f>
        <v>0</v>
      </c>
      <c r="AY27" s="809">
        <f>'5. E1 VERKSAMHETSKOSTN.'!H17</f>
        <v>0</v>
      </c>
      <c r="AZ27" s="1053">
        <f>'5. E1 VERKSAMHETSKOSTN.'!H22</f>
        <v>0</v>
      </c>
      <c r="BA27" s="1053">
        <f>AZ27+AY27</f>
        <v>0</v>
      </c>
      <c r="BB27" s="1054">
        <f>'5. E1 VERKSAMHETSKOSTN.'!H23</f>
        <v>0.2</v>
      </c>
      <c r="BC27" s="1060">
        <f>(BB27+BC$25)*BA27</f>
        <v>0</v>
      </c>
      <c r="BD27" s="1057">
        <f>BA27*BD25</f>
        <v>0</v>
      </c>
      <c r="BE27" s="1056">
        <f>AY27-BA27*BB27-BD27</f>
        <v>0</v>
      </c>
      <c r="BF27" s="1010">
        <f>'5. E1 VERKSAMHETSKOSTN.'!H24</f>
        <v>0</v>
      </c>
      <c r="BG27" s="1053">
        <f>'5. E1 VERKSAMHETSKOSTN.'!H28</f>
        <v>0</v>
      </c>
      <c r="BH27" s="1053">
        <f>BG27+BF27</f>
        <v>0</v>
      </c>
      <c r="BI27" s="1054">
        <f>'5. E1 VERKSAMHETSKOSTN.'!H29</f>
        <v>0.25</v>
      </c>
      <c r="BJ27" s="1060">
        <f>(BI27+BJ$25)*BH27</f>
        <v>0</v>
      </c>
      <c r="BK27" s="1057">
        <f>BH27*BK25</f>
        <v>0</v>
      </c>
      <c r="BL27" s="1056">
        <f>BF27-BH27*BI27-BK27</f>
        <v>0</v>
      </c>
      <c r="BM27" s="587">
        <f t="shared" si="9"/>
        <v>0</v>
      </c>
      <c r="BN27" s="1058">
        <f t="shared" si="9"/>
        <v>0</v>
      </c>
      <c r="BO27" s="1059">
        <f t="shared" si="9"/>
        <v>0</v>
      </c>
    </row>
    <row r="28" spans="1:67" ht="12.6" customHeight="1" x14ac:dyDescent="0.2">
      <c r="B28" s="741" t="s">
        <v>11</v>
      </c>
      <c r="C28" s="2071" t="s">
        <v>658</v>
      </c>
      <c r="D28" s="2072"/>
      <c r="E28" s="2073"/>
      <c r="F28" s="1637">
        <v>25.5</v>
      </c>
      <c r="G28" s="634">
        <f>$U28/12</f>
        <v>0</v>
      </c>
      <c r="H28" s="634">
        <f t="shared" si="10"/>
        <v>0</v>
      </c>
      <c r="I28" s="634">
        <f t="shared" si="10"/>
        <v>0</v>
      </c>
      <c r="J28" s="634">
        <f t="shared" si="10"/>
        <v>0</v>
      </c>
      <c r="K28" s="634">
        <f t="shared" si="10"/>
        <v>0</v>
      </c>
      <c r="L28" s="634">
        <f t="shared" si="10"/>
        <v>0</v>
      </c>
      <c r="M28" s="634">
        <f t="shared" si="10"/>
        <v>0</v>
      </c>
      <c r="N28" s="634">
        <f t="shared" si="10"/>
        <v>0</v>
      </c>
      <c r="O28" s="634">
        <f t="shared" si="10"/>
        <v>0</v>
      </c>
      <c r="P28" s="634">
        <f t="shared" si="10"/>
        <v>0</v>
      </c>
      <c r="Q28" s="634">
        <f t="shared" si="10"/>
        <v>0</v>
      </c>
      <c r="R28" s="634">
        <f t="shared" si="10"/>
        <v>0</v>
      </c>
      <c r="S28" s="626">
        <f t="shared" si="6"/>
        <v>0</v>
      </c>
      <c r="T28" s="996">
        <f t="shared" si="8"/>
        <v>0</v>
      </c>
      <c r="U28" s="907">
        <f>'5. E1 VERKSAMHETSKOSTN.'!F64+'5. E1 VERKSAMHETSKOSTN.'!F64*'9. T5 KASSABUDGET'!F28/100</f>
        <v>0</v>
      </c>
      <c r="V28" s="1001"/>
      <c r="Y28" s="33"/>
    </row>
    <row r="29" spans="1:67" ht="12.6" customHeight="1" x14ac:dyDescent="0.2">
      <c r="B29" s="741" t="s">
        <v>43</v>
      </c>
      <c r="C29" s="2071" t="s">
        <v>659</v>
      </c>
      <c r="D29" s="2072"/>
      <c r="E29" s="2073"/>
      <c r="F29" s="1647">
        <f>'AT2 Lainat,sotum., alv-osto'!D81*100</f>
        <v>0</v>
      </c>
      <c r="G29" s="634">
        <f>$U29/12</f>
        <v>0</v>
      </c>
      <c r="H29" s="634">
        <f t="shared" ref="H29:Q29" si="11">$U29/12</f>
        <v>0</v>
      </c>
      <c r="I29" s="634">
        <f t="shared" si="11"/>
        <v>0</v>
      </c>
      <c r="J29" s="634">
        <f t="shared" si="11"/>
        <v>0</v>
      </c>
      <c r="K29" s="634">
        <f t="shared" si="11"/>
        <v>0</v>
      </c>
      <c r="L29" s="634">
        <f t="shared" si="11"/>
        <v>0</v>
      </c>
      <c r="M29" s="634">
        <f t="shared" si="11"/>
        <v>0</v>
      </c>
      <c r="N29" s="634">
        <f t="shared" si="11"/>
        <v>0</v>
      </c>
      <c r="O29" s="634">
        <f t="shared" si="11"/>
        <v>0</v>
      </c>
      <c r="P29" s="634">
        <f t="shared" si="11"/>
        <v>0</v>
      </c>
      <c r="Q29" s="634">
        <f t="shared" si="11"/>
        <v>0</v>
      </c>
      <c r="R29" s="634">
        <f>$U29/12</f>
        <v>0</v>
      </c>
      <c r="S29" s="626">
        <f t="shared" ref="S29:S38" si="12">SUM(G29:R29)</f>
        <v>0</v>
      </c>
      <c r="T29" s="996">
        <f t="shared" si="8"/>
        <v>0</v>
      </c>
      <c r="U29" s="1350">
        <f>'AT2 Lainat,sotum., alv-osto'!D79</f>
        <v>0</v>
      </c>
      <c r="V29" s="1062"/>
      <c r="Y29" s="33"/>
    </row>
    <row r="30" spans="1:67" ht="12.6" customHeight="1" x14ac:dyDescent="0.2">
      <c r="B30" s="741" t="s">
        <v>44</v>
      </c>
      <c r="C30" s="2071" t="s">
        <v>660</v>
      </c>
      <c r="D30" s="2100"/>
      <c r="E30" s="2101"/>
      <c r="F30" s="1341"/>
      <c r="G30" s="635">
        <f>'3. T3 BALANS'!G88/2</f>
        <v>0</v>
      </c>
      <c r="H30" s="635">
        <f>G30</f>
        <v>0</v>
      </c>
      <c r="I30" s="635">
        <f>'AT1 Avustus, alv-laskenta '!K26</f>
        <v>0</v>
      </c>
      <c r="J30" s="635">
        <f>'AT1 Avustus, alv-laskenta '!L26</f>
        <v>0</v>
      </c>
      <c r="K30" s="635">
        <f>'AT1 Avustus, alv-laskenta '!M26</f>
        <v>0</v>
      </c>
      <c r="L30" s="635">
        <f>'AT1 Avustus, alv-laskenta '!N26</f>
        <v>0</v>
      </c>
      <c r="M30" s="635">
        <f>'AT1 Avustus, alv-laskenta '!O26</f>
        <v>0</v>
      </c>
      <c r="N30" s="635">
        <f>'AT1 Avustus, alv-laskenta '!P26</f>
        <v>0</v>
      </c>
      <c r="O30" s="635">
        <f>'AT1 Avustus, alv-laskenta '!Q26</f>
        <v>0</v>
      </c>
      <c r="P30" s="635">
        <f>'AT1 Avustus, alv-laskenta '!R26</f>
        <v>0</v>
      </c>
      <c r="Q30" s="635">
        <f>'AT1 Avustus, alv-laskenta '!S26</f>
        <v>0</v>
      </c>
      <c r="R30" s="635">
        <f>'AT1 Avustus, alv-laskenta '!T$26</f>
        <v>0</v>
      </c>
      <c r="S30" s="626">
        <f t="shared" si="12"/>
        <v>0</v>
      </c>
      <c r="T30" s="998" t="s">
        <v>0</v>
      </c>
      <c r="U30" s="1351"/>
      <c r="V30" s="1001"/>
      <c r="Y30" s="33"/>
    </row>
    <row r="31" spans="1:67" ht="12.6" customHeight="1" x14ac:dyDescent="0.2">
      <c r="B31" s="2077">
        <v>13</v>
      </c>
      <c r="C31" s="2079" t="s">
        <v>805</v>
      </c>
      <c r="D31" s="2081"/>
      <c r="E31" s="2082"/>
      <c r="F31" s="1747"/>
      <c r="G31" s="1748">
        <f>U31/'5. E1 VERKSAMHETSKOSTN.'!F15</f>
        <v>0</v>
      </c>
      <c r="H31" s="1748">
        <f>G31</f>
        <v>0</v>
      </c>
      <c r="I31" s="1748">
        <f t="shared" ref="I31:R31" si="13">H31</f>
        <v>0</v>
      </c>
      <c r="J31" s="1748">
        <f t="shared" si="13"/>
        <v>0</v>
      </c>
      <c r="K31" s="1748">
        <f t="shared" si="13"/>
        <v>0</v>
      </c>
      <c r="L31" s="1748">
        <f t="shared" si="13"/>
        <v>0</v>
      </c>
      <c r="M31" s="1748">
        <f>1.5*L31</f>
        <v>0</v>
      </c>
      <c r="N31" s="1748">
        <f>L31</f>
        <v>0</v>
      </c>
      <c r="O31" s="1748">
        <f t="shared" si="13"/>
        <v>0</v>
      </c>
      <c r="P31" s="1748">
        <f t="shared" si="13"/>
        <v>0</v>
      </c>
      <c r="Q31" s="1748">
        <f t="shared" si="13"/>
        <v>0</v>
      </c>
      <c r="R31" s="1748">
        <f t="shared" si="13"/>
        <v>0</v>
      </c>
      <c r="S31" s="626">
        <f t="shared" si="12"/>
        <v>0</v>
      </c>
      <c r="T31" s="1749">
        <f t="shared" ref="T31" si="14">U31-S31</f>
        <v>0</v>
      </c>
      <c r="U31" s="626">
        <f>'5. E1 VERKSAMHETSKOSTN.'!F12</f>
        <v>0</v>
      </c>
      <c r="V31" s="1000"/>
      <c r="Y31" s="33"/>
    </row>
    <row r="32" spans="1:67" ht="12.6" customHeight="1" x14ac:dyDescent="0.2">
      <c r="B32" s="2078"/>
      <c r="C32" s="2079" t="s">
        <v>806</v>
      </c>
      <c r="D32" s="2081"/>
      <c r="E32" s="2082"/>
      <c r="F32" s="1221">
        <v>26.1</v>
      </c>
      <c r="G32" s="1752">
        <f>$F32/100*G31</f>
        <v>0</v>
      </c>
      <c r="H32" s="1752">
        <f t="shared" ref="H32:R32" si="15">$F32/100*H31</f>
        <v>0</v>
      </c>
      <c r="I32" s="1752">
        <f t="shared" si="15"/>
        <v>0</v>
      </c>
      <c r="J32" s="1752">
        <f t="shared" si="15"/>
        <v>0</v>
      </c>
      <c r="K32" s="1752">
        <f t="shared" si="15"/>
        <v>0</v>
      </c>
      <c r="L32" s="1752">
        <f t="shared" si="15"/>
        <v>0</v>
      </c>
      <c r="M32" s="1752">
        <f>$F32/100*M31</f>
        <v>0</v>
      </c>
      <c r="N32" s="1752">
        <f>$F32/100*N31</f>
        <v>0</v>
      </c>
      <c r="O32" s="1752">
        <f t="shared" si="15"/>
        <v>0</v>
      </c>
      <c r="P32" s="1752">
        <f t="shared" si="15"/>
        <v>0</v>
      </c>
      <c r="Q32" s="1752">
        <f t="shared" si="15"/>
        <v>0</v>
      </c>
      <c r="R32" s="1752">
        <f t="shared" si="15"/>
        <v>0</v>
      </c>
      <c r="S32" s="626">
        <f t="shared" si="12"/>
        <v>0</v>
      </c>
      <c r="T32" s="1753"/>
      <c r="U32" s="1759"/>
      <c r="V32" s="1000"/>
      <c r="Y32" s="33"/>
    </row>
    <row r="33" spans="2:38" ht="12.6" customHeight="1" x14ac:dyDescent="0.2">
      <c r="B33" s="1746">
        <v>14</v>
      </c>
      <c r="C33" s="1533" t="s">
        <v>807</v>
      </c>
      <c r="D33" s="348"/>
      <c r="E33" s="1743"/>
      <c r="F33" s="1755"/>
      <c r="G33" s="1748">
        <f>U33/'5. E1 VERKSAMHETSKOSTN.'!F21</f>
        <v>0</v>
      </c>
      <c r="H33" s="1748">
        <f>G33</f>
        <v>0</v>
      </c>
      <c r="I33" s="1748">
        <f t="shared" ref="I33:L33" si="16">H33</f>
        <v>0</v>
      </c>
      <c r="J33" s="1748">
        <f t="shared" si="16"/>
        <v>0</v>
      </c>
      <c r="K33" s="1748">
        <f t="shared" si="16"/>
        <v>0</v>
      </c>
      <c r="L33" s="1748">
        <f t="shared" si="16"/>
        <v>0</v>
      </c>
      <c r="M33" s="1748">
        <f>1.5*L33</f>
        <v>0</v>
      </c>
      <c r="N33" s="1748">
        <f>L33</f>
        <v>0</v>
      </c>
      <c r="O33" s="1748">
        <f>N33</f>
        <v>0</v>
      </c>
      <c r="P33" s="1748">
        <f t="shared" ref="P33:R33" si="17">O33</f>
        <v>0</v>
      </c>
      <c r="Q33" s="1748">
        <f t="shared" si="17"/>
        <v>0</v>
      </c>
      <c r="R33" s="1748">
        <f t="shared" si="17"/>
        <v>0</v>
      </c>
      <c r="S33" s="626">
        <f t="shared" si="12"/>
        <v>0</v>
      </c>
      <c r="T33" s="1756">
        <f>U33-S33-S34</f>
        <v>0</v>
      </c>
      <c r="U33" s="626">
        <f>'5. E1 VERKSAMHETSKOSTN.'!F17+'5. E1 VERKSAMHETSKOSTN.'!F24</f>
        <v>0</v>
      </c>
      <c r="V33" s="1000"/>
      <c r="Y33" s="33"/>
    </row>
    <row r="34" spans="2:38" ht="12.6" customHeight="1" x14ac:dyDescent="0.2">
      <c r="B34" s="1757">
        <v>15</v>
      </c>
      <c r="C34" s="1533" t="s">
        <v>808</v>
      </c>
      <c r="D34" s="348"/>
      <c r="E34" s="1743"/>
      <c r="F34" s="1755"/>
      <c r="G34" s="1748"/>
      <c r="H34" s="1748">
        <v>0</v>
      </c>
      <c r="I34" s="1748"/>
      <c r="J34" s="1748"/>
      <c r="K34" s="1748"/>
      <c r="L34" s="1748"/>
      <c r="M34" s="1748"/>
      <c r="N34" s="1748">
        <v>0</v>
      </c>
      <c r="O34" s="1748"/>
      <c r="P34" s="1748"/>
      <c r="Q34" s="1748"/>
      <c r="R34" s="1748"/>
      <c r="S34" s="626">
        <f t="shared" si="12"/>
        <v>0</v>
      </c>
      <c r="T34" s="999" t="s">
        <v>0</v>
      </c>
      <c r="U34" s="1352"/>
      <c r="V34" s="1000"/>
      <c r="Y34" s="33"/>
    </row>
    <row r="35" spans="2:38" ht="12.6" customHeight="1" x14ac:dyDescent="0.2">
      <c r="B35" s="1751">
        <v>16</v>
      </c>
      <c r="C35" s="2079" t="s">
        <v>809</v>
      </c>
      <c r="D35" s="2081"/>
      <c r="E35" s="2082"/>
      <c r="F35" s="1222">
        <v>19</v>
      </c>
      <c r="G35" s="1752">
        <f>$F35/100*(G33+G34)</f>
        <v>0</v>
      </c>
      <c r="H35" s="1752">
        <f t="shared" ref="H35:R35" si="18">$F35/100*(H33+H34)</f>
        <v>0</v>
      </c>
      <c r="I35" s="1752">
        <f t="shared" si="18"/>
        <v>0</v>
      </c>
      <c r="J35" s="1752">
        <f t="shared" si="18"/>
        <v>0</v>
      </c>
      <c r="K35" s="1752">
        <f t="shared" si="18"/>
        <v>0</v>
      </c>
      <c r="L35" s="1752">
        <f t="shared" si="18"/>
        <v>0</v>
      </c>
      <c r="M35" s="1752">
        <f t="shared" si="18"/>
        <v>0</v>
      </c>
      <c r="N35" s="1752">
        <f t="shared" si="18"/>
        <v>0</v>
      </c>
      <c r="O35" s="1752">
        <f t="shared" si="18"/>
        <v>0</v>
      </c>
      <c r="P35" s="1752">
        <f t="shared" si="18"/>
        <v>0</v>
      </c>
      <c r="Q35" s="1752">
        <f t="shared" si="18"/>
        <v>0</v>
      </c>
      <c r="R35" s="1752">
        <f t="shared" si="18"/>
        <v>0</v>
      </c>
      <c r="S35" s="626">
        <f t="shared" si="12"/>
        <v>0</v>
      </c>
      <c r="T35" s="999"/>
      <c r="U35" s="1352"/>
      <c r="V35" s="1001"/>
      <c r="Y35" s="33"/>
    </row>
    <row r="36" spans="2:38" ht="12.6" customHeight="1" x14ac:dyDescent="0.2">
      <c r="B36" s="741" t="s">
        <v>48</v>
      </c>
      <c r="C36" s="1353" t="s">
        <v>661</v>
      </c>
      <c r="D36" s="1178"/>
      <c r="E36" s="1178"/>
      <c r="F36" s="1341"/>
      <c r="G36" s="634">
        <f>$U36/12</f>
        <v>0</v>
      </c>
      <c r="H36" s="634">
        <f>$U36/12</f>
        <v>0</v>
      </c>
      <c r="I36" s="634">
        <f t="shared" ref="I36:R36" si="19">$U36/12</f>
        <v>0</v>
      </c>
      <c r="J36" s="634">
        <f t="shared" si="19"/>
        <v>0</v>
      </c>
      <c r="K36" s="634">
        <f t="shared" si="19"/>
        <v>0</v>
      </c>
      <c r="L36" s="634">
        <f t="shared" si="19"/>
        <v>0</v>
      </c>
      <c r="M36" s="634">
        <f t="shared" si="19"/>
        <v>0</v>
      </c>
      <c r="N36" s="634">
        <f t="shared" si="19"/>
        <v>0</v>
      </c>
      <c r="O36" s="634">
        <f t="shared" si="19"/>
        <v>0</v>
      </c>
      <c r="P36" s="634">
        <f t="shared" si="19"/>
        <v>0</v>
      </c>
      <c r="Q36" s="634">
        <f t="shared" si="19"/>
        <v>0</v>
      </c>
      <c r="R36" s="634">
        <f t="shared" si="19"/>
        <v>0</v>
      </c>
      <c r="S36" s="626">
        <f t="shared" si="12"/>
        <v>0</v>
      </c>
      <c r="T36" s="996">
        <f t="shared" si="8"/>
        <v>0</v>
      </c>
      <c r="U36" s="907">
        <f>'5. E1 VERKSAMHETSKOSTN.'!F$38+'5. E1 VERKSAMHETSKOSTN.'!F$42+'5. E1 VERKSAMHETSKOSTN.'!F$43</f>
        <v>0</v>
      </c>
      <c r="V36" s="1001"/>
      <c r="Y36" s="33"/>
    </row>
    <row r="37" spans="2:38" ht="12.6" customHeight="1" x14ac:dyDescent="0.2">
      <c r="B37" s="741" t="s">
        <v>49</v>
      </c>
      <c r="C37" s="1180" t="s">
        <v>662</v>
      </c>
      <c r="D37" s="1216"/>
      <c r="E37" s="1216"/>
      <c r="F37" s="1341"/>
      <c r="G37" s="634">
        <f>$U37/12</f>
        <v>0</v>
      </c>
      <c r="H37" s="634">
        <f t="shared" ref="H37:R37" si="20">$U37/12</f>
        <v>0</v>
      </c>
      <c r="I37" s="634">
        <f t="shared" si="20"/>
        <v>0</v>
      </c>
      <c r="J37" s="634">
        <f t="shared" si="20"/>
        <v>0</v>
      </c>
      <c r="K37" s="634">
        <f t="shared" si="20"/>
        <v>0</v>
      </c>
      <c r="L37" s="634">
        <f t="shared" si="20"/>
        <v>0</v>
      </c>
      <c r="M37" s="634">
        <f t="shared" si="20"/>
        <v>0</v>
      </c>
      <c r="N37" s="634">
        <f t="shared" si="20"/>
        <v>0</v>
      </c>
      <c r="O37" s="634">
        <f t="shared" si="20"/>
        <v>0</v>
      </c>
      <c r="P37" s="634">
        <f t="shared" si="20"/>
        <v>0</v>
      </c>
      <c r="Q37" s="634">
        <f t="shared" si="20"/>
        <v>0</v>
      </c>
      <c r="R37" s="634">
        <f t="shared" si="20"/>
        <v>0</v>
      </c>
      <c r="S37" s="626">
        <f t="shared" si="12"/>
        <v>0</v>
      </c>
      <c r="T37" s="996">
        <f t="shared" si="8"/>
        <v>0</v>
      </c>
      <c r="U37" s="907">
        <f>'5. E1 VERKSAMHETSKOSTN.'!F122</f>
        <v>0</v>
      </c>
      <c r="V37" s="1001"/>
      <c r="Y37" s="33"/>
    </row>
    <row r="38" spans="2:38" ht="12.6" customHeight="1" x14ac:dyDescent="0.2">
      <c r="B38" s="741" t="s">
        <v>50</v>
      </c>
      <c r="C38" s="488" t="s">
        <v>663</v>
      </c>
      <c r="D38" s="1179"/>
      <c r="E38" s="1179"/>
      <c r="F38" s="1341"/>
      <c r="G38" s="634">
        <f>$U38/12</f>
        <v>0</v>
      </c>
      <c r="H38" s="634">
        <f t="shared" ref="H38:R40" si="21">$U38/12</f>
        <v>0</v>
      </c>
      <c r="I38" s="634">
        <f t="shared" si="21"/>
        <v>0</v>
      </c>
      <c r="J38" s="634">
        <f t="shared" si="21"/>
        <v>0</v>
      </c>
      <c r="K38" s="634">
        <f t="shared" si="21"/>
        <v>0</v>
      </c>
      <c r="L38" s="634">
        <f t="shared" si="21"/>
        <v>0</v>
      </c>
      <c r="M38" s="634">
        <f t="shared" si="21"/>
        <v>0</v>
      </c>
      <c r="N38" s="634">
        <f t="shared" si="21"/>
        <v>0</v>
      </c>
      <c r="O38" s="634">
        <f t="shared" si="21"/>
        <v>0</v>
      </c>
      <c r="P38" s="634">
        <f t="shared" si="21"/>
        <v>0</v>
      </c>
      <c r="Q38" s="634">
        <f t="shared" si="21"/>
        <v>0</v>
      </c>
      <c r="R38" s="634">
        <f t="shared" si="21"/>
        <v>0</v>
      </c>
      <c r="S38" s="626">
        <f t="shared" si="12"/>
        <v>0</v>
      </c>
      <c r="T38" s="996">
        <f t="shared" si="8"/>
        <v>0</v>
      </c>
      <c r="U38" s="907">
        <f>'AT2 Lainat,sotum., alv-osto'!D84</f>
        <v>0</v>
      </c>
      <c r="V38" s="1001"/>
      <c r="Y38" s="33"/>
    </row>
    <row r="39" spans="2:38" ht="12.6" customHeight="1" x14ac:dyDescent="0.2">
      <c r="B39" s="741" t="s">
        <v>154</v>
      </c>
      <c r="C39" s="2071" t="s">
        <v>664</v>
      </c>
      <c r="D39" s="2100"/>
      <c r="E39" s="2101"/>
      <c r="F39" s="1341"/>
      <c r="G39" s="634">
        <f>$U39/12</f>
        <v>0</v>
      </c>
      <c r="H39" s="634">
        <f t="shared" si="21"/>
        <v>0</v>
      </c>
      <c r="I39" s="634">
        <f t="shared" si="21"/>
        <v>0</v>
      </c>
      <c r="J39" s="634">
        <f t="shared" si="21"/>
        <v>0</v>
      </c>
      <c r="K39" s="634">
        <f t="shared" si="21"/>
        <v>0</v>
      </c>
      <c r="L39" s="634">
        <f t="shared" si="21"/>
        <v>0</v>
      </c>
      <c r="M39" s="634">
        <f t="shared" si="21"/>
        <v>0</v>
      </c>
      <c r="N39" s="634">
        <f t="shared" si="21"/>
        <v>0</v>
      </c>
      <c r="O39" s="634">
        <f t="shared" si="21"/>
        <v>0</v>
      </c>
      <c r="P39" s="634">
        <f t="shared" si="21"/>
        <v>0</v>
      </c>
      <c r="Q39" s="634">
        <f t="shared" si="21"/>
        <v>0</v>
      </c>
      <c r="R39" s="634">
        <f t="shared" si="21"/>
        <v>0</v>
      </c>
      <c r="S39" s="626">
        <f t="shared" ref="S39:S44" si="22">SUM(G39:R39)</f>
        <v>0</v>
      </c>
      <c r="T39" s="996">
        <f t="shared" si="8"/>
        <v>0</v>
      </c>
      <c r="U39" s="907">
        <f>'4. T7 LÅN '!H18+'4. T7 LÅN '!H39</f>
        <v>0</v>
      </c>
      <c r="V39" s="1001"/>
      <c r="Y39" s="33"/>
    </row>
    <row r="40" spans="2:38" ht="12.6" customHeight="1" thickBot="1" x14ac:dyDescent="0.25">
      <c r="B40" s="741" t="s">
        <v>159</v>
      </c>
      <c r="C40" s="1533" t="s">
        <v>665</v>
      </c>
      <c r="D40" s="1179"/>
      <c r="E40" s="1179"/>
      <c r="F40" s="1341"/>
      <c r="G40" s="634">
        <f>$U40/12</f>
        <v>0</v>
      </c>
      <c r="H40" s="634">
        <f t="shared" si="21"/>
        <v>0</v>
      </c>
      <c r="I40" s="634">
        <f t="shared" si="21"/>
        <v>0</v>
      </c>
      <c r="J40" s="634">
        <f t="shared" si="21"/>
        <v>0</v>
      </c>
      <c r="K40" s="634">
        <f t="shared" si="21"/>
        <v>0</v>
      </c>
      <c r="L40" s="634">
        <f t="shared" si="21"/>
        <v>0</v>
      </c>
      <c r="M40" s="634">
        <f t="shared" si="21"/>
        <v>0</v>
      </c>
      <c r="N40" s="634">
        <f t="shared" si="21"/>
        <v>0</v>
      </c>
      <c r="O40" s="634">
        <f t="shared" si="21"/>
        <v>0</v>
      </c>
      <c r="P40" s="634">
        <f t="shared" si="21"/>
        <v>0</v>
      </c>
      <c r="Q40" s="634">
        <f t="shared" si="21"/>
        <v>0</v>
      </c>
      <c r="R40" s="634">
        <f t="shared" si="21"/>
        <v>0</v>
      </c>
      <c r="S40" s="626">
        <f t="shared" si="22"/>
        <v>0</v>
      </c>
      <c r="T40" s="996">
        <f t="shared" si="8"/>
        <v>0</v>
      </c>
      <c r="U40" s="907">
        <f>-'2. &amp; 7. T2 RESULTATB.'!I27</f>
        <v>0</v>
      </c>
      <c r="V40" s="1001"/>
      <c r="Y40" s="33"/>
    </row>
    <row r="41" spans="2:38" ht="12.6" customHeight="1" thickBot="1" x14ac:dyDescent="0.25">
      <c r="B41" s="741" t="s">
        <v>160</v>
      </c>
      <c r="C41" s="488" t="s">
        <v>666</v>
      </c>
      <c r="D41" s="1179"/>
      <c r="E41" s="1179"/>
      <c r="F41" s="1341"/>
      <c r="G41" s="634">
        <f>IF('1. T1 INVESTERINGSP.'!D36=0,'1. T1 INVESTERINGSP.'!D35,0)+'1. T1 INVESTERINGSP.'!D30+'1. T1 INVESTERINGSP.'!D24+'1. T1 INVESTERINGSP.'!D17</f>
        <v>0</v>
      </c>
      <c r="H41" s="634"/>
      <c r="I41" s="634"/>
      <c r="J41" s="634"/>
      <c r="K41" s="634"/>
      <c r="L41" s="634"/>
      <c r="M41" s="634"/>
      <c r="N41" s="634"/>
      <c r="O41" s="634"/>
      <c r="P41" s="634"/>
      <c r="Q41" s="634"/>
      <c r="R41" s="634"/>
      <c r="S41" s="626">
        <f>SUM(G41:R41)</f>
        <v>0</v>
      </c>
      <c r="T41" s="997" t="s">
        <v>0</v>
      </c>
      <c r="U41" s="1351"/>
      <c r="V41" s="1001"/>
      <c r="W41" s="2091"/>
      <c r="X41" s="2091"/>
      <c r="Y41" s="1213"/>
      <c r="Z41" s="1676" t="str">
        <f t="shared" ref="Z41:AK41" si="23">G9</f>
        <v>JAN</v>
      </c>
      <c r="AA41" s="1676" t="str">
        <f t="shared" si="23"/>
        <v>FEB</v>
      </c>
      <c r="AB41" s="1676" t="str">
        <f t="shared" si="23"/>
        <v>MARS</v>
      </c>
      <c r="AC41" s="1676" t="str">
        <f t="shared" si="23"/>
        <v>APRIL</v>
      </c>
      <c r="AD41" s="1676" t="str">
        <f t="shared" si="23"/>
        <v>MAJ</v>
      </c>
      <c r="AE41" s="1676" t="str">
        <f t="shared" si="23"/>
        <v>JUNI</v>
      </c>
      <c r="AF41" s="1676" t="str">
        <f t="shared" si="23"/>
        <v>JULI</v>
      </c>
      <c r="AG41" s="1676" t="str">
        <f t="shared" si="23"/>
        <v>AUG</v>
      </c>
      <c r="AH41" s="1676" t="str">
        <f t="shared" si="23"/>
        <v>SEP</v>
      </c>
      <c r="AI41" s="1676" t="str">
        <f t="shared" si="23"/>
        <v>OKT</v>
      </c>
      <c r="AJ41" s="1676" t="str">
        <f t="shared" si="23"/>
        <v>NOV</v>
      </c>
      <c r="AK41" s="1676" t="str">
        <f t="shared" si="23"/>
        <v>DEC</v>
      </c>
      <c r="AL41" s="1677" t="s">
        <v>650</v>
      </c>
    </row>
    <row r="42" spans="2:38" ht="12.6" customHeight="1" x14ac:dyDescent="0.2">
      <c r="B42" s="741" t="s">
        <v>161</v>
      </c>
      <c r="C42" s="488" t="s">
        <v>667</v>
      </c>
      <c r="D42" s="1179"/>
      <c r="E42" s="1179"/>
      <c r="F42" s="1341"/>
      <c r="G42" s="634">
        <f>$U42/12</f>
        <v>0</v>
      </c>
      <c r="H42" s="634">
        <f t="shared" ref="H42:R42" si="24">$U42/12</f>
        <v>0</v>
      </c>
      <c r="I42" s="634">
        <f t="shared" si="24"/>
        <v>0</v>
      </c>
      <c r="J42" s="634">
        <f t="shared" si="24"/>
        <v>0</v>
      </c>
      <c r="K42" s="634">
        <f t="shared" si="24"/>
        <v>0</v>
      </c>
      <c r="L42" s="634">
        <f t="shared" si="24"/>
        <v>0</v>
      </c>
      <c r="M42" s="634">
        <f t="shared" si="24"/>
        <v>0</v>
      </c>
      <c r="N42" s="634">
        <f>$U42/12</f>
        <v>0</v>
      </c>
      <c r="O42" s="634">
        <f t="shared" si="24"/>
        <v>0</v>
      </c>
      <c r="P42" s="634">
        <f t="shared" si="24"/>
        <v>0</v>
      </c>
      <c r="Q42" s="634">
        <f t="shared" si="24"/>
        <v>0</v>
      </c>
      <c r="R42" s="634">
        <f t="shared" si="24"/>
        <v>0</v>
      </c>
      <c r="S42" s="626">
        <f>SUM(G42:R42)</f>
        <v>0</v>
      </c>
      <c r="T42" s="996">
        <f t="shared" si="8"/>
        <v>0</v>
      </c>
      <c r="U42" s="907">
        <f>'5. E1 VERKSAMHETSKOSTN.'!D120</f>
        <v>0</v>
      </c>
      <c r="V42" s="1001"/>
      <c r="W42" s="2092" t="s">
        <v>680</v>
      </c>
      <c r="X42" s="2092"/>
      <c r="Y42" s="2093"/>
      <c r="Z42" s="640">
        <f t="shared" ref="Z42:AK43" si="25">G56</f>
        <v>0</v>
      </c>
      <c r="AA42" s="640">
        <f t="shared" si="25"/>
        <v>0</v>
      </c>
      <c r="AB42" s="640">
        <f t="shared" si="25"/>
        <v>0</v>
      </c>
      <c r="AC42" s="640">
        <f t="shared" si="25"/>
        <v>0</v>
      </c>
      <c r="AD42" s="640">
        <f t="shared" si="25"/>
        <v>0</v>
      </c>
      <c r="AE42" s="640">
        <f t="shared" si="25"/>
        <v>0</v>
      </c>
      <c r="AF42" s="640">
        <f t="shared" si="25"/>
        <v>0</v>
      </c>
      <c r="AG42" s="640">
        <f t="shared" si="25"/>
        <v>0</v>
      </c>
      <c r="AH42" s="640">
        <f t="shared" si="25"/>
        <v>0</v>
      </c>
      <c r="AI42" s="640">
        <f t="shared" si="25"/>
        <v>0</v>
      </c>
      <c r="AJ42" s="640">
        <f t="shared" si="25"/>
        <v>0</v>
      </c>
      <c r="AK42" s="640">
        <f t="shared" si="25"/>
        <v>0</v>
      </c>
      <c r="AL42" s="746">
        <f>SUM(Z42:AK42)</f>
        <v>0</v>
      </c>
    </row>
    <row r="43" spans="2:38" ht="12.6" customHeight="1" x14ac:dyDescent="0.2">
      <c r="B43" s="741" t="s">
        <v>210</v>
      </c>
      <c r="C43" s="2102" t="s">
        <v>668</v>
      </c>
      <c r="D43" s="2103"/>
      <c r="E43" s="2104"/>
      <c r="F43" s="1341"/>
      <c r="G43" s="634">
        <f>'1. T1 INVESTERINGSP.'!D38</f>
        <v>0</v>
      </c>
      <c r="H43" s="634"/>
      <c r="I43" s="634"/>
      <c r="J43" s="634"/>
      <c r="K43" s="634"/>
      <c r="L43" s="634"/>
      <c r="M43" s="634"/>
      <c r="N43" s="634"/>
      <c r="O43" s="634"/>
      <c r="P43" s="634"/>
      <c r="Q43" s="634">
        <v>0</v>
      </c>
      <c r="R43" s="634"/>
      <c r="S43" s="626">
        <f t="shared" si="22"/>
        <v>0</v>
      </c>
      <c r="T43" s="998" t="s">
        <v>0</v>
      </c>
      <c r="U43" s="909"/>
      <c r="V43" s="1001"/>
      <c r="W43" s="2087" t="s">
        <v>684</v>
      </c>
      <c r="X43" s="2087"/>
      <c r="Y43" s="2088"/>
      <c r="Z43" s="640">
        <f t="shared" si="25"/>
        <v>0</v>
      </c>
      <c r="AA43" s="640">
        <f t="shared" ref="AA43" si="26">H57</f>
        <v>0</v>
      </c>
      <c r="AB43" s="640">
        <f t="shared" ref="AB43" si="27">I57</f>
        <v>0</v>
      </c>
      <c r="AC43" s="640">
        <f t="shared" ref="AC43" si="28">J57</f>
        <v>0</v>
      </c>
      <c r="AD43" s="640">
        <f t="shared" ref="AD43" si="29">K57</f>
        <v>0</v>
      </c>
      <c r="AE43" s="640">
        <f t="shared" ref="AE43" si="30">L57</f>
        <v>0</v>
      </c>
      <c r="AF43" s="640">
        <f t="shared" ref="AF43" si="31">M57</f>
        <v>0</v>
      </c>
      <c r="AG43" s="640">
        <f t="shared" ref="AG43" si="32">N57</f>
        <v>0</v>
      </c>
      <c r="AH43" s="640">
        <f t="shared" ref="AH43" si="33">O57</f>
        <v>0</v>
      </c>
      <c r="AI43" s="640">
        <f t="shared" ref="AI43" si="34">P57</f>
        <v>0</v>
      </c>
      <c r="AJ43" s="640">
        <f t="shared" ref="AJ43" si="35">Q57</f>
        <v>0</v>
      </c>
      <c r="AK43" s="640">
        <f t="shared" ref="AK43" si="36">R57</f>
        <v>0</v>
      </c>
      <c r="AL43" s="747"/>
    </row>
    <row r="44" spans="2:38" ht="12.6" customHeight="1" thickBot="1" x14ac:dyDescent="0.25">
      <c r="B44" s="741" t="s">
        <v>213</v>
      </c>
      <c r="C44" s="2105" t="s">
        <v>669</v>
      </c>
      <c r="D44" s="2106"/>
      <c r="E44" s="2107"/>
      <c r="F44" s="1341"/>
      <c r="G44" s="634">
        <v>0</v>
      </c>
      <c r="H44" s="634"/>
      <c r="I44" s="634"/>
      <c r="J44" s="634"/>
      <c r="K44" s="634"/>
      <c r="L44" s="634"/>
      <c r="M44" s="634"/>
      <c r="N44" s="634"/>
      <c r="O44" s="634"/>
      <c r="P44" s="634"/>
      <c r="Q44" s="634"/>
      <c r="R44" s="634"/>
      <c r="S44" s="636">
        <f t="shared" si="22"/>
        <v>0</v>
      </c>
      <c r="T44" s="999" t="s">
        <v>0</v>
      </c>
      <c r="U44" s="156"/>
      <c r="V44" s="1004"/>
      <c r="W44" s="131"/>
      <c r="X44" s="131"/>
      <c r="Y44" s="133"/>
      <c r="Z44" s="242"/>
      <c r="AA44" s="242"/>
      <c r="AB44" s="242"/>
      <c r="AC44" s="242"/>
      <c r="AD44" s="242"/>
      <c r="AE44" s="242"/>
      <c r="AF44" s="242"/>
      <c r="AG44" s="242"/>
      <c r="AH44" s="242"/>
      <c r="AI44" s="242"/>
      <c r="AJ44" s="242"/>
      <c r="AK44" s="242"/>
      <c r="AL44" s="339"/>
    </row>
    <row r="45" spans="2:38" ht="16.149999999999999" customHeight="1" thickTop="1" thickBot="1" x14ac:dyDescent="0.25">
      <c r="B45" s="729"/>
      <c r="C45" s="1214" t="s">
        <v>670</v>
      </c>
      <c r="D45" s="1215"/>
      <c r="E45" s="1215"/>
      <c r="F45" s="1223"/>
      <c r="G45" s="730">
        <f t="shared" ref="G45:R45" si="37">SUM(G22:G44)</f>
        <v>0</v>
      </c>
      <c r="H45" s="730">
        <f t="shared" si="37"/>
        <v>0</v>
      </c>
      <c r="I45" s="730">
        <f t="shared" si="37"/>
        <v>0</v>
      </c>
      <c r="J45" s="730">
        <f t="shared" si="37"/>
        <v>0</v>
      </c>
      <c r="K45" s="730">
        <f t="shared" si="37"/>
        <v>0</v>
      </c>
      <c r="L45" s="730">
        <f t="shared" si="37"/>
        <v>0</v>
      </c>
      <c r="M45" s="730">
        <f t="shared" si="37"/>
        <v>0</v>
      </c>
      <c r="N45" s="730">
        <f t="shared" si="37"/>
        <v>0</v>
      </c>
      <c r="O45" s="730">
        <f t="shared" si="37"/>
        <v>0</v>
      </c>
      <c r="P45" s="730">
        <f t="shared" si="37"/>
        <v>0</v>
      </c>
      <c r="Q45" s="730">
        <f t="shared" si="37"/>
        <v>0</v>
      </c>
      <c r="R45" s="730">
        <f t="shared" si="37"/>
        <v>0</v>
      </c>
      <c r="S45" s="730">
        <f>SUM(G45:R45)</f>
        <v>0</v>
      </c>
      <c r="T45" s="230"/>
      <c r="U45" s="2094" t="s">
        <v>811</v>
      </c>
      <c r="V45" s="1061"/>
      <c r="W45" s="144">
        <f>'1. T1 INVESTERINGSP.'!B66</f>
        <v>0</v>
      </c>
      <c r="X45" s="146"/>
      <c r="Y45" s="147"/>
      <c r="Z45" s="48"/>
      <c r="AA45" s="48"/>
      <c r="AB45" s="48"/>
      <c r="AC45" s="98"/>
      <c r="AD45" s="48"/>
      <c r="AE45" s="48"/>
      <c r="AF45" s="48"/>
      <c r="AG45" s="48"/>
      <c r="AH45" s="48"/>
      <c r="AI45" s="48"/>
      <c r="AJ45" s="2089">
        <f>STARTSIDAN!I5</f>
        <v>0</v>
      </c>
      <c r="AK45" s="2090"/>
      <c r="AL45" s="2090"/>
    </row>
    <row r="46" spans="2:38" ht="11.1" customHeight="1" thickTop="1" x14ac:dyDescent="0.2">
      <c r="B46" s="1156"/>
      <c r="C46" s="1157"/>
      <c r="D46" s="518"/>
      <c r="E46" s="518"/>
      <c r="F46" s="1158"/>
      <c r="G46" s="1159"/>
      <c r="H46" s="1159"/>
      <c r="I46" s="1159"/>
      <c r="J46" s="1159"/>
      <c r="K46" s="1159"/>
      <c r="L46" s="1159"/>
      <c r="M46" s="1159"/>
      <c r="N46" s="1159"/>
      <c r="O46" s="1159"/>
      <c r="P46" s="1159"/>
      <c r="Q46" s="1159"/>
      <c r="R46" s="1159"/>
      <c r="S46" s="1001"/>
      <c r="T46" s="230"/>
      <c r="U46" s="2095"/>
      <c r="V46" s="1061"/>
      <c r="W46" s="2135" t="str">
        <f>'1. T1 INVESTERINGSP.'!B67</f>
        <v>FT22 Det aktiva företagets resultatplan</v>
      </c>
      <c r="X46" s="2135"/>
      <c r="Y46" s="2135"/>
      <c r="Z46" s="2135"/>
      <c r="AA46" s="96"/>
      <c r="AB46" s="96"/>
      <c r="AC46" s="99"/>
      <c r="AD46" s="96"/>
      <c r="AE46" s="96"/>
      <c r="AF46" s="2134" t="str">
        <f>M60</f>
        <v>FöretagsLojo</v>
      </c>
      <c r="AG46" s="2134"/>
      <c r="AH46" s="2134"/>
      <c r="AI46" s="2134"/>
      <c r="AJ46" s="2134"/>
      <c r="AK46" s="2134"/>
      <c r="AL46" s="2134"/>
    </row>
    <row r="47" spans="2:38" ht="16.149999999999999" customHeight="1" x14ac:dyDescent="0.2">
      <c r="B47" s="2126" t="s">
        <v>671</v>
      </c>
      <c r="C47" s="2127"/>
      <c r="D47" s="2127"/>
      <c r="E47" s="2127"/>
      <c r="F47" s="2128"/>
      <c r="G47" s="1160" t="str">
        <f t="shared" ref="G47:T47" si="38">G21</f>
        <v>JAN</v>
      </c>
      <c r="H47" s="1160" t="str">
        <f t="shared" si="38"/>
        <v>FEB</v>
      </c>
      <c r="I47" s="1160" t="str">
        <f t="shared" si="38"/>
        <v>MARS</v>
      </c>
      <c r="J47" s="1160" t="str">
        <f t="shared" si="38"/>
        <v>APRIL</v>
      </c>
      <c r="K47" s="1160" t="str">
        <f t="shared" si="38"/>
        <v>MAJ</v>
      </c>
      <c r="L47" s="1160" t="str">
        <f t="shared" si="38"/>
        <v>JUNI</v>
      </c>
      <c r="M47" s="1160" t="str">
        <f t="shared" si="38"/>
        <v>JULI</v>
      </c>
      <c r="N47" s="1160" t="str">
        <f t="shared" si="38"/>
        <v>AUG</v>
      </c>
      <c r="O47" s="1160" t="str">
        <f t="shared" si="38"/>
        <v>SEP</v>
      </c>
      <c r="P47" s="1160" t="str">
        <f t="shared" si="38"/>
        <v>OKT</v>
      </c>
      <c r="Q47" s="1160" t="str">
        <f t="shared" si="38"/>
        <v>NOV</v>
      </c>
      <c r="R47" s="1160" t="str">
        <f t="shared" si="38"/>
        <v>DEC</v>
      </c>
      <c r="S47" s="1161" t="str">
        <f t="shared" si="38"/>
        <v>SLGT</v>
      </c>
      <c r="T47" s="1146" t="str">
        <f t="shared" si="38"/>
        <v>Skillnad</v>
      </c>
      <c r="U47" s="2096"/>
      <c r="V47" s="1061"/>
      <c r="W47" s="2135"/>
      <c r="X47" s="2135"/>
      <c r="Y47" s="2135"/>
      <c r="Z47" s="2135"/>
      <c r="AF47" s="2134"/>
      <c r="AG47" s="2134"/>
      <c r="AH47" s="2134"/>
      <c r="AI47" s="2134"/>
      <c r="AJ47" s="2134"/>
      <c r="AK47" s="2134"/>
      <c r="AL47" s="2134"/>
    </row>
    <row r="48" spans="2:38" ht="12.6" customHeight="1" x14ac:dyDescent="0.2">
      <c r="B48" s="742" t="s">
        <v>214</v>
      </c>
      <c r="C48" s="1217" t="s">
        <v>672</v>
      </c>
      <c r="D48" s="1218"/>
      <c r="E48" s="1218"/>
      <c r="F48" s="1341"/>
      <c r="G48" s="637">
        <f>$U48/12</f>
        <v>0</v>
      </c>
      <c r="H48" s="637">
        <f t="shared" ref="H48:R48" si="39">$U48/12</f>
        <v>0</v>
      </c>
      <c r="I48" s="637">
        <f t="shared" si="39"/>
        <v>0</v>
      </c>
      <c r="J48" s="637">
        <f t="shared" si="39"/>
        <v>0</v>
      </c>
      <c r="K48" s="637">
        <f t="shared" si="39"/>
        <v>0</v>
      </c>
      <c r="L48" s="637">
        <f t="shared" si="39"/>
        <v>0</v>
      </c>
      <c r="M48" s="637">
        <f t="shared" si="39"/>
        <v>0</v>
      </c>
      <c r="N48" s="637">
        <f t="shared" si="39"/>
        <v>0</v>
      </c>
      <c r="O48" s="637">
        <f t="shared" si="39"/>
        <v>0</v>
      </c>
      <c r="P48" s="637">
        <f t="shared" si="39"/>
        <v>0</v>
      </c>
      <c r="Q48" s="637">
        <f t="shared" si="39"/>
        <v>0</v>
      </c>
      <c r="R48" s="637">
        <f t="shared" si="39"/>
        <v>0</v>
      </c>
      <c r="S48" s="638">
        <f t="shared" ref="S48:S53" si="40">SUM(G48:R48)</f>
        <v>0</v>
      </c>
      <c r="T48" s="1002">
        <f t="shared" ref="T48:T53" si="41">U48-S48</f>
        <v>0</v>
      </c>
      <c r="U48" s="907">
        <f>'4. T7 LÅN '!F19+'4. T7 LÅN '!H19+'4. T7 LÅN '!G45+'4. T7 LÅN '!H45</f>
        <v>0</v>
      </c>
      <c r="V48" s="1001"/>
      <c r="W48" s="46"/>
      <c r="X48" s="46"/>
      <c r="Y48" s="46"/>
      <c r="Z48" s="46"/>
      <c r="AA48" s="46"/>
      <c r="AB48" s="46"/>
      <c r="AC48" s="46"/>
      <c r="AD48" s="46"/>
      <c r="AE48" s="46"/>
      <c r="AF48" s="46"/>
      <c r="AG48" s="46"/>
      <c r="AH48" s="46"/>
      <c r="AI48" s="46"/>
      <c r="AJ48" s="46"/>
      <c r="AK48" s="46"/>
      <c r="AL48" s="46"/>
    </row>
    <row r="49" spans="1:38" ht="12.6" customHeight="1" x14ac:dyDescent="0.2">
      <c r="B49" s="742" t="s">
        <v>215</v>
      </c>
      <c r="C49" s="1329" t="s">
        <v>673</v>
      </c>
      <c r="D49" s="299"/>
      <c r="E49" s="299"/>
      <c r="F49" s="1341"/>
      <c r="G49" s="637">
        <f>U49</f>
        <v>0</v>
      </c>
      <c r="H49" s="637"/>
      <c r="I49" s="637"/>
      <c r="J49" s="637">
        <v>0</v>
      </c>
      <c r="K49" s="637">
        <v>0</v>
      </c>
      <c r="L49" s="637"/>
      <c r="M49" s="637"/>
      <c r="N49" s="637"/>
      <c r="O49" s="637"/>
      <c r="P49" s="637">
        <v>0</v>
      </c>
      <c r="Q49" s="637"/>
      <c r="R49" s="637">
        <v>0</v>
      </c>
      <c r="S49" s="638">
        <f t="shared" si="40"/>
        <v>0</v>
      </c>
      <c r="T49" s="1002">
        <f t="shared" si="41"/>
        <v>0</v>
      </c>
      <c r="U49" s="907">
        <f>'4. T7 LÅN '!F39+'4. T7 LÅN '!F45</f>
        <v>0</v>
      </c>
      <c r="V49" s="1001"/>
      <c r="W49" s="46"/>
      <c r="X49" s="46"/>
      <c r="Y49" s="46"/>
      <c r="Z49" s="46"/>
      <c r="AA49" s="46"/>
      <c r="AB49" s="46"/>
      <c r="AC49" s="46"/>
      <c r="AD49" s="46"/>
      <c r="AE49" s="46"/>
      <c r="AF49" s="46"/>
      <c r="AG49" s="46"/>
      <c r="AH49" s="46"/>
      <c r="AI49" s="46"/>
      <c r="AJ49" s="46"/>
      <c r="AK49" s="46"/>
      <c r="AL49" s="46"/>
    </row>
    <row r="50" spans="1:38" ht="12.6" customHeight="1" x14ac:dyDescent="0.2">
      <c r="B50" s="742" t="s">
        <v>216</v>
      </c>
      <c r="C50" s="488" t="s">
        <v>674</v>
      </c>
      <c r="D50" s="1179"/>
      <c r="E50" s="1179"/>
      <c r="F50" s="1341"/>
      <c r="G50" s="634"/>
      <c r="H50" s="634"/>
      <c r="I50" s="634"/>
      <c r="J50" s="634"/>
      <c r="K50" s="634"/>
      <c r="L50" s="634">
        <f>$U50/2</f>
        <v>0</v>
      </c>
      <c r="M50" s="634">
        <v>0</v>
      </c>
      <c r="N50" s="634"/>
      <c r="O50" s="634"/>
      <c r="P50" s="634"/>
      <c r="Q50" s="634"/>
      <c r="R50" s="634">
        <f>$U50/2</f>
        <v>0</v>
      </c>
      <c r="S50" s="626">
        <f t="shared" si="40"/>
        <v>0</v>
      </c>
      <c r="T50" s="1002">
        <f t="shared" si="41"/>
        <v>0</v>
      </c>
      <c r="U50" s="907">
        <f>'4. T7 LÅN '!F18+'4. T7 LÅN '!G39</f>
        <v>0</v>
      </c>
      <c r="V50" s="1001"/>
      <c r="W50" s="46"/>
      <c r="X50" s="46"/>
      <c r="Y50" s="46"/>
      <c r="Z50" s="46"/>
      <c r="AA50" s="46"/>
      <c r="AB50" s="46"/>
      <c r="AC50" s="46"/>
      <c r="AD50" s="46"/>
      <c r="AE50" s="46"/>
      <c r="AF50" s="46"/>
      <c r="AG50" s="46"/>
      <c r="AH50" s="46"/>
      <c r="AI50" s="46"/>
      <c r="AJ50" s="46"/>
      <c r="AK50" s="46"/>
      <c r="AL50" s="46"/>
    </row>
    <row r="51" spans="1:38" ht="12.6" customHeight="1" x14ac:dyDescent="0.2">
      <c r="B51" s="742" t="s">
        <v>217</v>
      </c>
      <c r="C51" s="488" t="s">
        <v>675</v>
      </c>
      <c r="D51" s="1179"/>
      <c r="E51" s="1179"/>
      <c r="F51" s="1341"/>
      <c r="G51" s="634">
        <f>'3. T3 BALANS'!H59</f>
        <v>0</v>
      </c>
      <c r="H51" s="634"/>
      <c r="I51" s="634"/>
      <c r="J51" s="634"/>
      <c r="K51" s="634"/>
      <c r="L51" s="634"/>
      <c r="M51" s="634"/>
      <c r="N51" s="634"/>
      <c r="O51" s="634"/>
      <c r="P51" s="634"/>
      <c r="Q51" s="634"/>
      <c r="R51" s="634"/>
      <c r="S51" s="626">
        <f t="shared" si="40"/>
        <v>0</v>
      </c>
      <c r="T51" s="1003" t="s">
        <v>0</v>
      </c>
      <c r="U51" s="1351"/>
      <c r="V51" s="1001"/>
    </row>
    <row r="52" spans="1:38" ht="12.6" customHeight="1" x14ac:dyDescent="0.2">
      <c r="B52" s="742" t="s">
        <v>218</v>
      </c>
      <c r="C52" s="488" t="s">
        <v>676</v>
      </c>
      <c r="D52" s="1179"/>
      <c r="E52" s="1179"/>
      <c r="F52" s="1341"/>
      <c r="G52" s="634">
        <f>U52</f>
        <v>0</v>
      </c>
      <c r="H52" s="634"/>
      <c r="I52" s="634"/>
      <c r="J52" s="634"/>
      <c r="K52" s="634"/>
      <c r="L52" s="634"/>
      <c r="M52" s="634"/>
      <c r="N52" s="634"/>
      <c r="O52" s="634"/>
      <c r="P52" s="634"/>
      <c r="Q52" s="634"/>
      <c r="R52" s="634"/>
      <c r="S52" s="626">
        <f t="shared" si="40"/>
        <v>0</v>
      </c>
      <c r="T52" s="1002">
        <f t="shared" si="41"/>
        <v>0</v>
      </c>
      <c r="U52" s="907">
        <f>'1. T1 INVESTERINGSP.'!D48+'1. T1 INVESTERINGSP.'!D49+'1. T1 INVESTERINGSP.'!D52</f>
        <v>0</v>
      </c>
      <c r="V52" s="1001"/>
    </row>
    <row r="53" spans="1:38" ht="12.6" customHeight="1" thickBot="1" x14ac:dyDescent="0.25">
      <c r="B53" s="742" t="s">
        <v>219</v>
      </c>
      <c r="C53" s="1219" t="s">
        <v>677</v>
      </c>
      <c r="D53" s="1220"/>
      <c r="E53" s="1220"/>
      <c r="F53" s="1341"/>
      <c r="G53" s="634">
        <f>U53</f>
        <v>0</v>
      </c>
      <c r="H53" s="634"/>
      <c r="I53" s="634"/>
      <c r="J53" s="634"/>
      <c r="K53" s="634"/>
      <c r="L53" s="634">
        <v>0</v>
      </c>
      <c r="M53" s="634"/>
      <c r="N53" s="634"/>
      <c r="O53" s="634"/>
      <c r="P53" s="634"/>
      <c r="Q53" s="634"/>
      <c r="R53" s="634"/>
      <c r="S53" s="626">
        <f t="shared" si="40"/>
        <v>0</v>
      </c>
      <c r="T53" s="1002">
        <f t="shared" si="41"/>
        <v>0</v>
      </c>
      <c r="U53" s="907">
        <f>'1. T1 INVESTERINGSP.'!D51</f>
        <v>0</v>
      </c>
      <c r="V53" s="1001"/>
    </row>
    <row r="54" spans="1:38" ht="15" customHeight="1" thickTop="1" thickBot="1" x14ac:dyDescent="0.25">
      <c r="B54" s="731"/>
      <c r="C54" s="2141" t="s">
        <v>683</v>
      </c>
      <c r="D54" s="2142"/>
      <c r="E54" s="2142"/>
      <c r="F54" s="2143"/>
      <c r="G54" s="732">
        <f>-G48+G49-G50-G51+G52+G53</f>
        <v>0</v>
      </c>
      <c r="H54" s="732">
        <f t="shared" ref="H54:R54" si="42">-H48+H49-H50-H51+H52+H53</f>
        <v>0</v>
      </c>
      <c r="I54" s="732">
        <f t="shared" si="42"/>
        <v>0</v>
      </c>
      <c r="J54" s="732">
        <f t="shared" si="42"/>
        <v>0</v>
      </c>
      <c r="K54" s="732">
        <f t="shared" si="42"/>
        <v>0</v>
      </c>
      <c r="L54" s="732">
        <f t="shared" si="42"/>
        <v>0</v>
      </c>
      <c r="M54" s="732">
        <f t="shared" si="42"/>
        <v>0</v>
      </c>
      <c r="N54" s="732">
        <f t="shared" si="42"/>
        <v>0</v>
      </c>
      <c r="O54" s="732">
        <f t="shared" si="42"/>
        <v>0</v>
      </c>
      <c r="P54" s="732">
        <f t="shared" si="42"/>
        <v>0</v>
      </c>
      <c r="Q54" s="732">
        <f t="shared" si="42"/>
        <v>0</v>
      </c>
      <c r="R54" s="732">
        <f t="shared" si="42"/>
        <v>0</v>
      </c>
      <c r="S54" s="733">
        <f>-S48+S49-S50-S51+S52+S53</f>
        <v>0</v>
      </c>
      <c r="U54" s="239"/>
      <c r="V54" s="239"/>
    </row>
    <row r="55" spans="1:38" ht="4.1500000000000004" customHeight="1" thickTop="1" x14ac:dyDescent="0.2">
      <c r="B55" s="740"/>
      <c r="C55" s="330"/>
      <c r="D55" s="330"/>
      <c r="E55" s="330"/>
      <c r="F55" s="331"/>
      <c r="G55" s="632"/>
      <c r="H55" s="632"/>
      <c r="I55" s="632"/>
      <c r="J55" s="632"/>
      <c r="K55" s="632"/>
      <c r="L55" s="632"/>
      <c r="M55" s="632"/>
      <c r="N55" s="632"/>
      <c r="O55" s="632"/>
      <c r="P55" s="632"/>
      <c r="Q55" s="632"/>
      <c r="R55" s="632"/>
      <c r="S55" s="639"/>
      <c r="U55" s="239"/>
      <c r="V55" s="239"/>
    </row>
    <row r="56" spans="1:38" ht="15" customHeight="1" x14ac:dyDescent="0.2">
      <c r="B56" s="1539" t="s">
        <v>220</v>
      </c>
      <c r="C56" s="2111" t="s">
        <v>680</v>
      </c>
      <c r="D56" s="2112"/>
      <c r="E56" s="2112"/>
      <c r="F56" s="2113"/>
      <c r="G56" s="640">
        <f t="shared" ref="G56:R56" si="43">G19-G45+G54</f>
        <v>0</v>
      </c>
      <c r="H56" s="640">
        <f t="shared" si="43"/>
        <v>0</v>
      </c>
      <c r="I56" s="640">
        <f t="shared" si="43"/>
        <v>0</v>
      </c>
      <c r="J56" s="640">
        <f t="shared" si="43"/>
        <v>0</v>
      </c>
      <c r="K56" s="640">
        <f t="shared" si="43"/>
        <v>0</v>
      </c>
      <c r="L56" s="640">
        <f t="shared" si="43"/>
        <v>0</v>
      </c>
      <c r="M56" s="640">
        <f t="shared" si="43"/>
        <v>0</v>
      </c>
      <c r="N56" s="640">
        <f t="shared" si="43"/>
        <v>0</v>
      </c>
      <c r="O56" s="640">
        <f t="shared" si="43"/>
        <v>0</v>
      </c>
      <c r="P56" s="640">
        <f t="shared" si="43"/>
        <v>0</v>
      </c>
      <c r="Q56" s="640">
        <f t="shared" si="43"/>
        <v>0</v>
      </c>
      <c r="R56" s="640">
        <f t="shared" si="43"/>
        <v>0</v>
      </c>
      <c r="S56" s="640">
        <f>SUM(G56:R56)</f>
        <v>0</v>
      </c>
      <c r="U56" s="239"/>
      <c r="V56" s="239"/>
    </row>
    <row r="57" spans="1:38" ht="15" customHeight="1" x14ac:dyDescent="0.2">
      <c r="B57" s="1540" t="s">
        <v>221</v>
      </c>
      <c r="C57" s="2097" t="s">
        <v>681</v>
      </c>
      <c r="D57" s="2098"/>
      <c r="E57" s="2098"/>
      <c r="F57" s="2099"/>
      <c r="G57" s="640">
        <f t="shared" ref="G57:R57" si="44">G10+G56+G11</f>
        <v>0</v>
      </c>
      <c r="H57" s="640">
        <f t="shared" si="44"/>
        <v>0</v>
      </c>
      <c r="I57" s="640">
        <f t="shared" si="44"/>
        <v>0</v>
      </c>
      <c r="J57" s="640">
        <f t="shared" si="44"/>
        <v>0</v>
      </c>
      <c r="K57" s="640">
        <f t="shared" si="44"/>
        <v>0</v>
      </c>
      <c r="L57" s="640">
        <f t="shared" si="44"/>
        <v>0</v>
      </c>
      <c r="M57" s="640">
        <f t="shared" si="44"/>
        <v>0</v>
      </c>
      <c r="N57" s="640">
        <f t="shared" si="44"/>
        <v>0</v>
      </c>
      <c r="O57" s="640">
        <f t="shared" si="44"/>
        <v>0</v>
      </c>
      <c r="P57" s="640">
        <f t="shared" si="44"/>
        <v>0</v>
      </c>
      <c r="Q57" s="640">
        <f t="shared" si="44"/>
        <v>0</v>
      </c>
      <c r="R57" s="1011">
        <f t="shared" si="44"/>
        <v>0</v>
      </c>
      <c r="S57" s="748"/>
    </row>
    <row r="58" spans="1:38" ht="4.1500000000000004" customHeight="1" x14ac:dyDescent="0.2">
      <c r="B58" s="743"/>
      <c r="C58" s="144"/>
      <c r="D58" s="45"/>
      <c r="E58" s="45"/>
      <c r="F58" s="80"/>
      <c r="G58" s="48"/>
      <c r="H58" s="48"/>
      <c r="I58" s="48"/>
      <c r="J58" s="48"/>
      <c r="K58" s="48"/>
      <c r="L58" s="48"/>
      <c r="M58" s="48"/>
      <c r="N58" s="48"/>
      <c r="O58" s="48"/>
      <c r="P58" s="48"/>
      <c r="Q58" s="145"/>
      <c r="R58" s="144"/>
      <c r="S58" s="97">
        <v>0</v>
      </c>
    </row>
    <row r="59" spans="1:38" x14ac:dyDescent="0.2">
      <c r="A59" s="119"/>
      <c r="B59" s="371">
        <f>'2. &amp; 7. T2 RESULTATB.'!B35</f>
        <v>0</v>
      </c>
      <c r="C59" s="371"/>
      <c r="D59" s="371"/>
      <c r="E59" s="371"/>
      <c r="F59" s="483"/>
      <c r="G59" s="119"/>
      <c r="H59" s="119"/>
      <c r="I59" s="119"/>
      <c r="J59" s="119"/>
      <c r="K59" s="119"/>
      <c r="L59" s="119"/>
      <c r="M59" s="119"/>
      <c r="N59" s="119"/>
      <c r="O59" s="1895">
        <f>STARTSIDAN!I5</f>
        <v>0</v>
      </c>
      <c r="P59" s="1895"/>
      <c r="Q59" s="1895"/>
      <c r="R59" s="1895"/>
      <c r="S59" s="1895"/>
    </row>
    <row r="60" spans="1:38" x14ac:dyDescent="0.2">
      <c r="A60" s="119"/>
      <c r="B60" s="371" t="str">
        <f>STARTSIDAN!G24</f>
        <v>FT22 Det aktiva företagets resultatplan</v>
      </c>
      <c r="C60" s="371"/>
      <c r="D60" s="371"/>
      <c r="E60" s="371"/>
      <c r="F60" s="483"/>
      <c r="G60" s="119"/>
      <c r="H60" s="119"/>
      <c r="I60" s="119"/>
      <c r="J60" s="119"/>
      <c r="K60" s="119"/>
      <c r="L60" s="119"/>
      <c r="M60" s="1981" t="str">
        <f>STARTSIDAN!I21</f>
        <v>FöretagsLojo</v>
      </c>
      <c r="N60" s="2139"/>
      <c r="O60" s="2139"/>
      <c r="P60" s="2139"/>
      <c r="Q60" s="2139"/>
      <c r="R60" s="2139"/>
      <c r="S60" s="2139"/>
    </row>
    <row r="61" spans="1:38" x14ac:dyDescent="0.2">
      <c r="A61" s="119"/>
    </row>
    <row r="62" spans="1:38" ht="20.25" x14ac:dyDescent="0.3">
      <c r="A62" s="119"/>
      <c r="B62" s="19" t="s">
        <v>682</v>
      </c>
      <c r="C62" s="91"/>
      <c r="D62" s="1538"/>
      <c r="E62" s="1537"/>
      <c r="F62" s="1537"/>
      <c r="G62" s="1537"/>
      <c r="I62" s="359"/>
      <c r="J62" s="2140" t="s">
        <v>679</v>
      </c>
      <c r="K62" s="2140"/>
      <c r="L62" s="2140"/>
      <c r="M62" s="1582">
        <f>'1. T1 INVESTERINGSP.'!E16</f>
        <v>2028</v>
      </c>
      <c r="O62" s="2086"/>
      <c r="P62" s="2086"/>
      <c r="Q62" s="2086"/>
      <c r="R62" s="91"/>
      <c r="S62" s="91"/>
      <c r="U62" s="1581">
        <v>2</v>
      </c>
    </row>
    <row r="63" spans="1:38" ht="10.9" customHeight="1" x14ac:dyDescent="0.3">
      <c r="A63" s="119"/>
      <c r="B63" s="41" t="s">
        <v>255</v>
      </c>
      <c r="C63" s="91"/>
      <c r="D63" s="92"/>
      <c r="E63" s="92"/>
      <c r="F63" s="118"/>
      <c r="G63" s="118"/>
      <c r="H63" s="150"/>
      <c r="I63" s="93"/>
      <c r="J63" s="2138"/>
      <c r="K63" s="2138"/>
      <c r="L63" s="2138"/>
      <c r="M63" s="2138"/>
      <c r="O63" s="151"/>
      <c r="P63" s="151"/>
      <c r="Q63" s="151"/>
      <c r="R63" s="91"/>
      <c r="S63" s="91"/>
    </row>
    <row r="64" spans="1:38" ht="14.25" x14ac:dyDescent="0.2">
      <c r="A64" s="119"/>
      <c r="B64" s="2051">
        <f>'1. T1 INVESTERINGSP.'!B7</f>
        <v>0</v>
      </c>
      <c r="C64" s="2051"/>
      <c r="D64" s="2051"/>
      <c r="E64" s="2051"/>
      <c r="G64" s="94"/>
      <c r="H64" s="94"/>
      <c r="I64" s="94"/>
      <c r="J64" s="2052"/>
      <c r="K64" s="2052"/>
      <c r="L64" s="2052"/>
      <c r="M64" s="2052"/>
      <c r="O64" s="2053"/>
      <c r="P64" s="2053"/>
      <c r="Q64" s="2053"/>
      <c r="R64" s="94"/>
      <c r="S64" s="95"/>
      <c r="U64" s="1061"/>
    </row>
    <row r="65" spans="1:31" ht="12.75" customHeight="1" x14ac:dyDescent="0.2">
      <c r="B65" s="94"/>
      <c r="C65" s="94"/>
      <c r="G65" s="94"/>
      <c r="H65" s="94"/>
      <c r="I65" s="94"/>
      <c r="J65" s="94"/>
      <c r="K65" s="94"/>
      <c r="L65" s="94"/>
      <c r="M65" s="94"/>
      <c r="N65" s="1149"/>
      <c r="O65" s="1149"/>
      <c r="P65" s="1149"/>
      <c r="Q65" s="94"/>
      <c r="R65" s="94"/>
      <c r="S65" s="95"/>
      <c r="W65" s="2" t="str">
        <f>B62</f>
        <v>T5 KASSABUDGET</v>
      </c>
      <c r="AB65" s="2"/>
      <c r="AC65" s="2154" t="str">
        <f>J62</f>
        <v>PROGNOSÅR</v>
      </c>
      <c r="AD65" s="2154"/>
      <c r="AE65" s="408">
        <f>M62</f>
        <v>2028</v>
      </c>
    </row>
    <row r="66" spans="1:31" ht="16.149999999999999" customHeight="1" x14ac:dyDescent="0.2">
      <c r="B66" s="2054" t="str">
        <f>B9</f>
        <v xml:space="preserve"> AFFÄRVERKSAMHETENS INTÄKTER</v>
      </c>
      <c r="C66" s="2055"/>
      <c r="D66" s="2055"/>
      <c r="E66" s="2056"/>
      <c r="F66" s="1147" t="str">
        <f t="shared" ref="F66:S66" si="45">F9</f>
        <v>Moms-%</v>
      </c>
      <c r="G66" s="1675" t="str">
        <f t="shared" si="45"/>
        <v>JAN</v>
      </c>
      <c r="H66" s="1675" t="str">
        <f t="shared" si="45"/>
        <v>FEB</v>
      </c>
      <c r="I66" s="1675" t="str">
        <f t="shared" si="45"/>
        <v>MARS</v>
      </c>
      <c r="J66" s="1675" t="str">
        <f t="shared" si="45"/>
        <v>APRIL</v>
      </c>
      <c r="K66" s="1675" t="str">
        <f t="shared" si="45"/>
        <v>MAJ</v>
      </c>
      <c r="L66" s="1675" t="str">
        <f t="shared" si="45"/>
        <v>JUNI</v>
      </c>
      <c r="M66" s="1675" t="str">
        <f t="shared" si="45"/>
        <v>JULI</v>
      </c>
      <c r="N66" s="1675" t="str">
        <f t="shared" si="45"/>
        <v>AUG</v>
      </c>
      <c r="O66" s="1675" t="str">
        <f t="shared" si="45"/>
        <v>SEP</v>
      </c>
      <c r="P66" s="1675" t="str">
        <f t="shared" si="45"/>
        <v>OKT</v>
      </c>
      <c r="Q66" s="1675" t="str">
        <f t="shared" si="45"/>
        <v>NOV</v>
      </c>
      <c r="R66" s="1675" t="str">
        <f t="shared" si="45"/>
        <v>DEC</v>
      </c>
      <c r="S66" s="1152" t="str">
        <f t="shared" si="45"/>
        <v>SLGT</v>
      </c>
    </row>
    <row r="67" spans="1:31" x14ac:dyDescent="0.2">
      <c r="B67" s="2057" t="s">
        <v>2</v>
      </c>
      <c r="C67" s="2059" t="s">
        <v>628</v>
      </c>
      <c r="D67" s="2060"/>
      <c r="E67" s="2060"/>
      <c r="F67" s="2061"/>
      <c r="G67" s="1150">
        <f>R57</f>
        <v>0</v>
      </c>
      <c r="H67" s="1151">
        <f t="shared" ref="H67:R67" si="46">G114</f>
        <v>0</v>
      </c>
      <c r="I67" s="1151">
        <f t="shared" si="46"/>
        <v>0</v>
      </c>
      <c r="J67" s="1151">
        <f t="shared" si="46"/>
        <v>0</v>
      </c>
      <c r="K67" s="1151">
        <f t="shared" si="46"/>
        <v>0</v>
      </c>
      <c r="L67" s="1151">
        <f t="shared" si="46"/>
        <v>0</v>
      </c>
      <c r="M67" s="1151">
        <f t="shared" si="46"/>
        <v>0</v>
      </c>
      <c r="N67" s="1151">
        <f t="shared" si="46"/>
        <v>0</v>
      </c>
      <c r="O67" s="1151">
        <f t="shared" si="46"/>
        <v>0</v>
      </c>
      <c r="P67" s="1151">
        <f t="shared" si="46"/>
        <v>0</v>
      </c>
      <c r="Q67" s="1151">
        <f t="shared" si="46"/>
        <v>0</v>
      </c>
      <c r="R67" s="1151">
        <f t="shared" si="46"/>
        <v>0</v>
      </c>
      <c r="S67" s="1151"/>
    </row>
    <row r="68" spans="1:31" x14ac:dyDescent="0.2">
      <c r="B68" s="2058"/>
      <c r="C68" s="2062" t="s">
        <v>629</v>
      </c>
      <c r="D68" s="2063"/>
      <c r="E68" s="2063"/>
      <c r="F68" s="2064"/>
      <c r="G68" s="1570">
        <f>'AT T5 Kassa'!C47</f>
        <v>0</v>
      </c>
      <c r="H68" s="1570">
        <f>'AT T5 Kassa'!D47</f>
        <v>0</v>
      </c>
      <c r="I68" s="1570">
        <f>'AT T5 Kassa'!E47</f>
        <v>0</v>
      </c>
      <c r="J68" s="1570">
        <f>'AT T5 Kassa'!F47</f>
        <v>0</v>
      </c>
      <c r="K68" s="1570">
        <f>'AT T5 Kassa'!G47</f>
        <v>0</v>
      </c>
      <c r="L68" s="1570">
        <f>'AT T5 Kassa'!H47</f>
        <v>0</v>
      </c>
      <c r="M68" s="625"/>
      <c r="N68" s="625"/>
      <c r="O68" s="625"/>
      <c r="P68" s="625"/>
      <c r="Q68" s="625"/>
      <c r="R68" s="625"/>
      <c r="S68" s="626">
        <f>SUM(G68:R68)</f>
        <v>0</v>
      </c>
      <c r="U68" s="712"/>
    </row>
    <row r="69" spans="1:31" x14ac:dyDescent="0.2">
      <c r="B69" s="737" t="s">
        <v>3</v>
      </c>
      <c r="C69" s="2079" t="s">
        <v>630</v>
      </c>
      <c r="D69" s="2080"/>
      <c r="E69" s="344">
        <f>E12</f>
        <v>0.5</v>
      </c>
      <c r="F69" s="345">
        <v>25.5</v>
      </c>
      <c r="G69" s="627">
        <f t="shared" ref="G69:R69" si="47">G70*$S69</f>
        <v>0</v>
      </c>
      <c r="H69" s="627">
        <f t="shared" si="47"/>
        <v>0</v>
      </c>
      <c r="I69" s="627">
        <f t="shared" si="47"/>
        <v>0</v>
      </c>
      <c r="J69" s="627">
        <f t="shared" si="47"/>
        <v>0</v>
      </c>
      <c r="K69" s="627">
        <f t="shared" si="47"/>
        <v>0</v>
      </c>
      <c r="L69" s="627">
        <f t="shared" si="47"/>
        <v>0</v>
      </c>
      <c r="M69" s="627">
        <f>M70*$S69</f>
        <v>0</v>
      </c>
      <c r="N69" s="627">
        <f t="shared" si="47"/>
        <v>0</v>
      </c>
      <c r="O69" s="627">
        <f t="shared" si="47"/>
        <v>0</v>
      </c>
      <c r="P69" s="627">
        <f t="shared" si="47"/>
        <v>0</v>
      </c>
      <c r="Q69" s="627">
        <f t="shared" si="47"/>
        <v>0</v>
      </c>
      <c r="R69" s="627">
        <f t="shared" si="47"/>
        <v>0</v>
      </c>
      <c r="S69" s="628">
        <f>'6. E2 OMSÄTTNING'!G$10*E69+'6. E2 OMSÄTTNING'!G$10*E69*'9. T5 KASSABUDGET'!F69/100</f>
        <v>0</v>
      </c>
      <c r="U69" s="133"/>
    </row>
    <row r="70" spans="1:31" x14ac:dyDescent="0.2">
      <c r="B70" s="738"/>
      <c r="C70" s="346"/>
      <c r="D70" s="2081" t="s">
        <v>631</v>
      </c>
      <c r="E70" s="2081"/>
      <c r="F70" s="2082"/>
      <c r="G70" s="629">
        <f t="shared" ref="G70:R70" si="48">G13</f>
        <v>0.09</v>
      </c>
      <c r="H70" s="629">
        <f t="shared" si="48"/>
        <v>0.09</v>
      </c>
      <c r="I70" s="629">
        <f t="shared" si="48"/>
        <v>0.09</v>
      </c>
      <c r="J70" s="629">
        <f t="shared" si="48"/>
        <v>0.09</v>
      </c>
      <c r="K70" s="629">
        <f t="shared" si="48"/>
        <v>0.09</v>
      </c>
      <c r="L70" s="629">
        <f t="shared" si="48"/>
        <v>0.09</v>
      </c>
      <c r="M70" s="629">
        <f t="shared" si="48"/>
        <v>0.04</v>
      </c>
      <c r="N70" s="629">
        <f t="shared" si="48"/>
        <v>7.0000000000000007E-2</v>
      </c>
      <c r="O70" s="629">
        <f t="shared" si="48"/>
        <v>0.08</v>
      </c>
      <c r="P70" s="629">
        <f t="shared" si="48"/>
        <v>0.09</v>
      </c>
      <c r="Q70" s="629">
        <f t="shared" si="48"/>
        <v>0.09</v>
      </c>
      <c r="R70" s="629">
        <f t="shared" si="48"/>
        <v>0.09</v>
      </c>
      <c r="S70" s="630">
        <f>SUM(G70:R70)</f>
        <v>0.99999999999999978</v>
      </c>
      <c r="T70" s="206" t="str">
        <f>IF(E69=0," ",IF(S70=100%," ","VIRHE!"))</f>
        <v xml:space="preserve"> </v>
      </c>
    </row>
    <row r="71" spans="1:31" x14ac:dyDescent="0.2">
      <c r="A71" s="119"/>
      <c r="B71" s="738" t="s">
        <v>4</v>
      </c>
      <c r="C71" s="2079" t="s">
        <v>632</v>
      </c>
      <c r="D71" s="2081"/>
      <c r="E71" s="2082"/>
      <c r="F71" s="347">
        <v>25.5</v>
      </c>
      <c r="G71" s="627">
        <f>G72*$S71</f>
        <v>0</v>
      </c>
      <c r="H71" s="627">
        <f>H72*$S71</f>
        <v>0</v>
      </c>
      <c r="I71" s="627">
        <f t="shared" ref="I71:R71" si="49">I72*$S71</f>
        <v>0</v>
      </c>
      <c r="J71" s="627">
        <f t="shared" si="49"/>
        <v>0</v>
      </c>
      <c r="K71" s="627">
        <f t="shared" si="49"/>
        <v>0</v>
      </c>
      <c r="L71" s="627">
        <f t="shared" si="49"/>
        <v>0</v>
      </c>
      <c r="M71" s="627">
        <f t="shared" si="49"/>
        <v>0</v>
      </c>
      <c r="N71" s="627">
        <f t="shared" si="49"/>
        <v>0</v>
      </c>
      <c r="O71" s="627">
        <f t="shared" si="49"/>
        <v>0</v>
      </c>
      <c r="P71" s="627">
        <f t="shared" si="49"/>
        <v>0</v>
      </c>
      <c r="Q71" s="627">
        <f t="shared" si="49"/>
        <v>0</v>
      </c>
      <c r="R71" s="627">
        <f t="shared" si="49"/>
        <v>0</v>
      </c>
      <c r="S71" s="627">
        <f>'6. E2 OMSÄTTNING'!G$10+'6. E2 OMSÄTTNING'!G$10*F71/100-S69</f>
        <v>0</v>
      </c>
      <c r="U71" s="239"/>
    </row>
    <row r="72" spans="1:31" x14ac:dyDescent="0.2">
      <c r="B72" s="738"/>
      <c r="C72" s="346"/>
      <c r="D72" s="2081" t="s">
        <v>631</v>
      </c>
      <c r="E72" s="2081"/>
      <c r="F72" s="2082"/>
      <c r="G72" s="631">
        <f>G70</f>
        <v>0.09</v>
      </c>
      <c r="H72" s="629">
        <f t="shared" ref="H72:R72" si="50">H70</f>
        <v>0.09</v>
      </c>
      <c r="I72" s="629">
        <f t="shared" si="50"/>
        <v>0.09</v>
      </c>
      <c r="J72" s="629">
        <f t="shared" si="50"/>
        <v>0.09</v>
      </c>
      <c r="K72" s="629">
        <f t="shared" si="50"/>
        <v>0.09</v>
      </c>
      <c r="L72" s="629">
        <f t="shared" si="50"/>
        <v>0.09</v>
      </c>
      <c r="M72" s="629">
        <f t="shared" si="50"/>
        <v>0.04</v>
      </c>
      <c r="N72" s="629">
        <f t="shared" si="50"/>
        <v>7.0000000000000007E-2</v>
      </c>
      <c r="O72" s="629">
        <f t="shared" si="50"/>
        <v>0.08</v>
      </c>
      <c r="P72" s="629">
        <f t="shared" si="50"/>
        <v>0.09</v>
      </c>
      <c r="Q72" s="629">
        <f t="shared" si="50"/>
        <v>0.09</v>
      </c>
      <c r="R72" s="629">
        <f t="shared" si="50"/>
        <v>0.09</v>
      </c>
      <c r="S72" s="630">
        <f>SUM(G72:R72)</f>
        <v>0.99999999999999978</v>
      </c>
      <c r="T72" s="206" t="str">
        <f>IF(E69=100%," ",IF(S72=100%," ","VIRHE!"))</f>
        <v xml:space="preserve"> </v>
      </c>
    </row>
    <row r="73" spans="1:31" ht="14.45" customHeight="1" thickBot="1" x14ac:dyDescent="0.25">
      <c r="B73" s="738"/>
      <c r="C73" s="346"/>
      <c r="D73" s="348" t="s">
        <v>633</v>
      </c>
      <c r="E73" s="349">
        <v>0</v>
      </c>
      <c r="F73" s="350" t="s">
        <v>634</v>
      </c>
      <c r="G73" s="627">
        <f>'AT T5 Kassa'!C71</f>
        <v>0</v>
      </c>
      <c r="H73" s="627">
        <f>'AT T5 Kassa'!D71</f>
        <v>0</v>
      </c>
      <c r="I73" s="627">
        <f>'AT T5 Kassa'!E71</f>
        <v>0</v>
      </c>
      <c r="J73" s="627">
        <f>'AT T5 Kassa'!F71</f>
        <v>0</v>
      </c>
      <c r="K73" s="627">
        <f>'AT T5 Kassa'!G71</f>
        <v>0</v>
      </c>
      <c r="L73" s="627">
        <f>'AT T5 Kassa'!H71</f>
        <v>0</v>
      </c>
      <c r="M73" s="627">
        <f>'AT T5 Kassa'!I71</f>
        <v>0</v>
      </c>
      <c r="N73" s="627">
        <f>'AT T5 Kassa'!J71</f>
        <v>0</v>
      </c>
      <c r="O73" s="627">
        <f>'AT T5 Kassa'!K71</f>
        <v>0</v>
      </c>
      <c r="P73" s="627">
        <f>'AT T5 Kassa'!L71</f>
        <v>0</v>
      </c>
      <c r="Q73" s="627">
        <f>'AT T5 Kassa'!M71</f>
        <v>0</v>
      </c>
      <c r="R73" s="627">
        <f>'AT T5 Kassa'!N71</f>
        <v>0</v>
      </c>
      <c r="S73" s="628">
        <f>SUM(G73:R73)</f>
        <v>0</v>
      </c>
    </row>
    <row r="74" spans="1:31" ht="13.9" customHeight="1" x14ac:dyDescent="0.2">
      <c r="B74" s="738" t="s">
        <v>5</v>
      </c>
      <c r="C74" s="2083" t="s">
        <v>635</v>
      </c>
      <c r="D74" s="2084"/>
      <c r="E74" s="2085"/>
      <c r="F74" s="347">
        <v>25.5</v>
      </c>
      <c r="G74" s="1315">
        <f>('2. &amp; 7. T2 RESULTATB.'!$K$12/12+'2. &amp; 7. T2 RESULTATB.'!$K$12/12*'9. T5 KASSABUDGET'!$F$74/100)</f>
        <v>0</v>
      </c>
      <c r="H74" s="1315">
        <f>('2. &amp; 7. T2 RESULTATB.'!$K$12/12+'2. &amp; 7. T2 RESULTATB.'!$K$12/12*'9. T5 KASSABUDGET'!$F$74/100)</f>
        <v>0</v>
      </c>
      <c r="I74" s="1315">
        <f>('2. &amp; 7. T2 RESULTATB.'!$K$12/12+'2. &amp; 7. T2 RESULTATB.'!$K$12/12*'9. T5 KASSABUDGET'!$F$74/100)</f>
        <v>0</v>
      </c>
      <c r="J74" s="1315">
        <f>('2. &amp; 7. T2 RESULTATB.'!$K$12/12+'2. &amp; 7. T2 RESULTATB.'!$K$12/12*'9. T5 KASSABUDGET'!$F$74/100)</f>
        <v>0</v>
      </c>
      <c r="K74" s="1315">
        <f>('2. &amp; 7. T2 RESULTATB.'!$K$12/12+'2. &amp; 7. T2 RESULTATB.'!$K$12/12*'9. T5 KASSABUDGET'!$F$74/100)</f>
        <v>0</v>
      </c>
      <c r="L74" s="1315">
        <f>('2. &amp; 7. T2 RESULTATB.'!$K$12/12+'2. &amp; 7. T2 RESULTATB.'!$K$12/12*'9. T5 KASSABUDGET'!$F$74/100)</f>
        <v>0</v>
      </c>
      <c r="M74" s="1315">
        <f>('2. &amp; 7. T2 RESULTATB.'!$K$12/12+'2. &amp; 7. T2 RESULTATB.'!$K$12/12*'9. T5 KASSABUDGET'!$F$74/100)</f>
        <v>0</v>
      </c>
      <c r="N74" s="1315">
        <f>('2. &amp; 7. T2 RESULTATB.'!$K$12/12+'2. &amp; 7. T2 RESULTATB.'!$K$12/12*'9. T5 KASSABUDGET'!$F$74/100)</f>
        <v>0</v>
      </c>
      <c r="O74" s="1315">
        <f>('2. &amp; 7. T2 RESULTATB.'!$K$12/12+'2. &amp; 7. T2 RESULTATB.'!$K$12/12*'9. T5 KASSABUDGET'!$F$74/100)</f>
        <v>0</v>
      </c>
      <c r="P74" s="1315">
        <f>('2. &amp; 7. T2 RESULTATB.'!$K$12/12+'2. &amp; 7. T2 RESULTATB.'!$K$12/12*'9. T5 KASSABUDGET'!$F$74/100)</f>
        <v>0</v>
      </c>
      <c r="Q74" s="1315">
        <f>('2. &amp; 7. T2 RESULTATB.'!$K$12/12+'2. &amp; 7. T2 RESULTATB.'!$K$12/12*'9. T5 KASSABUDGET'!$F$74/100)</f>
        <v>0</v>
      </c>
      <c r="R74" s="1315">
        <f>('2. &amp; 7. T2 RESULTATB.'!$K$12/12+'2. &amp; 7. T2 RESULTATB.'!$K$12/12*'9. T5 KASSABUDGET'!$F$74/100)</f>
        <v>0</v>
      </c>
      <c r="S74" s="628">
        <f>SUM(G74:R74)</f>
        <v>0</v>
      </c>
      <c r="U74" s="2094" t="str">
        <f>U17</f>
        <v xml:space="preserve"> Mäl utgifter under perioden
 inkl. Moms</v>
      </c>
    </row>
    <row r="75" spans="1:31" ht="13.5" thickBot="1" x14ac:dyDescent="0.25">
      <c r="B75" s="739" t="s">
        <v>6</v>
      </c>
      <c r="C75" s="2117" t="s">
        <v>636</v>
      </c>
      <c r="D75" s="2118"/>
      <c r="E75" s="2119"/>
      <c r="F75" s="351"/>
      <c r="G75" s="1316">
        <f>'5. E1 VERKSAMHETSKOSTN.'!$H$30/12</f>
        <v>0</v>
      </c>
      <c r="H75" s="1316">
        <f>'5. E1 VERKSAMHETSKOSTN.'!$H$30/12</f>
        <v>0</v>
      </c>
      <c r="I75" s="1316">
        <f>'5. E1 VERKSAMHETSKOSTN.'!$H$30/12</f>
        <v>0</v>
      </c>
      <c r="J75" s="1316">
        <f>'5. E1 VERKSAMHETSKOSTN.'!$H$30/12</f>
        <v>0</v>
      </c>
      <c r="K75" s="1316">
        <f>'5. E1 VERKSAMHETSKOSTN.'!$H$30/12</f>
        <v>0</v>
      </c>
      <c r="L75" s="1316">
        <f>'5. E1 VERKSAMHETSKOSTN.'!$H$30/12</f>
        <v>0</v>
      </c>
      <c r="M75" s="1316">
        <f>'5. E1 VERKSAMHETSKOSTN.'!$H$30/12+'1. T1 INVESTERINGSP.'!E61</f>
        <v>0</v>
      </c>
      <c r="N75" s="1316">
        <f>'5. E1 VERKSAMHETSKOSTN.'!$H$30/12</f>
        <v>0</v>
      </c>
      <c r="O75" s="1316">
        <f>'5. E1 VERKSAMHETSKOSTN.'!$H$30/12</f>
        <v>0</v>
      </c>
      <c r="P75" s="1316">
        <f>'5. E1 VERKSAMHETSKOSTN.'!$H$30/12</f>
        <v>0</v>
      </c>
      <c r="Q75" s="1316">
        <f>'5. E1 VERKSAMHETSKOSTN.'!$H$30/12</f>
        <v>0</v>
      </c>
      <c r="R75" s="1316">
        <f>'5. E1 VERKSAMHETSKOSTN.'!$H$30/12</f>
        <v>0</v>
      </c>
      <c r="S75" s="628">
        <f>SUM(G75:R75)</f>
        <v>0</v>
      </c>
      <c r="U75" s="2095"/>
    </row>
    <row r="76" spans="1:31" ht="16.350000000000001" customHeight="1" thickTop="1" thickBot="1" x14ac:dyDescent="0.25">
      <c r="B76" s="725"/>
      <c r="C76" s="2120" t="s">
        <v>637</v>
      </c>
      <c r="D76" s="2121"/>
      <c r="E76" s="2121"/>
      <c r="F76" s="726"/>
      <c r="G76" s="727">
        <f t="shared" ref="G76:R76" si="51">G69+G73+G75+G74</f>
        <v>0</v>
      </c>
      <c r="H76" s="727">
        <f t="shared" si="51"/>
        <v>0</v>
      </c>
      <c r="I76" s="727">
        <f t="shared" si="51"/>
        <v>0</v>
      </c>
      <c r="J76" s="727">
        <f t="shared" si="51"/>
        <v>0</v>
      </c>
      <c r="K76" s="727">
        <f t="shared" si="51"/>
        <v>0</v>
      </c>
      <c r="L76" s="727">
        <f t="shared" si="51"/>
        <v>0</v>
      </c>
      <c r="M76" s="727">
        <f t="shared" si="51"/>
        <v>0</v>
      </c>
      <c r="N76" s="727">
        <f t="shared" si="51"/>
        <v>0</v>
      </c>
      <c r="O76" s="727">
        <f t="shared" si="51"/>
        <v>0</v>
      </c>
      <c r="P76" s="727">
        <f t="shared" si="51"/>
        <v>0</v>
      </c>
      <c r="Q76" s="727">
        <f t="shared" si="51"/>
        <v>0</v>
      </c>
      <c r="R76" s="727">
        <f t="shared" si="51"/>
        <v>0</v>
      </c>
      <c r="S76" s="728">
        <f>SUM(G76:R76)</f>
        <v>0</v>
      </c>
      <c r="U76" s="2095"/>
    </row>
    <row r="77" spans="1:31" ht="16.149999999999999" customHeight="1" thickTop="1" x14ac:dyDescent="0.2">
      <c r="B77" s="740"/>
      <c r="C77" s="330"/>
      <c r="D77" s="330"/>
      <c r="E77" s="330"/>
      <c r="F77" s="331"/>
      <c r="G77" s="632"/>
      <c r="H77" s="632"/>
      <c r="I77" s="632"/>
      <c r="J77" s="632"/>
      <c r="K77" s="632"/>
      <c r="L77" s="632"/>
      <c r="M77" s="632"/>
      <c r="N77" s="632"/>
      <c r="O77" s="632"/>
      <c r="P77" s="632"/>
      <c r="Q77" s="632"/>
      <c r="R77" s="632"/>
      <c r="S77" s="633" t="s">
        <v>0</v>
      </c>
      <c r="U77" s="2095"/>
    </row>
    <row r="78" spans="1:31" ht="15.95" customHeight="1" x14ac:dyDescent="0.2">
      <c r="B78" s="2122" t="str">
        <f>B21</f>
        <v xml:space="preserve"> AFFÄRVERKSAMHETENS UTGIFTER</v>
      </c>
      <c r="C78" s="2123"/>
      <c r="D78" s="2123"/>
      <c r="E78" s="2124"/>
      <c r="F78" s="1153" t="s">
        <v>42</v>
      </c>
      <c r="G78" s="1154" t="str">
        <f>G66</f>
        <v>JAN</v>
      </c>
      <c r="H78" s="1154" t="str">
        <f t="shared" ref="H78:S78" si="52">+H66</f>
        <v>FEB</v>
      </c>
      <c r="I78" s="1154" t="str">
        <f t="shared" si="52"/>
        <v>MARS</v>
      </c>
      <c r="J78" s="1154" t="str">
        <f t="shared" si="52"/>
        <v>APRIL</v>
      </c>
      <c r="K78" s="1154" t="str">
        <f t="shared" si="52"/>
        <v>MAJ</v>
      </c>
      <c r="L78" s="1154" t="str">
        <f t="shared" si="52"/>
        <v>JUNI</v>
      </c>
      <c r="M78" s="1154" t="str">
        <f t="shared" si="52"/>
        <v>JULI</v>
      </c>
      <c r="N78" s="1154" t="str">
        <f t="shared" si="52"/>
        <v>AUG</v>
      </c>
      <c r="O78" s="1154" t="str">
        <f t="shared" si="52"/>
        <v>SEP</v>
      </c>
      <c r="P78" s="1154" t="str">
        <f t="shared" si="52"/>
        <v>OKT</v>
      </c>
      <c r="Q78" s="1154" t="str">
        <f t="shared" si="52"/>
        <v>NOV</v>
      </c>
      <c r="R78" s="1154" t="str">
        <f t="shared" si="52"/>
        <v>DEC</v>
      </c>
      <c r="S78" s="1155" t="str">
        <f t="shared" si="52"/>
        <v>SLGT</v>
      </c>
      <c r="T78" s="1146" t="str">
        <f>T21</f>
        <v>Skillnad</v>
      </c>
      <c r="U78" s="2096"/>
    </row>
    <row r="79" spans="1:31" ht="13.15" customHeight="1" x14ac:dyDescent="0.2">
      <c r="B79" s="2125" t="s">
        <v>7</v>
      </c>
      <c r="C79" s="2065" t="s">
        <v>652</v>
      </c>
      <c r="D79" s="2066"/>
      <c r="E79" s="2067"/>
      <c r="F79" s="1148">
        <v>25.5</v>
      </c>
      <c r="G79" s="1317">
        <f>IF(($S69+$S71)*$U79=0,0,(G69+G71)/($S69+$S71)*'9. T5 KASSABUDGET'!$U79)</f>
        <v>0</v>
      </c>
      <c r="H79" s="1317">
        <f>IF(($S69+$S71)*$U79=0,0,(H69+H71)/($S69+$S71)*'9. T5 KASSABUDGET'!$U79)</f>
        <v>0</v>
      </c>
      <c r="I79" s="1317">
        <f>IF(($S69+$S71)*$U79=0,0,(I69+I71)/($S69+$S71)*'9. T5 KASSABUDGET'!$U79)</f>
        <v>0</v>
      </c>
      <c r="J79" s="1317">
        <f>IF(($S69+$S71)*$U79=0,0,(J69+J71)/($S69+$S71)*'9. T5 KASSABUDGET'!$U79)</f>
        <v>0</v>
      </c>
      <c r="K79" s="1317">
        <f>IF(($S69+$S71)*$U79=0,0,(K69+K71)/($S69+$S71)*'9. T5 KASSABUDGET'!$U79)</f>
        <v>0</v>
      </c>
      <c r="L79" s="1317">
        <f>IF(($S69+$S71)*$U79=0,0,(L69+L71)/($S69+$S71)*'9. T5 KASSABUDGET'!$U79)</f>
        <v>0</v>
      </c>
      <c r="M79" s="1317">
        <f>IF(($S69+$S71)*$U79=0,0,(M69+M71)/($S69+$S71)*'9. T5 KASSABUDGET'!$U79)</f>
        <v>0</v>
      </c>
      <c r="N79" s="1317">
        <f>IF(($S69+$S71)*$U79=0,0,(N69+N71)/($S69+$S71)*'9. T5 KASSABUDGET'!$U79)</f>
        <v>0</v>
      </c>
      <c r="O79" s="1317">
        <f>IF(($S69+$S71)*$U79=0,0,(O69+O71)/($S69+$S71)*'9. T5 KASSABUDGET'!$U79)</f>
        <v>0</v>
      </c>
      <c r="P79" s="1317">
        <f>IF(($S69+$S71)*$U79=0,0,(P69+P71)/($S69+$S71)*'9. T5 KASSABUDGET'!$U79)</f>
        <v>0</v>
      </c>
      <c r="Q79" s="1317">
        <f>IF(($S69+$S71)*$U79=0,0,(Q69+Q71)/($S69+$S71)*'9. T5 KASSABUDGET'!$U79)</f>
        <v>0</v>
      </c>
      <c r="R79" s="1317">
        <f>IF(($S69+$S71)*$U79=0,0,(R69+R71)/($S69+$S71)*'9. T5 KASSABUDGET'!$U79)</f>
        <v>0</v>
      </c>
      <c r="S79" s="638">
        <f>SUM(G79:R79)</f>
        <v>0</v>
      </c>
      <c r="T79" s="996">
        <f>U79-S79</f>
        <v>0</v>
      </c>
      <c r="U79" s="907">
        <f>'6. E2 OMSÄTTNING'!G11+'6. E2 OMSÄTTNING'!G11*'9. T5 KASSABUDGET'!F79/100</f>
        <v>0</v>
      </c>
    </row>
    <row r="80" spans="1:31" ht="13.15" customHeight="1" x14ac:dyDescent="0.2">
      <c r="B80" s="2058"/>
      <c r="C80" s="1551" t="s">
        <v>653</v>
      </c>
      <c r="D80" s="1552"/>
      <c r="E80" s="349">
        <v>0</v>
      </c>
      <c r="F80" s="1341"/>
      <c r="G80" s="1521">
        <f>'AT T5 Kassa'!Q44</f>
        <v>0</v>
      </c>
      <c r="H80" s="1521">
        <f>'AT T5 Kassa'!R44</f>
        <v>0</v>
      </c>
      <c r="I80" s="1521">
        <f>'AT T5 Kassa'!S44</f>
        <v>0</v>
      </c>
      <c r="J80" s="626"/>
      <c r="K80" s="626"/>
      <c r="L80" s="626"/>
      <c r="M80" s="626"/>
      <c r="N80" s="626"/>
      <c r="O80" s="626"/>
      <c r="P80" s="626"/>
      <c r="Q80" s="626"/>
      <c r="R80" s="626"/>
      <c r="S80" s="638">
        <f>SUM(G80:R80)</f>
        <v>0</v>
      </c>
      <c r="T80" s="1529"/>
      <c r="U80" s="1351"/>
    </row>
    <row r="81" spans="2:43" ht="13.15" hidden="1" customHeight="1" x14ac:dyDescent="0.2">
      <c r="B81" s="741" t="s">
        <v>8</v>
      </c>
      <c r="C81" s="2068" t="s">
        <v>654</v>
      </c>
      <c r="D81" s="2069"/>
      <c r="E81" s="2070"/>
      <c r="F81" s="1341"/>
      <c r="G81" s="1571"/>
      <c r="H81" s="1571">
        <v>0</v>
      </c>
      <c r="I81" s="1571">
        <v>0</v>
      </c>
      <c r="J81" s="1571">
        <v>0</v>
      </c>
      <c r="K81" s="1571"/>
      <c r="L81" s="1571"/>
      <c r="M81" s="1571"/>
      <c r="N81" s="1571">
        <v>0</v>
      </c>
      <c r="O81" s="1571"/>
      <c r="P81" s="1571"/>
      <c r="Q81" s="1571"/>
      <c r="R81" s="1571"/>
      <c r="S81" s="626">
        <f>SUM(G81:R81)+SUM(G81:R81)*F81/100</f>
        <v>0</v>
      </c>
      <c r="T81" s="1527" t="s">
        <v>0</v>
      </c>
      <c r="U81" s="1528"/>
    </row>
    <row r="82" spans="2:43" ht="13.15" customHeight="1" x14ac:dyDescent="0.2">
      <c r="B82" s="741" t="s">
        <v>8</v>
      </c>
      <c r="C82" s="488" t="s">
        <v>655</v>
      </c>
      <c r="D82" s="489"/>
      <c r="E82" s="490"/>
      <c r="F82" s="1636">
        <v>25.5</v>
      </c>
      <c r="G82" s="634">
        <f>$U82/12</f>
        <v>0</v>
      </c>
      <c r="H82" s="634">
        <f t="shared" ref="H82:R82" si="53">$U82/12</f>
        <v>0</v>
      </c>
      <c r="I82" s="634">
        <f t="shared" si="53"/>
        <v>0</v>
      </c>
      <c r="J82" s="634">
        <f t="shared" si="53"/>
        <v>0</v>
      </c>
      <c r="K82" s="634">
        <f t="shared" si="53"/>
        <v>0</v>
      </c>
      <c r="L82" s="634">
        <f t="shared" si="53"/>
        <v>0</v>
      </c>
      <c r="M82" s="634">
        <f t="shared" si="53"/>
        <v>0</v>
      </c>
      <c r="N82" s="634">
        <f t="shared" si="53"/>
        <v>0</v>
      </c>
      <c r="O82" s="634">
        <f t="shared" si="53"/>
        <v>0</v>
      </c>
      <c r="P82" s="634">
        <f t="shared" si="53"/>
        <v>0</v>
      </c>
      <c r="Q82" s="634">
        <f t="shared" si="53"/>
        <v>0</v>
      </c>
      <c r="R82" s="634">
        <f t="shared" si="53"/>
        <v>0</v>
      </c>
      <c r="S82" s="626">
        <f>SUM(G82:R82)</f>
        <v>0</v>
      </c>
      <c r="T82" s="996">
        <f>U82-S82</f>
        <v>0</v>
      </c>
      <c r="U82" s="907">
        <f>-('2. &amp; 7. T2 RESULTATB.'!K16+'2. &amp; 7. T2 RESULTATB.'!K16*'9. T5 KASSABUDGET'!F82/100)</f>
        <v>0</v>
      </c>
    </row>
    <row r="83" spans="2:43" ht="13.15" customHeight="1" x14ac:dyDescent="0.2">
      <c r="B83" s="741" t="s">
        <v>9</v>
      </c>
      <c r="C83" s="2071" t="s">
        <v>656</v>
      </c>
      <c r="D83" s="2072"/>
      <c r="E83" s="2073"/>
      <c r="F83" s="1637">
        <v>25.5</v>
      </c>
      <c r="G83" s="634">
        <f>'1. T1 INVESTERINGSP.'!E20+'1. T1 INVESTERINGSP.'!E27+'1. T1 INVESTERINGSP.'!E32+IF('1. T1 INVESTERINGSP.'!E36=0,0,'1. T1 INVESTERINGSP.'!E35)</f>
        <v>0</v>
      </c>
      <c r="H83" s="634"/>
      <c r="I83" s="634"/>
      <c r="J83" s="634"/>
      <c r="K83" s="634"/>
      <c r="L83" s="634"/>
      <c r="M83" s="634"/>
      <c r="N83" s="634"/>
      <c r="O83" s="634"/>
      <c r="P83" s="634"/>
      <c r="Q83" s="634"/>
      <c r="R83" s="634"/>
      <c r="S83" s="626">
        <f>SUM(G83:R83)</f>
        <v>0</v>
      </c>
      <c r="T83" s="997" t="s">
        <v>0</v>
      </c>
      <c r="U83" s="1349"/>
    </row>
    <row r="84" spans="2:43" ht="13.15" customHeight="1" x14ac:dyDescent="0.2">
      <c r="B84" s="741" t="s">
        <v>10</v>
      </c>
      <c r="C84" s="2074" t="s">
        <v>657</v>
      </c>
      <c r="D84" s="2075"/>
      <c r="E84" s="2076"/>
      <c r="F84" s="1637">
        <v>25.5</v>
      </c>
      <c r="G84" s="634">
        <f>$U84/12</f>
        <v>0</v>
      </c>
      <c r="H84" s="634">
        <f t="shared" ref="H84:R86" si="54">$U84/12</f>
        <v>0</v>
      </c>
      <c r="I84" s="634">
        <f t="shared" si="54"/>
        <v>0</v>
      </c>
      <c r="J84" s="634">
        <f t="shared" si="54"/>
        <v>0</v>
      </c>
      <c r="K84" s="634">
        <f t="shared" si="54"/>
        <v>0</v>
      </c>
      <c r="L84" s="634">
        <f t="shared" si="54"/>
        <v>0</v>
      </c>
      <c r="M84" s="634">
        <f t="shared" si="54"/>
        <v>0</v>
      </c>
      <c r="N84" s="634">
        <f t="shared" si="54"/>
        <v>0</v>
      </c>
      <c r="O84" s="634">
        <f t="shared" si="54"/>
        <v>0</v>
      </c>
      <c r="P84" s="634">
        <f t="shared" si="54"/>
        <v>0</v>
      </c>
      <c r="Q84" s="634">
        <f t="shared" si="54"/>
        <v>0</v>
      </c>
      <c r="R84" s="634">
        <f t="shared" si="54"/>
        <v>0</v>
      </c>
      <c r="S84" s="626">
        <f>SUM(G84:R84)</f>
        <v>0</v>
      </c>
      <c r="T84" s="996">
        <f>U84-S84</f>
        <v>0</v>
      </c>
      <c r="U84" s="907">
        <f>'5. E1 VERKSAMHETSKOSTN.'!H53+'5. E1 VERKSAMHETSKOSTN.'!H53*'9. T5 KASSABUDGET'!F84/100</f>
        <v>0</v>
      </c>
      <c r="AQ84">
        <v>0</v>
      </c>
    </row>
    <row r="85" spans="2:43" ht="13.15" customHeight="1" x14ac:dyDescent="0.2">
      <c r="B85" s="741" t="s">
        <v>11</v>
      </c>
      <c r="C85" s="2071" t="s">
        <v>658</v>
      </c>
      <c r="D85" s="2072"/>
      <c r="E85" s="2073"/>
      <c r="F85" s="1637">
        <v>25.5</v>
      </c>
      <c r="G85" s="634">
        <f>$U85/12</f>
        <v>0</v>
      </c>
      <c r="H85" s="634">
        <f t="shared" si="54"/>
        <v>0</v>
      </c>
      <c r="I85" s="634">
        <f t="shared" si="54"/>
        <v>0</v>
      </c>
      <c r="J85" s="634">
        <f t="shared" si="54"/>
        <v>0</v>
      </c>
      <c r="K85" s="634">
        <f t="shared" si="54"/>
        <v>0</v>
      </c>
      <c r="L85" s="634">
        <f t="shared" si="54"/>
        <v>0</v>
      </c>
      <c r="M85" s="634">
        <f t="shared" si="54"/>
        <v>0</v>
      </c>
      <c r="N85" s="634">
        <f t="shared" si="54"/>
        <v>0</v>
      </c>
      <c r="O85" s="634">
        <f t="shared" si="54"/>
        <v>0</v>
      </c>
      <c r="P85" s="634">
        <f t="shared" si="54"/>
        <v>0</v>
      </c>
      <c r="Q85" s="634">
        <f t="shared" si="54"/>
        <v>0</v>
      </c>
      <c r="R85" s="634">
        <f t="shared" si="54"/>
        <v>0</v>
      </c>
      <c r="S85" s="626">
        <f>SUM(G85:R85)</f>
        <v>0</v>
      </c>
      <c r="T85" s="996">
        <f>U85-S85</f>
        <v>0</v>
      </c>
      <c r="U85" s="907">
        <f>'5. E1 VERKSAMHETSKOSTN.'!H64+'5. E1 VERKSAMHETSKOSTN.'!H64*'9. T5 KASSABUDGET'!F85/100</f>
        <v>0</v>
      </c>
    </row>
    <row r="86" spans="2:43" ht="13.15" customHeight="1" x14ac:dyDescent="0.2">
      <c r="B86" s="741" t="s">
        <v>43</v>
      </c>
      <c r="C86" s="2071" t="s">
        <v>659</v>
      </c>
      <c r="D86" s="2072"/>
      <c r="E86" s="2073"/>
      <c r="F86" s="1646">
        <f>'AT2 Lainat,sotum., alv-osto'!F81*100</f>
        <v>0</v>
      </c>
      <c r="G86" s="634">
        <f>$U86/12</f>
        <v>0</v>
      </c>
      <c r="H86" s="634">
        <f t="shared" si="54"/>
        <v>0</v>
      </c>
      <c r="I86" s="634">
        <f t="shared" si="54"/>
        <v>0</v>
      </c>
      <c r="J86" s="634">
        <f t="shared" si="54"/>
        <v>0</v>
      </c>
      <c r="K86" s="634">
        <f t="shared" si="54"/>
        <v>0</v>
      </c>
      <c r="L86" s="634">
        <f t="shared" si="54"/>
        <v>0</v>
      </c>
      <c r="M86" s="634">
        <f t="shared" si="54"/>
        <v>0</v>
      </c>
      <c r="N86" s="634">
        <f t="shared" si="54"/>
        <v>0</v>
      </c>
      <c r="O86" s="634">
        <f t="shared" si="54"/>
        <v>0</v>
      </c>
      <c r="P86" s="634">
        <f t="shared" si="54"/>
        <v>0</v>
      </c>
      <c r="Q86" s="634">
        <f t="shared" si="54"/>
        <v>0</v>
      </c>
      <c r="R86" s="634">
        <f t="shared" si="54"/>
        <v>0</v>
      </c>
      <c r="S86" s="626">
        <f t="shared" ref="S86:S95" si="55">SUM(G86:R86)</f>
        <v>0</v>
      </c>
      <c r="T86" s="996">
        <f>U86-S86</f>
        <v>0</v>
      </c>
      <c r="U86" s="1350" cm="1">
        <f t="array" ref="U86:V86">'AT2 Lainat,sotum., alv-osto'!F79:G79</f>
        <v>0</v>
      </c>
      <c r="V86" s="230">
        <v>0</v>
      </c>
    </row>
    <row r="87" spans="2:43" ht="13.15" customHeight="1" x14ac:dyDescent="0.2">
      <c r="B87" s="741" t="s">
        <v>44</v>
      </c>
      <c r="C87" s="2071" t="s">
        <v>660</v>
      </c>
      <c r="D87" s="2100"/>
      <c r="E87" s="2101"/>
      <c r="F87" s="1341"/>
      <c r="G87" s="635">
        <f>'AT1 Avustus, alv-laskenta '!U26</f>
        <v>0</v>
      </c>
      <c r="H87" s="635">
        <f>'AT1 Avustus, alv-laskenta '!V26</f>
        <v>0</v>
      </c>
      <c r="I87" s="1557">
        <f>'AT1 Avustus, alv-laskenta '!K57</f>
        <v>0</v>
      </c>
      <c r="J87" s="1557">
        <f>'AT1 Avustus, alv-laskenta '!L57</f>
        <v>0</v>
      </c>
      <c r="K87" s="1557">
        <f>'AT1 Avustus, alv-laskenta '!M57</f>
        <v>0</v>
      </c>
      <c r="L87" s="1557">
        <f>'AT1 Avustus, alv-laskenta '!N57</f>
        <v>0</v>
      </c>
      <c r="M87" s="1557">
        <f>'AT1 Avustus, alv-laskenta '!O57</f>
        <v>0</v>
      </c>
      <c r="N87" s="1557">
        <f>'AT1 Avustus, alv-laskenta '!P57</f>
        <v>0</v>
      </c>
      <c r="O87" s="1557">
        <f>'AT1 Avustus, alv-laskenta '!Q57</f>
        <v>0</v>
      </c>
      <c r="P87" s="1557">
        <f>'AT1 Avustus, alv-laskenta '!R57</f>
        <v>0</v>
      </c>
      <c r="Q87" s="1557">
        <f>'AT1 Avustus, alv-laskenta '!S57</f>
        <v>0</v>
      </c>
      <c r="R87" s="1557">
        <f>'AT1 Avustus, alv-laskenta '!T57</f>
        <v>0</v>
      </c>
      <c r="S87" s="626">
        <f t="shared" si="55"/>
        <v>0</v>
      </c>
      <c r="T87" s="998" t="s">
        <v>0</v>
      </c>
      <c r="U87" s="1351"/>
    </row>
    <row r="88" spans="2:43" ht="12.6" customHeight="1" x14ac:dyDescent="0.2">
      <c r="B88" s="2077">
        <v>13</v>
      </c>
      <c r="C88" s="2079" t="s">
        <v>805</v>
      </c>
      <c r="D88" s="2081"/>
      <c r="E88" s="2082"/>
      <c r="F88" s="1747"/>
      <c r="G88" s="1748">
        <f>U88/'5. E1 VERKSAMHETSKOSTN.'!H15</f>
        <v>0</v>
      </c>
      <c r="H88" s="1748">
        <f>G88</f>
        <v>0</v>
      </c>
      <c r="I88" s="1748">
        <f t="shared" ref="I88" si="56">H88</f>
        <v>0</v>
      </c>
      <c r="J88" s="1748">
        <f t="shared" ref="J88" si="57">I88</f>
        <v>0</v>
      </c>
      <c r="K88" s="1748">
        <f t="shared" ref="K88" si="58">J88</f>
        <v>0</v>
      </c>
      <c r="L88" s="1748">
        <f t="shared" ref="L88" si="59">K88</f>
        <v>0</v>
      </c>
      <c r="M88" s="1748">
        <f>1.5*L88</f>
        <v>0</v>
      </c>
      <c r="N88" s="1748">
        <f>L88</f>
        <v>0</v>
      </c>
      <c r="O88" s="1748">
        <f t="shared" ref="O88" si="60">N88</f>
        <v>0</v>
      </c>
      <c r="P88" s="1748">
        <f t="shared" ref="P88" si="61">O88</f>
        <v>0</v>
      </c>
      <c r="Q88" s="1748">
        <f t="shared" ref="Q88" si="62">P88</f>
        <v>0</v>
      </c>
      <c r="R88" s="1748">
        <f t="shared" ref="R88" si="63">Q88</f>
        <v>0</v>
      </c>
      <c r="S88" s="626">
        <f t="shared" si="55"/>
        <v>0</v>
      </c>
      <c r="T88" s="1749">
        <f t="shared" ref="T88" si="64">U88-S88</f>
        <v>0</v>
      </c>
      <c r="U88" s="1750">
        <f>'5. E1 VERKSAMHETSKOSTN.'!H12</f>
        <v>0</v>
      </c>
      <c r="V88" s="1000"/>
      <c r="Y88" s="33"/>
    </row>
    <row r="89" spans="2:43" ht="12.6" customHeight="1" x14ac:dyDescent="0.2">
      <c r="B89" s="2078"/>
      <c r="C89" s="2079" t="s">
        <v>806</v>
      </c>
      <c r="D89" s="2081"/>
      <c r="E89" s="2082"/>
      <c r="F89" s="1221">
        <v>20.73</v>
      </c>
      <c r="G89" s="1752">
        <f>$F89/100*G88</f>
        <v>0</v>
      </c>
      <c r="H89" s="1752">
        <f t="shared" ref="H89:Q89" si="65">$F89/100*H88</f>
        <v>0</v>
      </c>
      <c r="I89" s="1752">
        <f t="shared" si="65"/>
        <v>0</v>
      </c>
      <c r="J89" s="1752">
        <f t="shared" si="65"/>
        <v>0</v>
      </c>
      <c r="K89" s="1752">
        <f t="shared" si="65"/>
        <v>0</v>
      </c>
      <c r="L89" s="1752">
        <f t="shared" si="65"/>
        <v>0</v>
      </c>
      <c r="M89" s="1752">
        <f>$F89/100*M88</f>
        <v>0</v>
      </c>
      <c r="N89" s="1752">
        <f t="shared" si="65"/>
        <v>0</v>
      </c>
      <c r="O89" s="1752">
        <f t="shared" si="65"/>
        <v>0</v>
      </c>
      <c r="P89" s="1752">
        <f t="shared" si="65"/>
        <v>0</v>
      </c>
      <c r="Q89" s="1752">
        <f t="shared" si="65"/>
        <v>0</v>
      </c>
      <c r="R89" s="1752">
        <f>$F89/100*R88</f>
        <v>0</v>
      </c>
      <c r="S89" s="626">
        <f t="shared" si="55"/>
        <v>0</v>
      </c>
      <c r="T89" s="1753"/>
      <c r="U89" s="1754"/>
      <c r="V89" s="1000"/>
      <c r="Y89" s="33"/>
    </row>
    <row r="90" spans="2:43" ht="12.6" customHeight="1" x14ac:dyDescent="0.2">
      <c r="B90" s="1746">
        <v>14</v>
      </c>
      <c r="C90" s="1533" t="s">
        <v>807</v>
      </c>
      <c r="D90" s="348"/>
      <c r="E90" s="1743"/>
      <c r="F90" s="1755"/>
      <c r="G90" s="1748">
        <f>U90/'5. E1 VERKSAMHETSKOSTN.'!H21</f>
        <v>0</v>
      </c>
      <c r="H90" s="1748">
        <f>G90</f>
        <v>0</v>
      </c>
      <c r="I90" s="1748">
        <f t="shared" ref="I90" si="66">H90</f>
        <v>0</v>
      </c>
      <c r="J90" s="1748">
        <f t="shared" ref="J90" si="67">I90</f>
        <v>0</v>
      </c>
      <c r="K90" s="1748">
        <f t="shared" ref="K90" si="68">J90</f>
        <v>0</v>
      </c>
      <c r="L90" s="1748">
        <f t="shared" ref="L90" si="69">K90</f>
        <v>0</v>
      </c>
      <c r="M90" s="1748">
        <f>1.5*L90</f>
        <v>0</v>
      </c>
      <c r="N90" s="1748">
        <f>L90</f>
        <v>0</v>
      </c>
      <c r="O90" s="1748">
        <f>N90</f>
        <v>0</v>
      </c>
      <c r="P90" s="1748">
        <f t="shared" ref="P90" si="70">O90</f>
        <v>0</v>
      </c>
      <c r="Q90" s="1748">
        <f t="shared" ref="Q90" si="71">P90</f>
        <v>0</v>
      </c>
      <c r="R90" s="1748">
        <f t="shared" ref="R90" si="72">Q90</f>
        <v>0</v>
      </c>
      <c r="S90" s="626">
        <f t="shared" si="55"/>
        <v>0</v>
      </c>
      <c r="T90" s="1756">
        <f>U90-S90-S91</f>
        <v>0</v>
      </c>
      <c r="U90" s="1750">
        <f>'5. E1 VERKSAMHETSKOSTN.'!H17+'5. E1 VERKSAMHETSKOSTN.'!H24</f>
        <v>0</v>
      </c>
      <c r="V90" s="1000"/>
      <c r="Y90" s="33"/>
    </row>
    <row r="91" spans="2:43" ht="12.6" customHeight="1" x14ac:dyDescent="0.2">
      <c r="B91" s="1757">
        <v>15</v>
      </c>
      <c r="C91" s="1533" t="s">
        <v>808</v>
      </c>
      <c r="D91" s="348"/>
      <c r="E91" s="1743"/>
      <c r="F91" s="1755"/>
      <c r="G91" s="1748">
        <v>0</v>
      </c>
      <c r="H91" s="1748"/>
      <c r="I91" s="1748"/>
      <c r="J91" s="1748"/>
      <c r="K91" s="1748"/>
      <c r="L91" s="1748"/>
      <c r="M91" s="1748"/>
      <c r="N91" s="1748"/>
      <c r="O91" s="1748"/>
      <c r="P91" s="1748"/>
      <c r="Q91" s="1748"/>
      <c r="R91" s="1748"/>
      <c r="S91" s="626">
        <f t="shared" si="55"/>
        <v>0</v>
      </c>
      <c r="T91" s="1758">
        <v>0</v>
      </c>
      <c r="U91" s="1000"/>
      <c r="V91" s="1000"/>
      <c r="Y91" s="33"/>
    </row>
    <row r="92" spans="2:43" ht="12.6" customHeight="1" x14ac:dyDescent="0.2">
      <c r="B92" s="1751">
        <v>16</v>
      </c>
      <c r="C92" s="2079" t="s">
        <v>809</v>
      </c>
      <c r="D92" s="2081"/>
      <c r="E92" s="2082"/>
      <c r="F92" s="1222">
        <v>19</v>
      </c>
      <c r="G92" s="1752">
        <f>$F92/100*(G90+G91)</f>
        <v>0</v>
      </c>
      <c r="H92" s="1752">
        <f t="shared" ref="H92:R92" si="73">$F92/100*(H90+H91)</f>
        <v>0</v>
      </c>
      <c r="I92" s="1752">
        <f t="shared" si="73"/>
        <v>0</v>
      </c>
      <c r="J92" s="1752">
        <f t="shared" si="73"/>
        <v>0</v>
      </c>
      <c r="K92" s="1752">
        <f t="shared" si="73"/>
        <v>0</v>
      </c>
      <c r="L92" s="1752">
        <f t="shared" si="73"/>
        <v>0</v>
      </c>
      <c r="M92" s="1752">
        <f t="shared" si="73"/>
        <v>0</v>
      </c>
      <c r="N92" s="1752">
        <f t="shared" si="73"/>
        <v>0</v>
      </c>
      <c r="O92" s="1752">
        <f t="shared" si="73"/>
        <v>0</v>
      </c>
      <c r="P92" s="1752">
        <f t="shared" si="73"/>
        <v>0</v>
      </c>
      <c r="Q92" s="1752">
        <f t="shared" si="73"/>
        <v>0</v>
      </c>
      <c r="R92" s="1752">
        <f t="shared" si="73"/>
        <v>0</v>
      </c>
      <c r="S92" s="626">
        <f t="shared" si="55"/>
        <v>0</v>
      </c>
      <c r="T92" s="999"/>
      <c r="U92" s="1000"/>
      <c r="V92" s="1001"/>
      <c r="Y92" s="33"/>
    </row>
    <row r="93" spans="2:43" ht="12.6" customHeight="1" x14ac:dyDescent="0.2">
      <c r="B93" s="741">
        <v>17</v>
      </c>
      <c r="C93" s="1353" t="s">
        <v>661</v>
      </c>
      <c r="D93" s="1178"/>
      <c r="E93" s="1178"/>
      <c r="F93" s="1341"/>
      <c r="G93" s="634">
        <f>$U93/12</f>
        <v>0</v>
      </c>
      <c r="H93" s="634">
        <f>$U93/12</f>
        <v>0</v>
      </c>
      <c r="I93" s="634">
        <f t="shared" ref="I93:R93" si="74">$U93/12</f>
        <v>0</v>
      </c>
      <c r="J93" s="634">
        <f t="shared" si="74"/>
        <v>0</v>
      </c>
      <c r="K93" s="634">
        <f t="shared" si="74"/>
        <v>0</v>
      </c>
      <c r="L93" s="634">
        <f t="shared" si="74"/>
        <v>0</v>
      </c>
      <c r="M93" s="634">
        <f t="shared" si="74"/>
        <v>0</v>
      </c>
      <c r="N93" s="634">
        <f t="shared" si="74"/>
        <v>0</v>
      </c>
      <c r="O93" s="634">
        <f t="shared" si="74"/>
        <v>0</v>
      </c>
      <c r="P93" s="634">
        <f t="shared" si="74"/>
        <v>0</v>
      </c>
      <c r="Q93" s="634">
        <f t="shared" si="74"/>
        <v>0</v>
      </c>
      <c r="R93" s="634">
        <f t="shared" si="74"/>
        <v>0</v>
      </c>
      <c r="S93" s="626">
        <f t="shared" ref="S93" si="75">SUM(G93:R93)</f>
        <v>0</v>
      </c>
      <c r="T93" s="996">
        <f t="shared" ref="T93" si="76">U93-S93</f>
        <v>0</v>
      </c>
      <c r="U93" s="907">
        <f>'5. E1 VERKSAMHETSKOSTN.'!H$38+'5. E1 VERKSAMHETSKOSTN.'!H$42+'5. E1 VERKSAMHETSKOSTN.'!H$43</f>
        <v>0</v>
      </c>
      <c r="V93" s="1001"/>
      <c r="Y93" s="33"/>
    </row>
    <row r="94" spans="2:43" ht="13.15" customHeight="1" x14ac:dyDescent="0.2">
      <c r="B94" s="741" t="s">
        <v>49</v>
      </c>
      <c r="C94" s="1180" t="s">
        <v>662</v>
      </c>
      <c r="D94" s="1216"/>
      <c r="E94" s="1216"/>
      <c r="F94" s="1341"/>
      <c r="G94" s="634">
        <f>$U94/12</f>
        <v>0</v>
      </c>
      <c r="H94" s="634">
        <f t="shared" ref="H94:R97" si="77">$U94/12</f>
        <v>0</v>
      </c>
      <c r="I94" s="634">
        <f t="shared" si="77"/>
        <v>0</v>
      </c>
      <c r="J94" s="634">
        <f t="shared" si="77"/>
        <v>0</v>
      </c>
      <c r="K94" s="634">
        <f t="shared" si="77"/>
        <v>0</v>
      </c>
      <c r="L94" s="634">
        <f t="shared" si="77"/>
        <v>0</v>
      </c>
      <c r="M94" s="634">
        <f t="shared" si="77"/>
        <v>0</v>
      </c>
      <c r="N94" s="634">
        <f t="shared" si="77"/>
        <v>0</v>
      </c>
      <c r="O94" s="634">
        <f t="shared" si="77"/>
        <v>0</v>
      </c>
      <c r="P94" s="634">
        <f t="shared" si="77"/>
        <v>0</v>
      </c>
      <c r="Q94" s="634">
        <f t="shared" si="77"/>
        <v>0</v>
      </c>
      <c r="R94" s="634">
        <f t="shared" si="77"/>
        <v>0</v>
      </c>
      <c r="S94" s="626">
        <f t="shared" si="55"/>
        <v>0</v>
      </c>
      <c r="T94" s="996">
        <f>U94-S94</f>
        <v>0</v>
      </c>
      <c r="U94" s="907">
        <f>'5. E1 VERKSAMHETSKOSTN.'!H122</f>
        <v>0</v>
      </c>
    </row>
    <row r="95" spans="2:43" ht="13.15" customHeight="1" x14ac:dyDescent="0.2">
      <c r="B95" s="741" t="s">
        <v>50</v>
      </c>
      <c r="C95" s="488" t="s">
        <v>663</v>
      </c>
      <c r="D95" s="1179"/>
      <c r="E95" s="1179"/>
      <c r="F95" s="1341"/>
      <c r="G95" s="634">
        <f>$U95/12</f>
        <v>0</v>
      </c>
      <c r="H95" s="634">
        <f t="shared" si="77"/>
        <v>0</v>
      </c>
      <c r="I95" s="634">
        <f t="shared" si="77"/>
        <v>0</v>
      </c>
      <c r="J95" s="634">
        <f t="shared" si="77"/>
        <v>0</v>
      </c>
      <c r="K95" s="634">
        <f t="shared" si="77"/>
        <v>0</v>
      </c>
      <c r="L95" s="634">
        <f t="shared" si="77"/>
        <v>0</v>
      </c>
      <c r="M95" s="634">
        <f t="shared" si="77"/>
        <v>0</v>
      </c>
      <c r="N95" s="634">
        <f t="shared" si="77"/>
        <v>0</v>
      </c>
      <c r="O95" s="634">
        <f t="shared" si="77"/>
        <v>0</v>
      </c>
      <c r="P95" s="634">
        <f t="shared" si="77"/>
        <v>0</v>
      </c>
      <c r="Q95" s="634">
        <f t="shared" si="77"/>
        <v>0</v>
      </c>
      <c r="R95" s="634">
        <f t="shared" si="77"/>
        <v>0</v>
      </c>
      <c r="S95" s="626">
        <f t="shared" si="55"/>
        <v>0</v>
      </c>
      <c r="T95" s="996">
        <f>U95-S95</f>
        <v>0</v>
      </c>
      <c r="U95" s="907">
        <f>'AT2 Lainat,sotum., alv-osto'!F84</f>
        <v>0</v>
      </c>
    </row>
    <row r="96" spans="2:43" ht="13.15" customHeight="1" x14ac:dyDescent="0.2">
      <c r="B96" s="741" t="s">
        <v>154</v>
      </c>
      <c r="C96" s="2071" t="s">
        <v>664</v>
      </c>
      <c r="D96" s="2100"/>
      <c r="E96" s="2101"/>
      <c r="F96" s="1341"/>
      <c r="G96" s="634">
        <f>$U96/12</f>
        <v>0</v>
      </c>
      <c r="H96" s="634">
        <f t="shared" si="77"/>
        <v>0</v>
      </c>
      <c r="I96" s="634">
        <f t="shared" si="77"/>
        <v>0</v>
      </c>
      <c r="J96" s="634">
        <f t="shared" si="77"/>
        <v>0</v>
      </c>
      <c r="K96" s="634">
        <f t="shared" si="77"/>
        <v>0</v>
      </c>
      <c r="L96" s="634">
        <f t="shared" si="77"/>
        <v>0</v>
      </c>
      <c r="M96" s="634">
        <f t="shared" si="77"/>
        <v>0</v>
      </c>
      <c r="N96" s="634">
        <f t="shared" si="77"/>
        <v>0</v>
      </c>
      <c r="O96" s="634">
        <f t="shared" si="77"/>
        <v>0</v>
      </c>
      <c r="P96" s="634">
        <f t="shared" si="77"/>
        <v>0</v>
      </c>
      <c r="Q96" s="634">
        <f t="shared" si="77"/>
        <v>0</v>
      </c>
      <c r="R96" s="634">
        <f t="shared" si="77"/>
        <v>0</v>
      </c>
      <c r="S96" s="626">
        <f t="shared" ref="S96:S102" si="78">SUM(G96:R96)</f>
        <v>0</v>
      </c>
      <c r="T96" s="996">
        <f>U96-S96</f>
        <v>0</v>
      </c>
      <c r="U96" s="907">
        <f>'4. T7 LÅN '!K18+'4. T7 LÅN '!K39</f>
        <v>0</v>
      </c>
    </row>
    <row r="97" spans="2:38" ht="13.15" customHeight="1" x14ac:dyDescent="0.2">
      <c r="B97" s="741" t="s">
        <v>159</v>
      </c>
      <c r="C97" s="488" t="s">
        <v>665</v>
      </c>
      <c r="D97" s="1179"/>
      <c r="E97" s="1179"/>
      <c r="F97" s="1341"/>
      <c r="G97" s="634">
        <f>$U97/12</f>
        <v>0</v>
      </c>
      <c r="H97" s="634">
        <f t="shared" si="77"/>
        <v>0</v>
      </c>
      <c r="I97" s="634">
        <f t="shared" si="77"/>
        <v>0</v>
      </c>
      <c r="J97" s="634">
        <f t="shared" si="77"/>
        <v>0</v>
      </c>
      <c r="K97" s="634">
        <f t="shared" si="77"/>
        <v>0</v>
      </c>
      <c r="L97" s="634">
        <f t="shared" si="77"/>
        <v>0</v>
      </c>
      <c r="M97" s="634">
        <f t="shared" si="77"/>
        <v>0</v>
      </c>
      <c r="N97" s="634">
        <f t="shared" si="77"/>
        <v>0</v>
      </c>
      <c r="O97" s="634">
        <f t="shared" si="77"/>
        <v>0</v>
      </c>
      <c r="P97" s="634">
        <f t="shared" si="77"/>
        <v>0</v>
      </c>
      <c r="Q97" s="634">
        <f t="shared" si="77"/>
        <v>0</v>
      </c>
      <c r="R97" s="634">
        <f t="shared" si="77"/>
        <v>0</v>
      </c>
      <c r="S97" s="626">
        <f t="shared" si="78"/>
        <v>0</v>
      </c>
      <c r="T97" s="996">
        <f>U97-S97</f>
        <v>0</v>
      </c>
      <c r="U97" s="907">
        <f>-'2. &amp; 7. T2 RESULTATB.'!K27</f>
        <v>0</v>
      </c>
    </row>
    <row r="98" spans="2:38" ht="13.15" customHeight="1" x14ac:dyDescent="0.2">
      <c r="B98" s="741" t="s">
        <v>160</v>
      </c>
      <c r="C98" s="488" t="s">
        <v>666</v>
      </c>
      <c r="D98" s="1179"/>
      <c r="E98" s="1179"/>
      <c r="F98" s="1341"/>
      <c r="G98" s="634">
        <f>IF('1. T1 INVESTERINGSP.'!E36&gt;0,0,'1. T1 INVESTERINGSP.'!E35)+'1. T1 INVESTERINGSP.'!E30+'1. T1 INVESTERINGSP.'!E24+'1. T1 INVESTERINGSP.'!E17</f>
        <v>0</v>
      </c>
      <c r="H98" s="634"/>
      <c r="I98" s="634"/>
      <c r="J98" s="634"/>
      <c r="K98" s="634"/>
      <c r="L98" s="634"/>
      <c r="M98" s="634"/>
      <c r="N98" s="634"/>
      <c r="O98" s="634"/>
      <c r="P98" s="634"/>
      <c r="Q98" s="634"/>
      <c r="R98" s="634"/>
      <c r="S98" s="626">
        <f t="shared" si="78"/>
        <v>0</v>
      </c>
      <c r="T98" s="997" t="s">
        <v>0</v>
      </c>
      <c r="U98" s="1351"/>
    </row>
    <row r="99" spans="2:38" ht="13.15" customHeight="1" x14ac:dyDescent="0.2">
      <c r="B99" s="741" t="s">
        <v>161</v>
      </c>
      <c r="C99" s="488" t="s">
        <v>667</v>
      </c>
      <c r="D99" s="1179"/>
      <c r="E99" s="1179"/>
      <c r="F99" s="1341"/>
      <c r="G99" s="634">
        <f>$U99/12</f>
        <v>0</v>
      </c>
      <c r="H99" s="634">
        <f t="shared" ref="H99:R99" si="79">$U99/12</f>
        <v>0</v>
      </c>
      <c r="I99" s="634">
        <f t="shared" si="79"/>
        <v>0</v>
      </c>
      <c r="J99" s="634">
        <f t="shared" si="79"/>
        <v>0</v>
      </c>
      <c r="K99" s="634">
        <f t="shared" si="79"/>
        <v>0</v>
      </c>
      <c r="L99" s="634">
        <f t="shared" si="79"/>
        <v>0</v>
      </c>
      <c r="M99" s="634">
        <f t="shared" si="79"/>
        <v>0</v>
      </c>
      <c r="N99" s="634">
        <f>$U99/12</f>
        <v>0</v>
      </c>
      <c r="O99" s="634">
        <f t="shared" si="79"/>
        <v>0</v>
      </c>
      <c r="P99" s="634">
        <f t="shared" si="79"/>
        <v>0</v>
      </c>
      <c r="Q99" s="634">
        <f t="shared" si="79"/>
        <v>0</v>
      </c>
      <c r="R99" s="634">
        <f t="shared" si="79"/>
        <v>0</v>
      </c>
      <c r="S99" s="626">
        <f t="shared" si="78"/>
        <v>0</v>
      </c>
      <c r="T99" s="996">
        <f>U99-S99</f>
        <v>0</v>
      </c>
      <c r="U99" s="907">
        <f>'5. E1 VERKSAMHETSKOSTN.'!F120</f>
        <v>0</v>
      </c>
    </row>
    <row r="100" spans="2:38" ht="13.15" customHeight="1" x14ac:dyDescent="0.2">
      <c r="B100" s="741" t="s">
        <v>210</v>
      </c>
      <c r="C100" s="2102" t="s">
        <v>668</v>
      </c>
      <c r="D100" s="2103"/>
      <c r="E100" s="2104"/>
      <c r="F100" s="1341"/>
      <c r="G100" s="634">
        <f>'1. T1 INVESTERINGSP.'!E38</f>
        <v>0</v>
      </c>
      <c r="H100" s="634"/>
      <c r="I100" s="634"/>
      <c r="J100" s="634"/>
      <c r="K100" s="634"/>
      <c r="L100" s="634"/>
      <c r="M100" s="634"/>
      <c r="N100" s="634"/>
      <c r="O100" s="634"/>
      <c r="P100" s="634"/>
      <c r="Q100" s="634">
        <v>0</v>
      </c>
      <c r="R100" s="634"/>
      <c r="S100" s="626">
        <f t="shared" si="78"/>
        <v>0</v>
      </c>
      <c r="T100" s="998" t="s">
        <v>0</v>
      </c>
      <c r="U100" s="909"/>
    </row>
    <row r="101" spans="2:38" ht="13.15" customHeight="1" thickBot="1" x14ac:dyDescent="0.25">
      <c r="B101" s="741" t="s">
        <v>213</v>
      </c>
      <c r="C101" s="2105" t="s">
        <v>669</v>
      </c>
      <c r="D101" s="2106"/>
      <c r="E101" s="2107"/>
      <c r="F101" s="1341"/>
      <c r="G101" s="634">
        <v>0</v>
      </c>
      <c r="H101" s="634"/>
      <c r="I101" s="634"/>
      <c r="J101" s="634"/>
      <c r="K101" s="634"/>
      <c r="L101" s="634"/>
      <c r="M101" s="634"/>
      <c r="N101" s="634"/>
      <c r="O101" s="634"/>
      <c r="P101" s="634"/>
      <c r="Q101" s="634"/>
      <c r="R101" s="634"/>
      <c r="S101" s="636">
        <f t="shared" si="78"/>
        <v>0</v>
      </c>
      <c r="T101" s="999" t="s">
        <v>0</v>
      </c>
      <c r="U101" s="156"/>
      <c r="AA101" s="1160" t="str">
        <f t="shared" ref="AA101:AL101" si="80">G104</f>
        <v>JAN</v>
      </c>
      <c r="AB101" s="1160" t="str">
        <f t="shared" si="80"/>
        <v>FEB</v>
      </c>
      <c r="AC101" s="1160" t="str">
        <f t="shared" si="80"/>
        <v>MARS</v>
      </c>
      <c r="AD101" s="1160" t="str">
        <f t="shared" si="80"/>
        <v>APRIL</v>
      </c>
      <c r="AE101" s="1160" t="str">
        <f t="shared" si="80"/>
        <v>MAJ</v>
      </c>
      <c r="AF101" s="1160" t="str">
        <f t="shared" si="80"/>
        <v>JUNI</v>
      </c>
      <c r="AG101" s="1160" t="str">
        <f t="shared" si="80"/>
        <v>JULI</v>
      </c>
      <c r="AH101" s="1160" t="str">
        <f t="shared" si="80"/>
        <v>AUG</v>
      </c>
      <c r="AI101" s="1160" t="str">
        <f t="shared" si="80"/>
        <v>SEP</v>
      </c>
      <c r="AJ101" s="1160">
        <f t="shared" si="80"/>
        <v>0</v>
      </c>
      <c r="AK101" s="1160" t="str">
        <f t="shared" si="80"/>
        <v>NOV</v>
      </c>
      <c r="AL101" s="1160" t="str">
        <f t="shared" si="80"/>
        <v>DEC</v>
      </c>
    </row>
    <row r="102" spans="2:38" ht="17.649999999999999" customHeight="1" thickTop="1" thickBot="1" x14ac:dyDescent="0.25">
      <c r="B102" s="729"/>
      <c r="C102" s="2114" t="str">
        <f>C45</f>
        <v>AFFÄRVERKSAMHETENS UTGIFTER SAMMANLAGT</v>
      </c>
      <c r="D102" s="2115"/>
      <c r="E102" s="2115"/>
      <c r="F102" s="2116"/>
      <c r="G102" s="730">
        <f>SUM(G79:G101)</f>
        <v>0</v>
      </c>
      <c r="H102" s="730">
        <f t="shared" ref="H102:R102" si="81">SUM(H79:H101)</f>
        <v>0</v>
      </c>
      <c r="I102" s="730">
        <f t="shared" si="81"/>
        <v>0</v>
      </c>
      <c r="J102" s="730">
        <f t="shared" si="81"/>
        <v>0</v>
      </c>
      <c r="K102" s="730">
        <f t="shared" si="81"/>
        <v>0</v>
      </c>
      <c r="L102" s="730">
        <f t="shared" si="81"/>
        <v>0</v>
      </c>
      <c r="M102" s="730">
        <f t="shared" si="81"/>
        <v>0</v>
      </c>
      <c r="N102" s="730">
        <f t="shared" si="81"/>
        <v>0</v>
      </c>
      <c r="O102" s="730">
        <f t="shared" si="81"/>
        <v>0</v>
      </c>
      <c r="P102" s="730">
        <f t="shared" si="81"/>
        <v>0</v>
      </c>
      <c r="Q102" s="730">
        <f t="shared" si="81"/>
        <v>0</v>
      </c>
      <c r="R102" s="730">
        <f t="shared" si="81"/>
        <v>0</v>
      </c>
      <c r="S102" s="730">
        <f t="shared" si="78"/>
        <v>0</v>
      </c>
      <c r="T102" s="230"/>
      <c r="U102" s="2094" t="str">
        <f>U45</f>
        <v xml:space="preserve"> Målutgifter under perioden</v>
      </c>
      <c r="W102" s="2111" t="s">
        <v>680</v>
      </c>
      <c r="X102" s="2112"/>
      <c r="Y102" s="2112"/>
      <c r="Z102" s="2113"/>
      <c r="AA102" s="640">
        <f t="shared" ref="AA102:AL103" si="82">G113</f>
        <v>0</v>
      </c>
      <c r="AB102" s="640">
        <f t="shared" si="82"/>
        <v>0</v>
      </c>
      <c r="AC102" s="640">
        <f t="shared" si="82"/>
        <v>0</v>
      </c>
      <c r="AD102" s="640">
        <f t="shared" si="82"/>
        <v>0</v>
      </c>
      <c r="AE102" s="640">
        <f t="shared" si="82"/>
        <v>0</v>
      </c>
      <c r="AF102" s="640">
        <f t="shared" si="82"/>
        <v>0</v>
      </c>
      <c r="AG102" s="640">
        <f t="shared" si="82"/>
        <v>0</v>
      </c>
      <c r="AH102" s="640">
        <f t="shared" si="82"/>
        <v>0</v>
      </c>
      <c r="AI102" s="640">
        <f t="shared" si="82"/>
        <v>0</v>
      </c>
      <c r="AJ102" s="640">
        <f t="shared" si="82"/>
        <v>0</v>
      </c>
      <c r="AK102" s="640">
        <f t="shared" si="82"/>
        <v>0</v>
      </c>
      <c r="AL102" s="640">
        <f t="shared" si="82"/>
        <v>0</v>
      </c>
    </row>
    <row r="103" spans="2:38" ht="13.5" thickTop="1" x14ac:dyDescent="0.2">
      <c r="B103" s="1156"/>
      <c r="C103" s="1157"/>
      <c r="D103" s="518"/>
      <c r="E103" s="518"/>
      <c r="F103" s="1158"/>
      <c r="G103" s="1159"/>
      <c r="H103" s="1159"/>
      <c r="I103" s="1159"/>
      <c r="J103" s="1159"/>
      <c r="K103" s="1159"/>
      <c r="L103" s="1159"/>
      <c r="M103" s="1159"/>
      <c r="N103" s="1159"/>
      <c r="O103" s="1159"/>
      <c r="P103" s="1159"/>
      <c r="Q103" s="1159"/>
      <c r="R103" s="1159"/>
      <c r="S103" s="1001"/>
      <c r="T103" s="230"/>
      <c r="U103" s="2095"/>
      <c r="W103" s="2097" t="s">
        <v>684</v>
      </c>
      <c r="X103" s="2098"/>
      <c r="Y103" s="2098"/>
      <c r="Z103" s="2099"/>
      <c r="AA103" s="640">
        <f t="shared" si="82"/>
        <v>0</v>
      </c>
      <c r="AB103" s="640">
        <f t="shared" si="82"/>
        <v>0</v>
      </c>
      <c r="AC103" s="640">
        <f t="shared" si="82"/>
        <v>0</v>
      </c>
      <c r="AD103" s="640">
        <f t="shared" si="82"/>
        <v>0</v>
      </c>
      <c r="AE103" s="640">
        <f t="shared" si="82"/>
        <v>0</v>
      </c>
      <c r="AF103" s="640">
        <f t="shared" si="82"/>
        <v>0</v>
      </c>
      <c r="AG103" s="640">
        <f t="shared" si="82"/>
        <v>0</v>
      </c>
      <c r="AH103" s="640">
        <f t="shared" si="82"/>
        <v>0</v>
      </c>
      <c r="AI103" s="640">
        <f t="shared" si="82"/>
        <v>0</v>
      </c>
      <c r="AJ103" s="640">
        <f t="shared" si="82"/>
        <v>0</v>
      </c>
      <c r="AK103" s="640">
        <f t="shared" si="82"/>
        <v>0</v>
      </c>
      <c r="AL103" s="640">
        <f t="shared" si="82"/>
        <v>0</v>
      </c>
    </row>
    <row r="104" spans="2:38" ht="16.149999999999999" customHeight="1" x14ac:dyDescent="0.2">
      <c r="B104" s="2126" t="str">
        <f>B47</f>
        <v xml:space="preserve"> KAPITALFINANSIERING: INTÄKTER OCH UTGIFTER</v>
      </c>
      <c r="C104" s="2127"/>
      <c r="D104" s="2127"/>
      <c r="E104" s="2127"/>
      <c r="F104" s="2128"/>
      <c r="G104" s="1160" t="str">
        <f>G78</f>
        <v>JAN</v>
      </c>
      <c r="H104" s="1160" t="str">
        <f>H78</f>
        <v>FEB</v>
      </c>
      <c r="I104" s="1160" t="str">
        <f t="shared" ref="I104:R104" si="83">I78</f>
        <v>MARS</v>
      </c>
      <c r="J104" s="1160" t="str">
        <f t="shared" si="83"/>
        <v>APRIL</v>
      </c>
      <c r="K104" s="1160" t="str">
        <f t="shared" si="83"/>
        <v>MAJ</v>
      </c>
      <c r="L104" s="1160" t="str">
        <f t="shared" si="83"/>
        <v>JUNI</v>
      </c>
      <c r="M104" s="1160" t="str">
        <f t="shared" si="83"/>
        <v>JULI</v>
      </c>
      <c r="N104" s="1160" t="str">
        <f t="shared" si="83"/>
        <v>AUG</v>
      </c>
      <c r="O104" s="1160" t="str">
        <f t="shared" si="83"/>
        <v>SEP</v>
      </c>
      <c r="P104" s="1160"/>
      <c r="Q104" s="1160" t="str">
        <f t="shared" si="83"/>
        <v>NOV</v>
      </c>
      <c r="R104" s="1160" t="str">
        <f t="shared" si="83"/>
        <v>DEC</v>
      </c>
      <c r="S104" s="1161" t="str">
        <f>S78</f>
        <v>SLGT</v>
      </c>
      <c r="T104" s="1146" t="str">
        <f>T21</f>
        <v>Skillnad</v>
      </c>
      <c r="U104" s="2096"/>
    </row>
    <row r="105" spans="2:38" x14ac:dyDescent="0.2">
      <c r="B105" s="742" t="s">
        <v>214</v>
      </c>
      <c r="C105" s="1217" t="s">
        <v>165</v>
      </c>
      <c r="D105" s="1218"/>
      <c r="E105" s="1218"/>
      <c r="F105" s="1341"/>
      <c r="G105" s="637">
        <f>$U105/12</f>
        <v>0</v>
      </c>
      <c r="H105" s="637">
        <f t="shared" ref="H105:R105" si="84">$U105/12</f>
        <v>0</v>
      </c>
      <c r="I105" s="637">
        <f t="shared" si="84"/>
        <v>0</v>
      </c>
      <c r="J105" s="637">
        <f t="shared" si="84"/>
        <v>0</v>
      </c>
      <c r="K105" s="637">
        <f t="shared" si="84"/>
        <v>0</v>
      </c>
      <c r="L105" s="637">
        <f t="shared" si="84"/>
        <v>0</v>
      </c>
      <c r="M105" s="637">
        <f t="shared" si="84"/>
        <v>0</v>
      </c>
      <c r="N105" s="637">
        <f t="shared" si="84"/>
        <v>0</v>
      </c>
      <c r="O105" s="637">
        <f t="shared" si="84"/>
        <v>0</v>
      </c>
      <c r="P105" s="637">
        <f t="shared" si="84"/>
        <v>0</v>
      </c>
      <c r="Q105" s="637">
        <f t="shared" si="84"/>
        <v>0</v>
      </c>
      <c r="R105" s="637">
        <f t="shared" si="84"/>
        <v>0</v>
      </c>
      <c r="S105" s="638">
        <f t="shared" ref="S105:S110" si="85">SUM(G105:R105)</f>
        <v>0</v>
      </c>
      <c r="T105" s="1002">
        <f>U105-S105</f>
        <v>0</v>
      </c>
      <c r="U105" s="907">
        <f>'4. T7 LÅN '!I19+'4. T7 LÅN '!K19+'4. T7 LÅN '!J45+'4. T7 LÅN '!K45</f>
        <v>0</v>
      </c>
    </row>
    <row r="106" spans="2:38" x14ac:dyDescent="0.2">
      <c r="B106" s="742" t="s">
        <v>215</v>
      </c>
      <c r="C106" s="1329" t="s">
        <v>103</v>
      </c>
      <c r="D106" s="299"/>
      <c r="E106" s="299"/>
      <c r="F106" s="1341"/>
      <c r="G106" s="637">
        <f>U106</f>
        <v>0</v>
      </c>
      <c r="H106" s="637"/>
      <c r="I106" s="637"/>
      <c r="J106" s="637">
        <v>0</v>
      </c>
      <c r="K106" s="637">
        <v>0</v>
      </c>
      <c r="L106" s="637"/>
      <c r="M106" s="637"/>
      <c r="N106" s="637"/>
      <c r="O106" s="637"/>
      <c r="P106" s="637">
        <v>0</v>
      </c>
      <c r="Q106" s="637"/>
      <c r="R106" s="637">
        <v>0</v>
      </c>
      <c r="S106" s="638">
        <f t="shared" si="85"/>
        <v>0</v>
      </c>
      <c r="T106" s="1002">
        <f>U106-S106</f>
        <v>0</v>
      </c>
      <c r="U106" s="907">
        <f>'4. T7 LÅN '!I39+'4. T7 LÅN '!I45</f>
        <v>0</v>
      </c>
    </row>
    <row r="107" spans="2:38" x14ac:dyDescent="0.2">
      <c r="B107" s="742" t="s">
        <v>216</v>
      </c>
      <c r="C107" s="488" t="s">
        <v>112</v>
      </c>
      <c r="D107" s="1179"/>
      <c r="E107" s="1179"/>
      <c r="F107" s="1341"/>
      <c r="G107" s="634"/>
      <c r="H107" s="634"/>
      <c r="I107" s="634"/>
      <c r="J107" s="634"/>
      <c r="K107" s="634"/>
      <c r="L107" s="634">
        <f>$U107/2</f>
        <v>0</v>
      </c>
      <c r="M107" s="634">
        <v>0</v>
      </c>
      <c r="N107" s="634"/>
      <c r="O107" s="634"/>
      <c r="P107" s="634"/>
      <c r="Q107" s="634"/>
      <c r="R107" s="634">
        <f>$U107/2</f>
        <v>0</v>
      </c>
      <c r="S107" s="626">
        <f t="shared" si="85"/>
        <v>0</v>
      </c>
      <c r="T107" s="1002">
        <f>U107-S107</f>
        <v>0</v>
      </c>
      <c r="U107" s="907">
        <f>'4. T7 LÅN '!I18+'4. T7 LÅN '!J39</f>
        <v>0</v>
      </c>
    </row>
    <row r="108" spans="2:38" x14ac:dyDescent="0.2">
      <c r="B108" s="742" t="s">
        <v>217</v>
      </c>
      <c r="C108" s="488" t="s">
        <v>38</v>
      </c>
      <c r="D108" s="1179"/>
      <c r="E108" s="1179"/>
      <c r="F108" s="1341"/>
      <c r="G108" s="634">
        <f>'8. T4 FINANSIERINGSB.'!I39</f>
        <v>0</v>
      </c>
      <c r="H108" s="634"/>
      <c r="I108" s="634"/>
      <c r="J108" s="634"/>
      <c r="K108" s="634"/>
      <c r="L108" s="634"/>
      <c r="M108" s="634"/>
      <c r="N108" s="634"/>
      <c r="O108" s="634"/>
      <c r="P108" s="634"/>
      <c r="Q108" s="634"/>
      <c r="R108" s="634"/>
      <c r="S108" s="626">
        <f t="shared" si="85"/>
        <v>0</v>
      </c>
      <c r="T108" s="1003" t="s">
        <v>0</v>
      </c>
      <c r="U108" s="1351"/>
    </row>
    <row r="109" spans="2:38" x14ac:dyDescent="0.2">
      <c r="B109" s="742" t="s">
        <v>218</v>
      </c>
      <c r="C109" s="488" t="s">
        <v>39</v>
      </c>
      <c r="D109" s="1179"/>
      <c r="E109" s="1179"/>
      <c r="F109" s="1341"/>
      <c r="G109" s="634">
        <f>U109</f>
        <v>0</v>
      </c>
      <c r="H109" s="634"/>
      <c r="I109" s="634"/>
      <c r="J109" s="634"/>
      <c r="K109" s="634"/>
      <c r="L109" s="634"/>
      <c r="M109" s="634"/>
      <c r="N109" s="634"/>
      <c r="O109" s="634"/>
      <c r="P109" s="634"/>
      <c r="Q109" s="634"/>
      <c r="R109" s="634"/>
      <c r="S109" s="626">
        <f t="shared" si="85"/>
        <v>0</v>
      </c>
      <c r="T109" s="1002">
        <f>U109-S109</f>
        <v>0</v>
      </c>
      <c r="U109" s="907">
        <f>'1. T1 INVESTERINGSP.'!E48+'1. T1 INVESTERINGSP.'!E49+'1. T1 INVESTERINGSP.'!E52</f>
        <v>0</v>
      </c>
    </row>
    <row r="110" spans="2:38" ht="13.5" thickBot="1" x14ac:dyDescent="0.25">
      <c r="B110" s="742" t="s">
        <v>219</v>
      </c>
      <c r="C110" s="1219" t="s">
        <v>40</v>
      </c>
      <c r="D110" s="1220"/>
      <c r="E110" s="1220"/>
      <c r="F110" s="1341"/>
      <c r="G110" s="634">
        <f>U110</f>
        <v>0</v>
      </c>
      <c r="H110" s="634"/>
      <c r="I110" s="634"/>
      <c r="J110" s="634"/>
      <c r="K110" s="634"/>
      <c r="L110" s="634">
        <v>0</v>
      </c>
      <c r="M110" s="634"/>
      <c r="N110" s="634"/>
      <c r="O110" s="634"/>
      <c r="P110" s="634"/>
      <c r="Q110" s="634"/>
      <c r="R110" s="634"/>
      <c r="S110" s="626">
        <f t="shared" si="85"/>
        <v>0</v>
      </c>
      <c r="T110" s="1002">
        <f>U110-S110</f>
        <v>0</v>
      </c>
      <c r="U110" s="907">
        <f>'1. T1 INVESTERINGSP.'!E51</f>
        <v>0</v>
      </c>
    </row>
    <row r="111" spans="2:38" ht="15.6" customHeight="1" thickTop="1" thickBot="1" x14ac:dyDescent="0.25">
      <c r="B111" s="731"/>
      <c r="C111" s="2108" t="str">
        <f>C54</f>
        <v>KAPITALFINANSIERING, NETTO</v>
      </c>
      <c r="D111" s="2109"/>
      <c r="E111" s="2109"/>
      <c r="F111" s="2110"/>
      <c r="G111" s="732">
        <f>-G105+G106-G107-G108+G109+G110</f>
        <v>0</v>
      </c>
      <c r="H111" s="732">
        <f t="shared" ref="H111:R111" si="86">-H105+H106-H107-H108+H109+H110</f>
        <v>0</v>
      </c>
      <c r="I111" s="732">
        <f t="shared" si="86"/>
        <v>0</v>
      </c>
      <c r="J111" s="732">
        <f t="shared" si="86"/>
        <v>0</v>
      </c>
      <c r="K111" s="732">
        <f t="shared" si="86"/>
        <v>0</v>
      </c>
      <c r="L111" s="732">
        <f t="shared" si="86"/>
        <v>0</v>
      </c>
      <c r="M111" s="732">
        <f t="shared" si="86"/>
        <v>0</v>
      </c>
      <c r="N111" s="732">
        <f t="shared" si="86"/>
        <v>0</v>
      </c>
      <c r="O111" s="732">
        <f t="shared" si="86"/>
        <v>0</v>
      </c>
      <c r="P111" s="732">
        <f t="shared" si="86"/>
        <v>0</v>
      </c>
      <c r="Q111" s="732">
        <f t="shared" si="86"/>
        <v>0</v>
      </c>
      <c r="R111" s="732">
        <f t="shared" si="86"/>
        <v>0</v>
      </c>
      <c r="S111" s="733">
        <f>-S105+S106-S107-S108+S109+S110</f>
        <v>0</v>
      </c>
      <c r="U111" s="239"/>
    </row>
    <row r="112" spans="2:38" ht="13.5" thickTop="1" x14ac:dyDescent="0.2">
      <c r="B112" s="740"/>
      <c r="C112" s="330"/>
      <c r="D112" s="330"/>
      <c r="E112" s="330"/>
      <c r="F112" s="331"/>
      <c r="G112" s="632"/>
      <c r="H112" s="632"/>
      <c r="I112" s="632"/>
      <c r="J112" s="632"/>
      <c r="K112" s="632"/>
      <c r="L112" s="632"/>
      <c r="M112" s="632"/>
      <c r="N112" s="632"/>
      <c r="O112" s="632"/>
      <c r="P112" s="632"/>
      <c r="Q112" s="632"/>
      <c r="R112" s="632"/>
      <c r="S112" s="639"/>
      <c r="U112" s="239"/>
    </row>
    <row r="113" spans="2:21" x14ac:dyDescent="0.2">
      <c r="B113" s="1539" t="s">
        <v>220</v>
      </c>
      <c r="C113" s="2111" t="s">
        <v>680</v>
      </c>
      <c r="D113" s="2112"/>
      <c r="E113" s="2112"/>
      <c r="F113" s="2113"/>
      <c r="G113" s="640">
        <f>G76-G102+G111</f>
        <v>0</v>
      </c>
      <c r="H113" s="640">
        <f>H76-H102+H111</f>
        <v>0</v>
      </c>
      <c r="I113" s="640">
        <f t="shared" ref="I113:R113" si="87">I76-I102+I111</f>
        <v>0</v>
      </c>
      <c r="J113" s="640">
        <f t="shared" si="87"/>
        <v>0</v>
      </c>
      <c r="K113" s="640">
        <f t="shared" si="87"/>
        <v>0</v>
      </c>
      <c r="L113" s="640">
        <f t="shared" si="87"/>
        <v>0</v>
      </c>
      <c r="M113" s="640">
        <f t="shared" si="87"/>
        <v>0</v>
      </c>
      <c r="N113" s="640">
        <f t="shared" si="87"/>
        <v>0</v>
      </c>
      <c r="O113" s="640">
        <f t="shared" si="87"/>
        <v>0</v>
      </c>
      <c r="P113" s="640">
        <f t="shared" si="87"/>
        <v>0</v>
      </c>
      <c r="Q113" s="640">
        <f t="shared" si="87"/>
        <v>0</v>
      </c>
      <c r="R113" s="640">
        <f t="shared" si="87"/>
        <v>0</v>
      </c>
      <c r="S113" s="640">
        <f>SUM(G113:R113)</f>
        <v>0</v>
      </c>
      <c r="U113" s="239"/>
    </row>
    <row r="114" spans="2:21" x14ac:dyDescent="0.2">
      <c r="B114" s="1540" t="s">
        <v>221</v>
      </c>
      <c r="C114" s="2097" t="s">
        <v>681</v>
      </c>
      <c r="D114" s="2098"/>
      <c r="E114" s="2098"/>
      <c r="F114" s="2099"/>
      <c r="G114" s="640">
        <f t="shared" ref="G114:Q114" si="88">G67+G113+G68</f>
        <v>0</v>
      </c>
      <c r="H114" s="640">
        <f t="shared" si="88"/>
        <v>0</v>
      </c>
      <c r="I114" s="640">
        <f t="shared" si="88"/>
        <v>0</v>
      </c>
      <c r="J114" s="640">
        <f t="shared" si="88"/>
        <v>0</v>
      </c>
      <c r="K114" s="640">
        <f t="shared" si="88"/>
        <v>0</v>
      </c>
      <c r="L114" s="640">
        <f t="shared" si="88"/>
        <v>0</v>
      </c>
      <c r="M114" s="640">
        <f t="shared" si="88"/>
        <v>0</v>
      </c>
      <c r="N114" s="640">
        <f t="shared" si="88"/>
        <v>0</v>
      </c>
      <c r="O114" s="640">
        <f t="shared" si="88"/>
        <v>0</v>
      </c>
      <c r="P114" s="640">
        <f t="shared" si="88"/>
        <v>0</v>
      </c>
      <c r="Q114" s="640">
        <f t="shared" si="88"/>
        <v>0</v>
      </c>
      <c r="R114" s="1011">
        <f>R67+R113+R68</f>
        <v>0</v>
      </c>
      <c r="S114" s="748"/>
    </row>
    <row r="116" spans="2:21" x14ac:dyDescent="0.2">
      <c r="S116" s="143">
        <f>STARTSIDAN!I5</f>
        <v>0</v>
      </c>
    </row>
    <row r="117" spans="2:21" x14ac:dyDescent="0.2">
      <c r="S117" s="1583" t="str">
        <f>STARTSIDAN!I21</f>
        <v>FöretagsLojo</v>
      </c>
    </row>
    <row r="196" spans="23:206" x14ac:dyDescent="0.2">
      <c r="W196">
        <v>0</v>
      </c>
      <c r="X196">
        <v>10</v>
      </c>
      <c r="Y196">
        <v>1.11111111111111E+118</v>
      </c>
      <c r="Z196">
        <v>1</v>
      </c>
      <c r="AA196">
        <v>1</v>
      </c>
      <c r="AB196">
        <v>1</v>
      </c>
      <c r="AC196">
        <v>1</v>
      </c>
      <c r="AD196">
        <v>1</v>
      </c>
      <c r="AJ196">
        <v>1</v>
      </c>
      <c r="AK196">
        <v>1</v>
      </c>
      <c r="AL196">
        <v>1</v>
      </c>
      <c r="AM196">
        <v>1</v>
      </c>
      <c r="AN196">
        <v>1</v>
      </c>
      <c r="AO196">
        <v>1</v>
      </c>
      <c r="AP196">
        <v>1</v>
      </c>
      <c r="AQ196">
        <v>1</v>
      </c>
      <c r="AR196">
        <v>1</v>
      </c>
      <c r="AS196">
        <v>1</v>
      </c>
      <c r="AT196">
        <v>1</v>
      </c>
      <c r="AU196">
        <v>1</v>
      </c>
      <c r="AV196">
        <v>1</v>
      </c>
      <c r="AW196">
        <v>1</v>
      </c>
      <c r="AX196">
        <v>1</v>
      </c>
      <c r="AY196">
        <v>1</v>
      </c>
      <c r="AZ196">
        <v>1</v>
      </c>
      <c r="BA196">
        <v>1</v>
      </c>
      <c r="BB196">
        <v>1</v>
      </c>
      <c r="BC196">
        <v>1</v>
      </c>
      <c r="BD196">
        <v>1</v>
      </c>
      <c r="BE196">
        <v>1</v>
      </c>
      <c r="BF196">
        <v>1</v>
      </c>
      <c r="BG196">
        <v>1</v>
      </c>
      <c r="BH196">
        <v>1</v>
      </c>
      <c r="BI196">
        <v>1</v>
      </c>
      <c r="BJ196">
        <v>1</v>
      </c>
      <c r="BK196">
        <v>1</v>
      </c>
      <c r="BL196">
        <v>1</v>
      </c>
      <c r="BM196">
        <v>1</v>
      </c>
      <c r="BN196">
        <v>1</v>
      </c>
      <c r="BO196">
        <v>1</v>
      </c>
      <c r="BP196">
        <v>1</v>
      </c>
      <c r="BQ196">
        <v>1</v>
      </c>
      <c r="BR196">
        <v>1</v>
      </c>
      <c r="BS196">
        <v>1</v>
      </c>
      <c r="BT196">
        <v>1</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1</v>
      </c>
      <c r="CQ196">
        <v>1</v>
      </c>
      <c r="CR196">
        <v>1</v>
      </c>
      <c r="CS196">
        <v>1</v>
      </c>
      <c r="CT196">
        <v>1</v>
      </c>
      <c r="CU196">
        <v>1</v>
      </c>
      <c r="CV196">
        <v>1</v>
      </c>
      <c r="CW196">
        <v>1</v>
      </c>
      <c r="CX196">
        <v>1</v>
      </c>
      <c r="CY196">
        <v>1</v>
      </c>
      <c r="CZ196">
        <v>1</v>
      </c>
      <c r="DA196">
        <v>1</v>
      </c>
      <c r="DB196">
        <v>1</v>
      </c>
      <c r="DC196">
        <v>1</v>
      </c>
      <c r="DD196">
        <v>1</v>
      </c>
      <c r="DE196">
        <v>1</v>
      </c>
      <c r="DF196">
        <v>1</v>
      </c>
      <c r="DG196">
        <v>1</v>
      </c>
      <c r="DH196">
        <v>1</v>
      </c>
      <c r="DI196">
        <v>1</v>
      </c>
      <c r="DJ196">
        <v>1</v>
      </c>
      <c r="DK196">
        <v>1</v>
      </c>
      <c r="DL196">
        <v>1</v>
      </c>
      <c r="DM196">
        <v>1</v>
      </c>
      <c r="DN196">
        <v>1</v>
      </c>
      <c r="DO196">
        <v>1</v>
      </c>
      <c r="DP196">
        <v>1</v>
      </c>
      <c r="DQ196">
        <v>1</v>
      </c>
      <c r="DR196">
        <v>1</v>
      </c>
      <c r="DS196">
        <v>1</v>
      </c>
      <c r="DT196">
        <v>1</v>
      </c>
      <c r="DU196">
        <v>1</v>
      </c>
      <c r="DV196">
        <v>1</v>
      </c>
      <c r="DW196">
        <v>1</v>
      </c>
      <c r="DX196">
        <v>1</v>
      </c>
      <c r="DY196">
        <v>1</v>
      </c>
      <c r="DZ196">
        <v>1</v>
      </c>
      <c r="EA196">
        <v>1</v>
      </c>
      <c r="EB196">
        <v>1</v>
      </c>
      <c r="EC196">
        <v>1</v>
      </c>
      <c r="ED196">
        <v>1</v>
      </c>
      <c r="EE196">
        <v>1</v>
      </c>
      <c r="EF196">
        <v>1</v>
      </c>
      <c r="EG196">
        <v>1</v>
      </c>
      <c r="EH196">
        <v>1</v>
      </c>
      <c r="EI196">
        <v>1</v>
      </c>
      <c r="EJ196">
        <v>1</v>
      </c>
      <c r="EK196">
        <v>1</v>
      </c>
      <c r="EL196">
        <v>1</v>
      </c>
      <c r="EM196">
        <v>1</v>
      </c>
      <c r="EN196">
        <v>1</v>
      </c>
      <c r="EO196">
        <v>1</v>
      </c>
      <c r="EP196">
        <v>1</v>
      </c>
      <c r="EQ196">
        <v>1</v>
      </c>
      <c r="ER196">
        <v>1</v>
      </c>
      <c r="ES196">
        <v>1</v>
      </c>
      <c r="ET196">
        <v>1</v>
      </c>
      <c r="EU196">
        <v>1</v>
      </c>
      <c r="EV196">
        <v>1</v>
      </c>
      <c r="EW196">
        <v>1</v>
      </c>
      <c r="EX196">
        <v>1</v>
      </c>
      <c r="EY196">
        <v>1</v>
      </c>
      <c r="EZ196">
        <v>1</v>
      </c>
      <c r="FA196">
        <v>1</v>
      </c>
      <c r="FB196">
        <v>1</v>
      </c>
      <c r="FC196">
        <v>1</v>
      </c>
      <c r="FD196">
        <v>1</v>
      </c>
      <c r="FE196">
        <v>1</v>
      </c>
      <c r="FF196">
        <v>1</v>
      </c>
      <c r="FG196">
        <v>1</v>
      </c>
      <c r="FH196">
        <v>1</v>
      </c>
      <c r="FI196">
        <v>1</v>
      </c>
      <c r="FJ196">
        <v>1</v>
      </c>
      <c r="FK196">
        <v>1</v>
      </c>
      <c r="FL196">
        <v>1</v>
      </c>
      <c r="FM196">
        <v>1</v>
      </c>
      <c r="FN196">
        <v>1</v>
      </c>
      <c r="FO196">
        <v>1</v>
      </c>
      <c r="FP196">
        <v>1</v>
      </c>
      <c r="FQ196">
        <v>1</v>
      </c>
      <c r="FR196">
        <v>1</v>
      </c>
      <c r="FS196">
        <v>1</v>
      </c>
      <c r="FT196">
        <v>1</v>
      </c>
      <c r="FU196">
        <v>1</v>
      </c>
      <c r="FV196">
        <v>1</v>
      </c>
      <c r="FW196">
        <v>1</v>
      </c>
      <c r="FX196">
        <v>1</v>
      </c>
      <c r="FY196">
        <v>1</v>
      </c>
      <c r="FZ196">
        <v>1</v>
      </c>
      <c r="GA196">
        <v>1</v>
      </c>
      <c r="GB196">
        <v>1</v>
      </c>
      <c r="GC196">
        <v>1</v>
      </c>
      <c r="GD196">
        <v>1</v>
      </c>
      <c r="GE196">
        <v>1</v>
      </c>
      <c r="GF196">
        <v>1</v>
      </c>
      <c r="GG196">
        <v>1</v>
      </c>
      <c r="GH196">
        <v>1</v>
      </c>
      <c r="GI196">
        <v>1</v>
      </c>
      <c r="GJ196">
        <v>1</v>
      </c>
      <c r="GK196">
        <v>1</v>
      </c>
      <c r="GL196">
        <v>1</v>
      </c>
      <c r="GM196">
        <v>1</v>
      </c>
      <c r="GN196">
        <v>1</v>
      </c>
      <c r="GO196">
        <v>1</v>
      </c>
      <c r="GP196">
        <v>1</v>
      </c>
      <c r="GQ196">
        <v>1</v>
      </c>
      <c r="GR196">
        <v>1</v>
      </c>
      <c r="GS196">
        <v>1</v>
      </c>
      <c r="GT196">
        <v>1</v>
      </c>
      <c r="GU196">
        <v>1</v>
      </c>
      <c r="GV196">
        <v>1</v>
      </c>
      <c r="GW196">
        <v>1</v>
      </c>
      <c r="GX196">
        <v>1</v>
      </c>
    </row>
  </sheetData>
  <sheetProtection algorithmName="SHA-512" hashValue="WKqpeXFmxvS2NBJq4u4xQRgAPL9wgSiyafQ2ho1C85WqWIKCh7lsDrC5SAXZCnxNPm0QV17A8YgEdH4yeBSZ6A==" saltValue="+/woCn1ikQzwElRHpIEkdw==" spinCount="100000" sheet="1" objects="1" scenarios="1"/>
  <mergeCells count="103">
    <mergeCell ref="U102:U104"/>
    <mergeCell ref="W102:Z102"/>
    <mergeCell ref="W103:Z103"/>
    <mergeCell ref="U74:U78"/>
    <mergeCell ref="BM19:BO19"/>
    <mergeCell ref="AU21:AU22"/>
    <mergeCell ref="BB21:BB22"/>
    <mergeCell ref="BI21:BI22"/>
    <mergeCell ref="BF19:BL19"/>
    <mergeCell ref="AP26:AQ26"/>
    <mergeCell ref="AY25:AZ25"/>
    <mergeCell ref="BF25:BG25"/>
    <mergeCell ref="AP19:AX19"/>
    <mergeCell ref="AR25:AS25"/>
    <mergeCell ref="AC65:AD65"/>
    <mergeCell ref="AY19:BE19"/>
    <mergeCell ref="AP27:AQ27"/>
    <mergeCell ref="I4:J4"/>
    <mergeCell ref="C10:F10"/>
    <mergeCell ref="C12:D12"/>
    <mergeCell ref="B7:E7"/>
    <mergeCell ref="J7:M7"/>
    <mergeCell ref="B10:B11"/>
    <mergeCell ref="C11:F11"/>
    <mergeCell ref="B9:E9"/>
    <mergeCell ref="J5:L5"/>
    <mergeCell ref="AG5:AH6"/>
    <mergeCell ref="AB5:AD5"/>
    <mergeCell ref="J63:M63"/>
    <mergeCell ref="C18:E18"/>
    <mergeCell ref="C17:E17"/>
    <mergeCell ref="M60:S60"/>
    <mergeCell ref="C29:E29"/>
    <mergeCell ref="B47:F47"/>
    <mergeCell ref="C57:F57"/>
    <mergeCell ref="C39:E39"/>
    <mergeCell ref="O59:S59"/>
    <mergeCell ref="B22:B23"/>
    <mergeCell ref="C56:F56"/>
    <mergeCell ref="C43:E43"/>
    <mergeCell ref="C44:E44"/>
    <mergeCell ref="C28:E28"/>
    <mergeCell ref="C30:E30"/>
    <mergeCell ref="J62:L62"/>
    <mergeCell ref="D13:F13"/>
    <mergeCell ref="C54:F54"/>
    <mergeCell ref="C14:E14"/>
    <mergeCell ref="D15:F15"/>
    <mergeCell ref="C26:E26"/>
    <mergeCell ref="C27:E27"/>
    <mergeCell ref="C24:E24"/>
    <mergeCell ref="B21:E21"/>
    <mergeCell ref="C19:E19"/>
    <mergeCell ref="C22:E22"/>
    <mergeCell ref="B31:B32"/>
    <mergeCell ref="C31:E31"/>
    <mergeCell ref="C32:E32"/>
    <mergeCell ref="C35:E35"/>
    <mergeCell ref="AF46:AL47"/>
    <mergeCell ref="W46:Z47"/>
    <mergeCell ref="O62:Q62"/>
    <mergeCell ref="W43:Y43"/>
    <mergeCell ref="O7:Q7"/>
    <mergeCell ref="AJ45:AL45"/>
    <mergeCell ref="W41:X41"/>
    <mergeCell ref="W42:Y42"/>
    <mergeCell ref="U45:U47"/>
    <mergeCell ref="U17:U21"/>
    <mergeCell ref="C114:F114"/>
    <mergeCell ref="C87:E87"/>
    <mergeCell ref="C96:E96"/>
    <mergeCell ref="C100:E100"/>
    <mergeCell ref="C101:E101"/>
    <mergeCell ref="C111:F111"/>
    <mergeCell ref="C113:F113"/>
    <mergeCell ref="C102:F102"/>
    <mergeCell ref="C88:E88"/>
    <mergeCell ref="C89:E89"/>
    <mergeCell ref="C92:E92"/>
    <mergeCell ref="C75:E75"/>
    <mergeCell ref="C76:E76"/>
    <mergeCell ref="B78:E78"/>
    <mergeCell ref="B79:B80"/>
    <mergeCell ref="B104:F104"/>
    <mergeCell ref="C83:E83"/>
    <mergeCell ref="C84:E84"/>
    <mergeCell ref="C85:E85"/>
    <mergeCell ref="C86:E86"/>
    <mergeCell ref="B88:B89"/>
    <mergeCell ref="C69:D69"/>
    <mergeCell ref="D70:F70"/>
    <mergeCell ref="C71:E71"/>
    <mergeCell ref="D72:F72"/>
    <mergeCell ref="C74:E74"/>
    <mergeCell ref="B64:E64"/>
    <mergeCell ref="J64:M64"/>
    <mergeCell ref="O64:Q64"/>
    <mergeCell ref="B66:E66"/>
    <mergeCell ref="B67:B68"/>
    <mergeCell ref="C67:F67"/>
    <mergeCell ref="C68:F68"/>
    <mergeCell ref="C79:E79"/>
    <mergeCell ref="C81:E81"/>
  </mergeCells>
  <conditionalFormatting sqref="G57:R57">
    <cfRule type="cellIs" dxfId="31" priority="4" operator="lessThan">
      <formula>0</formula>
    </cfRule>
  </conditionalFormatting>
  <conditionalFormatting sqref="G114:R114">
    <cfRule type="cellIs" dxfId="30" priority="3" operator="lessThan">
      <formula>0</formula>
    </cfRule>
  </conditionalFormatting>
  <conditionalFormatting sqref="Z43:AK43">
    <cfRule type="cellIs" dxfId="29" priority="1" operator="lessThan">
      <formula>0</formula>
    </cfRule>
  </conditionalFormatting>
  <conditionalFormatting sqref="AA103:AL103">
    <cfRule type="cellIs" dxfId="28" priority="2" operator="lessThan">
      <formula>0</formula>
    </cfRule>
  </conditionalFormatting>
  <printOptions horizontalCentered="1"/>
  <pageMargins left="0.23622047244094491" right="0.23622047244094491" top="0.55118110236220474" bottom="0.55118110236220474" header="0.31496062992125984" footer="0.31496062992125984"/>
  <pageSetup paperSize="9" scale="69" pageOrder="overThenDown" orientation="landscape" verticalDpi="4" r:id="rId1"/>
  <rowBreaks count="1" manualBreakCount="1">
    <brk id="61" min="1" max="37" man="1"/>
  </rowBreaks>
  <colBreaks count="1" manualBreakCount="1">
    <brk id="21" min="4" max="114" man="1"/>
  </colBreaks>
  <ignoredErrors>
    <ignoredError sqref="S17" formulaRange="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7"/>
  <dimension ref="A1:Z71"/>
  <sheetViews>
    <sheetView topLeftCell="A12" workbookViewId="0">
      <selection activeCell="S44" sqref="S44"/>
    </sheetView>
  </sheetViews>
  <sheetFormatPr defaultRowHeight="12.75" x14ac:dyDescent="0.2"/>
  <cols>
    <col min="1" max="1" width="10.140625" customWidth="1"/>
    <col min="2" max="2" width="24.5703125" customWidth="1"/>
    <col min="3" max="12" width="9.28515625" customWidth="1"/>
    <col min="13" max="13" width="9.7109375" customWidth="1"/>
    <col min="14" max="14" width="9.28515625" customWidth="1"/>
    <col min="16" max="16" width="32.28515625" customWidth="1"/>
    <col min="25" max="25" width="9.7109375" bestFit="1" customWidth="1"/>
  </cols>
  <sheetData>
    <row r="1" spans="1:26" ht="16.5" thickBot="1" x14ac:dyDescent="0.25">
      <c r="A1" s="4"/>
      <c r="B1" s="1568" t="s">
        <v>237</v>
      </c>
      <c r="C1" s="1569" cm="1">
        <f t="array" ref="C1:G1">'9. T5 KASSABUDGET'!M5:Q5</f>
        <v>2027</v>
      </c>
      <c r="D1" s="4">
        <v>0</v>
      </c>
      <c r="E1" s="4">
        <v>0</v>
      </c>
      <c r="F1" s="4">
        <v>0</v>
      </c>
      <c r="G1" s="4">
        <v>0</v>
      </c>
      <c r="H1" s="4"/>
      <c r="I1" s="4"/>
      <c r="J1" s="4"/>
      <c r="K1" s="4"/>
      <c r="L1" s="4"/>
      <c r="M1" s="4"/>
      <c r="N1" s="4"/>
    </row>
    <row r="2" spans="1:26" s="2" customFormat="1" x14ac:dyDescent="0.2">
      <c r="A2" s="450"/>
      <c r="B2" s="44" t="s">
        <v>144</v>
      </c>
      <c r="C2" s="451" t="str">
        <f>'9. T5 KASSABUDGET'!G$9</f>
        <v>JAN</v>
      </c>
      <c r="D2" s="451" t="str">
        <f>'9. T5 KASSABUDGET'!H9</f>
        <v>FEB</v>
      </c>
      <c r="E2" s="451" t="str">
        <f>'9. T5 KASSABUDGET'!I9</f>
        <v>MARS</v>
      </c>
      <c r="F2" s="451" t="str">
        <f>'9. T5 KASSABUDGET'!J9</f>
        <v>APRIL</v>
      </c>
      <c r="G2" s="451" t="str">
        <f>'9. T5 KASSABUDGET'!K9</f>
        <v>MAJ</v>
      </c>
      <c r="H2" s="451" t="str">
        <f>'9. T5 KASSABUDGET'!L9</f>
        <v>JUNI</v>
      </c>
      <c r="I2" s="451" t="str">
        <f>'9. T5 KASSABUDGET'!M9</f>
        <v>JULI</v>
      </c>
      <c r="J2" s="451" t="str">
        <f>'9. T5 KASSABUDGET'!N9</f>
        <v>AUG</v>
      </c>
      <c r="K2" s="451" t="str">
        <f>'9. T5 KASSABUDGET'!O9</f>
        <v>SEP</v>
      </c>
      <c r="L2" s="451" t="str">
        <f>'9. T5 KASSABUDGET'!P9</f>
        <v>OKT</v>
      </c>
      <c r="M2" s="451" t="str">
        <f>'9. T5 KASSABUDGET'!Q9</f>
        <v>NOV</v>
      </c>
      <c r="N2" s="452" t="str">
        <f>'9. T5 KASSABUDGET'!R9</f>
        <v>DEC</v>
      </c>
      <c r="O2" s="442"/>
      <c r="P2" s="450" t="s">
        <v>211</v>
      </c>
      <c r="Q2" s="451" t="str">
        <f>C2</f>
        <v>JAN</v>
      </c>
      <c r="R2" s="451" t="str">
        <f>D2</f>
        <v>FEB</v>
      </c>
      <c r="S2" s="452" t="str">
        <f>E2</f>
        <v>MARS</v>
      </c>
      <c r="T2" s="442"/>
      <c r="U2" s="442"/>
      <c r="V2" s="442"/>
      <c r="W2" s="442"/>
      <c r="X2" s="442"/>
      <c r="Y2" s="442"/>
      <c r="Z2" s="442"/>
    </row>
    <row r="3" spans="1:26" s="2" customFormat="1" x14ac:dyDescent="0.2">
      <c r="A3" s="453"/>
      <c r="B3" s="25" t="s">
        <v>143</v>
      </c>
      <c r="C3" s="444">
        <f>'8. T4 FINANSIERINGSB.'!G$52</f>
        <v>0</v>
      </c>
      <c r="D3" s="444">
        <f>C3</f>
        <v>0</v>
      </c>
      <c r="E3" s="444">
        <f t="shared" ref="E3:N3" si="0">D3</f>
        <v>0</v>
      </c>
      <c r="F3" s="444">
        <f t="shared" si="0"/>
        <v>0</v>
      </c>
      <c r="G3" s="444">
        <f t="shared" si="0"/>
        <v>0</v>
      </c>
      <c r="H3" s="444">
        <f t="shared" si="0"/>
        <v>0</v>
      </c>
      <c r="I3" s="444">
        <f t="shared" si="0"/>
        <v>0</v>
      </c>
      <c r="J3" s="444">
        <f t="shared" si="0"/>
        <v>0</v>
      </c>
      <c r="K3" s="444">
        <f t="shared" si="0"/>
        <v>0</v>
      </c>
      <c r="L3" s="444">
        <f t="shared" si="0"/>
        <v>0</v>
      </c>
      <c r="M3" s="444">
        <f t="shared" si="0"/>
        <v>0</v>
      </c>
      <c r="N3" s="454">
        <f t="shared" si="0"/>
        <v>0</v>
      </c>
      <c r="P3" s="1522" t="s">
        <v>143</v>
      </c>
      <c r="Q3" s="444">
        <f>'8. T4 FINANSIERINGSB.'!G$57</f>
        <v>0</v>
      </c>
      <c r="R3" s="444">
        <f>Q3</f>
        <v>0</v>
      </c>
      <c r="S3" s="454">
        <f>R3</f>
        <v>0</v>
      </c>
    </row>
    <row r="4" spans="1:26" s="2" customFormat="1" x14ac:dyDescent="0.2">
      <c r="A4" s="453"/>
      <c r="B4" s="25" t="s">
        <v>145</v>
      </c>
      <c r="C4" s="445">
        <f>IF(C3=0,0,'3. T3 BALANS'!G$42/C3)</f>
        <v>0</v>
      </c>
      <c r="D4" s="445"/>
      <c r="E4" s="445"/>
      <c r="F4" s="445"/>
      <c r="G4" s="445"/>
      <c r="H4" s="445"/>
      <c r="I4" s="25"/>
      <c r="J4" s="25"/>
      <c r="K4" s="25"/>
      <c r="L4" s="25"/>
      <c r="M4" s="25"/>
      <c r="N4" s="455"/>
      <c r="P4" s="1522" t="s">
        <v>212</v>
      </c>
      <c r="Q4" s="445">
        <f>IF(Q3=0,0,'3. T3 BALANS'!G$80/Q3)</f>
        <v>0</v>
      </c>
      <c r="R4" s="445"/>
      <c r="S4" s="1523"/>
    </row>
    <row r="5" spans="1:26" x14ac:dyDescent="0.2">
      <c r="A5" s="353"/>
      <c r="B5" s="4" t="s">
        <v>134</v>
      </c>
      <c r="C5" s="27">
        <f>IF(C3&lt;31,C4*C3,0)</f>
        <v>0</v>
      </c>
      <c r="D5" s="27"/>
      <c r="E5" s="27"/>
      <c r="F5" s="27"/>
      <c r="G5" s="27"/>
      <c r="H5" s="27"/>
      <c r="I5" s="4"/>
      <c r="J5" s="4"/>
      <c r="K5" s="4"/>
      <c r="L5" s="4"/>
      <c r="M5" s="4"/>
      <c r="N5" s="456"/>
      <c r="P5" s="353" t="s">
        <v>134</v>
      </c>
      <c r="Q5" s="27">
        <f>IF(Q3&lt;31,Q4*Q3,0)</f>
        <v>0</v>
      </c>
      <c r="R5" s="27"/>
      <c r="S5" s="1524"/>
    </row>
    <row r="6" spans="1:26" x14ac:dyDescent="0.2">
      <c r="A6" s="353"/>
      <c r="B6" s="4" t="s">
        <v>135</v>
      </c>
      <c r="C6" s="27">
        <f>IF(C$3&lt;31,0,IF(C$3&lt;61,30*C$4,0))</f>
        <v>0</v>
      </c>
      <c r="D6" s="27">
        <f>IF(D$3&lt;31,0,IF(D$3&lt;61,$C$4*(30-(60-$C$3)),0))</f>
        <v>0</v>
      </c>
      <c r="E6" s="27"/>
      <c r="F6" s="27"/>
      <c r="G6" s="27"/>
      <c r="H6" s="27"/>
      <c r="I6" s="4"/>
      <c r="J6" s="4"/>
      <c r="K6" s="4"/>
      <c r="L6" s="4"/>
      <c r="M6" s="4"/>
      <c r="N6" s="456"/>
      <c r="P6" s="353" t="s">
        <v>135</v>
      </c>
      <c r="Q6" s="27">
        <f>IF(Q$3&lt;31,0,IF(Q$3&lt;61,30*Q$4,0))</f>
        <v>0</v>
      </c>
      <c r="R6" s="27">
        <f>IF(R$3&lt;31,0,IF(R$3&lt;61,$Q$4*(30-(60-$Q$3)),0))</f>
        <v>0</v>
      </c>
      <c r="S6" s="1524"/>
    </row>
    <row r="7" spans="1:26" x14ac:dyDescent="0.2">
      <c r="A7" s="353"/>
      <c r="B7" s="4" t="s">
        <v>136</v>
      </c>
      <c r="C7" s="27">
        <f>IF(C$3&lt;61,0,IF(C$3&lt;91,30*C$4,0))</f>
        <v>0</v>
      </c>
      <c r="D7" s="27">
        <f>C7</f>
        <v>0</v>
      </c>
      <c r="E7" s="27">
        <f>IF(E$3&lt;61,0,IF(E$3&lt;91,$C$4*(30-(90-$C$3)),0))</f>
        <v>0</v>
      </c>
      <c r="F7" s="27"/>
      <c r="G7" s="27"/>
      <c r="H7" s="27"/>
      <c r="I7" s="4"/>
      <c r="J7" s="4"/>
      <c r="K7" s="4"/>
      <c r="L7" s="4"/>
      <c r="M7" s="4"/>
      <c r="N7" s="456"/>
      <c r="P7" s="353" t="s">
        <v>136</v>
      </c>
      <c r="Q7" s="27">
        <f>IF(Q$3&lt;61,0,IF(Q$3&lt;91,30*Q$4,0))</f>
        <v>0</v>
      </c>
      <c r="R7" s="27">
        <f>Q7</f>
        <v>0</v>
      </c>
      <c r="S7" s="1524">
        <f>IF(S$3&lt;61,0,IF(S$3&lt;91,$Q$4*(30-(90-$Q$3)),0))</f>
        <v>0</v>
      </c>
    </row>
    <row r="8" spans="1:26" ht="13.5" thickBot="1" x14ac:dyDescent="0.25">
      <c r="A8" s="353"/>
      <c r="B8" s="4" t="s">
        <v>137</v>
      </c>
      <c r="C8" s="27">
        <f>IF(C$3&lt;91,0,IF(C$3&lt;121,30*C$4,0))</f>
        <v>0</v>
      </c>
      <c r="D8" s="27">
        <f>C8</f>
        <v>0</v>
      </c>
      <c r="E8" s="27">
        <f t="shared" ref="E8:F10" si="1">D8</f>
        <v>0</v>
      </c>
      <c r="F8" s="27">
        <f>IF(F$3&lt;91,0,IF(F$3&lt;121,$C$4*(30-(120-$C$3)),0))</f>
        <v>0</v>
      </c>
      <c r="G8" s="27"/>
      <c r="H8" s="27"/>
      <c r="I8" s="4"/>
      <c r="J8" s="4"/>
      <c r="K8" s="4"/>
      <c r="L8" s="4"/>
      <c r="M8" s="4"/>
      <c r="N8" s="456"/>
      <c r="P8" s="1525"/>
      <c r="Q8" s="254">
        <f>SUM(Q5:Q7)</f>
        <v>0</v>
      </c>
      <c r="R8" s="254">
        <f>SUM(R5:R7)</f>
        <v>0</v>
      </c>
      <c r="S8" s="1526">
        <f>SUM(S5:S7)</f>
        <v>0</v>
      </c>
    </row>
    <row r="9" spans="1:26" x14ac:dyDescent="0.2">
      <c r="A9" s="353"/>
      <c r="B9" s="4" t="s">
        <v>138</v>
      </c>
      <c r="C9" s="27">
        <f>IF(C$3&lt;121,0,IF(C$3&lt;151,30*C$4,0))</f>
        <v>0</v>
      </c>
      <c r="D9" s="27">
        <f>C9</f>
        <v>0</v>
      </c>
      <c r="E9" s="27">
        <f t="shared" si="1"/>
        <v>0</v>
      </c>
      <c r="F9" s="27">
        <f t="shared" si="1"/>
        <v>0</v>
      </c>
      <c r="G9" s="27">
        <f>IF(G$3&lt;121,0,IF(G$3&lt;151,$C$4*(30-(150-$C$3)),0))</f>
        <v>0</v>
      </c>
      <c r="H9" s="27"/>
      <c r="I9" s="4"/>
      <c r="J9" s="4"/>
      <c r="K9" s="4"/>
      <c r="L9" s="4"/>
      <c r="M9" s="4"/>
      <c r="N9" s="456"/>
    </row>
    <row r="10" spans="1:26" x14ac:dyDescent="0.2">
      <c r="A10" s="353"/>
      <c r="B10" s="4" t="s">
        <v>139</v>
      </c>
      <c r="C10" s="27">
        <f>IF(C$3&lt;151,0,IF(C$3&lt;181,30*C$4,0))</f>
        <v>0</v>
      </c>
      <c r="D10" s="27">
        <f>C10</f>
        <v>0</v>
      </c>
      <c r="E10" s="27">
        <f t="shared" si="1"/>
        <v>0</v>
      </c>
      <c r="F10" s="27">
        <f t="shared" si="1"/>
        <v>0</v>
      </c>
      <c r="G10" s="27">
        <f>F10</f>
        <v>0</v>
      </c>
      <c r="H10" s="27">
        <f>IF(H$3&lt;151,0,IF(H$3&lt;181,$C$4*(30-(180-$C$3)),0))</f>
        <v>0</v>
      </c>
      <c r="I10" s="4"/>
      <c r="J10" s="4"/>
      <c r="K10" s="4"/>
      <c r="L10" s="4"/>
      <c r="M10" s="4"/>
      <c r="N10" s="456"/>
    </row>
    <row r="11" spans="1:26" ht="13.5" thickBot="1" x14ac:dyDescent="0.25">
      <c r="A11" s="457"/>
      <c r="B11" s="458" t="s">
        <v>57</v>
      </c>
      <c r="C11" s="459">
        <f t="shared" ref="C11:H11" si="2">SUM(C5:C10)</f>
        <v>0</v>
      </c>
      <c r="D11" s="459">
        <f t="shared" si="2"/>
        <v>0</v>
      </c>
      <c r="E11" s="459">
        <f t="shared" si="2"/>
        <v>0</v>
      </c>
      <c r="F11" s="459">
        <f t="shared" si="2"/>
        <v>0</v>
      </c>
      <c r="G11" s="459">
        <f t="shared" si="2"/>
        <v>0</v>
      </c>
      <c r="H11" s="459">
        <f t="shared" si="2"/>
        <v>0</v>
      </c>
      <c r="I11" s="459"/>
      <c r="J11" s="459"/>
      <c r="K11" s="459"/>
      <c r="L11" s="459"/>
      <c r="M11" s="459"/>
      <c r="N11" s="459"/>
    </row>
    <row r="12" spans="1:26" s="2" customFormat="1" x14ac:dyDescent="0.2">
      <c r="A12" s="25"/>
      <c r="B12" s="25" t="s">
        <v>146</v>
      </c>
      <c r="C12" s="443" t="str">
        <f>'9. T5 KASSABUDGET'!G66</f>
        <v>JAN</v>
      </c>
      <c r="D12" s="443" t="str">
        <f>'9. T5 KASSABUDGET'!H66</f>
        <v>FEB</v>
      </c>
      <c r="E12" s="443" t="str">
        <f>'9. T5 KASSABUDGET'!I66</f>
        <v>MARS</v>
      </c>
      <c r="F12" s="443" t="str">
        <f>'9. T5 KASSABUDGET'!J66</f>
        <v>APRIL</v>
      </c>
      <c r="G12" s="443" t="str">
        <f>'9. T5 KASSABUDGET'!K66</f>
        <v>MAJ</v>
      </c>
      <c r="H12" s="443" t="str">
        <f>'9. T5 KASSABUDGET'!L66</f>
        <v>JUNI</v>
      </c>
      <c r="I12" s="443" t="str">
        <f>'9. T5 KASSABUDGET'!M66</f>
        <v>JULI</v>
      </c>
      <c r="J12" s="443" t="str">
        <f>'9. T5 KASSABUDGET'!N66</f>
        <v>AUG</v>
      </c>
      <c r="K12" s="443" t="str">
        <f>'9. T5 KASSABUDGET'!O66</f>
        <v>SEP</v>
      </c>
      <c r="L12" s="443" t="str">
        <f>'9. T5 KASSABUDGET'!P66</f>
        <v>OKT</v>
      </c>
      <c r="M12" s="443" t="str">
        <f>'9. T5 KASSABUDGET'!Q66</f>
        <v>NOV</v>
      </c>
      <c r="N12" s="443" t="str">
        <f>'9. T5 KASSABUDGET'!R66</f>
        <v>DEC</v>
      </c>
      <c r="O12" s="442"/>
      <c r="P12" s="442"/>
      <c r="Q12" s="442"/>
      <c r="R12" s="442"/>
      <c r="S12" s="442"/>
      <c r="T12" s="442"/>
      <c r="U12" s="442"/>
      <c r="V12" s="442"/>
      <c r="W12" s="442"/>
      <c r="X12" s="442"/>
      <c r="Y12" s="442"/>
      <c r="Z12" s="442"/>
    </row>
    <row r="13" spans="1:26" s="2" customFormat="1" x14ac:dyDescent="0.2">
      <c r="A13" s="449" t="s">
        <v>141</v>
      </c>
      <c r="B13" s="25" t="s">
        <v>142</v>
      </c>
      <c r="C13" s="444">
        <f>'9. T5 KASSABUDGET'!E16</f>
        <v>0</v>
      </c>
      <c r="D13" s="444">
        <f t="shared" ref="D13:N13" si="3">C13</f>
        <v>0</v>
      </c>
      <c r="E13" s="444">
        <f t="shared" si="3"/>
        <v>0</v>
      </c>
      <c r="F13" s="444">
        <f t="shared" si="3"/>
        <v>0</v>
      </c>
      <c r="G13" s="444">
        <f t="shared" si="3"/>
        <v>0</v>
      </c>
      <c r="H13" s="444">
        <f t="shared" si="3"/>
        <v>0</v>
      </c>
      <c r="I13" s="444">
        <f t="shared" si="3"/>
        <v>0</v>
      </c>
      <c r="J13" s="444">
        <f t="shared" si="3"/>
        <v>0</v>
      </c>
      <c r="K13" s="444">
        <f t="shared" si="3"/>
        <v>0</v>
      </c>
      <c r="L13" s="444">
        <f t="shared" si="3"/>
        <v>0</v>
      </c>
      <c r="M13" s="444">
        <f t="shared" si="3"/>
        <v>0</v>
      </c>
      <c r="N13" s="444">
        <f t="shared" si="3"/>
        <v>0</v>
      </c>
    </row>
    <row r="14" spans="1:26" s="2" customFormat="1" x14ac:dyDescent="0.2">
      <c r="A14" s="25" t="s">
        <v>0</v>
      </c>
      <c r="B14" s="25" t="s">
        <v>238</v>
      </c>
      <c r="C14" s="445">
        <f>'9. T5 KASSABUDGET'!G14</f>
        <v>0</v>
      </c>
      <c r="D14" s="445">
        <f>'9. T5 KASSABUDGET'!H14</f>
        <v>0</v>
      </c>
      <c r="E14" s="445">
        <f>'9. T5 KASSABUDGET'!I14</f>
        <v>0</v>
      </c>
      <c r="F14" s="445">
        <f>'9. T5 KASSABUDGET'!J14</f>
        <v>0</v>
      </c>
      <c r="G14" s="445">
        <f>'9. T5 KASSABUDGET'!K14</f>
        <v>0</v>
      </c>
      <c r="H14" s="445">
        <f>'9. T5 KASSABUDGET'!L14</f>
        <v>0</v>
      </c>
      <c r="I14" s="445">
        <f>'9. T5 KASSABUDGET'!M14</f>
        <v>0</v>
      </c>
      <c r="J14" s="445">
        <f>'9. T5 KASSABUDGET'!N14</f>
        <v>0</v>
      </c>
      <c r="K14" s="445">
        <f>'9. T5 KASSABUDGET'!O14</f>
        <v>0</v>
      </c>
      <c r="L14" s="445">
        <f>'9. T5 KASSABUDGET'!P14</f>
        <v>0</v>
      </c>
      <c r="M14" s="445">
        <f>'9. T5 KASSABUDGET'!Q14</f>
        <v>0</v>
      </c>
      <c r="N14" s="445">
        <f>'9. T5 KASSABUDGET'!R14</f>
        <v>0</v>
      </c>
      <c r="Q14" s="2">
        <v>0</v>
      </c>
    </row>
    <row r="15" spans="1:26" s="448" customFormat="1" x14ac:dyDescent="0.2">
      <c r="A15" s="446" t="s">
        <v>125</v>
      </c>
      <c r="B15" s="446" t="s">
        <v>119</v>
      </c>
      <c r="C15" s="447">
        <f>IF(C$13&lt;31,C14*(30-C13)/30,0)</f>
        <v>0</v>
      </c>
      <c r="D15" s="447">
        <f t="shared" ref="D15:N15" si="4">IF(D$13&lt;31,D14*(30-D13)/30,0)</f>
        <v>0</v>
      </c>
      <c r="E15" s="447">
        <f t="shared" si="4"/>
        <v>0</v>
      </c>
      <c r="F15" s="447">
        <f t="shared" si="4"/>
        <v>0</v>
      </c>
      <c r="G15" s="447">
        <f t="shared" si="4"/>
        <v>0</v>
      </c>
      <c r="H15" s="447">
        <f t="shared" si="4"/>
        <v>0</v>
      </c>
      <c r="I15" s="447">
        <f t="shared" si="4"/>
        <v>0</v>
      </c>
      <c r="J15" s="447">
        <f t="shared" si="4"/>
        <v>0</v>
      </c>
      <c r="K15" s="447">
        <f t="shared" si="4"/>
        <v>0</v>
      </c>
      <c r="L15" s="447">
        <f t="shared" si="4"/>
        <v>0</v>
      </c>
      <c r="M15" s="447">
        <f t="shared" si="4"/>
        <v>0</v>
      </c>
      <c r="N15" s="447">
        <f t="shared" si="4"/>
        <v>0</v>
      </c>
    </row>
    <row r="16" spans="1:26" x14ac:dyDescent="0.2">
      <c r="A16" s="4" t="s">
        <v>129</v>
      </c>
      <c r="B16" s="4" t="s">
        <v>120</v>
      </c>
      <c r="C16" s="27">
        <f t="shared" ref="C16:N16" si="5">IF(C13&gt;30,0,C14-C15)</f>
        <v>0</v>
      </c>
      <c r="D16" s="27">
        <f t="shared" si="5"/>
        <v>0</v>
      </c>
      <c r="E16" s="27">
        <f t="shared" si="5"/>
        <v>0</v>
      </c>
      <c r="F16" s="27">
        <f t="shared" si="5"/>
        <v>0</v>
      </c>
      <c r="G16" s="27">
        <f t="shared" si="5"/>
        <v>0</v>
      </c>
      <c r="H16" s="27">
        <f t="shared" si="5"/>
        <v>0</v>
      </c>
      <c r="I16" s="27">
        <f t="shared" si="5"/>
        <v>0</v>
      </c>
      <c r="J16" s="27">
        <f t="shared" si="5"/>
        <v>0</v>
      </c>
      <c r="K16" s="27">
        <f t="shared" si="5"/>
        <v>0</v>
      </c>
      <c r="L16" s="27">
        <f t="shared" si="5"/>
        <v>0</v>
      </c>
      <c r="M16" s="27">
        <f t="shared" si="5"/>
        <v>0</v>
      </c>
      <c r="N16" s="27">
        <f t="shared" si="5"/>
        <v>0</v>
      </c>
    </row>
    <row r="17" spans="1:17" x14ac:dyDescent="0.2">
      <c r="A17" s="446" t="s">
        <v>129</v>
      </c>
      <c r="B17" s="446" t="s">
        <v>120</v>
      </c>
      <c r="C17" s="447">
        <f t="shared" ref="C17:N17" si="6">IF(C$13&lt;31,0,IF(C$13&gt;60,0,C$14*(60-C$13))/30)</f>
        <v>0</v>
      </c>
      <c r="D17" s="447">
        <f t="shared" si="6"/>
        <v>0</v>
      </c>
      <c r="E17" s="447">
        <f t="shared" si="6"/>
        <v>0</v>
      </c>
      <c r="F17" s="447">
        <f t="shared" si="6"/>
        <v>0</v>
      </c>
      <c r="G17" s="447">
        <f t="shared" si="6"/>
        <v>0</v>
      </c>
      <c r="H17" s="447">
        <f t="shared" si="6"/>
        <v>0</v>
      </c>
      <c r="I17" s="447">
        <f t="shared" si="6"/>
        <v>0</v>
      </c>
      <c r="J17" s="447">
        <f t="shared" si="6"/>
        <v>0</v>
      </c>
      <c r="K17" s="447">
        <f t="shared" si="6"/>
        <v>0</v>
      </c>
      <c r="L17" s="447">
        <f t="shared" si="6"/>
        <v>0</v>
      </c>
      <c r="M17" s="447">
        <f t="shared" si="6"/>
        <v>0</v>
      </c>
      <c r="N17" s="447">
        <f t="shared" si="6"/>
        <v>0</v>
      </c>
      <c r="Q17" s="4" t="s">
        <v>0</v>
      </c>
    </row>
    <row r="18" spans="1:17" x14ac:dyDescent="0.2">
      <c r="A18" s="4" t="s">
        <v>130</v>
      </c>
      <c r="B18" s="4" t="s">
        <v>121</v>
      </c>
      <c r="C18" s="27">
        <f>IF(C$13&lt;31,0,IF(C$13&gt;60,0,C14-C17))</f>
        <v>0</v>
      </c>
      <c r="D18" s="27">
        <f t="shared" ref="D18:M18" si="7">IF(D$13&lt;31,0,IF(D$13&gt;60,0,D14-D17))</f>
        <v>0</v>
      </c>
      <c r="E18" s="27">
        <f t="shared" si="7"/>
        <v>0</v>
      </c>
      <c r="F18" s="27">
        <f t="shared" si="7"/>
        <v>0</v>
      </c>
      <c r="G18" s="27">
        <f t="shared" si="7"/>
        <v>0</v>
      </c>
      <c r="H18" s="27">
        <f t="shared" si="7"/>
        <v>0</v>
      </c>
      <c r="I18" s="27">
        <f t="shared" si="7"/>
        <v>0</v>
      </c>
      <c r="J18" s="27">
        <f t="shared" si="7"/>
        <v>0</v>
      </c>
      <c r="K18" s="27">
        <f t="shared" si="7"/>
        <v>0</v>
      </c>
      <c r="L18" s="27">
        <f t="shared" si="7"/>
        <v>0</v>
      </c>
      <c r="M18" s="27">
        <f t="shared" si="7"/>
        <v>0</v>
      </c>
      <c r="N18" s="27">
        <f>IF(N$13&lt;31,0,IF(N$13&gt;60,0,N14-N17))</f>
        <v>0</v>
      </c>
      <c r="Q18" s="4"/>
    </row>
    <row r="19" spans="1:17" x14ac:dyDescent="0.2">
      <c r="A19" s="446" t="s">
        <v>130</v>
      </c>
      <c r="B19" s="446" t="s">
        <v>121</v>
      </c>
      <c r="C19" s="447">
        <f t="shared" ref="C19:N19" si="8">IF(C$13&lt;61,0,IF(C$13&gt;90,0,C$14*(90-C$13))/30)</f>
        <v>0</v>
      </c>
      <c r="D19" s="447">
        <f t="shared" si="8"/>
        <v>0</v>
      </c>
      <c r="E19" s="447">
        <f t="shared" si="8"/>
        <v>0</v>
      </c>
      <c r="F19" s="447">
        <f t="shared" si="8"/>
        <v>0</v>
      </c>
      <c r="G19" s="447">
        <f t="shared" si="8"/>
        <v>0</v>
      </c>
      <c r="H19" s="447">
        <f t="shared" si="8"/>
        <v>0</v>
      </c>
      <c r="I19" s="447">
        <f t="shared" si="8"/>
        <v>0</v>
      </c>
      <c r="J19" s="447">
        <f t="shared" si="8"/>
        <v>0</v>
      </c>
      <c r="K19" s="447">
        <f t="shared" si="8"/>
        <v>0</v>
      </c>
      <c r="L19" s="447">
        <f t="shared" si="8"/>
        <v>0</v>
      </c>
      <c r="M19" s="447">
        <f t="shared" si="8"/>
        <v>0</v>
      </c>
      <c r="N19" s="447">
        <f t="shared" si="8"/>
        <v>0</v>
      </c>
      <c r="Q19" s="4"/>
    </row>
    <row r="20" spans="1:17" x14ac:dyDescent="0.2">
      <c r="A20" s="4" t="s">
        <v>131</v>
      </c>
      <c r="B20" s="4" t="s">
        <v>122</v>
      </c>
      <c r="C20" s="27">
        <f>IF(C$13&lt;61,0,IF(C$13&gt;90,0,C14-C19))</f>
        <v>0</v>
      </c>
      <c r="D20" s="27">
        <f t="shared" ref="D20:N20" si="9">IF(D$13&lt;61,0,IF(D$13&gt;90,0,D14-D19))</f>
        <v>0</v>
      </c>
      <c r="E20" s="27">
        <f t="shared" si="9"/>
        <v>0</v>
      </c>
      <c r="F20" s="27">
        <f t="shared" si="9"/>
        <v>0</v>
      </c>
      <c r="G20" s="27">
        <f t="shared" si="9"/>
        <v>0</v>
      </c>
      <c r="H20" s="27">
        <f t="shared" si="9"/>
        <v>0</v>
      </c>
      <c r="I20" s="27">
        <f t="shared" si="9"/>
        <v>0</v>
      </c>
      <c r="J20" s="27">
        <f t="shared" si="9"/>
        <v>0</v>
      </c>
      <c r="K20" s="27">
        <f t="shared" si="9"/>
        <v>0</v>
      </c>
      <c r="L20" s="27">
        <f t="shared" si="9"/>
        <v>0</v>
      </c>
      <c r="M20" s="27">
        <f t="shared" si="9"/>
        <v>0</v>
      </c>
      <c r="N20" s="27">
        <f t="shared" si="9"/>
        <v>0</v>
      </c>
      <c r="Q20" s="4"/>
    </row>
    <row r="21" spans="1:17" x14ac:dyDescent="0.2">
      <c r="A21" s="446" t="s">
        <v>131</v>
      </c>
      <c r="B21" s="446" t="s">
        <v>122</v>
      </c>
      <c r="C21" s="447">
        <f t="shared" ref="C21:N21" si="10">IF(C$13&lt;91,0,IF(C$13&gt;120,0,C$14*(120-C$13))/30)</f>
        <v>0</v>
      </c>
      <c r="D21" s="447">
        <f t="shared" si="10"/>
        <v>0</v>
      </c>
      <c r="E21" s="447">
        <f t="shared" si="10"/>
        <v>0</v>
      </c>
      <c r="F21" s="447">
        <f t="shared" si="10"/>
        <v>0</v>
      </c>
      <c r="G21" s="447">
        <f t="shared" si="10"/>
        <v>0</v>
      </c>
      <c r="H21" s="447">
        <f t="shared" si="10"/>
        <v>0</v>
      </c>
      <c r="I21" s="447">
        <f t="shared" si="10"/>
        <v>0</v>
      </c>
      <c r="J21" s="447">
        <f t="shared" si="10"/>
        <v>0</v>
      </c>
      <c r="K21" s="447">
        <f t="shared" si="10"/>
        <v>0</v>
      </c>
      <c r="L21" s="447">
        <f t="shared" si="10"/>
        <v>0</v>
      </c>
      <c r="M21" s="447">
        <f t="shared" si="10"/>
        <v>0</v>
      </c>
      <c r="N21" s="447">
        <f t="shared" si="10"/>
        <v>0</v>
      </c>
      <c r="Q21" s="4"/>
    </row>
    <row r="22" spans="1:17" x14ac:dyDescent="0.2">
      <c r="A22" s="4" t="s">
        <v>132</v>
      </c>
      <c r="B22" s="4" t="s">
        <v>123</v>
      </c>
      <c r="C22" s="27">
        <f>IF(C$13&lt;91,0,IF(C$13&gt;120,0,C14-C21))</f>
        <v>0</v>
      </c>
      <c r="D22" s="27">
        <f t="shared" ref="D22:N22" si="11">IF(D$13&lt;91,0,IF(D$13&gt;120,0,D14-D21))</f>
        <v>0</v>
      </c>
      <c r="E22" s="27">
        <f t="shared" si="11"/>
        <v>0</v>
      </c>
      <c r="F22" s="27">
        <f t="shared" si="11"/>
        <v>0</v>
      </c>
      <c r="G22" s="27">
        <f t="shared" si="11"/>
        <v>0</v>
      </c>
      <c r="H22" s="27">
        <f t="shared" si="11"/>
        <v>0</v>
      </c>
      <c r="I22" s="27">
        <f t="shared" si="11"/>
        <v>0</v>
      </c>
      <c r="J22" s="27">
        <f t="shared" si="11"/>
        <v>0</v>
      </c>
      <c r="K22" s="27">
        <f t="shared" si="11"/>
        <v>0</v>
      </c>
      <c r="L22" s="27">
        <f t="shared" si="11"/>
        <v>0</v>
      </c>
      <c r="M22" s="27">
        <f t="shared" si="11"/>
        <v>0</v>
      </c>
      <c r="N22" s="27">
        <f t="shared" si="11"/>
        <v>0</v>
      </c>
      <c r="Q22" s="4"/>
    </row>
    <row r="23" spans="1:17" x14ac:dyDescent="0.2">
      <c r="A23" s="446" t="s">
        <v>132</v>
      </c>
      <c r="B23" s="446" t="s">
        <v>123</v>
      </c>
      <c r="C23" s="447">
        <f t="shared" ref="C23:N23" si="12">IF(C$13&lt;121,0,IF(C$13&gt;150,0,C$14*(150-C$13))/30)</f>
        <v>0</v>
      </c>
      <c r="D23" s="447">
        <f t="shared" si="12"/>
        <v>0</v>
      </c>
      <c r="E23" s="447">
        <f t="shared" si="12"/>
        <v>0</v>
      </c>
      <c r="F23" s="447">
        <f t="shared" si="12"/>
        <v>0</v>
      </c>
      <c r="G23" s="447">
        <f t="shared" si="12"/>
        <v>0</v>
      </c>
      <c r="H23" s="447">
        <f t="shared" si="12"/>
        <v>0</v>
      </c>
      <c r="I23" s="447">
        <f t="shared" si="12"/>
        <v>0</v>
      </c>
      <c r="J23" s="447">
        <f t="shared" si="12"/>
        <v>0</v>
      </c>
      <c r="K23" s="447">
        <f t="shared" si="12"/>
        <v>0</v>
      </c>
      <c r="L23" s="447">
        <f t="shared" si="12"/>
        <v>0</v>
      </c>
      <c r="M23" s="447">
        <f t="shared" si="12"/>
        <v>0</v>
      </c>
      <c r="N23" s="447">
        <f t="shared" si="12"/>
        <v>0</v>
      </c>
      <c r="Q23" s="4"/>
    </row>
    <row r="24" spans="1:17" x14ac:dyDescent="0.2">
      <c r="A24" s="4" t="s">
        <v>133</v>
      </c>
      <c r="B24" s="4" t="s">
        <v>124</v>
      </c>
      <c r="C24" s="27">
        <f>IF(C$13&lt;121,0,IF(C$13&gt;150,0,C14-C23))</f>
        <v>0</v>
      </c>
      <c r="D24" s="27">
        <f t="shared" ref="D24:N24" si="13">IF(D$13&lt;121,0,IF(D$13&gt;150,0,D14-D23))</f>
        <v>0</v>
      </c>
      <c r="E24" s="27">
        <f t="shared" si="13"/>
        <v>0</v>
      </c>
      <c r="F24" s="27">
        <f t="shared" si="13"/>
        <v>0</v>
      </c>
      <c r="G24" s="27">
        <f t="shared" si="13"/>
        <v>0</v>
      </c>
      <c r="H24" s="27">
        <f t="shared" si="13"/>
        <v>0</v>
      </c>
      <c r="I24" s="27">
        <f t="shared" si="13"/>
        <v>0</v>
      </c>
      <c r="J24" s="27">
        <f t="shared" si="13"/>
        <v>0</v>
      </c>
      <c r="K24" s="27">
        <f t="shared" si="13"/>
        <v>0</v>
      </c>
      <c r="L24" s="27">
        <f t="shared" si="13"/>
        <v>0</v>
      </c>
      <c r="M24" s="27">
        <f t="shared" si="13"/>
        <v>0</v>
      </c>
      <c r="N24" s="27">
        <f t="shared" si="13"/>
        <v>0</v>
      </c>
      <c r="Q24" s="4"/>
    </row>
    <row r="25" spans="1:17" x14ac:dyDescent="0.2">
      <c r="A25" s="446" t="s">
        <v>133</v>
      </c>
      <c r="B25" s="446" t="s">
        <v>124</v>
      </c>
      <c r="C25" s="447">
        <f t="shared" ref="C25:N25" si="14">IF(C$13&lt;151,0,IF(C$13&gt;180,0,C$14*(180-C$13))/30)</f>
        <v>0</v>
      </c>
      <c r="D25" s="447">
        <f t="shared" si="14"/>
        <v>0</v>
      </c>
      <c r="E25" s="447">
        <f t="shared" si="14"/>
        <v>0</v>
      </c>
      <c r="F25" s="447">
        <f t="shared" si="14"/>
        <v>0</v>
      </c>
      <c r="G25" s="447">
        <f t="shared" si="14"/>
        <v>0</v>
      </c>
      <c r="H25" s="447">
        <f t="shared" si="14"/>
        <v>0</v>
      </c>
      <c r="I25" s="447">
        <f t="shared" si="14"/>
        <v>0</v>
      </c>
      <c r="J25" s="447">
        <f t="shared" si="14"/>
        <v>0</v>
      </c>
      <c r="K25" s="447">
        <f t="shared" si="14"/>
        <v>0</v>
      </c>
      <c r="L25" s="447">
        <f t="shared" si="14"/>
        <v>0</v>
      </c>
      <c r="M25" s="447">
        <f t="shared" si="14"/>
        <v>0</v>
      </c>
      <c r="N25" s="447">
        <f t="shared" si="14"/>
        <v>0</v>
      </c>
      <c r="Q25" s="4"/>
    </row>
    <row r="26" spans="1:17" x14ac:dyDescent="0.2">
      <c r="A26" s="4"/>
      <c r="B26" s="4" t="s">
        <v>126</v>
      </c>
      <c r="C26" s="27">
        <f>IF(C$13&lt;151,0,IF(C$13&gt;180,0,C14-C25))</f>
        <v>0</v>
      </c>
      <c r="D26" s="27">
        <f t="shared" ref="D26:N26" si="15">IF(D$13&lt;151,0,IF(D$13&gt;180,0,D14-D25))</f>
        <v>0</v>
      </c>
      <c r="E26" s="27">
        <f t="shared" si="15"/>
        <v>0</v>
      </c>
      <c r="F26" s="27">
        <f t="shared" si="15"/>
        <v>0</v>
      </c>
      <c r="G26" s="27">
        <f t="shared" si="15"/>
        <v>0</v>
      </c>
      <c r="H26" s="27">
        <f t="shared" si="15"/>
        <v>0</v>
      </c>
      <c r="I26" s="27">
        <f t="shared" si="15"/>
        <v>0</v>
      </c>
      <c r="J26" s="27">
        <f t="shared" si="15"/>
        <v>0</v>
      </c>
      <c r="K26" s="27">
        <f t="shared" si="15"/>
        <v>0</v>
      </c>
      <c r="L26" s="27">
        <f t="shared" si="15"/>
        <v>0</v>
      </c>
      <c r="M26" s="27">
        <f t="shared" si="15"/>
        <v>0</v>
      </c>
      <c r="N26" s="27">
        <f t="shared" si="15"/>
        <v>0</v>
      </c>
      <c r="Q26" s="4"/>
    </row>
    <row r="27" spans="1:17" s="2" customFormat="1" x14ac:dyDescent="0.2">
      <c r="A27" s="25"/>
      <c r="B27" s="25" t="s">
        <v>127</v>
      </c>
      <c r="C27" s="443" t="str">
        <f t="shared" ref="C27:N27" si="16">C2</f>
        <v>JAN</v>
      </c>
      <c r="D27" s="443" t="str">
        <f t="shared" si="16"/>
        <v>FEB</v>
      </c>
      <c r="E27" s="443" t="str">
        <f t="shared" si="16"/>
        <v>MARS</v>
      </c>
      <c r="F27" s="443" t="str">
        <f t="shared" si="16"/>
        <v>APRIL</v>
      </c>
      <c r="G27" s="443" t="str">
        <f t="shared" si="16"/>
        <v>MAJ</v>
      </c>
      <c r="H27" s="443" t="str">
        <f t="shared" si="16"/>
        <v>JUNI</v>
      </c>
      <c r="I27" s="443" t="str">
        <f t="shared" si="16"/>
        <v>JULI</v>
      </c>
      <c r="J27" s="443" t="str">
        <f t="shared" si="16"/>
        <v>AUG</v>
      </c>
      <c r="K27" s="443" t="str">
        <f t="shared" si="16"/>
        <v>SEP</v>
      </c>
      <c r="L27" s="443" t="str">
        <f t="shared" si="16"/>
        <v>OKT</v>
      </c>
      <c r="M27" s="443" t="str">
        <f t="shared" si="16"/>
        <v>NOV</v>
      </c>
      <c r="N27" s="443" t="str">
        <f t="shared" si="16"/>
        <v>DEC</v>
      </c>
      <c r="Q27" s="4"/>
    </row>
    <row r="28" spans="1:17" x14ac:dyDescent="0.2">
      <c r="A28" s="4"/>
      <c r="B28" s="4" t="s">
        <v>119</v>
      </c>
      <c r="C28" s="27">
        <f t="shared" ref="C28:H28" si="17">C15</f>
        <v>0</v>
      </c>
      <c r="D28" s="27">
        <f t="shared" si="17"/>
        <v>0</v>
      </c>
      <c r="E28" s="27">
        <f t="shared" si="17"/>
        <v>0</v>
      </c>
      <c r="F28" s="27">
        <f t="shared" si="17"/>
        <v>0</v>
      </c>
      <c r="G28" s="27">
        <f t="shared" si="17"/>
        <v>0</v>
      </c>
      <c r="H28" s="27">
        <f t="shared" si="17"/>
        <v>0</v>
      </c>
      <c r="I28" s="27">
        <f t="shared" ref="I28:N28" si="18">I15</f>
        <v>0</v>
      </c>
      <c r="J28" s="27">
        <f t="shared" si="18"/>
        <v>0</v>
      </c>
      <c r="K28" s="27">
        <f t="shared" si="18"/>
        <v>0</v>
      </c>
      <c r="L28" s="27">
        <f t="shared" si="18"/>
        <v>0</v>
      </c>
      <c r="M28" s="27">
        <f t="shared" si="18"/>
        <v>0</v>
      </c>
      <c r="N28" s="27">
        <f t="shared" si="18"/>
        <v>0</v>
      </c>
    </row>
    <row r="29" spans="1:17" x14ac:dyDescent="0.2">
      <c r="A29" s="4"/>
      <c r="B29" s="4" t="s">
        <v>120</v>
      </c>
      <c r="C29" s="27"/>
      <c r="D29" s="27">
        <f>C16+C17</f>
        <v>0</v>
      </c>
      <c r="E29" s="27">
        <f>D16+D17</f>
        <v>0</v>
      </c>
      <c r="F29" s="27">
        <f t="shared" ref="F29:M29" si="19">E16+E17</f>
        <v>0</v>
      </c>
      <c r="G29" s="27">
        <f t="shared" si="19"/>
        <v>0</v>
      </c>
      <c r="H29" s="27">
        <f t="shared" si="19"/>
        <v>0</v>
      </c>
      <c r="I29" s="27">
        <f t="shared" si="19"/>
        <v>0</v>
      </c>
      <c r="J29" s="27">
        <f t="shared" si="19"/>
        <v>0</v>
      </c>
      <c r="K29" s="27">
        <f t="shared" si="19"/>
        <v>0</v>
      </c>
      <c r="L29" s="27">
        <f t="shared" si="19"/>
        <v>0</v>
      </c>
      <c r="M29" s="27">
        <f t="shared" si="19"/>
        <v>0</v>
      </c>
      <c r="N29" s="27">
        <f>M16+M17</f>
        <v>0</v>
      </c>
    </row>
    <row r="30" spans="1:17" x14ac:dyDescent="0.2">
      <c r="A30" s="4"/>
      <c r="B30" s="4" t="s">
        <v>121</v>
      </c>
      <c r="C30" s="27"/>
      <c r="D30" s="27"/>
      <c r="E30" s="27">
        <f>C18+C19</f>
        <v>0</v>
      </c>
      <c r="F30" s="27">
        <f t="shared" ref="F30:M30" si="20">D18+D19</f>
        <v>0</v>
      </c>
      <c r="G30" s="27">
        <f t="shared" si="20"/>
        <v>0</v>
      </c>
      <c r="H30" s="27">
        <f t="shared" si="20"/>
        <v>0</v>
      </c>
      <c r="I30" s="27">
        <f t="shared" si="20"/>
        <v>0</v>
      </c>
      <c r="J30" s="27">
        <f t="shared" si="20"/>
        <v>0</v>
      </c>
      <c r="K30" s="27">
        <f t="shared" si="20"/>
        <v>0</v>
      </c>
      <c r="L30" s="27">
        <f t="shared" si="20"/>
        <v>0</v>
      </c>
      <c r="M30" s="27">
        <f t="shared" si="20"/>
        <v>0</v>
      </c>
      <c r="N30" s="27">
        <f>L18+L19</f>
        <v>0</v>
      </c>
    </row>
    <row r="31" spans="1:17" x14ac:dyDescent="0.2">
      <c r="A31" s="4"/>
      <c r="B31" s="4" t="s">
        <v>122</v>
      </c>
      <c r="C31" s="27"/>
      <c r="D31" s="27"/>
      <c r="E31" s="27"/>
      <c r="F31" s="27">
        <f>C20+C21</f>
        <v>0</v>
      </c>
      <c r="G31" s="27">
        <f t="shared" ref="G31:N31" si="21">D20+D21</f>
        <v>0</v>
      </c>
      <c r="H31" s="27">
        <f t="shared" si="21"/>
        <v>0</v>
      </c>
      <c r="I31" s="27">
        <f t="shared" si="21"/>
        <v>0</v>
      </c>
      <c r="J31" s="27">
        <f t="shared" si="21"/>
        <v>0</v>
      </c>
      <c r="K31" s="27">
        <f t="shared" si="21"/>
        <v>0</v>
      </c>
      <c r="L31" s="27">
        <f t="shared" si="21"/>
        <v>0</v>
      </c>
      <c r="M31" s="27">
        <f t="shared" si="21"/>
        <v>0</v>
      </c>
      <c r="N31" s="27">
        <f t="shared" si="21"/>
        <v>0</v>
      </c>
    </row>
    <row r="32" spans="1:17" x14ac:dyDescent="0.2">
      <c r="A32" s="4"/>
      <c r="B32" s="4" t="s">
        <v>123</v>
      </c>
      <c r="C32" s="27"/>
      <c r="D32" s="27"/>
      <c r="E32" s="27"/>
      <c r="F32" s="27"/>
      <c r="G32" s="27">
        <f>C22+C23</f>
        <v>0</v>
      </c>
      <c r="H32" s="27">
        <f t="shared" ref="H32:N32" si="22">D22+D23</f>
        <v>0</v>
      </c>
      <c r="I32" s="27">
        <f t="shared" si="22"/>
        <v>0</v>
      </c>
      <c r="J32" s="27">
        <f t="shared" si="22"/>
        <v>0</v>
      </c>
      <c r="K32" s="27">
        <f t="shared" si="22"/>
        <v>0</v>
      </c>
      <c r="L32" s="27">
        <f t="shared" si="22"/>
        <v>0</v>
      </c>
      <c r="M32" s="27">
        <f t="shared" si="22"/>
        <v>0</v>
      </c>
      <c r="N32" s="27">
        <f t="shared" si="22"/>
        <v>0</v>
      </c>
    </row>
    <row r="33" spans="1:19" x14ac:dyDescent="0.2">
      <c r="A33" s="4"/>
      <c r="B33" s="4" t="s">
        <v>124</v>
      </c>
      <c r="C33" s="27"/>
      <c r="D33" s="27"/>
      <c r="E33" s="27"/>
      <c r="F33" s="27"/>
      <c r="G33" s="27"/>
      <c r="H33" s="27">
        <f>C24+C25</f>
        <v>0</v>
      </c>
      <c r="I33" s="27">
        <f t="shared" ref="I33:N33" si="23">D24+D25</f>
        <v>0</v>
      </c>
      <c r="J33" s="27">
        <f t="shared" si="23"/>
        <v>0</v>
      </c>
      <c r="K33" s="27">
        <f t="shared" si="23"/>
        <v>0</v>
      </c>
      <c r="L33" s="27">
        <f t="shared" si="23"/>
        <v>0</v>
      </c>
      <c r="M33" s="27">
        <f t="shared" si="23"/>
        <v>0</v>
      </c>
      <c r="N33" s="27">
        <f t="shared" si="23"/>
        <v>0</v>
      </c>
    </row>
    <row r="34" spans="1:19" x14ac:dyDescent="0.2">
      <c r="A34" s="4"/>
      <c r="B34" s="4" t="s">
        <v>126</v>
      </c>
      <c r="C34" s="27"/>
      <c r="D34" s="27"/>
      <c r="E34" s="27"/>
      <c r="F34" s="27"/>
      <c r="G34" s="27"/>
      <c r="H34" s="27"/>
      <c r="I34" s="27">
        <f t="shared" ref="I34:N34" si="24">C26</f>
        <v>0</v>
      </c>
      <c r="J34" s="27">
        <f t="shared" si="24"/>
        <v>0</v>
      </c>
      <c r="K34" s="27">
        <f t="shared" si="24"/>
        <v>0</v>
      </c>
      <c r="L34" s="27">
        <f t="shared" si="24"/>
        <v>0</v>
      </c>
      <c r="M34" s="27">
        <f t="shared" si="24"/>
        <v>0</v>
      </c>
      <c r="N34" s="27">
        <f t="shared" si="24"/>
        <v>0</v>
      </c>
    </row>
    <row r="35" spans="1:19" s="2" customFormat="1" x14ac:dyDescent="0.2">
      <c r="A35" s="25"/>
      <c r="B35" s="25" t="s">
        <v>128</v>
      </c>
      <c r="C35" s="445">
        <f>SUM(C28:C34)</f>
        <v>0</v>
      </c>
      <c r="D35" s="445">
        <f>SUM(D28:D34)</f>
        <v>0</v>
      </c>
      <c r="E35" s="445">
        <f t="shared" ref="E35:N35" si="25">SUM(E28:E34)</f>
        <v>0</v>
      </c>
      <c r="F35" s="445">
        <f t="shared" si="25"/>
        <v>0</v>
      </c>
      <c r="G35" s="445">
        <f t="shared" si="25"/>
        <v>0</v>
      </c>
      <c r="H35" s="445">
        <f t="shared" si="25"/>
        <v>0</v>
      </c>
      <c r="I35" s="445">
        <f t="shared" si="25"/>
        <v>0</v>
      </c>
      <c r="J35" s="445">
        <f t="shared" si="25"/>
        <v>0</v>
      </c>
      <c r="K35" s="445">
        <f t="shared" si="25"/>
        <v>0</v>
      </c>
      <c r="L35" s="445">
        <f t="shared" si="25"/>
        <v>0</v>
      </c>
      <c r="M35" s="445">
        <f t="shared" si="25"/>
        <v>0</v>
      </c>
      <c r="N35" s="445">
        <f t="shared" si="25"/>
        <v>0</v>
      </c>
    </row>
    <row r="36" spans="1:19" x14ac:dyDescent="0.2">
      <c r="A36" s="4"/>
      <c r="B36" s="4"/>
      <c r="C36" s="4"/>
      <c r="D36" s="4"/>
      <c r="E36" s="4"/>
      <c r="F36" s="4"/>
      <c r="G36" s="4"/>
      <c r="H36" s="4"/>
      <c r="I36" s="4"/>
      <c r="J36" s="4"/>
      <c r="K36" s="4"/>
      <c r="L36" s="4"/>
      <c r="M36" s="4"/>
      <c r="N36" s="4"/>
    </row>
    <row r="37" spans="1:19" ht="16.5" thickBot="1" x14ac:dyDescent="0.25">
      <c r="A37" s="4"/>
      <c r="B37" s="1568" t="s">
        <v>237</v>
      </c>
      <c r="C37" s="1569">
        <f>'9. T5 KASSABUDGET'!M62</f>
        <v>2028</v>
      </c>
      <c r="D37" s="4"/>
      <c r="E37" s="4"/>
      <c r="F37" s="4"/>
      <c r="G37" s="4"/>
      <c r="H37" s="4"/>
      <c r="I37" s="4"/>
      <c r="J37" s="4"/>
      <c r="K37" s="4"/>
      <c r="L37" s="4"/>
      <c r="M37" s="4"/>
      <c r="N37" s="4"/>
    </row>
    <row r="38" spans="1:19" x14ac:dyDescent="0.2">
      <c r="A38" s="450"/>
      <c r="B38" s="44" t="s">
        <v>144</v>
      </c>
      <c r="C38" s="451" t="str">
        <f>'9. T5 KASSABUDGET'!G66</f>
        <v>JAN</v>
      </c>
      <c r="D38" s="451" t="str">
        <f>'9. T5 KASSABUDGET'!H66</f>
        <v>FEB</v>
      </c>
      <c r="E38" s="451" t="str">
        <f>'9. T5 KASSABUDGET'!I66</f>
        <v>MARS</v>
      </c>
      <c r="F38" s="451" t="str">
        <f>'9. T5 KASSABUDGET'!J66</f>
        <v>APRIL</v>
      </c>
      <c r="G38" s="451" t="str">
        <f>'9. T5 KASSABUDGET'!K66</f>
        <v>MAJ</v>
      </c>
      <c r="H38" s="451" t="str">
        <f>'9. T5 KASSABUDGET'!L66</f>
        <v>JUNI</v>
      </c>
      <c r="I38" s="451" t="str">
        <f>'9. T5 KASSABUDGET'!M66</f>
        <v>JULI</v>
      </c>
      <c r="J38" s="451" t="str">
        <f>'9. T5 KASSABUDGET'!N66</f>
        <v>AUG</v>
      </c>
      <c r="K38" s="451" t="str">
        <f>'9. T5 KASSABUDGET'!O66</f>
        <v>SEP</v>
      </c>
      <c r="L38" s="451" t="str">
        <f>'9. T5 KASSABUDGET'!P66</f>
        <v>OKT</v>
      </c>
      <c r="M38" s="451" t="str">
        <f>'9. T5 KASSABUDGET'!Q66</f>
        <v>NOV</v>
      </c>
      <c r="N38" s="451" t="str">
        <f>'9. T5 KASSABUDGET'!R66</f>
        <v>DEC</v>
      </c>
      <c r="O38" s="442"/>
      <c r="P38" s="450" t="s">
        <v>211</v>
      </c>
      <c r="Q38" s="451" t="str">
        <f>C38</f>
        <v>JAN</v>
      </c>
      <c r="R38" s="451" t="str">
        <f>D38</f>
        <v>FEB</v>
      </c>
      <c r="S38" s="452" t="str">
        <f>E38</f>
        <v>MARS</v>
      </c>
    </row>
    <row r="39" spans="1:19" x14ac:dyDescent="0.2">
      <c r="A39" s="453"/>
      <c r="B39" s="25" t="s">
        <v>143</v>
      </c>
      <c r="C39" s="444">
        <f>'8. T4 FINANSIERINGSB.'!H$52</f>
        <v>0</v>
      </c>
      <c r="D39" s="444">
        <f t="shared" ref="D39:N39" si="26">C39</f>
        <v>0</v>
      </c>
      <c r="E39" s="444">
        <f t="shared" si="26"/>
        <v>0</v>
      </c>
      <c r="F39" s="444">
        <f t="shared" si="26"/>
        <v>0</v>
      </c>
      <c r="G39" s="444">
        <f t="shared" si="26"/>
        <v>0</v>
      </c>
      <c r="H39" s="444">
        <f t="shared" si="26"/>
        <v>0</v>
      </c>
      <c r="I39" s="444">
        <f t="shared" si="26"/>
        <v>0</v>
      </c>
      <c r="J39" s="444">
        <f t="shared" si="26"/>
        <v>0</v>
      </c>
      <c r="K39" s="444">
        <f t="shared" si="26"/>
        <v>0</v>
      </c>
      <c r="L39" s="444">
        <f t="shared" si="26"/>
        <v>0</v>
      </c>
      <c r="M39" s="444">
        <f t="shared" si="26"/>
        <v>0</v>
      </c>
      <c r="N39" s="454">
        <f t="shared" si="26"/>
        <v>0</v>
      </c>
      <c r="O39" s="2"/>
      <c r="P39" s="1522" t="s">
        <v>143</v>
      </c>
      <c r="Q39" s="444">
        <f>'8. T4 FINANSIERINGSB.'!H$57</f>
        <v>0</v>
      </c>
      <c r="R39" s="444">
        <f>Q39</f>
        <v>0</v>
      </c>
      <c r="S39" s="454">
        <f>R39</f>
        <v>0</v>
      </c>
    </row>
    <row r="40" spans="1:19" x14ac:dyDescent="0.2">
      <c r="A40" s="453"/>
      <c r="B40" s="25" t="s">
        <v>145</v>
      </c>
      <c r="C40" s="445">
        <f>IF(C39=0,0,'3. T3 BALANS'!H$42/C39)</f>
        <v>0</v>
      </c>
      <c r="D40" s="445"/>
      <c r="E40" s="445"/>
      <c r="F40" s="445"/>
      <c r="G40" s="445"/>
      <c r="H40" s="445"/>
      <c r="I40" s="25"/>
      <c r="J40" s="25"/>
      <c r="K40" s="25"/>
      <c r="L40" s="25"/>
      <c r="M40" s="25"/>
      <c r="N40" s="455"/>
      <c r="O40" s="2"/>
      <c r="P40" s="1522" t="s">
        <v>212</v>
      </c>
      <c r="Q40" s="445">
        <f>IF(Q39=0,0,'3. T3 BALANS'!H$80/Q39)</f>
        <v>0</v>
      </c>
      <c r="R40" s="445"/>
      <c r="S40" s="1523"/>
    </row>
    <row r="41" spans="1:19" x14ac:dyDescent="0.2">
      <c r="A41" s="353"/>
      <c r="B41" s="4" t="s">
        <v>134</v>
      </c>
      <c r="C41" s="27">
        <f>IF(C39&lt;31,C40*C39,0)</f>
        <v>0</v>
      </c>
      <c r="D41" s="27"/>
      <c r="E41" s="27"/>
      <c r="F41" s="27"/>
      <c r="G41" s="27"/>
      <c r="H41" s="27"/>
      <c r="I41" s="4"/>
      <c r="J41" s="4"/>
      <c r="K41" s="4"/>
      <c r="L41" s="4"/>
      <c r="M41" s="4"/>
      <c r="N41" s="456"/>
      <c r="P41" s="353" t="s">
        <v>134</v>
      </c>
      <c r="Q41" s="27">
        <f>IF(Q39&lt;31,Q40*Q39,0)</f>
        <v>0</v>
      </c>
      <c r="R41" s="27"/>
      <c r="S41" s="1524"/>
    </row>
    <row r="42" spans="1:19" x14ac:dyDescent="0.2">
      <c r="A42" s="353"/>
      <c r="B42" s="4" t="s">
        <v>135</v>
      </c>
      <c r="C42" s="27">
        <f>IF(C$39&lt;31,0,IF(C$39&lt;61,30*C$40,0))</f>
        <v>0</v>
      </c>
      <c r="D42" s="27">
        <f>IF(D$3&lt;31,0,IF(D$3&lt;61,$C$4*(30-(60-$C$3)),0))</f>
        <v>0</v>
      </c>
      <c r="E42" s="27"/>
      <c r="F42" s="27"/>
      <c r="G42" s="27"/>
      <c r="H42" s="27"/>
      <c r="I42" s="4"/>
      <c r="J42" s="4"/>
      <c r="K42" s="4"/>
      <c r="L42" s="4"/>
      <c r="M42" s="4"/>
      <c r="N42" s="456"/>
      <c r="P42" s="353" t="s">
        <v>135</v>
      </c>
      <c r="Q42" s="27">
        <f>IF(Q$39&lt;31,0,IF(Q$39&lt;61,30*Q$40,0))</f>
        <v>0</v>
      </c>
      <c r="R42" s="27">
        <f>IF(R$39&lt;31,0,IF(R$39&lt;61,$Q$40*(30-(60-$Q$39)),0))</f>
        <v>0</v>
      </c>
      <c r="S42" s="1524"/>
    </row>
    <row r="43" spans="1:19" x14ac:dyDescent="0.2">
      <c r="A43" s="353"/>
      <c r="B43" s="4" t="s">
        <v>136</v>
      </c>
      <c r="C43" s="27">
        <f>IF(C$39&lt;61,0,IF(C$39&lt;91,30*C$40,0))</f>
        <v>0</v>
      </c>
      <c r="D43" s="27">
        <f>C43</f>
        <v>0</v>
      </c>
      <c r="E43" s="27">
        <f>IF(E$39&lt;61,0,IF(E$39&lt;91,30*E$40,0))</f>
        <v>0</v>
      </c>
      <c r="F43" s="27"/>
      <c r="G43" s="27"/>
      <c r="H43" s="27"/>
      <c r="I43" s="4"/>
      <c r="J43" s="4"/>
      <c r="K43" s="4"/>
      <c r="L43" s="4"/>
      <c r="M43" s="4"/>
      <c r="N43" s="456"/>
      <c r="P43" s="353" t="s">
        <v>136</v>
      </c>
      <c r="Q43" s="27">
        <f>IF(Q$39&lt;61,0,IF(Q$39&lt;91,30*Q$40,0))</f>
        <v>0</v>
      </c>
      <c r="R43" s="27">
        <f>Q43</f>
        <v>0</v>
      </c>
      <c r="S43" s="1524">
        <f>IF(S$39&lt;61,0,IF(S$39&lt;91,$Q$40*(30-(90-$Q$39)),0))</f>
        <v>0</v>
      </c>
    </row>
    <row r="44" spans="1:19" ht="13.5" thickBot="1" x14ac:dyDescent="0.25">
      <c r="A44" s="353"/>
      <c r="B44" s="4" t="s">
        <v>137</v>
      </c>
      <c r="C44" s="27">
        <f>IF(C$39&lt;91,0,IF(C$39&lt;121,30*C$40,0))</f>
        <v>0</v>
      </c>
      <c r="D44" s="27">
        <f>C44</f>
        <v>0</v>
      </c>
      <c r="E44" s="27">
        <f>D44</f>
        <v>0</v>
      </c>
      <c r="F44" s="27">
        <f>IF(F$39&lt;91,0,IF(F$39&lt;121,$C$40*(30-(120-$C$39)),0))</f>
        <v>0</v>
      </c>
      <c r="G44" s="27"/>
      <c r="H44" s="27"/>
      <c r="I44" s="4"/>
      <c r="J44" s="4"/>
      <c r="K44" s="4"/>
      <c r="L44" s="4"/>
      <c r="M44" s="4"/>
      <c r="N44" s="456"/>
      <c r="P44" s="1525"/>
      <c r="Q44" s="254">
        <f>SUM(Q41:Q43)</f>
        <v>0</v>
      </c>
      <c r="R44" s="254">
        <f>SUM(R41:R43)</f>
        <v>0</v>
      </c>
      <c r="S44" s="1526">
        <f>SUM(S41:S43)</f>
        <v>0</v>
      </c>
    </row>
    <row r="45" spans="1:19" x14ac:dyDescent="0.2">
      <c r="A45" s="353"/>
      <c r="B45" s="4" t="s">
        <v>138</v>
      </c>
      <c r="C45" s="27">
        <f>IF(C$39&lt;121,0,IF(C$39&lt;151,30*C$40,0))</f>
        <v>0</v>
      </c>
      <c r="D45" s="27">
        <f>C45</f>
        <v>0</v>
      </c>
      <c r="E45" s="27">
        <f>D45</f>
        <v>0</v>
      </c>
      <c r="F45" s="27">
        <f>E45</f>
        <v>0</v>
      </c>
      <c r="G45" s="27">
        <f>IF(G$39&lt;121,0,IF(G$39&lt;151,$C$40*(30-(150-$C$39)),0))</f>
        <v>0</v>
      </c>
      <c r="H45" s="27"/>
      <c r="I45" s="4"/>
      <c r="J45" s="4"/>
      <c r="K45" s="4"/>
      <c r="L45" s="4"/>
      <c r="M45" s="4"/>
      <c r="N45" s="456"/>
    </row>
    <row r="46" spans="1:19" x14ac:dyDescent="0.2">
      <c r="A46" s="353"/>
      <c r="B46" s="4" t="s">
        <v>139</v>
      </c>
      <c r="C46" s="27">
        <f>IF(C$39&lt;151,0,IF(C$39&lt;181,30*C$40,0))</f>
        <v>0</v>
      </c>
      <c r="D46" s="27">
        <f>C46</f>
        <v>0</v>
      </c>
      <c r="E46" s="27">
        <f>D46</f>
        <v>0</v>
      </c>
      <c r="F46" s="27">
        <f>E46</f>
        <v>0</v>
      </c>
      <c r="G46" s="27">
        <f>F46</f>
        <v>0</v>
      </c>
      <c r="H46" s="27">
        <f>IF(H$39&lt;151,0,IF(H$39&lt;181,$C$40*(30-(180-$C$39)),0))</f>
        <v>0</v>
      </c>
      <c r="I46" s="4"/>
      <c r="J46" s="4"/>
      <c r="K46" s="4"/>
      <c r="L46" s="4"/>
      <c r="M46" s="4"/>
      <c r="N46" s="456"/>
    </row>
    <row r="47" spans="1:19" ht="13.5" thickBot="1" x14ac:dyDescent="0.25">
      <c r="A47" s="457"/>
      <c r="B47" s="458" t="s">
        <v>57</v>
      </c>
      <c r="C47" s="459">
        <f t="shared" ref="C47:H47" si="27">SUM(C41:C46)</f>
        <v>0</v>
      </c>
      <c r="D47" s="459">
        <f t="shared" si="27"/>
        <v>0</v>
      </c>
      <c r="E47" s="459">
        <f t="shared" si="27"/>
        <v>0</v>
      </c>
      <c r="F47" s="459">
        <f t="shared" si="27"/>
        <v>0</v>
      </c>
      <c r="G47" s="459">
        <f t="shared" si="27"/>
        <v>0</v>
      </c>
      <c r="H47" s="459">
        <f t="shared" si="27"/>
        <v>0</v>
      </c>
      <c r="I47" s="459"/>
      <c r="J47" s="459"/>
      <c r="K47" s="459"/>
      <c r="L47" s="459"/>
      <c r="M47" s="459"/>
      <c r="N47" s="459"/>
    </row>
    <row r="48" spans="1:19" x14ac:dyDescent="0.2">
      <c r="A48" s="25"/>
      <c r="B48" s="25" t="s">
        <v>146</v>
      </c>
      <c r="C48" s="443" t="str">
        <f t="shared" ref="C48:N48" si="28">C38</f>
        <v>JAN</v>
      </c>
      <c r="D48" s="443" t="str">
        <f t="shared" si="28"/>
        <v>FEB</v>
      </c>
      <c r="E48" s="443" t="str">
        <f t="shared" si="28"/>
        <v>MARS</v>
      </c>
      <c r="F48" s="443" t="str">
        <f t="shared" si="28"/>
        <v>APRIL</v>
      </c>
      <c r="G48" s="443" t="str">
        <f t="shared" si="28"/>
        <v>MAJ</v>
      </c>
      <c r="H48" s="443" t="str">
        <f t="shared" si="28"/>
        <v>JUNI</v>
      </c>
      <c r="I48" s="443" t="str">
        <f t="shared" si="28"/>
        <v>JULI</v>
      </c>
      <c r="J48" s="443" t="str">
        <f t="shared" si="28"/>
        <v>AUG</v>
      </c>
      <c r="K48" s="443" t="str">
        <f t="shared" si="28"/>
        <v>SEP</v>
      </c>
      <c r="L48" s="443" t="str">
        <f t="shared" si="28"/>
        <v>OKT</v>
      </c>
      <c r="M48" s="443" t="str">
        <f t="shared" si="28"/>
        <v>NOV</v>
      </c>
      <c r="N48" s="443" t="str">
        <f t="shared" si="28"/>
        <v>DEC</v>
      </c>
      <c r="O48" s="442"/>
      <c r="P48" s="442"/>
      <c r="Q48" s="442"/>
      <c r="R48" s="442"/>
      <c r="S48" s="442"/>
    </row>
    <row r="49" spans="1:19" x14ac:dyDescent="0.2">
      <c r="A49" s="449" t="s">
        <v>141</v>
      </c>
      <c r="B49" s="25" t="s">
        <v>142</v>
      </c>
      <c r="C49" s="444">
        <f>'9. T5 KASSABUDGET'!E73</f>
        <v>0</v>
      </c>
      <c r="D49" s="444">
        <f t="shared" ref="D49:N49" si="29">C49</f>
        <v>0</v>
      </c>
      <c r="E49" s="444">
        <f t="shared" si="29"/>
        <v>0</v>
      </c>
      <c r="F49" s="444">
        <f t="shared" si="29"/>
        <v>0</v>
      </c>
      <c r="G49" s="444">
        <f t="shared" si="29"/>
        <v>0</v>
      </c>
      <c r="H49" s="444">
        <f t="shared" si="29"/>
        <v>0</v>
      </c>
      <c r="I49" s="444">
        <f t="shared" si="29"/>
        <v>0</v>
      </c>
      <c r="J49" s="444">
        <f t="shared" si="29"/>
        <v>0</v>
      </c>
      <c r="K49" s="444">
        <f t="shared" si="29"/>
        <v>0</v>
      </c>
      <c r="L49" s="444">
        <f t="shared" si="29"/>
        <v>0</v>
      </c>
      <c r="M49" s="444">
        <f t="shared" si="29"/>
        <v>0</v>
      </c>
      <c r="N49" s="444">
        <f t="shared" si="29"/>
        <v>0</v>
      </c>
      <c r="O49" s="2"/>
      <c r="P49" s="2"/>
      <c r="Q49" s="2"/>
      <c r="R49" s="2"/>
      <c r="S49" s="2"/>
    </row>
    <row r="50" spans="1:19" x14ac:dyDescent="0.2">
      <c r="A50" s="25" t="s">
        <v>0</v>
      </c>
      <c r="B50" s="25" t="s">
        <v>238</v>
      </c>
      <c r="C50" s="445">
        <f>'9. T5 KASSABUDGET'!G71</f>
        <v>0</v>
      </c>
      <c r="D50" s="445">
        <f>'9. T5 KASSABUDGET'!H71</f>
        <v>0</v>
      </c>
      <c r="E50" s="445">
        <f>'9. T5 KASSABUDGET'!I71</f>
        <v>0</v>
      </c>
      <c r="F50" s="445">
        <f>'9. T5 KASSABUDGET'!J71</f>
        <v>0</v>
      </c>
      <c r="G50" s="445">
        <f>'9. T5 KASSABUDGET'!K71</f>
        <v>0</v>
      </c>
      <c r="H50" s="445">
        <f>'9. T5 KASSABUDGET'!L71</f>
        <v>0</v>
      </c>
      <c r="I50" s="445">
        <f>'9. T5 KASSABUDGET'!M71</f>
        <v>0</v>
      </c>
      <c r="J50" s="445">
        <f>'9. T5 KASSABUDGET'!N71</f>
        <v>0</v>
      </c>
      <c r="K50" s="445">
        <f>'9. T5 KASSABUDGET'!O71</f>
        <v>0</v>
      </c>
      <c r="L50" s="445">
        <f>'9. T5 KASSABUDGET'!P71</f>
        <v>0</v>
      </c>
      <c r="M50" s="445">
        <f>'9. T5 KASSABUDGET'!Q71</f>
        <v>0</v>
      </c>
      <c r="N50" s="445">
        <f>'9. T5 KASSABUDGET'!R71</f>
        <v>0</v>
      </c>
      <c r="O50" s="2"/>
      <c r="P50" s="2"/>
      <c r="Q50" s="2">
        <v>0</v>
      </c>
      <c r="R50" s="2"/>
      <c r="S50" s="2"/>
    </row>
    <row r="51" spans="1:19" x14ac:dyDescent="0.2">
      <c r="A51" s="446" t="s">
        <v>125</v>
      </c>
      <c r="B51" s="446" t="s">
        <v>119</v>
      </c>
      <c r="C51" s="447">
        <f>IF(C$13&lt;31,C50*(30-C49)/30,0)</f>
        <v>0</v>
      </c>
      <c r="D51" s="447">
        <f t="shared" ref="D51:N51" si="30">IF(D$13&lt;31,D50*(30-D49)/30,0)</f>
        <v>0</v>
      </c>
      <c r="E51" s="447">
        <f t="shared" si="30"/>
        <v>0</v>
      </c>
      <c r="F51" s="447">
        <f t="shared" si="30"/>
        <v>0</v>
      </c>
      <c r="G51" s="447">
        <f t="shared" si="30"/>
        <v>0</v>
      </c>
      <c r="H51" s="447">
        <f t="shared" si="30"/>
        <v>0</v>
      </c>
      <c r="I51" s="447">
        <f t="shared" si="30"/>
        <v>0</v>
      </c>
      <c r="J51" s="447">
        <f t="shared" si="30"/>
        <v>0</v>
      </c>
      <c r="K51" s="447">
        <f t="shared" si="30"/>
        <v>0</v>
      </c>
      <c r="L51" s="447">
        <f t="shared" si="30"/>
        <v>0</v>
      </c>
      <c r="M51" s="447">
        <f t="shared" si="30"/>
        <v>0</v>
      </c>
      <c r="N51" s="447">
        <f t="shared" si="30"/>
        <v>0</v>
      </c>
      <c r="O51" s="448"/>
      <c r="P51" s="448"/>
      <c r="Q51" s="448"/>
      <c r="R51" s="448"/>
      <c r="S51" s="448"/>
    </row>
    <row r="52" spans="1:19" x14ac:dyDescent="0.2">
      <c r="A52" s="4" t="s">
        <v>129</v>
      </c>
      <c r="B52" s="4" t="s">
        <v>120</v>
      </c>
      <c r="C52" s="27">
        <f t="shared" ref="C52:N52" si="31">IF(C49&gt;30,0,C50-C51)</f>
        <v>0</v>
      </c>
      <c r="D52" s="27">
        <f t="shared" si="31"/>
        <v>0</v>
      </c>
      <c r="E52" s="27">
        <f t="shared" si="31"/>
        <v>0</v>
      </c>
      <c r="F52" s="27">
        <f t="shared" si="31"/>
        <v>0</v>
      </c>
      <c r="G52" s="27">
        <f t="shared" si="31"/>
        <v>0</v>
      </c>
      <c r="H52" s="27">
        <f t="shared" si="31"/>
        <v>0</v>
      </c>
      <c r="I52" s="27">
        <f t="shared" si="31"/>
        <v>0</v>
      </c>
      <c r="J52" s="27">
        <f t="shared" si="31"/>
        <v>0</v>
      </c>
      <c r="K52" s="27">
        <f t="shared" si="31"/>
        <v>0</v>
      </c>
      <c r="L52" s="27">
        <f t="shared" si="31"/>
        <v>0</v>
      </c>
      <c r="M52" s="27">
        <f t="shared" si="31"/>
        <v>0</v>
      </c>
      <c r="N52" s="27">
        <f t="shared" si="31"/>
        <v>0</v>
      </c>
    </row>
    <row r="53" spans="1:19" x14ac:dyDescent="0.2">
      <c r="A53" s="446" t="s">
        <v>129</v>
      </c>
      <c r="B53" s="446" t="s">
        <v>120</v>
      </c>
      <c r="C53" s="447">
        <f>IF(C$49&lt;31,0,IF(C$49&gt;60,0,C$40*(60-C$49))/30)</f>
        <v>0</v>
      </c>
      <c r="D53" s="447">
        <f>IF(D$49&lt;31,0,IF(D$49&gt;60,0,D$50*(60-D$49))/30)</f>
        <v>0</v>
      </c>
      <c r="E53" s="447">
        <f t="shared" ref="E53:N53" si="32">IF(E$49&lt;31,0,IF(E$49&gt;60,0,E$50*(60-E$49))/30)</f>
        <v>0</v>
      </c>
      <c r="F53" s="447">
        <f t="shared" si="32"/>
        <v>0</v>
      </c>
      <c r="G53" s="447">
        <f t="shared" si="32"/>
        <v>0</v>
      </c>
      <c r="H53" s="447">
        <f t="shared" si="32"/>
        <v>0</v>
      </c>
      <c r="I53" s="447">
        <f t="shared" si="32"/>
        <v>0</v>
      </c>
      <c r="J53" s="447">
        <f t="shared" si="32"/>
        <v>0</v>
      </c>
      <c r="K53" s="447">
        <f t="shared" si="32"/>
        <v>0</v>
      </c>
      <c r="L53" s="447">
        <f t="shared" si="32"/>
        <v>0</v>
      </c>
      <c r="M53" s="447">
        <f t="shared" si="32"/>
        <v>0</v>
      </c>
      <c r="N53" s="447">
        <f t="shared" si="32"/>
        <v>0</v>
      </c>
      <c r="Q53" s="4" t="s">
        <v>0</v>
      </c>
    </row>
    <row r="54" spans="1:19" x14ac:dyDescent="0.2">
      <c r="A54" s="4" t="s">
        <v>130</v>
      </c>
      <c r="B54" s="4" t="s">
        <v>121</v>
      </c>
      <c r="C54" s="27">
        <f>IF(C$49&lt;31,0,IF(C$49&gt;60,0,C50-C53))</f>
        <v>0</v>
      </c>
      <c r="D54" s="27">
        <f>IF(D$49&lt;31,0,IF(D$49&gt;60,0,D50-D53))</f>
        <v>0</v>
      </c>
      <c r="E54" s="27">
        <f t="shared" ref="E54:N54" si="33">IF(E$49&lt;31,0,IF(E$49&gt;60,0,E50-E53))</f>
        <v>0</v>
      </c>
      <c r="F54" s="27">
        <f t="shared" si="33"/>
        <v>0</v>
      </c>
      <c r="G54" s="27">
        <f t="shared" si="33"/>
        <v>0</v>
      </c>
      <c r="H54" s="27">
        <f t="shared" si="33"/>
        <v>0</v>
      </c>
      <c r="I54" s="27">
        <f t="shared" si="33"/>
        <v>0</v>
      </c>
      <c r="J54" s="27">
        <f t="shared" si="33"/>
        <v>0</v>
      </c>
      <c r="K54" s="27">
        <f t="shared" si="33"/>
        <v>0</v>
      </c>
      <c r="L54" s="27">
        <f t="shared" si="33"/>
        <v>0</v>
      </c>
      <c r="M54" s="27">
        <f t="shared" si="33"/>
        <v>0</v>
      </c>
      <c r="N54" s="27">
        <f t="shared" si="33"/>
        <v>0</v>
      </c>
      <c r="Q54" s="4"/>
    </row>
    <row r="55" spans="1:19" x14ac:dyDescent="0.2">
      <c r="A55" s="446" t="s">
        <v>130</v>
      </c>
      <c r="B55" s="446" t="s">
        <v>121</v>
      </c>
      <c r="C55" s="447">
        <f>IF(C$49&lt;61,0,IF(C$49&gt;90,0,C$50*(90-C$49))/30)</f>
        <v>0</v>
      </c>
      <c r="D55" s="447">
        <f t="shared" ref="D55:N55" si="34">IF(D$49&lt;61,0,IF(D$49&gt;90,0,D$50*(90-D$49))/30)</f>
        <v>0</v>
      </c>
      <c r="E55" s="447">
        <f t="shared" si="34"/>
        <v>0</v>
      </c>
      <c r="F55" s="447">
        <f t="shared" si="34"/>
        <v>0</v>
      </c>
      <c r="G55" s="447">
        <f t="shared" si="34"/>
        <v>0</v>
      </c>
      <c r="H55" s="447">
        <f t="shared" si="34"/>
        <v>0</v>
      </c>
      <c r="I55" s="447">
        <f t="shared" si="34"/>
        <v>0</v>
      </c>
      <c r="J55" s="447">
        <f t="shared" si="34"/>
        <v>0</v>
      </c>
      <c r="K55" s="447">
        <f t="shared" si="34"/>
        <v>0</v>
      </c>
      <c r="L55" s="447">
        <f t="shared" si="34"/>
        <v>0</v>
      </c>
      <c r="M55" s="447">
        <f t="shared" si="34"/>
        <v>0</v>
      </c>
      <c r="N55" s="447">
        <f t="shared" si="34"/>
        <v>0</v>
      </c>
      <c r="Q55" s="4"/>
    </row>
    <row r="56" spans="1:19" x14ac:dyDescent="0.2">
      <c r="A56" s="4" t="s">
        <v>131</v>
      </c>
      <c r="B56" s="4" t="s">
        <v>122</v>
      </c>
      <c r="C56" s="27">
        <f>IF(C$49&lt;61,0,IF(C$49&gt;90,0,C50-C55))</f>
        <v>0</v>
      </c>
      <c r="D56" s="27">
        <f t="shared" ref="D56:N56" si="35">IF(D$49&lt;61,0,IF(D$49&gt;90,0,D50-D55))</f>
        <v>0</v>
      </c>
      <c r="E56" s="27">
        <f t="shared" si="35"/>
        <v>0</v>
      </c>
      <c r="F56" s="27">
        <f t="shared" si="35"/>
        <v>0</v>
      </c>
      <c r="G56" s="27">
        <f t="shared" si="35"/>
        <v>0</v>
      </c>
      <c r="H56" s="27">
        <f t="shared" si="35"/>
        <v>0</v>
      </c>
      <c r="I56" s="27">
        <f t="shared" si="35"/>
        <v>0</v>
      </c>
      <c r="J56" s="27">
        <f t="shared" si="35"/>
        <v>0</v>
      </c>
      <c r="K56" s="27">
        <f t="shared" si="35"/>
        <v>0</v>
      </c>
      <c r="L56" s="27">
        <f t="shared" si="35"/>
        <v>0</v>
      </c>
      <c r="M56" s="27">
        <f t="shared" si="35"/>
        <v>0</v>
      </c>
      <c r="N56" s="27">
        <f t="shared" si="35"/>
        <v>0</v>
      </c>
      <c r="Q56" s="4"/>
    </row>
    <row r="57" spans="1:19" x14ac:dyDescent="0.2">
      <c r="A57" s="446" t="s">
        <v>131</v>
      </c>
      <c r="B57" s="446" t="s">
        <v>122</v>
      </c>
      <c r="C57" s="447">
        <f>IF(C$49&lt;91,0,IF(C$49&gt;120,0,C$50*(120-C$49))/30)</f>
        <v>0</v>
      </c>
      <c r="D57" s="447">
        <f t="shared" ref="D57:N57" si="36">IF(D$49&lt;91,0,IF(D$49&gt;120,0,D$50*(120-D$49))/30)</f>
        <v>0</v>
      </c>
      <c r="E57" s="447">
        <f t="shared" si="36"/>
        <v>0</v>
      </c>
      <c r="F57" s="447">
        <f t="shared" si="36"/>
        <v>0</v>
      </c>
      <c r="G57" s="447">
        <f t="shared" si="36"/>
        <v>0</v>
      </c>
      <c r="H57" s="447">
        <f t="shared" si="36"/>
        <v>0</v>
      </c>
      <c r="I57" s="447">
        <f t="shared" si="36"/>
        <v>0</v>
      </c>
      <c r="J57" s="447">
        <f t="shared" si="36"/>
        <v>0</v>
      </c>
      <c r="K57" s="447">
        <f t="shared" si="36"/>
        <v>0</v>
      </c>
      <c r="L57" s="447">
        <f t="shared" si="36"/>
        <v>0</v>
      </c>
      <c r="M57" s="447">
        <f t="shared" si="36"/>
        <v>0</v>
      </c>
      <c r="N57" s="447">
        <f t="shared" si="36"/>
        <v>0</v>
      </c>
      <c r="Q57" s="4"/>
    </row>
    <row r="58" spans="1:19" x14ac:dyDescent="0.2">
      <c r="A58" s="4" t="s">
        <v>132</v>
      </c>
      <c r="B58" s="4" t="s">
        <v>123</v>
      </c>
      <c r="C58" s="27">
        <f>IF(C$49&lt;91,0,IF(C$49&gt;120,0,C50-C57))</f>
        <v>0</v>
      </c>
      <c r="D58" s="27">
        <f t="shared" ref="D58:N58" si="37">IF(D$49&lt;91,0,IF(D$49&gt;120,0,D50-D57))</f>
        <v>0</v>
      </c>
      <c r="E58" s="27">
        <f t="shared" si="37"/>
        <v>0</v>
      </c>
      <c r="F58" s="27">
        <f t="shared" si="37"/>
        <v>0</v>
      </c>
      <c r="G58" s="27">
        <f t="shared" si="37"/>
        <v>0</v>
      </c>
      <c r="H58" s="27">
        <f t="shared" si="37"/>
        <v>0</v>
      </c>
      <c r="I58" s="27">
        <f t="shared" si="37"/>
        <v>0</v>
      </c>
      <c r="J58" s="27">
        <f t="shared" si="37"/>
        <v>0</v>
      </c>
      <c r="K58" s="27">
        <f t="shared" si="37"/>
        <v>0</v>
      </c>
      <c r="L58" s="27">
        <f t="shared" si="37"/>
        <v>0</v>
      </c>
      <c r="M58" s="27">
        <f t="shared" si="37"/>
        <v>0</v>
      </c>
      <c r="N58" s="27">
        <f t="shared" si="37"/>
        <v>0</v>
      </c>
      <c r="Q58" s="4"/>
    </row>
    <row r="59" spans="1:19" x14ac:dyDescent="0.2">
      <c r="A59" s="446" t="s">
        <v>132</v>
      </c>
      <c r="B59" s="446" t="s">
        <v>123</v>
      </c>
      <c r="C59" s="447">
        <f>IF(C$49&lt;121,0,IF(C$49&gt;150,0,C$50*(150-C$49))/30)</f>
        <v>0</v>
      </c>
      <c r="D59" s="447">
        <f t="shared" ref="D59:N59" si="38">IF(D$49&lt;121,0,IF(D$49&gt;150,0,D$50*(150-D$49))/30)</f>
        <v>0</v>
      </c>
      <c r="E59" s="447">
        <f t="shared" si="38"/>
        <v>0</v>
      </c>
      <c r="F59" s="447">
        <f t="shared" si="38"/>
        <v>0</v>
      </c>
      <c r="G59" s="447">
        <f t="shared" si="38"/>
        <v>0</v>
      </c>
      <c r="H59" s="447">
        <f t="shared" si="38"/>
        <v>0</v>
      </c>
      <c r="I59" s="447">
        <f t="shared" si="38"/>
        <v>0</v>
      </c>
      <c r="J59" s="447">
        <f t="shared" si="38"/>
        <v>0</v>
      </c>
      <c r="K59" s="447">
        <f t="shared" si="38"/>
        <v>0</v>
      </c>
      <c r="L59" s="447">
        <f t="shared" si="38"/>
        <v>0</v>
      </c>
      <c r="M59" s="447">
        <f t="shared" si="38"/>
        <v>0</v>
      </c>
      <c r="N59" s="447">
        <f t="shared" si="38"/>
        <v>0</v>
      </c>
      <c r="Q59" s="4"/>
    </row>
    <row r="60" spans="1:19" x14ac:dyDescent="0.2">
      <c r="A60" s="4" t="s">
        <v>133</v>
      </c>
      <c r="B60" s="4" t="s">
        <v>124</v>
      </c>
      <c r="C60" s="27">
        <f>IF(C$49&lt;121,0,IF(C$49&gt;150,0,C50-C59))</f>
        <v>0</v>
      </c>
      <c r="D60" s="27">
        <f t="shared" ref="D60:N60" si="39">IF(D$49&lt;121,0,IF(D$49&gt;150,0,D50-D59))</f>
        <v>0</v>
      </c>
      <c r="E60" s="27">
        <f t="shared" si="39"/>
        <v>0</v>
      </c>
      <c r="F60" s="27">
        <f t="shared" si="39"/>
        <v>0</v>
      </c>
      <c r="G60" s="27">
        <f t="shared" si="39"/>
        <v>0</v>
      </c>
      <c r="H60" s="27">
        <f t="shared" si="39"/>
        <v>0</v>
      </c>
      <c r="I60" s="27">
        <f t="shared" si="39"/>
        <v>0</v>
      </c>
      <c r="J60" s="27">
        <f t="shared" si="39"/>
        <v>0</v>
      </c>
      <c r="K60" s="27">
        <f t="shared" si="39"/>
        <v>0</v>
      </c>
      <c r="L60" s="27">
        <f t="shared" si="39"/>
        <v>0</v>
      </c>
      <c r="M60" s="27">
        <f t="shared" si="39"/>
        <v>0</v>
      </c>
      <c r="N60" s="27">
        <f t="shared" si="39"/>
        <v>0</v>
      </c>
      <c r="Q60" s="4"/>
    </row>
    <row r="61" spans="1:19" x14ac:dyDescent="0.2">
      <c r="A61" s="446" t="s">
        <v>133</v>
      </c>
      <c r="B61" s="446" t="s">
        <v>124</v>
      </c>
      <c r="C61" s="447">
        <f>IF(C$49&lt;151,0,IF(C$49&gt;180,0,C$50*(180-C$49))/30)</f>
        <v>0</v>
      </c>
      <c r="D61" s="447">
        <f t="shared" ref="D61:N61" si="40">IF(D$49&lt;151,0,IF(D$49&gt;180,0,D$50*(180-D$49))/30)</f>
        <v>0</v>
      </c>
      <c r="E61" s="447">
        <f t="shared" si="40"/>
        <v>0</v>
      </c>
      <c r="F61" s="447">
        <f t="shared" si="40"/>
        <v>0</v>
      </c>
      <c r="G61" s="447">
        <f t="shared" si="40"/>
        <v>0</v>
      </c>
      <c r="H61" s="447">
        <f t="shared" si="40"/>
        <v>0</v>
      </c>
      <c r="I61" s="447">
        <f t="shared" si="40"/>
        <v>0</v>
      </c>
      <c r="J61" s="447">
        <f t="shared" si="40"/>
        <v>0</v>
      </c>
      <c r="K61" s="447">
        <f t="shared" si="40"/>
        <v>0</v>
      </c>
      <c r="L61" s="447">
        <f t="shared" si="40"/>
        <v>0</v>
      </c>
      <c r="M61" s="447">
        <f t="shared" si="40"/>
        <v>0</v>
      </c>
      <c r="N61" s="447">
        <f t="shared" si="40"/>
        <v>0</v>
      </c>
      <c r="Q61" s="4"/>
    </row>
    <row r="62" spans="1:19" x14ac:dyDescent="0.2">
      <c r="A62" s="4"/>
      <c r="B62" s="4" t="s">
        <v>126</v>
      </c>
      <c r="C62" s="27">
        <f>IF(C$49&lt;151,0,IF(C$49&gt;180,0,C50-C61))</f>
        <v>0</v>
      </c>
      <c r="D62" s="27">
        <f t="shared" ref="D62:N62" si="41">IF(D$49&lt;151,0,IF(D$49&gt;180,0,D50-D61))</f>
        <v>0</v>
      </c>
      <c r="E62" s="27">
        <f t="shared" si="41"/>
        <v>0</v>
      </c>
      <c r="F62" s="27">
        <f t="shared" si="41"/>
        <v>0</v>
      </c>
      <c r="G62" s="27">
        <f t="shared" si="41"/>
        <v>0</v>
      </c>
      <c r="H62" s="27">
        <f t="shared" si="41"/>
        <v>0</v>
      </c>
      <c r="I62" s="27">
        <f t="shared" si="41"/>
        <v>0</v>
      </c>
      <c r="J62" s="27">
        <f t="shared" si="41"/>
        <v>0</v>
      </c>
      <c r="K62" s="27">
        <f t="shared" si="41"/>
        <v>0</v>
      </c>
      <c r="L62" s="27">
        <f t="shared" si="41"/>
        <v>0</v>
      </c>
      <c r="M62" s="27">
        <f t="shared" si="41"/>
        <v>0</v>
      </c>
      <c r="N62" s="27">
        <f t="shared" si="41"/>
        <v>0</v>
      </c>
      <c r="Q62" s="4"/>
    </row>
    <row r="63" spans="1:19" x14ac:dyDescent="0.2">
      <c r="A63" s="25"/>
      <c r="B63" s="25" t="s">
        <v>127</v>
      </c>
      <c r="C63" s="443" t="str">
        <f t="shared" ref="C63:N63" si="42">C38</f>
        <v>JAN</v>
      </c>
      <c r="D63" s="443" t="str">
        <f t="shared" si="42"/>
        <v>FEB</v>
      </c>
      <c r="E63" s="443" t="str">
        <f t="shared" si="42"/>
        <v>MARS</v>
      </c>
      <c r="F63" s="443" t="str">
        <f t="shared" si="42"/>
        <v>APRIL</v>
      </c>
      <c r="G63" s="443" t="str">
        <f t="shared" si="42"/>
        <v>MAJ</v>
      </c>
      <c r="H63" s="443" t="str">
        <f t="shared" si="42"/>
        <v>JUNI</v>
      </c>
      <c r="I63" s="443" t="str">
        <f t="shared" si="42"/>
        <v>JULI</v>
      </c>
      <c r="J63" s="443" t="str">
        <f t="shared" si="42"/>
        <v>AUG</v>
      </c>
      <c r="K63" s="443" t="str">
        <f t="shared" si="42"/>
        <v>SEP</v>
      </c>
      <c r="L63" s="443" t="str">
        <f t="shared" si="42"/>
        <v>OKT</v>
      </c>
      <c r="M63" s="443" t="str">
        <f t="shared" si="42"/>
        <v>NOV</v>
      </c>
      <c r="N63" s="443" t="str">
        <f t="shared" si="42"/>
        <v>DEC</v>
      </c>
      <c r="O63" s="2"/>
      <c r="P63" s="2"/>
      <c r="Q63" s="4"/>
      <c r="R63" s="2"/>
      <c r="S63" s="2"/>
    </row>
    <row r="64" spans="1:19" x14ac:dyDescent="0.2">
      <c r="A64" s="4"/>
      <c r="B64" s="4" t="s">
        <v>119</v>
      </c>
      <c r="C64" s="27">
        <f>C51</f>
        <v>0</v>
      </c>
      <c r="D64" s="27">
        <f t="shared" ref="D64:N64" si="43">D51</f>
        <v>0</v>
      </c>
      <c r="E64" s="27">
        <f t="shared" si="43"/>
        <v>0</v>
      </c>
      <c r="F64" s="27">
        <f t="shared" si="43"/>
        <v>0</v>
      </c>
      <c r="G64" s="27">
        <f t="shared" si="43"/>
        <v>0</v>
      </c>
      <c r="H64" s="27">
        <f t="shared" si="43"/>
        <v>0</v>
      </c>
      <c r="I64" s="27">
        <f t="shared" si="43"/>
        <v>0</v>
      </c>
      <c r="J64" s="27">
        <f t="shared" si="43"/>
        <v>0</v>
      </c>
      <c r="K64" s="27">
        <f t="shared" si="43"/>
        <v>0</v>
      </c>
      <c r="L64" s="27">
        <f t="shared" si="43"/>
        <v>0</v>
      </c>
      <c r="M64" s="27">
        <f t="shared" si="43"/>
        <v>0</v>
      </c>
      <c r="N64" s="27">
        <f t="shared" si="43"/>
        <v>0</v>
      </c>
    </row>
    <row r="65" spans="1:19" x14ac:dyDescent="0.2">
      <c r="A65" s="4"/>
      <c r="B65" s="4" t="s">
        <v>120</v>
      </c>
      <c r="C65" s="27"/>
      <c r="D65" s="27">
        <f t="shared" ref="D65:N65" si="44">C52+C53</f>
        <v>0</v>
      </c>
      <c r="E65" s="27">
        <f t="shared" si="44"/>
        <v>0</v>
      </c>
      <c r="F65" s="27">
        <f t="shared" si="44"/>
        <v>0</v>
      </c>
      <c r="G65" s="27">
        <f t="shared" si="44"/>
        <v>0</v>
      </c>
      <c r="H65" s="27">
        <f t="shared" si="44"/>
        <v>0</v>
      </c>
      <c r="I65" s="27">
        <f t="shared" si="44"/>
        <v>0</v>
      </c>
      <c r="J65" s="27">
        <f t="shared" si="44"/>
        <v>0</v>
      </c>
      <c r="K65" s="27">
        <f t="shared" si="44"/>
        <v>0</v>
      </c>
      <c r="L65" s="27">
        <f t="shared" si="44"/>
        <v>0</v>
      </c>
      <c r="M65" s="27">
        <f t="shared" si="44"/>
        <v>0</v>
      </c>
      <c r="N65" s="27">
        <f t="shared" si="44"/>
        <v>0</v>
      </c>
    </row>
    <row r="66" spans="1:19" x14ac:dyDescent="0.2">
      <c r="A66" s="4"/>
      <c r="B66" s="4" t="s">
        <v>121</v>
      </c>
      <c r="C66" s="27"/>
      <c r="D66" s="27"/>
      <c r="E66" s="27">
        <f t="shared" ref="E66:N66" si="45">C54+C55</f>
        <v>0</v>
      </c>
      <c r="F66" s="27">
        <f t="shared" si="45"/>
        <v>0</v>
      </c>
      <c r="G66" s="27">
        <f t="shared" si="45"/>
        <v>0</v>
      </c>
      <c r="H66" s="27">
        <f t="shared" si="45"/>
        <v>0</v>
      </c>
      <c r="I66" s="27">
        <f t="shared" si="45"/>
        <v>0</v>
      </c>
      <c r="J66" s="27">
        <f t="shared" si="45"/>
        <v>0</v>
      </c>
      <c r="K66" s="27">
        <f t="shared" si="45"/>
        <v>0</v>
      </c>
      <c r="L66" s="27">
        <f t="shared" si="45"/>
        <v>0</v>
      </c>
      <c r="M66" s="27">
        <f t="shared" si="45"/>
        <v>0</v>
      </c>
      <c r="N66" s="27">
        <f t="shared" si="45"/>
        <v>0</v>
      </c>
    </row>
    <row r="67" spans="1:19" x14ac:dyDescent="0.2">
      <c r="A67" s="4"/>
      <c r="B67" s="4" t="s">
        <v>122</v>
      </c>
      <c r="C67" s="27"/>
      <c r="D67" s="27"/>
      <c r="E67" s="27"/>
      <c r="F67" s="27">
        <f t="shared" ref="F67:N67" si="46">C56+C57</f>
        <v>0</v>
      </c>
      <c r="G67" s="27">
        <f t="shared" si="46"/>
        <v>0</v>
      </c>
      <c r="H67" s="27">
        <f t="shared" si="46"/>
        <v>0</v>
      </c>
      <c r="I67" s="27">
        <f t="shared" si="46"/>
        <v>0</v>
      </c>
      <c r="J67" s="27">
        <f t="shared" si="46"/>
        <v>0</v>
      </c>
      <c r="K67" s="27">
        <f t="shared" si="46"/>
        <v>0</v>
      </c>
      <c r="L67" s="27">
        <f t="shared" si="46"/>
        <v>0</v>
      </c>
      <c r="M67" s="27">
        <f t="shared" si="46"/>
        <v>0</v>
      </c>
      <c r="N67" s="27">
        <f t="shared" si="46"/>
        <v>0</v>
      </c>
    </row>
    <row r="68" spans="1:19" x14ac:dyDescent="0.2">
      <c r="A68" s="4"/>
      <c r="B68" s="4" t="s">
        <v>123</v>
      </c>
      <c r="C68" s="27"/>
      <c r="D68" s="27"/>
      <c r="E68" s="27"/>
      <c r="F68" s="27"/>
      <c r="G68" s="27">
        <f t="shared" ref="G68:N68" si="47">C58+C59</f>
        <v>0</v>
      </c>
      <c r="H68" s="27">
        <f t="shared" si="47"/>
        <v>0</v>
      </c>
      <c r="I68" s="27">
        <f t="shared" si="47"/>
        <v>0</v>
      </c>
      <c r="J68" s="27">
        <f t="shared" si="47"/>
        <v>0</v>
      </c>
      <c r="K68" s="27">
        <f t="shared" si="47"/>
        <v>0</v>
      </c>
      <c r="L68" s="27">
        <f t="shared" si="47"/>
        <v>0</v>
      </c>
      <c r="M68" s="27">
        <f t="shared" si="47"/>
        <v>0</v>
      </c>
      <c r="N68" s="27">
        <f t="shared" si="47"/>
        <v>0</v>
      </c>
    </row>
    <row r="69" spans="1:19" x14ac:dyDescent="0.2">
      <c r="A69" s="4"/>
      <c r="B69" s="4" t="s">
        <v>124</v>
      </c>
      <c r="C69" s="27"/>
      <c r="D69" s="27"/>
      <c r="E69" s="27"/>
      <c r="F69" s="27"/>
      <c r="G69" s="27"/>
      <c r="H69" s="27">
        <f t="shared" ref="H69:N69" si="48">C60+C61</f>
        <v>0</v>
      </c>
      <c r="I69" s="27">
        <f t="shared" si="48"/>
        <v>0</v>
      </c>
      <c r="J69" s="27">
        <f t="shared" si="48"/>
        <v>0</v>
      </c>
      <c r="K69" s="27">
        <f t="shared" si="48"/>
        <v>0</v>
      </c>
      <c r="L69" s="27">
        <f t="shared" si="48"/>
        <v>0</v>
      </c>
      <c r="M69" s="27">
        <f t="shared" si="48"/>
        <v>0</v>
      </c>
      <c r="N69" s="27">
        <f t="shared" si="48"/>
        <v>0</v>
      </c>
    </row>
    <row r="70" spans="1:19" x14ac:dyDescent="0.2">
      <c r="A70" s="4"/>
      <c r="B70" s="4" t="s">
        <v>126</v>
      </c>
      <c r="C70" s="27"/>
      <c r="D70" s="27"/>
      <c r="E70" s="27"/>
      <c r="F70" s="27"/>
      <c r="G70" s="27"/>
      <c r="H70" s="27"/>
      <c r="I70" s="27">
        <f t="shared" ref="I70:N70" si="49">C62</f>
        <v>0</v>
      </c>
      <c r="J70" s="27">
        <f t="shared" si="49"/>
        <v>0</v>
      </c>
      <c r="K70" s="27">
        <f t="shared" si="49"/>
        <v>0</v>
      </c>
      <c r="L70" s="27">
        <f t="shared" si="49"/>
        <v>0</v>
      </c>
      <c r="M70" s="27">
        <f t="shared" si="49"/>
        <v>0</v>
      </c>
      <c r="N70" s="27">
        <f t="shared" si="49"/>
        <v>0</v>
      </c>
    </row>
    <row r="71" spans="1:19" x14ac:dyDescent="0.2">
      <c r="A71" s="25"/>
      <c r="B71" s="25" t="s">
        <v>128</v>
      </c>
      <c r="C71" s="445">
        <f>SUM(C64:C70)</f>
        <v>0</v>
      </c>
      <c r="D71" s="445">
        <f t="shared" ref="D71:N71" si="50">SUM(D64:D70)</f>
        <v>0</v>
      </c>
      <c r="E71" s="445">
        <f t="shared" si="50"/>
        <v>0</v>
      </c>
      <c r="F71" s="445">
        <f t="shared" si="50"/>
        <v>0</v>
      </c>
      <c r="G71" s="445">
        <f t="shared" si="50"/>
        <v>0</v>
      </c>
      <c r="H71" s="445">
        <f t="shared" si="50"/>
        <v>0</v>
      </c>
      <c r="I71" s="445">
        <f t="shared" si="50"/>
        <v>0</v>
      </c>
      <c r="J71" s="445">
        <f t="shared" si="50"/>
        <v>0</v>
      </c>
      <c r="K71" s="445">
        <f t="shared" si="50"/>
        <v>0</v>
      </c>
      <c r="L71" s="445">
        <f t="shared" si="50"/>
        <v>0</v>
      </c>
      <c r="M71" s="445">
        <f t="shared" si="50"/>
        <v>0</v>
      </c>
      <c r="N71" s="445">
        <f t="shared" si="50"/>
        <v>0</v>
      </c>
      <c r="O71" s="2"/>
      <c r="P71" s="2"/>
      <c r="Q71" s="2"/>
      <c r="R71" s="2"/>
      <c r="S71" s="2"/>
    </row>
  </sheetData>
  <sheetProtection algorithmName="SHA-512" hashValue="CRPSbGebFr534S3075c/P2MO51dITswq9J8suOmYIUQgkA4mvqUDda5yTVoXp0cOY1WQQv/7ZbKQuw4HQw7Z0g==" saltValue="j9NihKihGAqJTfq37ThtkA==" spinCount="100000" sheet="1" objects="1" scenarios="1" selectLockedCells="1" selectUnlockedCell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8">
    <tabColor theme="1" tint="4.9989318521683403E-2"/>
  </sheetPr>
  <dimension ref="A2:BI211"/>
  <sheetViews>
    <sheetView showGridLines="0" showZeros="0" zoomScaleNormal="100" workbookViewId="0">
      <selection activeCell="J18" sqref="J18"/>
    </sheetView>
  </sheetViews>
  <sheetFormatPr defaultRowHeight="12.75" x14ac:dyDescent="0.2"/>
  <cols>
    <col min="1" max="1" width="10.5703125" customWidth="1"/>
    <col min="2" max="2" width="3.140625" customWidth="1"/>
    <col min="3" max="3" width="27.5703125" customWidth="1"/>
    <col min="4" max="8" width="6.7109375" customWidth="1"/>
    <col min="9" max="9" width="5.7109375" customWidth="1"/>
    <col min="10" max="10" width="6.7109375" customWidth="1"/>
    <col min="11" max="11" width="5.7109375" customWidth="1"/>
    <col min="12" max="12" width="6.7109375" customWidth="1"/>
    <col min="13" max="13" width="5.7109375" customWidth="1"/>
    <col min="14" max="14" width="6.7109375" customWidth="1"/>
    <col min="15" max="15" width="5.7109375" customWidth="1"/>
    <col min="16" max="16" width="2.7109375" customWidth="1"/>
    <col min="17" max="17" width="3.140625" customWidth="1"/>
    <col min="18" max="18" width="23.7109375" customWidth="1"/>
    <col min="19" max="25" width="10.7109375" customWidth="1"/>
    <col min="26" max="26" width="2.7109375" customWidth="1"/>
    <col min="27" max="27" width="25.140625" customWidth="1"/>
    <col min="28" max="28" width="8.28515625" customWidth="1"/>
    <col min="29" max="30" width="5.140625" customWidth="1"/>
    <col min="31" max="31" width="6.85546875" customWidth="1"/>
    <col min="32" max="32" width="6.140625" customWidth="1"/>
    <col min="33" max="33" width="5.140625" customWidth="1"/>
    <col min="34" max="34" width="6.85546875" customWidth="1"/>
    <col min="35" max="35" width="6.140625" customWidth="1"/>
    <col min="36" max="36" width="5.140625" customWidth="1"/>
    <col min="37" max="37" width="6.85546875" customWidth="1"/>
    <col min="38" max="38" width="4.85546875" customWidth="1"/>
    <col min="39" max="39" width="5.28515625" customWidth="1"/>
    <col min="40" max="40" width="6.85546875" customWidth="1"/>
    <col min="41" max="41" width="6.140625" customWidth="1"/>
    <col min="42" max="42" width="5.140625" customWidth="1"/>
    <col min="43" max="43" width="2.7109375" customWidth="1"/>
    <col min="44" max="44" width="16" customWidth="1"/>
    <col min="45" max="45" width="15.140625" customWidth="1"/>
    <col min="46" max="50" width="12.28515625" customWidth="1"/>
    <col min="51" max="51" width="11.28515625" customWidth="1"/>
  </cols>
  <sheetData>
    <row r="2" spans="2:51" ht="16.899999999999999" customHeight="1" x14ac:dyDescent="0.2">
      <c r="B2" s="2197"/>
      <c r="C2" s="2198"/>
      <c r="D2" s="676"/>
      <c r="E2" s="676"/>
      <c r="F2" s="676"/>
      <c r="G2" s="676"/>
      <c r="H2" s="371"/>
      <c r="J2" s="371"/>
      <c r="K2" s="119"/>
      <c r="L2" s="119"/>
      <c r="M2" s="119"/>
      <c r="N2" s="119"/>
      <c r="O2" s="119"/>
      <c r="Q2" s="2208"/>
      <c r="R2" s="2208"/>
      <c r="S2" s="751"/>
      <c r="T2" s="751"/>
      <c r="U2" s="751"/>
      <c r="V2" s="751"/>
      <c r="W2" s="751"/>
      <c r="X2" s="751"/>
      <c r="Y2" s="751"/>
      <c r="AA2" s="2193"/>
      <c r="AB2" s="2193"/>
      <c r="AC2" s="128"/>
      <c r="AD2" s="128"/>
      <c r="AE2" s="128"/>
      <c r="AF2" s="38"/>
      <c r="AG2" s="38"/>
      <c r="AH2" s="38"/>
      <c r="AI2" s="38"/>
      <c r="AK2" s="38"/>
      <c r="AR2" s="2191"/>
      <c r="AS2" s="128"/>
      <c r="AT2" s="128"/>
      <c r="AU2" s="38"/>
      <c r="AV2" s="38"/>
      <c r="AW2" s="38"/>
      <c r="AY2" t="s">
        <v>0</v>
      </c>
    </row>
    <row r="3" spans="2:51" ht="15.6" customHeight="1" x14ac:dyDescent="0.2">
      <c r="B3" s="483"/>
      <c r="C3" s="1614"/>
      <c r="D3" s="371"/>
      <c r="E3" s="119"/>
      <c r="F3" s="119"/>
      <c r="G3" s="243"/>
      <c r="H3" s="371"/>
      <c r="K3" s="119"/>
      <c r="L3" s="119"/>
      <c r="M3" s="119"/>
      <c r="N3" s="119"/>
      <c r="O3" s="119"/>
      <c r="Q3" s="2194"/>
      <c r="R3" s="2194"/>
      <c r="S3" s="2194"/>
      <c r="T3" s="734"/>
      <c r="U3" s="734"/>
      <c r="W3" s="749">
        <v>0</v>
      </c>
      <c r="X3" s="119"/>
      <c r="Y3" s="119"/>
      <c r="AA3" s="1070"/>
      <c r="AB3" s="1070"/>
      <c r="AC3" s="734"/>
      <c r="AD3" s="734"/>
      <c r="AE3" s="734"/>
      <c r="AF3" s="734"/>
      <c r="AG3" s="71"/>
      <c r="AK3" s="750"/>
      <c r="AL3" s="651"/>
      <c r="AQ3" s="670"/>
      <c r="AR3" s="2191"/>
      <c r="AS3" s="734"/>
      <c r="AT3" s="734"/>
      <c r="AU3" s="734"/>
      <c r="AW3" s="750"/>
      <c r="AX3" s="651"/>
    </row>
    <row r="4" spans="2:51" ht="8.65" customHeight="1" x14ac:dyDescent="0.2">
      <c r="B4" s="483"/>
      <c r="C4" s="371"/>
      <c r="D4" s="371"/>
      <c r="E4" s="2203"/>
      <c r="F4" s="2204"/>
      <c r="G4" s="483"/>
      <c r="H4" s="484"/>
      <c r="I4" s="119"/>
      <c r="J4" s="119"/>
      <c r="K4" s="119"/>
      <c r="L4" s="119"/>
      <c r="M4" s="119"/>
      <c r="N4" s="119"/>
      <c r="O4" s="119"/>
      <c r="Q4" s="2194"/>
      <c r="R4" s="2194"/>
      <c r="S4" s="2194"/>
      <c r="T4" s="119"/>
      <c r="U4" s="119"/>
      <c r="V4" s="119"/>
      <c r="W4" s="119"/>
      <c r="X4" s="119"/>
      <c r="Y4" s="119"/>
      <c r="AA4" s="128" t="s">
        <v>0</v>
      </c>
      <c r="AB4" s="128"/>
      <c r="AC4" s="128"/>
      <c r="AD4" s="128"/>
      <c r="AE4" s="128" t="s">
        <v>0</v>
      </c>
      <c r="AF4" s="128"/>
      <c r="AG4" s="128"/>
      <c r="AH4" s="128" t="s">
        <v>0</v>
      </c>
      <c r="AI4" s="128" t="s">
        <v>0</v>
      </c>
      <c r="AJ4" s="128"/>
      <c r="AK4" s="128"/>
      <c r="AL4" s="128"/>
      <c r="AM4" s="128" t="s">
        <v>0</v>
      </c>
      <c r="AN4" s="128" t="s">
        <v>0</v>
      </c>
      <c r="AO4" s="128" t="s">
        <v>0</v>
      </c>
      <c r="AP4" s="128"/>
    </row>
    <row r="5" spans="2:51" ht="12" customHeight="1" x14ac:dyDescent="0.2">
      <c r="B5" s="1444" t="s">
        <v>255</v>
      </c>
      <c r="C5" s="1438"/>
      <c r="D5" s="1438"/>
      <c r="E5" s="1439"/>
      <c r="F5" s="1439"/>
      <c r="G5" s="2166"/>
      <c r="H5" s="2166"/>
      <c r="I5" s="2169" t="s">
        <v>258</v>
      </c>
      <c r="J5" s="2169"/>
      <c r="K5" s="1597"/>
      <c r="L5" s="2169" t="str">
        <f>'1. T1 INVESTERINGSP.'!E8</f>
        <v>Telefon</v>
      </c>
      <c r="M5" s="2169"/>
      <c r="N5" s="2169"/>
      <c r="O5" s="2169"/>
      <c r="Q5" s="2162" t="s">
        <v>703</v>
      </c>
      <c r="R5" s="2162"/>
      <c r="S5" s="1163"/>
      <c r="T5" s="1162" t="str">
        <f>D51</f>
        <v>Realiserad</v>
      </c>
      <c r="U5" s="1162" t="str">
        <f>T5</f>
        <v>Realiserad</v>
      </c>
      <c r="V5" s="1162" t="s">
        <v>276</v>
      </c>
      <c r="W5" s="1162" t="s">
        <v>277</v>
      </c>
      <c r="X5" s="1162" t="s">
        <v>278</v>
      </c>
      <c r="Y5" s="1162" t="s">
        <v>279</v>
      </c>
      <c r="AA5" s="2186" t="s">
        <v>746</v>
      </c>
      <c r="AB5" s="2186"/>
      <c r="AC5" s="2186"/>
      <c r="AD5" s="2186"/>
      <c r="AE5" s="2161" t="str">
        <f>T5</f>
        <v>Realiserad</v>
      </c>
      <c r="AF5" s="2161"/>
      <c r="AG5" s="2161" t="str">
        <f>U5</f>
        <v>Realiserad</v>
      </c>
      <c r="AH5" s="2161"/>
      <c r="AI5" s="2161" t="str">
        <f>V5</f>
        <v>Prognos 1</v>
      </c>
      <c r="AJ5" s="2161"/>
      <c r="AK5" s="2161" t="str">
        <f>W5</f>
        <v>Prognos 2</v>
      </c>
      <c r="AL5" s="2161"/>
      <c r="AM5" s="2161" t="str">
        <f>X5</f>
        <v>Prognos 3</v>
      </c>
      <c r="AN5" s="2161"/>
      <c r="AO5" s="2161" t="str">
        <f>Y5</f>
        <v>Prognos 4</v>
      </c>
      <c r="AP5" s="2161"/>
      <c r="AR5" s="2190" t="s">
        <v>762</v>
      </c>
      <c r="AS5" s="2190"/>
      <c r="AT5" s="2189" t="str">
        <f>AU5</f>
        <v>Realiserad</v>
      </c>
      <c r="AU5" s="2189" t="str">
        <f>'2. &amp; 7. T2 RESULTATB.'!G7</f>
        <v>Realiserad</v>
      </c>
      <c r="AV5" s="2161" t="str">
        <f>AI5</f>
        <v>Prognos 1</v>
      </c>
      <c r="AW5" s="2161" t="str">
        <f>AK5</f>
        <v>Prognos 2</v>
      </c>
      <c r="AX5" s="2161" t="str">
        <f>AM5</f>
        <v>Prognos 3</v>
      </c>
      <c r="AY5" s="2161" t="str">
        <f>AO5</f>
        <v>Prognos 4</v>
      </c>
    </row>
    <row r="6" spans="2:51" ht="12.6" customHeight="1" x14ac:dyDescent="0.2">
      <c r="B6" s="1612">
        <f>'2. &amp; 7. T2 RESULTATB.'!B5</f>
        <v>0</v>
      </c>
      <c r="C6" s="1612"/>
      <c r="D6" s="1612"/>
      <c r="E6" s="1612"/>
      <c r="F6" s="1612"/>
      <c r="G6" s="1613"/>
      <c r="H6" s="1611"/>
      <c r="I6" s="2167">
        <f>'1. T1 INVESTERINGSP.'!E4</f>
        <v>0</v>
      </c>
      <c r="J6" s="2168"/>
      <c r="K6" s="1610"/>
      <c r="L6" s="1615">
        <f>'1. T1 INVESTERINGSP.'!E9</f>
        <v>0</v>
      </c>
      <c r="M6" s="1615"/>
      <c r="N6" s="1615"/>
      <c r="O6" s="1615"/>
      <c r="Q6" s="2162"/>
      <c r="R6" s="2162"/>
      <c r="S6" s="1163"/>
      <c r="T6" s="1162">
        <f>'3. T3 BALANS'!F11</f>
        <v>2023</v>
      </c>
      <c r="U6" s="1162">
        <f>'3. T3 BALANS'!G11</f>
        <v>2024</v>
      </c>
      <c r="V6" s="1162">
        <f>'3. T3 BALANS'!H11</f>
        <v>2027</v>
      </c>
      <c r="W6" s="1162">
        <f>'3. T3 BALANS'!I11</f>
        <v>2028</v>
      </c>
      <c r="X6" s="1162">
        <f>'3. T3 BALANS'!J11</f>
        <v>2029</v>
      </c>
      <c r="Y6" s="1162">
        <f>'3. T3 BALANS'!K11</f>
        <v>2030</v>
      </c>
      <c r="AA6" s="2186"/>
      <c r="AB6" s="2186"/>
      <c r="AC6" s="2186"/>
      <c r="AD6" s="2186"/>
      <c r="AE6" s="2187">
        <f>T6</f>
        <v>2023</v>
      </c>
      <c r="AF6" s="2187"/>
      <c r="AG6" s="2187">
        <f>U6</f>
        <v>2024</v>
      </c>
      <c r="AH6" s="2187"/>
      <c r="AI6" s="2187">
        <f>V6</f>
        <v>2027</v>
      </c>
      <c r="AJ6" s="2187"/>
      <c r="AK6" s="2187">
        <f>W6</f>
        <v>2028</v>
      </c>
      <c r="AL6" s="2187"/>
      <c r="AM6" s="2187">
        <f>X6</f>
        <v>2029</v>
      </c>
      <c r="AN6" s="2187"/>
      <c r="AO6" s="2187">
        <f>Y6</f>
        <v>2030</v>
      </c>
      <c r="AP6" s="2187"/>
      <c r="AR6" s="2190"/>
      <c r="AS6" s="2190"/>
      <c r="AT6" s="2189"/>
      <c r="AU6" s="2189"/>
      <c r="AV6" s="2161"/>
      <c r="AW6" s="2161"/>
      <c r="AX6" s="2161"/>
      <c r="AY6" s="2161"/>
    </row>
    <row r="7" spans="2:51" ht="11.25" customHeight="1" x14ac:dyDescent="0.2">
      <c r="B7" s="1443" t="s">
        <v>256</v>
      </c>
      <c r="C7" s="1440"/>
      <c r="D7" s="1440"/>
      <c r="E7" s="1441"/>
      <c r="F7" s="1441"/>
      <c r="G7" s="1441"/>
      <c r="H7" s="1441"/>
      <c r="I7" s="2169" t="s">
        <v>685</v>
      </c>
      <c r="J7" s="2169"/>
      <c r="K7" s="2169"/>
      <c r="L7" s="2169"/>
      <c r="M7" s="2169"/>
      <c r="N7" s="2169"/>
      <c r="O7" s="2169"/>
      <c r="Q7" s="758" t="s">
        <v>69</v>
      </c>
      <c r="R7" s="2195" t="s">
        <v>329</v>
      </c>
      <c r="S7" s="2196" t="s">
        <v>329</v>
      </c>
      <c r="T7" s="759">
        <f>'3. T3 BALANS'!F13/1000</f>
        <v>0</v>
      </c>
      <c r="U7" s="757">
        <f>'3. T3 BALANS'!G13/1000</f>
        <v>0</v>
      </c>
      <c r="V7" s="757">
        <f>'3. T3 BALANS'!H13/1000</f>
        <v>0</v>
      </c>
      <c r="W7" s="757">
        <f>'3. T3 BALANS'!I13/1000</f>
        <v>0</v>
      </c>
      <c r="X7" s="757">
        <f>'3. T3 BALANS'!J13/1000</f>
        <v>0</v>
      </c>
      <c r="Y7" s="757">
        <f>'3. T3 BALANS'!K13/1000</f>
        <v>0</v>
      </c>
      <c r="AA7" s="770" t="s">
        <v>747</v>
      </c>
      <c r="AB7" s="771" t="s">
        <v>0</v>
      </c>
      <c r="AC7" s="771"/>
      <c r="AD7" s="948" t="s">
        <v>17</v>
      </c>
      <c r="AE7" s="2175">
        <f>'8. T4 FINANSIERINGSB.'!F49/1000</f>
        <v>0</v>
      </c>
      <c r="AF7" s="2175"/>
      <c r="AG7" s="2175">
        <f>'8. T4 FINANSIERINGSB.'!G49/1000</f>
        <v>0</v>
      </c>
      <c r="AH7" s="2175"/>
      <c r="AI7" s="2175">
        <f>'8. T4 FINANSIERINGSB.'!H49/1000</f>
        <v>0</v>
      </c>
      <c r="AJ7" s="2175"/>
      <c r="AK7" s="2175">
        <f>'8. T4 FINANSIERINGSB.'!I49/1000</f>
        <v>0</v>
      </c>
      <c r="AL7" s="2175"/>
      <c r="AM7" s="2175">
        <f>'8. T4 FINANSIERINGSB.'!J49/1000</f>
        <v>0</v>
      </c>
      <c r="AN7" s="2175"/>
      <c r="AO7" s="2175">
        <f>'8. T4 FINANSIERINGSB.'!K49/1000</f>
        <v>0</v>
      </c>
      <c r="AP7" s="2175"/>
      <c r="AR7" s="2190"/>
      <c r="AS7" s="2190"/>
      <c r="AT7" s="1167">
        <f>AE6</f>
        <v>2023</v>
      </c>
      <c r="AU7" s="1167">
        <f>AG6</f>
        <v>2024</v>
      </c>
      <c r="AV7" s="1167">
        <f>AI6</f>
        <v>2027</v>
      </c>
      <c r="AW7" s="1167">
        <f>AK6</f>
        <v>2028</v>
      </c>
      <c r="AX7" s="1167">
        <f>AM6</f>
        <v>2029</v>
      </c>
      <c r="AY7" s="1167">
        <f>AO6</f>
        <v>2030</v>
      </c>
    </row>
    <row r="8" spans="2:51" ht="11.25" customHeight="1" x14ac:dyDescent="0.2">
      <c r="B8" s="1598">
        <f>'1. T1 INVESTERINGSP.'!B9:D9</f>
        <v>0</v>
      </c>
      <c r="C8" s="1596"/>
      <c r="D8" s="1596"/>
      <c r="E8" s="1596"/>
      <c r="F8" s="1596"/>
      <c r="G8" s="1596"/>
      <c r="H8" s="1610"/>
      <c r="I8" s="2170">
        <f>'1. T1 INVESTERINGSP.'!E7</f>
        <v>0</v>
      </c>
      <c r="J8" s="2171"/>
      <c r="K8" s="2171"/>
      <c r="L8" s="2171"/>
      <c r="M8" s="2171"/>
      <c r="N8" s="2171"/>
      <c r="O8" s="2171"/>
      <c r="Q8" s="753"/>
      <c r="R8" s="2178" t="s">
        <v>704</v>
      </c>
      <c r="S8" s="2179" t="s">
        <v>704</v>
      </c>
      <c r="T8" s="760">
        <f>'3. T3 BALANS'!F14/1000</f>
        <v>0</v>
      </c>
      <c r="U8" s="754">
        <f>'3. T3 BALANS'!G14/1000</f>
        <v>0</v>
      </c>
      <c r="V8" s="754">
        <f>'3. T3 BALANS'!H14/1000</f>
        <v>0</v>
      </c>
      <c r="W8" s="754">
        <f>'3. T3 BALANS'!I14/1000</f>
        <v>0</v>
      </c>
      <c r="X8" s="754">
        <f>'3. T3 BALANS'!J14/1000</f>
        <v>0</v>
      </c>
      <c r="Y8" s="754">
        <f>'3. T3 BALANS'!K14/1000</f>
        <v>0</v>
      </c>
      <c r="AA8" s="2184" t="s">
        <v>584</v>
      </c>
      <c r="AB8" s="2184"/>
      <c r="AC8" s="2184"/>
      <c r="AD8" s="2185"/>
      <c r="AE8" s="2188">
        <f>'8. T4 FINANSIERINGSB.'!F50</f>
        <v>0</v>
      </c>
      <c r="AF8" s="2188"/>
      <c r="AG8" s="2188">
        <f>'8. T4 FINANSIERINGSB.'!G50</f>
        <v>0</v>
      </c>
      <c r="AH8" s="2188"/>
      <c r="AI8" s="2188">
        <f>'8. T4 FINANSIERINGSB.'!H50</f>
        <v>0</v>
      </c>
      <c r="AJ8" s="2188"/>
      <c r="AK8" s="2188">
        <f>'8. T4 FINANSIERINGSB.'!I50</f>
        <v>0</v>
      </c>
      <c r="AL8" s="2188"/>
      <c r="AM8" s="2188">
        <f>'8. T4 FINANSIERINGSB.'!J50</f>
        <v>0</v>
      </c>
      <c r="AN8" s="2188"/>
      <c r="AO8" s="2188">
        <f>'8. T4 FINANSIERINGSB.'!K50</f>
        <v>0</v>
      </c>
      <c r="AP8" s="2188"/>
      <c r="AR8" s="894" t="str">
        <f>'8. T4 FINANSIERINGSB.'!M28</f>
        <v xml:space="preserve"> LIKVIDITET</v>
      </c>
      <c r="AS8" s="119"/>
      <c r="AU8" s="125"/>
      <c r="AV8" s="125"/>
      <c r="AW8" s="774"/>
    </row>
    <row r="9" spans="2:51" ht="11.25" customHeight="1" x14ac:dyDescent="0.2">
      <c r="B9" s="2207" t="s">
        <v>257</v>
      </c>
      <c r="C9" s="2207"/>
      <c r="D9" s="2207"/>
      <c r="E9" s="1442"/>
      <c r="F9" s="1442"/>
      <c r="G9" s="1442"/>
      <c r="H9" s="1442"/>
      <c r="I9" s="2169" t="str">
        <f>'1. T1 INVESTERINGSP.'!E10</f>
        <v>Startdatum</v>
      </c>
      <c r="J9" s="2169"/>
      <c r="K9" s="2169"/>
      <c r="L9" s="2169"/>
      <c r="M9" s="2169"/>
      <c r="N9" s="2169"/>
      <c r="O9" s="2169"/>
      <c r="Q9" s="753"/>
      <c r="R9" s="2178" t="s">
        <v>705</v>
      </c>
      <c r="S9" s="2179" t="s">
        <v>705</v>
      </c>
      <c r="T9" s="760">
        <f>'3. T3 BALANS'!F18/1000</f>
        <v>0</v>
      </c>
      <c r="U9" s="754">
        <f>'3. T3 BALANS'!G18/1000</f>
        <v>0</v>
      </c>
      <c r="V9" s="754">
        <f>'3. T3 BALANS'!H18/1000</f>
        <v>0</v>
      </c>
      <c r="W9" s="754">
        <f>'3. T3 BALANS'!I18/1000</f>
        <v>0</v>
      </c>
      <c r="X9" s="754">
        <f>'3. T3 BALANS'!J18/1000</f>
        <v>0</v>
      </c>
      <c r="Y9" s="754">
        <f>'3. T3 BALANS'!K18/1000</f>
        <v>0</v>
      </c>
      <c r="AA9" s="772" t="s">
        <v>748</v>
      </c>
      <c r="AB9" s="773" t="s">
        <v>0</v>
      </c>
      <c r="AC9" s="773"/>
      <c r="AD9" s="1678" t="s">
        <v>17</v>
      </c>
      <c r="AE9" s="2175">
        <f>'8. T4 FINANSIERINGSB.'!F51/1000</f>
        <v>0</v>
      </c>
      <c r="AF9" s="2175"/>
      <c r="AG9" s="2175">
        <f>'8. T4 FINANSIERINGSB.'!G51/1000</f>
        <v>0</v>
      </c>
      <c r="AH9" s="2175"/>
      <c r="AI9" s="2175">
        <f>'8. T4 FINANSIERINGSB.'!H51/1000</f>
        <v>0</v>
      </c>
      <c r="AJ9" s="2175"/>
      <c r="AK9" s="2175">
        <f>'8. T4 FINANSIERINGSB.'!I51/1000</f>
        <v>0</v>
      </c>
      <c r="AL9" s="2175"/>
      <c r="AM9" s="2175">
        <f>'8. T4 FINANSIERINGSB.'!J51/1000</f>
        <v>0</v>
      </c>
      <c r="AN9" s="2175"/>
      <c r="AO9" s="2175">
        <f>'8. T4 FINANSIERINGSB.'!K51/1000</f>
        <v>0</v>
      </c>
      <c r="AP9" s="2175"/>
      <c r="AR9" s="776" t="s">
        <v>92</v>
      </c>
      <c r="AS9" s="777"/>
      <c r="AT9" s="775">
        <f>'8. T4 FINANSIERINGSB.'!P29</f>
        <v>0</v>
      </c>
      <c r="AU9" s="775">
        <f>'8. T4 FINANSIERINGSB.'!Q29</f>
        <v>0</v>
      </c>
      <c r="AV9" s="775">
        <f>'8. T4 FINANSIERINGSB.'!R29</f>
        <v>0</v>
      </c>
      <c r="AW9" s="775">
        <f>'8. T4 FINANSIERINGSB.'!S29</f>
        <v>0</v>
      </c>
      <c r="AX9" s="775">
        <f>'8. T4 FINANSIERINGSB.'!T29</f>
        <v>0</v>
      </c>
      <c r="AY9" s="775">
        <f>'8. T4 FINANSIERINGSB.'!U29</f>
        <v>0</v>
      </c>
    </row>
    <row r="10" spans="2:51" ht="11.25" customHeight="1" x14ac:dyDescent="0.2">
      <c r="B10" s="2256">
        <f>'1. T1 INVESTERINGSP.'!B11</f>
        <v>0</v>
      </c>
      <c r="C10" s="2257"/>
      <c r="D10" s="2257"/>
      <c r="E10" s="2257"/>
      <c r="F10" s="2257"/>
      <c r="G10" s="2257"/>
      <c r="H10" s="2257"/>
      <c r="I10" s="2172">
        <f>'1. T1 INVESTERINGSP.'!E11</f>
        <v>0</v>
      </c>
      <c r="J10" s="2172"/>
      <c r="K10" s="2172"/>
      <c r="L10" s="2172"/>
      <c r="M10" s="2172"/>
      <c r="N10" s="2172"/>
      <c r="O10" s="2172"/>
      <c r="Q10" s="753"/>
      <c r="R10" s="2178" t="s">
        <v>336</v>
      </c>
      <c r="S10" s="2179" t="s">
        <v>336</v>
      </c>
      <c r="T10" s="760">
        <f>'3. T3 BALANS'!F19/1000</f>
        <v>0</v>
      </c>
      <c r="U10" s="754">
        <f>'3. T3 BALANS'!G19/1000</f>
        <v>0</v>
      </c>
      <c r="V10" s="754">
        <f>'3. T3 BALANS'!H19/1000</f>
        <v>0</v>
      </c>
      <c r="W10" s="754">
        <f>'3. T3 BALANS'!I19/1000</f>
        <v>0</v>
      </c>
      <c r="X10" s="754">
        <f>'3. T3 BALANS'!J19/1000</f>
        <v>0</v>
      </c>
      <c r="Y10" s="754">
        <f>'3. T3 BALANS'!K19/1000</f>
        <v>0</v>
      </c>
      <c r="AA10" s="2184" t="s">
        <v>348</v>
      </c>
      <c r="AB10" s="2184"/>
      <c r="AC10" s="2184"/>
      <c r="AD10" s="2185"/>
      <c r="AE10" s="2192">
        <f>'8. T4 FINANSIERINGSB.'!F52</f>
        <v>0</v>
      </c>
      <c r="AF10" s="2192"/>
      <c r="AG10" s="2192">
        <f>'8. T4 FINANSIERINGSB.'!G52</f>
        <v>0</v>
      </c>
      <c r="AH10" s="2192"/>
      <c r="AI10" s="2192">
        <f>'8. T4 FINANSIERINGSB.'!H52</f>
        <v>0</v>
      </c>
      <c r="AJ10" s="2192"/>
      <c r="AK10" s="2192">
        <f>'8. T4 FINANSIERINGSB.'!I52</f>
        <v>0</v>
      </c>
      <c r="AL10" s="2192"/>
      <c r="AM10" s="2192">
        <f>'8. T4 FINANSIERINGSB.'!J52</f>
        <v>0</v>
      </c>
      <c r="AN10" s="2192"/>
      <c r="AO10" s="2192">
        <f>'8. T4 FINANSIERINGSB.'!K52</f>
        <v>0</v>
      </c>
      <c r="AP10" s="2192"/>
      <c r="AR10" s="371"/>
      <c r="AS10" s="949" t="s">
        <v>606</v>
      </c>
      <c r="AT10" s="950">
        <f>'8. T4 FINANSIERINGSB.'!P30</f>
        <v>0</v>
      </c>
      <c r="AU10" s="950">
        <f>'8. T4 FINANSIERINGSB.'!Q30</f>
        <v>0</v>
      </c>
      <c r="AV10" s="950">
        <f>'8. T4 FINANSIERINGSB.'!R30</f>
        <v>0</v>
      </c>
      <c r="AW10" s="950">
        <f>'8. T4 FINANSIERINGSB.'!S30</f>
        <v>0</v>
      </c>
      <c r="AX10" s="950">
        <f>'8. T4 FINANSIERINGSB.'!T30</f>
        <v>0</v>
      </c>
      <c r="AY10" s="950">
        <f>'8. T4 FINANSIERINGSB.'!U30</f>
        <v>0</v>
      </c>
    </row>
    <row r="11" spans="2:51" ht="11.25" customHeight="1" x14ac:dyDescent="0.2">
      <c r="B11" s="2257"/>
      <c r="C11" s="2257"/>
      <c r="D11" s="2257"/>
      <c r="E11" s="2257"/>
      <c r="F11" s="2257"/>
      <c r="G11" s="2257"/>
      <c r="H11" s="2257"/>
      <c r="I11" s="2169" t="s">
        <v>262</v>
      </c>
      <c r="J11" s="2169"/>
      <c r="K11" s="2169"/>
      <c r="L11" s="2169"/>
      <c r="M11" s="2169"/>
      <c r="N11" s="2169"/>
      <c r="O11" s="2169"/>
      <c r="Q11" s="753"/>
      <c r="R11" s="2178" t="s">
        <v>337</v>
      </c>
      <c r="S11" s="2179" t="s">
        <v>337</v>
      </c>
      <c r="T11" s="760">
        <f>'3. T3 BALANS'!F22/1000</f>
        <v>0</v>
      </c>
      <c r="U11" s="754">
        <f>'3. T3 BALANS'!G22/1000</f>
        <v>0</v>
      </c>
      <c r="V11" s="754">
        <f>'3. T3 BALANS'!H22/1000</f>
        <v>0</v>
      </c>
      <c r="W11" s="754">
        <f>'3. T3 BALANS'!I22/1000</f>
        <v>0</v>
      </c>
      <c r="X11" s="754">
        <f>'3. T3 BALANS'!J22/1000</f>
        <v>0</v>
      </c>
      <c r="Y11" s="754">
        <f>'3. T3 BALANS'!K22/1000</f>
        <v>0</v>
      </c>
      <c r="AA11" s="772" t="s">
        <v>749</v>
      </c>
      <c r="AB11" s="773" t="s">
        <v>0</v>
      </c>
      <c r="AC11" s="773"/>
      <c r="AD11" s="1678" t="s">
        <v>17</v>
      </c>
      <c r="AE11" s="2175">
        <f>'8. T4 FINANSIERINGSB.'!F53/1000</f>
        <v>0</v>
      </c>
      <c r="AF11" s="2175"/>
      <c r="AG11" s="2175">
        <f>'8. T4 FINANSIERINGSB.'!G53/1000</f>
        <v>0</v>
      </c>
      <c r="AH11" s="2175"/>
      <c r="AI11" s="2175">
        <f>'8. T4 FINANSIERINGSB.'!H53/1000</f>
        <v>0</v>
      </c>
      <c r="AJ11" s="2175"/>
      <c r="AK11" s="2175">
        <f>'8. T4 FINANSIERINGSB.'!I53/1000</f>
        <v>0</v>
      </c>
      <c r="AL11" s="2175"/>
      <c r="AM11" s="2175">
        <f>'8. T4 FINANSIERINGSB.'!J53/1000</f>
        <v>0</v>
      </c>
      <c r="AN11" s="2175"/>
      <c r="AO11" s="2175">
        <f>'8. T4 FINANSIERINGSB.'!K53/1000</f>
        <v>0</v>
      </c>
      <c r="AP11" s="2175"/>
      <c r="AR11" s="776" t="s">
        <v>93</v>
      </c>
      <c r="AS11" s="777"/>
      <c r="AT11" s="775">
        <f>'8. T4 FINANSIERINGSB.'!P31</f>
        <v>0</v>
      </c>
      <c r="AU11" s="775">
        <f>'8. T4 FINANSIERINGSB.'!Q31</f>
        <v>0</v>
      </c>
      <c r="AV11" s="775">
        <f>'8. T4 FINANSIERINGSB.'!R31</f>
        <v>0</v>
      </c>
      <c r="AW11" s="775">
        <f>'8. T4 FINANSIERINGSB.'!S31</f>
        <v>0</v>
      </c>
      <c r="AX11" s="775">
        <f>'8. T4 FINANSIERINGSB.'!T31</f>
        <v>0</v>
      </c>
      <c r="AY11" s="775">
        <f>'8. T4 FINANSIERINGSB.'!U31</f>
        <v>0</v>
      </c>
    </row>
    <row r="12" spans="2:51" ht="11.25" customHeight="1" x14ac:dyDescent="0.2">
      <c r="B12" s="2258"/>
      <c r="C12" s="2258"/>
      <c r="D12" s="2258"/>
      <c r="E12" s="2258"/>
      <c r="F12" s="2258"/>
      <c r="G12" s="2258"/>
      <c r="H12" s="2258"/>
      <c r="I12" s="2173">
        <f>'1. T1 INVESTERINGSP.'!E13</f>
        <v>0</v>
      </c>
      <c r="J12" s="2173"/>
      <c r="K12" s="2173"/>
      <c r="L12" s="2173"/>
      <c r="M12" s="2173"/>
      <c r="N12" s="2173"/>
      <c r="O12" s="2173"/>
      <c r="Q12" s="753"/>
      <c r="R12" s="2178" t="s">
        <v>338</v>
      </c>
      <c r="S12" s="2179" t="s">
        <v>338</v>
      </c>
      <c r="T12" s="760">
        <f>'3. T3 BALANS'!F26/1000</f>
        <v>0</v>
      </c>
      <c r="U12" s="754">
        <f>'3. T3 BALANS'!G26/1000</f>
        <v>0</v>
      </c>
      <c r="V12" s="754">
        <f>'3. T3 BALANS'!H26/1000</f>
        <v>0</v>
      </c>
      <c r="W12" s="754">
        <f>'3. T3 BALANS'!I26/1000</f>
        <v>0</v>
      </c>
      <c r="X12" s="754">
        <f>'3. T3 BALANS'!J26/1000</f>
        <v>0</v>
      </c>
      <c r="Y12" s="754">
        <f>'3. T3 BALANS'!K26/1000</f>
        <v>0</v>
      </c>
      <c r="AA12" s="772" t="s">
        <v>750</v>
      </c>
      <c r="AB12" s="773" t="s">
        <v>0</v>
      </c>
      <c r="AC12" s="773"/>
      <c r="AD12" s="1678" t="s">
        <v>17</v>
      </c>
      <c r="AE12" s="2175"/>
      <c r="AF12" s="2175"/>
      <c r="AG12" s="2175"/>
      <c r="AH12" s="2175"/>
      <c r="AI12" s="2175">
        <f>'8. T4 FINANSIERINGSB.'!H54/1000</f>
        <v>0</v>
      </c>
      <c r="AJ12" s="2175"/>
      <c r="AK12" s="2175">
        <f>'8. T4 FINANSIERINGSB.'!I54/1000</f>
        <v>0</v>
      </c>
      <c r="AL12" s="2175"/>
      <c r="AM12" s="2175">
        <f>'8. T4 FINANSIERINGSB.'!J54/1000</f>
        <v>0</v>
      </c>
      <c r="AN12" s="2175"/>
      <c r="AO12" s="2175">
        <f>'8. T4 FINANSIERINGSB.'!K54/1000</f>
        <v>0</v>
      </c>
      <c r="AP12" s="2175"/>
      <c r="AR12" s="371"/>
      <c r="AS12" s="949" t="str">
        <f>AS10</f>
        <v>Vitsord</v>
      </c>
      <c r="AT12" s="950">
        <f>'8. T4 FINANSIERINGSB.'!P32</f>
        <v>0</v>
      </c>
      <c r="AU12" s="950">
        <f>'8. T4 FINANSIERINGSB.'!Q32</f>
        <v>0</v>
      </c>
      <c r="AV12" s="950">
        <f>'8. T4 FINANSIERINGSB.'!R32</f>
        <v>0</v>
      </c>
      <c r="AW12" s="950">
        <f>'8. T4 FINANSIERINGSB.'!S32</f>
        <v>0</v>
      </c>
      <c r="AX12" s="950">
        <f>'8. T4 FINANSIERINGSB.'!T32</f>
        <v>0</v>
      </c>
      <c r="AY12" s="950">
        <f>'8. T4 FINANSIERINGSB.'!U32</f>
        <v>0</v>
      </c>
    </row>
    <row r="13" spans="2:51" ht="10.9" customHeight="1" x14ac:dyDescent="0.2">
      <c r="B13" s="483"/>
      <c r="C13" s="371"/>
      <c r="D13" s="371"/>
      <c r="E13" s="371"/>
      <c r="F13" s="371"/>
      <c r="G13" s="371"/>
      <c r="H13" s="371"/>
      <c r="I13" s="119"/>
      <c r="J13" s="119"/>
      <c r="K13" s="119"/>
      <c r="L13" s="119"/>
      <c r="M13" s="119"/>
      <c r="N13" s="119"/>
      <c r="O13" s="119"/>
      <c r="Q13" s="753"/>
      <c r="R13" s="2178" t="s">
        <v>706</v>
      </c>
      <c r="S13" s="2179" t="s">
        <v>706</v>
      </c>
      <c r="T13" s="760">
        <f>'3. T3 BALANS'!F30/1000</f>
        <v>0</v>
      </c>
      <c r="U13" s="754">
        <f>'3. T3 BALANS'!G30/1000</f>
        <v>0</v>
      </c>
      <c r="V13" s="754">
        <f>'3. T3 BALANS'!H30/1000</f>
        <v>0</v>
      </c>
      <c r="W13" s="754">
        <f>'3. T3 BALANS'!I30/1000</f>
        <v>0</v>
      </c>
      <c r="X13" s="754">
        <f>'3. T3 BALANS'!J30/1000</f>
        <v>0</v>
      </c>
      <c r="Y13" s="754">
        <f>'3. T3 BALANS'!K30/1000</f>
        <v>0</v>
      </c>
      <c r="AA13" s="2209" t="s">
        <v>588</v>
      </c>
      <c r="AB13" s="2209"/>
      <c r="AC13" s="2209"/>
      <c r="AD13" s="2210"/>
      <c r="AE13" s="2182">
        <f>'8. T4 FINANSIERINGSB.'!F55</f>
        <v>0</v>
      </c>
      <c r="AF13" s="2182"/>
      <c r="AG13" s="2182">
        <f>'8. T4 FINANSIERINGSB.'!G55</f>
        <v>0</v>
      </c>
      <c r="AH13" s="2182"/>
      <c r="AI13" s="2182">
        <f>'8. T4 FINANSIERINGSB.'!H55</f>
        <v>0</v>
      </c>
      <c r="AJ13" s="2182"/>
      <c r="AK13" s="2182">
        <f>'8. T4 FINANSIERINGSB.'!I55</f>
        <v>0</v>
      </c>
      <c r="AL13" s="2182"/>
      <c r="AM13" s="2182">
        <f>'8. T4 FINANSIERINGSB.'!J55</f>
        <v>0</v>
      </c>
      <c r="AN13" s="2182"/>
      <c r="AO13" s="2182">
        <f>'8. T4 FINANSIERINGSB.'!K55</f>
        <v>0</v>
      </c>
      <c r="AP13" s="2182"/>
      <c r="AR13" s="776" t="s">
        <v>608</v>
      </c>
      <c r="AS13" s="777"/>
      <c r="AT13" s="978"/>
      <c r="AU13" s="775">
        <f>'8. T4 FINANSIERINGSB.'!Q33</f>
        <v>0</v>
      </c>
      <c r="AV13" s="775">
        <f>'8. T4 FINANSIERINGSB.'!R33</f>
        <v>0</v>
      </c>
      <c r="AW13" s="775">
        <f>'8. T4 FINANSIERINGSB.'!S33</f>
        <v>0</v>
      </c>
      <c r="AX13" s="775">
        <f>'8. T4 FINANSIERINGSB.'!T33</f>
        <v>0</v>
      </c>
      <c r="AY13" s="775">
        <f>'8. T4 FINANSIERINGSB.'!U33</f>
        <v>0</v>
      </c>
    </row>
    <row r="14" spans="2:51" ht="11.25" customHeight="1" x14ac:dyDescent="0.2">
      <c r="B14" s="2205" t="s">
        <v>690</v>
      </c>
      <c r="C14" s="2205"/>
      <c r="D14" s="1698" t="s">
        <v>686</v>
      </c>
      <c r="E14" s="1698" t="s">
        <v>687</v>
      </c>
      <c r="F14" s="1698" t="s">
        <v>688</v>
      </c>
      <c r="G14" s="1698" t="s">
        <v>689</v>
      </c>
      <c r="H14" s="2199" t="s">
        <v>650</v>
      </c>
      <c r="I14" s="2201" t="s">
        <v>691</v>
      </c>
      <c r="J14" s="2201"/>
      <c r="K14" s="2201"/>
      <c r="L14" s="2201"/>
      <c r="M14" s="2201"/>
      <c r="N14" s="2201"/>
      <c r="O14" s="2201"/>
      <c r="Q14" s="753"/>
      <c r="R14" s="2178" t="s">
        <v>707</v>
      </c>
      <c r="S14" s="2179" t="s">
        <v>707</v>
      </c>
      <c r="T14" s="760">
        <f>'3. T3 BALANS'!F34/1000</f>
        <v>0</v>
      </c>
      <c r="U14" s="754">
        <f>'3. T3 BALANS'!G34/1000</f>
        <v>0</v>
      </c>
      <c r="V14" s="754">
        <f>'3. T3 BALANS'!H34/1000</f>
        <v>0</v>
      </c>
      <c r="W14" s="754">
        <f>'3. T3 BALANS'!I34/1000</f>
        <v>0</v>
      </c>
      <c r="X14" s="754">
        <f>'3. T3 BALANS'!J34/1000</f>
        <v>0</v>
      </c>
      <c r="Y14" s="754">
        <f>'3. T3 BALANS'!K34/1000</f>
        <v>0</v>
      </c>
      <c r="AA14" s="772" t="s">
        <v>751</v>
      </c>
      <c r="AB14" s="773" t="s">
        <v>0</v>
      </c>
      <c r="AC14" s="773"/>
      <c r="AD14" s="1679" t="s">
        <v>152</v>
      </c>
      <c r="AE14" s="2175">
        <f>'8. T4 FINANSIERINGSB.'!F56/1000</f>
        <v>0</v>
      </c>
      <c r="AF14" s="2175"/>
      <c r="AG14" s="2175">
        <f>'8. T4 FINANSIERINGSB.'!G56/1000</f>
        <v>0</v>
      </c>
      <c r="AH14" s="2175"/>
      <c r="AI14" s="2175">
        <f>'8. T4 FINANSIERINGSB.'!H56/1000</f>
        <v>0</v>
      </c>
      <c r="AJ14" s="2175"/>
      <c r="AK14" s="2175">
        <f>'8. T4 FINANSIERINGSB.'!I56/1000</f>
        <v>0</v>
      </c>
      <c r="AL14" s="2175"/>
      <c r="AM14" s="2175">
        <f>'8. T4 FINANSIERINGSB.'!J56/1000</f>
        <v>0</v>
      </c>
      <c r="AN14" s="2175"/>
      <c r="AO14" s="2175">
        <f>'8. T4 FINANSIERINGSB.'!K56/1000</f>
        <v>0</v>
      </c>
      <c r="AP14" s="2175"/>
      <c r="AR14" s="778" t="s">
        <v>609</v>
      </c>
      <c r="AS14" s="779"/>
      <c r="AT14" s="978"/>
      <c r="AU14" s="775">
        <f>'8. T4 FINANSIERINGSB.'!Q34</f>
        <v>0</v>
      </c>
      <c r="AV14" s="775">
        <f>'8. T4 FINANSIERINGSB.'!R34</f>
        <v>0</v>
      </c>
      <c r="AW14" s="775">
        <f>'8. T4 FINANSIERINGSB.'!S34</f>
        <v>0</v>
      </c>
      <c r="AX14" s="775">
        <f>'8. T4 FINANSIERINGSB.'!T34</f>
        <v>0</v>
      </c>
      <c r="AY14" s="775">
        <f>'8. T4 FINANSIERINGSB.'!U34</f>
        <v>0</v>
      </c>
    </row>
    <row r="15" spans="2:51" ht="11.25" customHeight="1" x14ac:dyDescent="0.2">
      <c r="B15" s="2206"/>
      <c r="C15" s="2206"/>
      <c r="D15" s="1699">
        <f>'2. &amp; 7. T2 RESULTATB.'!I8</f>
        <v>2027</v>
      </c>
      <c r="E15" s="1699">
        <f>'2. &amp; 7. T2 RESULTATB.'!K8</f>
        <v>2028</v>
      </c>
      <c r="F15" s="1699">
        <f>'2. &amp; 7. T2 RESULTATB.'!M8</f>
        <v>2029</v>
      </c>
      <c r="G15" s="1699">
        <f>'2. &amp; 7. T2 RESULTATB.'!O8</f>
        <v>2030</v>
      </c>
      <c r="H15" s="2200"/>
      <c r="I15" s="2202"/>
      <c r="J15" s="2202"/>
      <c r="K15" s="2202"/>
      <c r="L15" s="2202"/>
      <c r="M15" s="2202"/>
      <c r="N15" s="2202"/>
      <c r="O15" s="2202"/>
      <c r="Q15" s="758" t="s">
        <v>68</v>
      </c>
      <c r="R15" s="2180" t="s">
        <v>343</v>
      </c>
      <c r="S15" s="2181" t="s">
        <v>343</v>
      </c>
      <c r="T15" s="759">
        <f>'3. T3 BALANS'!F38/1000</f>
        <v>0</v>
      </c>
      <c r="U15" s="757">
        <f>'3. T3 BALANS'!G38/1000</f>
        <v>0</v>
      </c>
      <c r="V15" s="757">
        <f>'3. T3 BALANS'!H38/1000</f>
        <v>0</v>
      </c>
      <c r="W15" s="757">
        <f>'3. T3 BALANS'!I38/1000</f>
        <v>0</v>
      </c>
      <c r="X15" s="757">
        <f>'3. T3 BALANS'!J38/1000</f>
        <v>0</v>
      </c>
      <c r="Y15" s="757">
        <f>'3. T3 BALANS'!K38/1000</f>
        <v>0</v>
      </c>
      <c r="AA15" s="2209" t="s">
        <v>590</v>
      </c>
      <c r="AB15" s="2209"/>
      <c r="AC15" s="2209"/>
      <c r="AD15" s="2210"/>
      <c r="AE15" s="2183">
        <f>'8. T4 FINANSIERINGSB.'!F57</f>
        <v>0</v>
      </c>
      <c r="AF15" s="2183"/>
      <c r="AG15" s="2183">
        <f>'8. T4 FINANSIERINGSB.'!G57</f>
        <v>0</v>
      </c>
      <c r="AH15" s="2183"/>
      <c r="AI15" s="2183">
        <f>'8. T4 FINANSIERINGSB.'!H57</f>
        <v>0</v>
      </c>
      <c r="AJ15" s="2183"/>
      <c r="AK15" s="2183">
        <f>'8. T4 FINANSIERINGSB.'!I57</f>
        <v>0</v>
      </c>
      <c r="AL15" s="2183"/>
      <c r="AM15" s="2183">
        <f>'8. T4 FINANSIERINGSB.'!J57</f>
        <v>0</v>
      </c>
      <c r="AN15" s="2183"/>
      <c r="AO15" s="2183">
        <f>'8. T4 FINANSIERINGSB.'!K57</f>
        <v>0</v>
      </c>
      <c r="AP15" s="2183"/>
      <c r="AR15" s="371"/>
      <c r="AS15" s="949" t="str">
        <f>AS10</f>
        <v>Vitsord</v>
      </c>
      <c r="AT15" s="951"/>
      <c r="AU15" s="950">
        <f>'8. T4 FINANSIERINGSB.'!Q35</f>
        <v>0</v>
      </c>
      <c r="AV15" s="950">
        <f>'8. T4 FINANSIERINGSB.'!R35</f>
        <v>0</v>
      </c>
      <c r="AW15" s="950">
        <f>'8. T4 FINANSIERINGSB.'!S35</f>
        <v>0</v>
      </c>
      <c r="AX15" s="950">
        <f>'8. T4 FINANSIERINGSB.'!T35</f>
        <v>0</v>
      </c>
      <c r="AY15" s="950">
        <f>'8. T4 FINANSIERINGSB.'!U35</f>
        <v>0</v>
      </c>
    </row>
    <row r="16" spans="2:51" ht="11.25" customHeight="1" x14ac:dyDescent="0.2">
      <c r="B16" s="1726" t="s">
        <v>2</v>
      </c>
      <c r="C16" s="1724" t="s">
        <v>564</v>
      </c>
      <c r="D16" s="1686">
        <f>'1. T1 INVESTERINGSP.'!D17/1000</f>
        <v>0</v>
      </c>
      <c r="E16" s="1686">
        <f>'1. T1 INVESTERINGSP.'!E17/1000</f>
        <v>0</v>
      </c>
      <c r="F16" s="1686">
        <f>'1. T1 INVESTERINGSP.'!F17/1000</f>
        <v>0</v>
      </c>
      <c r="G16" s="1686">
        <f>'1. T1 INVESTERINGSP.'!G17/1000</f>
        <v>0</v>
      </c>
      <c r="H16" s="1686">
        <f>SUM(D16:G16)</f>
        <v>0</v>
      </c>
      <c r="I16" s="1690">
        <f>'1. T1 INVESTERINGSP.'!J17</f>
        <v>0</v>
      </c>
      <c r="J16" s="1691"/>
      <c r="K16" s="1691"/>
      <c r="L16" s="1691"/>
      <c r="M16" s="1691"/>
      <c r="N16" s="1691"/>
      <c r="O16" s="1692"/>
      <c r="Q16" s="753"/>
      <c r="R16" s="2178" t="s">
        <v>708</v>
      </c>
      <c r="S16" s="2179" t="s">
        <v>708</v>
      </c>
      <c r="T16" s="760">
        <f>'3. T3 BALANS'!F39/1000</f>
        <v>0</v>
      </c>
      <c r="U16" s="754">
        <f>'3. T3 BALANS'!G39/1000</f>
        <v>0</v>
      </c>
      <c r="V16" s="754">
        <f>'3. T3 BALANS'!H39/1000</f>
        <v>0</v>
      </c>
      <c r="W16" s="754">
        <f>'3. T3 BALANS'!I39/1000</f>
        <v>0</v>
      </c>
      <c r="X16" s="754">
        <f>'3. T3 BALANS'!J39/1000</f>
        <v>0</v>
      </c>
      <c r="Y16" s="754">
        <f>'3. T3 BALANS'!K39/1000</f>
        <v>0</v>
      </c>
      <c r="AA16" s="772" t="s">
        <v>752</v>
      </c>
      <c r="AB16" s="773"/>
      <c r="AC16" s="773"/>
      <c r="AD16" s="1679" t="s">
        <v>152</v>
      </c>
      <c r="AE16" s="2175">
        <f>'8. T4 FINANSIERINGSB.'!F58/1000</f>
        <v>0</v>
      </c>
      <c r="AF16" s="2175"/>
      <c r="AG16" s="2175">
        <f>'8. T4 FINANSIERINGSB.'!G58/1000</f>
        <v>0</v>
      </c>
      <c r="AH16" s="2175"/>
      <c r="AI16" s="2175">
        <f>'8. T4 FINANSIERINGSB.'!H58/1000</f>
        <v>0</v>
      </c>
      <c r="AJ16" s="2175"/>
      <c r="AK16" s="2175">
        <f>'8. T4 FINANSIERINGSB.'!I58/1000</f>
        <v>0</v>
      </c>
      <c r="AL16" s="2175"/>
      <c r="AM16" s="2175">
        <f>'8. T4 FINANSIERINGSB.'!J58/1000</f>
        <v>0</v>
      </c>
      <c r="AN16" s="2175"/>
      <c r="AO16" s="2175">
        <f>'8. T4 FINANSIERINGSB.'!K58/1000</f>
        <v>0</v>
      </c>
      <c r="AP16" s="2175"/>
      <c r="AR16" s="895" t="s">
        <v>610</v>
      </c>
      <c r="AS16" s="121"/>
      <c r="AT16" s="959"/>
      <c r="AU16" s="959"/>
      <c r="AV16" s="959"/>
      <c r="AW16" s="959"/>
      <c r="AX16" s="959"/>
      <c r="AY16" s="960"/>
    </row>
    <row r="17" spans="1:51" ht="11.25" customHeight="1" x14ac:dyDescent="0.2">
      <c r="A17" s="45"/>
      <c r="B17" s="1727"/>
      <c r="C17" s="1724" t="s">
        <v>265</v>
      </c>
      <c r="D17" s="1687">
        <f>'1. T1 INVESTERINGSP.'!D19</f>
        <v>0</v>
      </c>
      <c r="E17" s="1687">
        <f>'1. T1 INVESTERINGSP.'!E19</f>
        <v>0</v>
      </c>
      <c r="F17" s="1687">
        <f>'1. T1 INVESTERINGSP.'!F19</f>
        <v>0</v>
      </c>
      <c r="G17" s="1687">
        <f>'1. T1 INVESTERINGSP.'!G19</f>
        <v>0</v>
      </c>
      <c r="H17" s="1688"/>
      <c r="I17" s="1693" t="s">
        <v>0</v>
      </c>
      <c r="J17" s="1684"/>
      <c r="K17" s="1684"/>
      <c r="L17" s="1684"/>
      <c r="M17" s="1684"/>
      <c r="N17" s="1684"/>
      <c r="O17" s="1694"/>
      <c r="Q17" s="753"/>
      <c r="R17" s="2178" t="s">
        <v>709</v>
      </c>
      <c r="S17" s="2179" t="s">
        <v>709</v>
      </c>
      <c r="T17" s="760">
        <f>'3. T3 BALANS'!F41/1000</f>
        <v>0</v>
      </c>
      <c r="U17" s="754">
        <f>'3. T3 BALANS'!G41/1000</f>
        <v>0</v>
      </c>
      <c r="V17" s="754">
        <f>'3. T3 BALANS'!H41/1000</f>
        <v>0</v>
      </c>
      <c r="W17" s="754">
        <f>'3. T3 BALANS'!I41/1000</f>
        <v>0</v>
      </c>
      <c r="X17" s="754">
        <f>'3. T3 BALANS'!J41/1000</f>
        <v>0</v>
      </c>
      <c r="Y17" s="754">
        <f>'3. T3 BALANS'!K41/1000</f>
        <v>0</v>
      </c>
      <c r="AA17" s="2176" t="s">
        <v>753</v>
      </c>
      <c r="AB17" s="2176"/>
      <c r="AC17" s="2176"/>
      <c r="AD17" s="2177"/>
      <c r="AE17" s="2174">
        <f>'8. T4 FINANSIERINGSB.'!F59</f>
        <v>0</v>
      </c>
      <c r="AF17" s="2174"/>
      <c r="AG17" s="2174">
        <f>'8. T4 FINANSIERINGSB.'!G59</f>
        <v>0</v>
      </c>
      <c r="AH17" s="2174"/>
      <c r="AI17" s="2174">
        <f>'8. T4 FINANSIERINGSB.'!H59</f>
        <v>0</v>
      </c>
      <c r="AJ17" s="2174"/>
      <c r="AK17" s="2174">
        <f>'8. T4 FINANSIERINGSB.'!I59</f>
        <v>0</v>
      </c>
      <c r="AL17" s="2174"/>
      <c r="AM17" s="2174">
        <f>'8. T4 FINANSIERINGSB.'!J59</f>
        <v>0</v>
      </c>
      <c r="AN17" s="2174"/>
      <c r="AO17" s="2174">
        <f>'8. T4 FINANSIERINGSB.'!K59</f>
        <v>0</v>
      </c>
      <c r="AP17" s="2174"/>
      <c r="AR17" s="776" t="s">
        <v>611</v>
      </c>
      <c r="AS17" s="780"/>
      <c r="AT17" s="953">
        <f>'8. T4 FINANSIERINGSB.'!P37</f>
        <v>0</v>
      </c>
      <c r="AU17" s="953">
        <f>'8. T4 FINANSIERINGSB.'!Q37</f>
        <v>0</v>
      </c>
      <c r="AV17" s="953">
        <f>'8. T4 FINANSIERINGSB.'!R37</f>
        <v>0</v>
      </c>
      <c r="AW17" s="953">
        <f>'8. T4 FINANSIERINGSB.'!S37</f>
        <v>0</v>
      </c>
      <c r="AX17" s="953">
        <f>'8. T4 FINANSIERINGSB.'!T37</f>
        <v>0</v>
      </c>
      <c r="AY17" s="953">
        <f>'8. T4 FINANSIERINGSB.'!U37</f>
        <v>0</v>
      </c>
    </row>
    <row r="18" spans="1:51" ht="11.25" customHeight="1" x14ac:dyDescent="0.2">
      <c r="B18" s="1727" t="s">
        <v>3</v>
      </c>
      <c r="C18" s="1724" t="s">
        <v>565</v>
      </c>
      <c r="D18" s="1686">
        <f>'1. T1 INVESTERINGSP.'!D20/1000</f>
        <v>0</v>
      </c>
      <c r="E18" s="1686">
        <f>'1. T1 INVESTERINGSP.'!E20/1000</f>
        <v>0</v>
      </c>
      <c r="F18" s="1686">
        <f>'1. T1 INVESTERINGSP.'!F20/1000</f>
        <v>0</v>
      </c>
      <c r="G18" s="1686">
        <f>'1. T1 INVESTERINGSP.'!G20/1000</f>
        <v>0</v>
      </c>
      <c r="H18" s="1686">
        <f>SUM(D18:G18)</f>
        <v>0</v>
      </c>
      <c r="I18" s="1693">
        <f>'1. T1 INVESTERINGSP.'!J20</f>
        <v>0</v>
      </c>
      <c r="J18" s="1684"/>
      <c r="K18" s="1684"/>
      <c r="L18" s="1684"/>
      <c r="M18" s="1684"/>
      <c r="N18" s="1684"/>
      <c r="O18" s="1694"/>
      <c r="Q18" s="753" t="s">
        <v>0</v>
      </c>
      <c r="R18" s="2178" t="s">
        <v>347</v>
      </c>
      <c r="S18" s="2179" t="s">
        <v>347</v>
      </c>
      <c r="T18" s="760">
        <f>'3. T3 BALANS'!F42/1000</f>
        <v>0</v>
      </c>
      <c r="U18" s="754">
        <f>'3. T3 BALANS'!G42/1000</f>
        <v>0</v>
      </c>
      <c r="V18" s="754">
        <f>'3. T3 BALANS'!H42/1000</f>
        <v>0</v>
      </c>
      <c r="W18" s="754">
        <f>'3. T3 BALANS'!I42/1000</f>
        <v>0</v>
      </c>
      <c r="X18" s="754">
        <f>'3. T3 BALANS'!J42/1000</f>
        <v>0</v>
      </c>
      <c r="Y18" s="754">
        <f>'3. T3 BALANS'!K42/1000</f>
        <v>0</v>
      </c>
      <c r="AA18" s="1168" t="s">
        <v>754</v>
      </c>
      <c r="AB18" s="1169"/>
      <c r="AC18" s="1169"/>
      <c r="AD18" s="1680" t="s">
        <v>37</v>
      </c>
      <c r="AE18" s="2175">
        <f>'8. T4 FINANSIERINGSB.'!F60/1000</f>
        <v>0</v>
      </c>
      <c r="AF18" s="2175"/>
      <c r="AG18" s="2175">
        <f>'8. T4 FINANSIERINGSB.'!G60/1000</f>
        <v>0</v>
      </c>
      <c r="AH18" s="2175"/>
      <c r="AI18" s="2175">
        <f>'8. T4 FINANSIERINGSB.'!H60/1000</f>
        <v>0</v>
      </c>
      <c r="AJ18" s="2175"/>
      <c r="AK18" s="2175">
        <f>'8. T4 FINANSIERINGSB.'!I60/1000</f>
        <v>0</v>
      </c>
      <c r="AL18" s="2175"/>
      <c r="AM18" s="2175">
        <f>'8. T4 FINANSIERINGSB.'!J60/1000</f>
        <v>0</v>
      </c>
      <c r="AN18" s="2175"/>
      <c r="AO18" s="2175">
        <f>'8. T4 FINANSIERINGSB.'!K60/1000</f>
        <v>0</v>
      </c>
      <c r="AP18" s="2175"/>
      <c r="AR18" s="371"/>
      <c r="AS18" s="952" t="str">
        <f>AS10</f>
        <v>Vitsord</v>
      </c>
      <c r="AT18" s="950">
        <f>'8. T4 FINANSIERINGSB.'!P38</f>
        <v>0</v>
      </c>
      <c r="AU18" s="950">
        <f>'8. T4 FINANSIERINGSB.'!Q38</f>
        <v>0</v>
      </c>
      <c r="AV18" s="950">
        <f>'8. T4 FINANSIERINGSB.'!R38</f>
        <v>0</v>
      </c>
      <c r="AW18" s="950">
        <f>'8. T4 FINANSIERINGSB.'!S38</f>
        <v>0</v>
      </c>
      <c r="AX18" s="950">
        <f>'8. T4 FINANSIERINGSB.'!T38</f>
        <v>0</v>
      </c>
      <c r="AY18" s="950">
        <f>'8. T4 FINANSIERINGSB.'!U38</f>
        <v>0</v>
      </c>
    </row>
    <row r="19" spans="1:51" ht="11.25" customHeight="1" x14ac:dyDescent="0.2">
      <c r="B19" s="1727"/>
      <c r="C19" s="1724" t="s">
        <v>265</v>
      </c>
      <c r="D19" s="1687">
        <f>'1. T1 INVESTERINGSP.'!D23</f>
        <v>0</v>
      </c>
      <c r="E19" s="1687">
        <f>'1. T1 INVESTERINGSP.'!E23</f>
        <v>0</v>
      </c>
      <c r="F19" s="1687">
        <f>'1. T1 INVESTERINGSP.'!F23</f>
        <v>0</v>
      </c>
      <c r="G19" s="1687">
        <f>'1. T1 INVESTERINGSP.'!G23</f>
        <v>0</v>
      </c>
      <c r="H19" s="1688"/>
      <c r="I19" s="1693"/>
      <c r="J19" s="1684"/>
      <c r="K19" s="1684"/>
      <c r="L19" s="1684"/>
      <c r="M19" s="1684"/>
      <c r="N19" s="1684"/>
      <c r="O19" s="1694"/>
      <c r="R19" s="2178" t="s">
        <v>349</v>
      </c>
      <c r="S19" s="2179" t="s">
        <v>349</v>
      </c>
      <c r="T19" s="754">
        <f>'3. T3 BALANS'!F44/1000</f>
        <v>0</v>
      </c>
      <c r="U19" s="754">
        <f>'3. T3 BALANS'!G44/1000</f>
        <v>0</v>
      </c>
      <c r="V19" s="754">
        <f>'3. T3 BALANS'!H44/1000</f>
        <v>0</v>
      </c>
      <c r="W19" s="754">
        <f>'3. T3 BALANS'!I44/1000</f>
        <v>0</v>
      </c>
      <c r="X19" s="754">
        <f>'3. T3 BALANS'!J44/1000</f>
        <v>0</v>
      </c>
      <c r="Y19" s="754">
        <f>'3. T3 BALANS'!K44/1000</f>
        <v>0</v>
      </c>
      <c r="AA19" s="1168" t="s">
        <v>755</v>
      </c>
      <c r="AB19" s="1169"/>
      <c r="AC19" s="1169"/>
      <c r="AD19" s="1170" t="s">
        <v>20</v>
      </c>
      <c r="AE19" s="2234">
        <v>0</v>
      </c>
      <c r="AF19" s="2235"/>
      <c r="AG19" s="2175">
        <f>'8. T4 FINANSIERINGSB.'!G61/1000</f>
        <v>0</v>
      </c>
      <c r="AH19" s="2175"/>
      <c r="AI19" s="2175">
        <f>'8. T4 FINANSIERINGSB.'!H61/1000</f>
        <v>0</v>
      </c>
      <c r="AJ19" s="2175"/>
      <c r="AK19" s="2175">
        <f>'8. T4 FINANSIERINGSB.'!I61/1000</f>
        <v>0</v>
      </c>
      <c r="AL19" s="2175"/>
      <c r="AM19" s="2175">
        <f>'8. T4 FINANSIERINGSB.'!J61/1000</f>
        <v>0</v>
      </c>
      <c r="AN19" s="2175"/>
      <c r="AO19" s="2175">
        <f>'8. T4 FINANSIERINGSB.'!K61/1000</f>
        <v>0</v>
      </c>
      <c r="AP19" s="2175"/>
      <c r="AR19" s="776" t="str">
        <f>'8. T4 FINANSIERINGSB.'!M39</f>
        <v xml:space="preserve"> Net Gearing (nettoskuldsättningsgrad)</v>
      </c>
      <c r="AS19" s="780"/>
      <c r="AT19" s="954">
        <f>'8. T4 FINANSIERINGSB.'!P39</f>
        <v>0</v>
      </c>
      <c r="AU19" s="954">
        <f>'8. T4 FINANSIERINGSB.'!Q39</f>
        <v>0</v>
      </c>
      <c r="AV19" s="954">
        <f>'8. T4 FINANSIERINGSB.'!R39</f>
        <v>0</v>
      </c>
      <c r="AW19" s="954">
        <f>'8. T4 FINANSIERINGSB.'!S39</f>
        <v>0</v>
      </c>
      <c r="AX19" s="954">
        <f>'8. T4 FINANSIERINGSB.'!T39</f>
        <v>0</v>
      </c>
      <c r="AY19" s="954">
        <f>'8. T4 FINANSIERINGSB.'!U39</f>
        <v>0</v>
      </c>
    </row>
    <row r="20" spans="1:51" ht="11.25" customHeight="1" x14ac:dyDescent="0.2">
      <c r="B20" s="1727" t="s">
        <v>4</v>
      </c>
      <c r="C20" s="1724" t="s">
        <v>268</v>
      </c>
      <c r="D20" s="1686">
        <f>'1. T1 INVESTERINGSP.'!D24/1000</f>
        <v>0</v>
      </c>
      <c r="E20" s="1686">
        <f>'1. T1 INVESTERINGSP.'!E24/1000</f>
        <v>0</v>
      </c>
      <c r="F20" s="1686">
        <f>'1. T1 INVESTERINGSP.'!F24/1000</f>
        <v>0</v>
      </c>
      <c r="G20" s="1686">
        <f>'1. T1 INVESTERINGSP.'!G24/1000</f>
        <v>0</v>
      </c>
      <c r="H20" s="1686">
        <f>SUM(D20:G20)</f>
        <v>0</v>
      </c>
      <c r="I20" s="1693">
        <f>'1. T1 INVESTERINGSP.'!J24</f>
        <v>0</v>
      </c>
      <c r="J20" s="1684"/>
      <c r="K20" s="1684"/>
      <c r="L20" s="1684"/>
      <c r="M20" s="1684"/>
      <c r="N20" s="1684"/>
      <c r="O20" s="1694"/>
      <c r="Q20" s="753"/>
      <c r="R20" s="2178" t="s">
        <v>710</v>
      </c>
      <c r="S20" s="2179" t="s">
        <v>710</v>
      </c>
      <c r="T20" s="754">
        <f>'3. T3 BALANS'!F46/1000</f>
        <v>0</v>
      </c>
      <c r="U20" s="754">
        <f>'3. T3 BALANS'!G46/1000</f>
        <v>0</v>
      </c>
      <c r="V20" s="754">
        <f>'3. T3 BALANS'!H46/1000</f>
        <v>0</v>
      </c>
      <c r="W20" s="754">
        <f>'3. T3 BALANS'!I46/1000</f>
        <v>0</v>
      </c>
      <c r="X20" s="754">
        <f>'3. T3 BALANS'!J46/1000</f>
        <v>0</v>
      </c>
      <c r="Y20" s="754">
        <f>'3. T3 BALANS'!K46/1000</f>
        <v>0</v>
      </c>
      <c r="AR20" s="371"/>
      <c r="AS20" s="980" t="str">
        <f>AS10</f>
        <v>Vitsord</v>
      </c>
      <c r="AT20" s="981" t="str">
        <f>'8. T4 FINANSIERINGSB.'!P40</f>
        <v/>
      </c>
      <c r="AU20" s="981" t="str">
        <f>'8. T4 FINANSIERINGSB.'!Q40</f>
        <v/>
      </c>
      <c r="AV20" s="981" t="str">
        <f>'8. T4 FINANSIERINGSB.'!R40</f>
        <v/>
      </c>
      <c r="AW20" s="981" t="str">
        <f>'8. T4 FINANSIERINGSB.'!S40</f>
        <v/>
      </c>
      <c r="AX20" s="981" t="str">
        <f>'8. T4 FINANSIERINGSB.'!T40</f>
        <v/>
      </c>
      <c r="AY20" s="981" t="str">
        <f>'8. T4 FINANSIERINGSB.'!U40</f>
        <v/>
      </c>
    </row>
    <row r="21" spans="1:51" ht="11.25" customHeight="1" x14ac:dyDescent="0.2">
      <c r="B21" s="1727" t="s">
        <v>5</v>
      </c>
      <c r="C21" s="1724" t="s">
        <v>269</v>
      </c>
      <c r="D21" s="1686">
        <f>'1. T1 INVESTERINGSP.'!D27/1000</f>
        <v>0</v>
      </c>
      <c r="E21" s="1686">
        <f>'1. T1 INVESTERINGSP.'!E27/1000</f>
        <v>0</v>
      </c>
      <c r="F21" s="1686">
        <f>'1. T1 INVESTERINGSP.'!F27/1000</f>
        <v>0</v>
      </c>
      <c r="G21" s="1686">
        <f>'1. T1 INVESTERINGSP.'!G27/1000</f>
        <v>0</v>
      </c>
      <c r="H21" s="1686">
        <f>SUM(D21:G21)</f>
        <v>0</v>
      </c>
      <c r="I21" s="1693">
        <f>'1. T1 INVESTERINGSP.'!J27</f>
        <v>0</v>
      </c>
      <c r="J21" s="1684"/>
      <c r="K21" s="1684"/>
      <c r="L21" s="1684"/>
      <c r="M21" s="1684"/>
      <c r="N21" s="1684"/>
      <c r="O21" s="1694"/>
      <c r="Q21" s="753" t="s">
        <v>0</v>
      </c>
      <c r="R21" s="2178" t="s">
        <v>352</v>
      </c>
      <c r="S21" s="2179" t="s">
        <v>352</v>
      </c>
      <c r="T21" s="760">
        <f>'3. T3 BALANS'!F47/1000</f>
        <v>0</v>
      </c>
      <c r="U21" s="754">
        <f>'3. T3 BALANS'!G47/1000</f>
        <v>0</v>
      </c>
      <c r="V21" s="754">
        <f>'3. T3 BALANS'!H47/1000</f>
        <v>0</v>
      </c>
      <c r="W21" s="754">
        <f>'3. T3 BALANS'!I47/1000</f>
        <v>0</v>
      </c>
      <c r="X21" s="754">
        <f>'3. T3 BALANS'!J47/1000</f>
        <v>0</v>
      </c>
      <c r="Y21" s="754">
        <f>'3. T3 BALANS'!K47/1000</f>
        <v>0</v>
      </c>
    </row>
    <row r="22" spans="1:51" ht="11.25" customHeight="1" x14ac:dyDescent="0.2">
      <c r="B22" s="1727"/>
      <c r="C22" s="1724" t="s">
        <v>265</v>
      </c>
      <c r="D22" s="1687">
        <f>'1. T1 INVESTERINGSP.'!D29</f>
        <v>0</v>
      </c>
      <c r="E22" s="1687">
        <f>'1. T1 INVESTERINGSP.'!E29</f>
        <v>0</v>
      </c>
      <c r="F22" s="1687">
        <f>'1. T1 INVESTERINGSP.'!F29</f>
        <v>0</v>
      </c>
      <c r="G22" s="1687">
        <f>'1. T1 INVESTERINGSP.'!G29</f>
        <v>0</v>
      </c>
      <c r="H22" s="1688"/>
      <c r="I22" s="1693"/>
      <c r="J22" s="1684"/>
      <c r="K22" s="1684"/>
      <c r="L22" s="1684"/>
      <c r="M22" s="1684"/>
      <c r="N22" s="1684"/>
      <c r="O22" s="1694"/>
      <c r="Q22" s="753"/>
      <c r="R22" s="2178" t="s">
        <v>711</v>
      </c>
      <c r="S22" s="2179" t="s">
        <v>711</v>
      </c>
      <c r="T22" s="760">
        <f>'3. T3 BALANS'!F48/1000</f>
        <v>0</v>
      </c>
      <c r="U22" s="754">
        <f>'3. T3 BALANS'!G48/1000</f>
        <v>0</v>
      </c>
      <c r="V22" s="754">
        <f>'3. T3 BALANS'!H48/1000</f>
        <v>0</v>
      </c>
      <c r="W22" s="754">
        <f>'3. T3 BALANS'!I48/1000</f>
        <v>0</v>
      </c>
      <c r="X22" s="754">
        <f>'3. T3 BALANS'!J48/1000</f>
        <v>0</v>
      </c>
      <c r="Y22" s="754">
        <f>'3. T3 BALANS'!K48/1000</f>
        <v>0</v>
      </c>
    </row>
    <row r="23" spans="1:51" ht="11.25" customHeight="1" x14ac:dyDescent="0.2">
      <c r="B23" s="1727" t="s">
        <v>6</v>
      </c>
      <c r="C23" s="1724" t="s">
        <v>692</v>
      </c>
      <c r="D23" s="1686">
        <f>'1. T1 INVESTERINGSP.'!D30/1000</f>
        <v>0</v>
      </c>
      <c r="E23" s="1686">
        <f>'1. T1 INVESTERINGSP.'!E30/1000</f>
        <v>0</v>
      </c>
      <c r="F23" s="1686">
        <f>'1. T1 INVESTERINGSP.'!F30/1000</f>
        <v>0</v>
      </c>
      <c r="G23" s="1686">
        <f>'1. T1 INVESTERINGSP.'!G30/1000</f>
        <v>0</v>
      </c>
      <c r="H23" s="1686">
        <f>SUM(D23:G23)</f>
        <v>0</v>
      </c>
      <c r="I23" s="1693">
        <f>'1. T1 INVESTERINGSP.'!J30</f>
        <v>0</v>
      </c>
      <c r="J23" s="1684"/>
      <c r="K23" s="1684"/>
      <c r="L23" s="1684"/>
      <c r="M23" s="1684"/>
      <c r="N23" s="1684"/>
      <c r="O23" s="1694"/>
      <c r="Q23" s="753"/>
      <c r="R23" s="2178" t="s">
        <v>712</v>
      </c>
      <c r="S23" s="2179" t="s">
        <v>712</v>
      </c>
      <c r="T23" s="788">
        <f>'3. T3 BALANS'!F49/1000</f>
        <v>0</v>
      </c>
      <c r="U23" s="789">
        <f>'3. T3 BALANS'!G49/1000</f>
        <v>0</v>
      </c>
      <c r="V23" s="789">
        <f>'3. T3 BALANS'!H49/1000</f>
        <v>0</v>
      </c>
      <c r="W23" s="789">
        <f>'3. T3 BALANS'!I49/1000</f>
        <v>0</v>
      </c>
      <c r="X23" s="789">
        <f>'3. T3 BALANS'!J49/1000</f>
        <v>0</v>
      </c>
      <c r="Y23" s="789">
        <f>'3. T3 BALANS'!K49/1000</f>
        <v>0</v>
      </c>
      <c r="AA23" s="2239" t="s">
        <v>756</v>
      </c>
      <c r="AB23" s="2239"/>
    </row>
    <row r="24" spans="1:51" ht="11.25" customHeight="1" x14ac:dyDescent="0.2">
      <c r="B24" s="1727" t="s">
        <v>7</v>
      </c>
      <c r="C24" s="1724" t="s">
        <v>693</v>
      </c>
      <c r="D24" s="1686">
        <f>'1. T1 INVESTERINGSP.'!D32/1000</f>
        <v>0</v>
      </c>
      <c r="E24" s="1686">
        <f>'1. T1 INVESTERINGSP.'!E32/1000</f>
        <v>0</v>
      </c>
      <c r="F24" s="1686">
        <f>'1. T1 INVESTERINGSP.'!F32/1000</f>
        <v>0</v>
      </c>
      <c r="G24" s="1686">
        <f>'1. T1 INVESTERINGSP.'!G32/1000</f>
        <v>0</v>
      </c>
      <c r="H24" s="1686">
        <f>SUM(D24:G24)</f>
        <v>0</v>
      </c>
      <c r="I24" s="1693">
        <f>'1. T1 INVESTERINGSP.'!J32</f>
        <v>0</v>
      </c>
      <c r="J24" s="1684"/>
      <c r="K24" s="1684"/>
      <c r="L24" s="1684"/>
      <c r="M24" s="1684"/>
      <c r="N24" s="1684"/>
      <c r="O24" s="1694"/>
      <c r="Q24" s="2266" t="s">
        <v>713</v>
      </c>
      <c r="R24" s="2267"/>
      <c r="S24" s="2267"/>
      <c r="T24" s="790">
        <f>'3. T3 BALANS'!F51/1000</f>
        <v>0</v>
      </c>
      <c r="U24" s="791">
        <f>'3. T3 BALANS'!G51/1000</f>
        <v>0</v>
      </c>
      <c r="V24" s="791">
        <f>'3. T3 BALANS'!H51/1000</f>
        <v>0</v>
      </c>
      <c r="W24" s="791">
        <f>'3. T3 BALANS'!I51/1000</f>
        <v>0</v>
      </c>
      <c r="X24" s="791">
        <f>'3. T3 BALANS'!J51/1000</f>
        <v>0</v>
      </c>
      <c r="Y24" s="791">
        <f>'3. T3 BALANS'!K51/1000</f>
        <v>0</v>
      </c>
      <c r="AE24" s="2214" t="s">
        <v>402</v>
      </c>
      <c r="AF24" s="2214"/>
      <c r="AG24" s="2214"/>
      <c r="AH24" s="2214"/>
      <c r="AI24" s="2214"/>
      <c r="AJ24" s="2214"/>
      <c r="AK24" s="2214"/>
      <c r="AL24" s="2214"/>
      <c r="AM24" s="2214"/>
      <c r="AN24" s="2214"/>
      <c r="AO24" s="2214"/>
      <c r="AP24" s="2214"/>
    </row>
    <row r="25" spans="1:51" ht="11.25" customHeight="1" x14ac:dyDescent="0.2">
      <c r="B25" s="1727"/>
      <c r="C25" s="1724" t="s">
        <v>265</v>
      </c>
      <c r="D25" s="1687">
        <f>'1. T1 INVESTERINGSP.'!D34</f>
        <v>0</v>
      </c>
      <c r="E25" s="1687">
        <f>'1. T1 INVESTERINGSP.'!E34</f>
        <v>0</v>
      </c>
      <c r="F25" s="1687">
        <f>'1. T1 INVESTERINGSP.'!F34</f>
        <v>0</v>
      </c>
      <c r="G25" s="1687">
        <f>'1. T1 INVESTERINGSP.'!G34</f>
        <v>0</v>
      </c>
      <c r="H25" s="1688"/>
      <c r="I25" s="1693"/>
      <c r="J25" s="1684"/>
      <c r="K25" s="1684"/>
      <c r="L25" s="1684"/>
      <c r="M25" s="1684"/>
      <c r="N25" s="1684"/>
      <c r="O25" s="1694"/>
      <c r="Q25" s="487"/>
      <c r="R25" s="487"/>
      <c r="S25" s="487"/>
      <c r="T25" s="758"/>
      <c r="U25" s="758">
        <f>T25</f>
        <v>0</v>
      </c>
      <c r="V25" s="758"/>
      <c r="W25" s="758"/>
      <c r="X25" s="758"/>
      <c r="Y25" s="758"/>
      <c r="AA25" s="2229" t="s">
        <v>757</v>
      </c>
      <c r="AB25" s="2242" t="s">
        <v>404</v>
      </c>
      <c r="AC25" s="2243" t="s">
        <v>405</v>
      </c>
      <c r="AD25" s="2244" t="s">
        <v>406</v>
      </c>
      <c r="AE25" s="2214"/>
      <c r="AF25" s="2214"/>
      <c r="AG25" s="2214"/>
      <c r="AH25" s="2214"/>
      <c r="AI25" s="2214"/>
      <c r="AJ25" s="2214"/>
      <c r="AK25" s="2214"/>
      <c r="AL25" s="2214"/>
      <c r="AM25" s="2214"/>
      <c r="AN25" s="2214"/>
      <c r="AO25" s="2214"/>
      <c r="AP25" s="2214"/>
    </row>
    <row r="26" spans="1:51" ht="11.25" customHeight="1" x14ac:dyDescent="0.2">
      <c r="B26" s="1727" t="s">
        <v>8</v>
      </c>
      <c r="C26" s="1724" t="s">
        <v>330</v>
      </c>
      <c r="D26" s="1686">
        <f>'1. T1 INVESTERINGSP.'!D35/1000</f>
        <v>0</v>
      </c>
      <c r="E26" s="1686">
        <f>'1. T1 INVESTERINGSP.'!E35/1000</f>
        <v>0</v>
      </c>
      <c r="F26" s="1686">
        <f>'1. T1 INVESTERINGSP.'!F35/1000</f>
        <v>0</v>
      </c>
      <c r="G26" s="1686">
        <f>'1. T1 INVESTERINGSP.'!G35/1000</f>
        <v>0</v>
      </c>
      <c r="H26" s="1686">
        <f>SUM(D26:G26)</f>
        <v>0</v>
      </c>
      <c r="I26" s="1693">
        <f>'1. T1 INVESTERINGSP.'!J35</f>
        <v>0</v>
      </c>
      <c r="J26" s="1684"/>
      <c r="K26" s="1684"/>
      <c r="L26" s="1684"/>
      <c r="M26" s="1684"/>
      <c r="N26" s="1684"/>
      <c r="O26" s="1694"/>
      <c r="Q26" s="2162" t="s">
        <v>714</v>
      </c>
      <c r="R26" s="2162"/>
      <c r="S26" s="2162"/>
      <c r="T26" s="1162" t="str">
        <f t="shared" ref="T26:Y27" si="0">T5</f>
        <v>Realiserad</v>
      </c>
      <c r="U26" s="1162" t="str">
        <f t="shared" si="0"/>
        <v>Realiserad</v>
      </c>
      <c r="V26" s="1162" t="str">
        <f t="shared" si="0"/>
        <v>Prognos 1</v>
      </c>
      <c r="W26" s="1162" t="str">
        <f t="shared" si="0"/>
        <v>Prognos 2</v>
      </c>
      <c r="X26" s="1162" t="str">
        <f t="shared" si="0"/>
        <v>Prognos 3</v>
      </c>
      <c r="Y26" s="1162" t="str">
        <f t="shared" si="0"/>
        <v>Prognos 4</v>
      </c>
      <c r="AA26" s="2229"/>
      <c r="AB26" s="2242"/>
      <c r="AC26" s="2243"/>
      <c r="AD26" s="2244"/>
      <c r="AE26" s="1917" t="str">
        <f>'4. T7 LÅN '!F8</f>
        <v>Prognos 1</v>
      </c>
      <c r="AF26" s="1917"/>
      <c r="AG26" s="2228"/>
      <c r="AH26" s="2224" t="str">
        <f>'4. T7 LÅN '!I8</f>
        <v>Prognos 2</v>
      </c>
      <c r="AI26" s="1917"/>
      <c r="AJ26" s="2228"/>
      <c r="AK26" s="2224" t="str">
        <f>'4. T7 LÅN '!L8</f>
        <v>Prognos 3</v>
      </c>
      <c r="AL26" s="1917"/>
      <c r="AM26" s="2228"/>
      <c r="AN26" s="2224" t="str">
        <f>'4. T7 LÅN '!O8</f>
        <v>Prognos 4</v>
      </c>
      <c r="AO26" s="1917"/>
      <c r="AP26" s="2225"/>
    </row>
    <row r="27" spans="1:51" ht="11.25" customHeight="1" x14ac:dyDescent="0.2">
      <c r="B27" s="1727"/>
      <c r="C27" s="1724" t="s">
        <v>265</v>
      </c>
      <c r="D27" s="1687">
        <f>'1. T1 INVESTERINGSP.'!D37</f>
        <v>0</v>
      </c>
      <c r="E27" s="1687">
        <f>'1. T1 INVESTERINGSP.'!E37</f>
        <v>0</v>
      </c>
      <c r="F27" s="1687">
        <f>'1. T1 INVESTERINGSP.'!F37</f>
        <v>0</v>
      </c>
      <c r="G27" s="1687">
        <f>'1. T1 INVESTERINGSP.'!G37</f>
        <v>0</v>
      </c>
      <c r="H27" s="1688"/>
      <c r="I27" s="1693"/>
      <c r="J27" s="1684"/>
      <c r="K27" s="1684"/>
      <c r="L27" s="1684"/>
      <c r="M27" s="1684"/>
      <c r="N27" s="1684"/>
      <c r="O27" s="1694"/>
      <c r="Q27" s="2162"/>
      <c r="R27" s="2162"/>
      <c r="S27" s="2162"/>
      <c r="T27" s="1164">
        <f t="shared" si="0"/>
        <v>2023</v>
      </c>
      <c r="U27" s="1164">
        <f t="shared" si="0"/>
        <v>2024</v>
      </c>
      <c r="V27" s="1164">
        <f t="shared" si="0"/>
        <v>2027</v>
      </c>
      <c r="W27" s="1164">
        <f t="shared" si="0"/>
        <v>2028</v>
      </c>
      <c r="X27" s="1164">
        <f t="shared" si="0"/>
        <v>2029</v>
      </c>
      <c r="Y27" s="1164">
        <f t="shared" si="0"/>
        <v>2030</v>
      </c>
      <c r="AA27" s="2229"/>
      <c r="AB27" s="2242"/>
      <c r="AC27" s="2243"/>
      <c r="AD27" s="2244"/>
      <c r="AE27" s="1917">
        <f>'4. T7 LÅN '!F9</f>
        <v>2027</v>
      </c>
      <c r="AF27" s="1917"/>
      <c r="AG27" s="2228"/>
      <c r="AH27" s="2224">
        <f>'4. T7 LÅN '!I9</f>
        <v>2028</v>
      </c>
      <c r="AI27" s="1917"/>
      <c r="AJ27" s="2228"/>
      <c r="AK27" s="2224">
        <f>'4. T7 LÅN '!L9</f>
        <v>2029</v>
      </c>
      <c r="AL27" s="1917"/>
      <c r="AM27" s="2228"/>
      <c r="AN27" s="2224">
        <f>'4. T7 LÅN '!O9</f>
        <v>2030</v>
      </c>
      <c r="AO27" s="1917"/>
      <c r="AP27" s="2225"/>
    </row>
    <row r="28" spans="1:51" ht="11.25" customHeight="1" x14ac:dyDescent="0.2">
      <c r="B28" s="1727" t="s">
        <v>9</v>
      </c>
      <c r="C28" s="1724" t="s">
        <v>271</v>
      </c>
      <c r="D28" s="1686">
        <f>'1. T1 INVESTERINGSP.'!D38/1000</f>
        <v>0</v>
      </c>
      <c r="E28" s="1686">
        <f>'1. T1 INVESTERINGSP.'!E38/1000</f>
        <v>0</v>
      </c>
      <c r="F28" s="1686">
        <f>'1. T1 INVESTERINGSP.'!F38/1000</f>
        <v>0</v>
      </c>
      <c r="G28" s="1686">
        <f>'1. T1 INVESTERINGSP.'!G38/1000</f>
        <v>0</v>
      </c>
      <c r="H28" s="1686">
        <f>SUM(D28:G28)</f>
        <v>0</v>
      </c>
      <c r="I28" s="1693">
        <f>'1. T1 INVESTERINGSP.'!J38</f>
        <v>0</v>
      </c>
      <c r="J28" s="1684"/>
      <c r="K28" s="1684"/>
      <c r="L28" s="1684"/>
      <c r="M28" s="1684"/>
      <c r="N28" s="1684"/>
      <c r="O28" s="1694"/>
      <c r="Q28" s="758" t="s">
        <v>70</v>
      </c>
      <c r="R28" s="2195" t="s">
        <v>357</v>
      </c>
      <c r="S28" s="2196" t="s">
        <v>357</v>
      </c>
      <c r="T28" s="759">
        <f>'3. T3 BALANS'!F56/1000</f>
        <v>0</v>
      </c>
      <c r="U28" s="757">
        <f>'3. T3 BALANS'!G56/1000</f>
        <v>0</v>
      </c>
      <c r="V28" s="757">
        <f>'3. T3 BALANS'!H56/1000</f>
        <v>0</v>
      </c>
      <c r="W28" s="757">
        <f>'3. T3 BALANS'!I56/1000</f>
        <v>0</v>
      </c>
      <c r="X28" s="757">
        <f>'3. T3 BALANS'!J56/1000</f>
        <v>0</v>
      </c>
      <c r="Y28" s="757">
        <f>'3. T3 BALANS'!K56/1000</f>
        <v>0</v>
      </c>
      <c r="AA28" s="1447" t="str">
        <f>'4. T7 LÅN '!B10</f>
        <v>Kreditgivare</v>
      </c>
      <c r="AB28" s="2242"/>
      <c r="AC28" s="2243"/>
      <c r="AD28" s="2244"/>
      <c r="AE28" s="2231" t="s">
        <v>758</v>
      </c>
      <c r="AF28" s="2231"/>
      <c r="AG28" s="1367" t="s">
        <v>416</v>
      </c>
      <c r="AH28" s="2230" t="str">
        <f>AE28</f>
        <v>Amortering</v>
      </c>
      <c r="AI28" s="2231"/>
      <c r="AJ28" s="1367" t="str">
        <f>AG28</f>
        <v>Ränta</v>
      </c>
      <c r="AK28" s="2230" t="str">
        <f>AH28</f>
        <v>Amortering</v>
      </c>
      <c r="AL28" s="2231"/>
      <c r="AM28" s="1367" t="str">
        <f>AG28</f>
        <v>Ränta</v>
      </c>
      <c r="AN28" s="2230" t="str">
        <f>AK28</f>
        <v>Amortering</v>
      </c>
      <c r="AO28" s="2231"/>
      <c r="AP28" s="1450" t="str">
        <f>AG28</f>
        <v>Ränta</v>
      </c>
    </row>
    <row r="29" spans="1:51" ht="11.25" customHeight="1" x14ac:dyDescent="0.2">
      <c r="B29" s="1727" t="s">
        <v>10</v>
      </c>
      <c r="C29" s="1724" t="s">
        <v>272</v>
      </c>
      <c r="D29" s="1686">
        <f>'1. T1 INVESTERINGSP.'!D39/1000</f>
        <v>0</v>
      </c>
      <c r="E29" s="1686">
        <f>'1. T1 INVESTERINGSP.'!E39/1000</f>
        <v>0</v>
      </c>
      <c r="F29" s="1686">
        <f>'1. T1 INVESTERINGSP.'!F39/1000</f>
        <v>0</v>
      </c>
      <c r="G29" s="1686">
        <f>'1. T1 INVESTERINGSP.'!G39/1000</f>
        <v>0</v>
      </c>
      <c r="H29" s="1686">
        <f>SUM(D29:G29)</f>
        <v>0</v>
      </c>
      <c r="I29" s="1693">
        <f>'1. T1 INVESTERINGSP.'!J39</f>
        <v>0</v>
      </c>
      <c r="J29" s="1684"/>
      <c r="K29" s="1684"/>
      <c r="L29" s="1684"/>
      <c r="M29" s="1684"/>
      <c r="N29" s="1684"/>
      <c r="O29" s="1694"/>
      <c r="Q29" s="753">
        <v>0</v>
      </c>
      <c r="R29" s="2178" t="s">
        <v>358</v>
      </c>
      <c r="S29" s="2179" t="s">
        <v>358</v>
      </c>
      <c r="T29" s="760">
        <f>'3. T3 BALANS'!F57/1000</f>
        <v>0</v>
      </c>
      <c r="U29" s="754">
        <f>'3. T3 BALANS'!G57/1000</f>
        <v>0</v>
      </c>
      <c r="V29" s="754">
        <f>'3. T3 BALANS'!H57/1000</f>
        <v>0</v>
      </c>
      <c r="W29" s="754">
        <f>'3. T3 BALANS'!I57/1000</f>
        <v>0</v>
      </c>
      <c r="X29" s="754">
        <f>'3. T3 BALANS'!J57/1000</f>
        <v>0</v>
      </c>
      <c r="Y29" s="754">
        <f>'3. T3 BALANS'!K57/1000</f>
        <v>0</v>
      </c>
      <c r="AA29" s="767" t="str">
        <f>'4. T7 LÅN '!B11</f>
        <v xml:space="preserve"> </v>
      </c>
      <c r="AB29" s="1398">
        <f>'4. T7 LÅN '!C11/1000</f>
        <v>0</v>
      </c>
      <c r="AC29" s="783">
        <f>'4. T7 LÅN '!D11</f>
        <v>0</v>
      </c>
      <c r="AD29" s="1364">
        <f>'4. T7 LÅN '!E11*100</f>
        <v>0</v>
      </c>
      <c r="AE29" s="2212">
        <f>'4. T7 LÅN '!F11/1000</f>
        <v>0</v>
      </c>
      <c r="AF29" s="2213"/>
      <c r="AG29" s="1369">
        <f>'4. T7 LÅN '!H11/1000</f>
        <v>0</v>
      </c>
      <c r="AH29" s="2223">
        <f>'4. T7 LÅN '!I11/1000</f>
        <v>0</v>
      </c>
      <c r="AI29" s="2213"/>
      <c r="AJ29" s="1369">
        <f>'4. T7 LÅN '!K11/1000</f>
        <v>0</v>
      </c>
      <c r="AK29" s="2223">
        <f>'4. T7 LÅN '!L11/1000</f>
        <v>0</v>
      </c>
      <c r="AL29" s="2213"/>
      <c r="AM29" s="1369">
        <f>'4. T7 LÅN '!N11/1000</f>
        <v>0</v>
      </c>
      <c r="AN29" s="2223">
        <f>'4. T7 LÅN '!O11/1000</f>
        <v>0</v>
      </c>
      <c r="AO29" s="2213"/>
      <c r="AP29" s="1451">
        <f>'4. T7 LÅN '!Q11/1000</f>
        <v>0</v>
      </c>
    </row>
    <row r="30" spans="1:51" ht="11.25" customHeight="1" x14ac:dyDescent="0.2">
      <c r="B30" s="1728" t="s">
        <v>11</v>
      </c>
      <c r="C30" s="1725" t="s">
        <v>694</v>
      </c>
      <c r="D30" s="1689">
        <f>D16+D18+D20+D21+D23+D24+D29+D26+D28</f>
        <v>0</v>
      </c>
      <c r="E30" s="1689">
        <f>E16+E18+E20+E21+E23+E24+E29+E26+E28</f>
        <v>0</v>
      </c>
      <c r="F30" s="1689">
        <f t="shared" ref="F30:H30" si="1">F16+F18+F20+F21+F23+F24+F29+F26+F28</f>
        <v>0</v>
      </c>
      <c r="G30" s="1689">
        <f t="shared" si="1"/>
        <v>0</v>
      </c>
      <c r="H30" s="1689">
        <f t="shared" si="1"/>
        <v>0</v>
      </c>
      <c r="I30" s="1695">
        <f>'1. T1 INVESTERINGSP.'!J42</f>
        <v>0</v>
      </c>
      <c r="J30" s="1696"/>
      <c r="K30" s="1696"/>
      <c r="L30" s="1696"/>
      <c r="M30" s="1696"/>
      <c r="N30" s="1696"/>
      <c r="O30" s="1697"/>
      <c r="Q30" s="753">
        <v>0</v>
      </c>
      <c r="R30" s="2178" t="s">
        <v>359</v>
      </c>
      <c r="S30" s="2179" t="s">
        <v>359</v>
      </c>
      <c r="T30" s="760">
        <f>'3. T3 BALANS'!F58/1000</f>
        <v>0</v>
      </c>
      <c r="U30" s="754">
        <f>'3. T3 BALANS'!G58/1000</f>
        <v>0</v>
      </c>
      <c r="V30" s="754">
        <f>'3. T3 BALANS'!H58/1000</f>
        <v>0</v>
      </c>
      <c r="W30" s="754">
        <f>'3. T3 BALANS'!I58/1000</f>
        <v>0</v>
      </c>
      <c r="X30" s="754">
        <f>'3. T3 BALANS'!J58/1000</f>
        <v>0</v>
      </c>
      <c r="Y30" s="754">
        <f>'3. T3 BALANS'!K58/1000</f>
        <v>0</v>
      </c>
      <c r="AA30" s="785">
        <f>'4. T7 LÅN '!B12</f>
        <v>0</v>
      </c>
      <c r="AB30" s="1398">
        <f>'4. T7 LÅN '!C12/1000</f>
        <v>0</v>
      </c>
      <c r="AC30" s="783">
        <f>'4. T7 LÅN '!D12</f>
        <v>0</v>
      </c>
      <c r="AD30" s="1364">
        <f>'4. T7 LÅN '!E12*100</f>
        <v>0</v>
      </c>
      <c r="AE30" s="2212">
        <f>'4. T7 LÅN '!F12/1000</f>
        <v>0</v>
      </c>
      <c r="AF30" s="2213"/>
      <c r="AG30" s="1369">
        <f>'4. T7 LÅN '!H12/1000</f>
        <v>0</v>
      </c>
      <c r="AH30" s="2223">
        <f>'4. T7 LÅN '!I12/1000</f>
        <v>0</v>
      </c>
      <c r="AI30" s="2213"/>
      <c r="AJ30" s="1369">
        <f>'4. T7 LÅN '!K12/1000</f>
        <v>0</v>
      </c>
      <c r="AK30" s="2223">
        <f>'4. T7 LÅN '!L12/1000</f>
        <v>0</v>
      </c>
      <c r="AL30" s="2213"/>
      <c r="AM30" s="1369">
        <f>'4. T7 LÅN '!N12/1000</f>
        <v>0</v>
      </c>
      <c r="AN30" s="2223">
        <f>'4. T7 LÅN '!O12/1000</f>
        <v>0</v>
      </c>
      <c r="AO30" s="2213"/>
      <c r="AP30" s="1451">
        <f>'4. T7 LÅN '!Q12/1000</f>
        <v>0</v>
      </c>
    </row>
    <row r="31" spans="1:51" ht="10.9" customHeight="1" x14ac:dyDescent="0.2">
      <c r="Q31" s="753">
        <v>0</v>
      </c>
      <c r="R31" s="2178" t="s">
        <v>360</v>
      </c>
      <c r="S31" s="2179" t="s">
        <v>360</v>
      </c>
      <c r="T31" s="760">
        <f>'3. T3 BALANS'!F59/1000</f>
        <v>0</v>
      </c>
      <c r="U31" s="754">
        <f>'3. T3 BALANS'!G59/1000</f>
        <v>0</v>
      </c>
      <c r="V31" s="754">
        <f>'3. T3 BALANS'!H59/1000</f>
        <v>0</v>
      </c>
      <c r="W31" s="754">
        <f>'3. T3 BALANS'!I59/1000</f>
        <v>0</v>
      </c>
      <c r="X31" s="754">
        <f>'3. T3 BALANS'!J59/1000</f>
        <v>0</v>
      </c>
      <c r="Y31" s="754">
        <f>'3. T3 BALANS'!K59/1000</f>
        <v>0</v>
      </c>
      <c r="AA31" s="785">
        <f>'4. T7 LÅN '!B13</f>
        <v>0</v>
      </c>
      <c r="AB31" s="1398">
        <f>'4. T7 LÅN '!C13/1000</f>
        <v>0</v>
      </c>
      <c r="AC31" s="783">
        <f>'4. T7 LÅN '!D13</f>
        <v>0</v>
      </c>
      <c r="AD31" s="1364">
        <f>'4. T7 LÅN '!E13*100</f>
        <v>0</v>
      </c>
      <c r="AE31" s="2212">
        <f>'4. T7 LÅN '!F13/1000</f>
        <v>0</v>
      </c>
      <c r="AF31" s="2213"/>
      <c r="AG31" s="1369">
        <f>'4. T7 LÅN '!H13/1000</f>
        <v>0</v>
      </c>
      <c r="AH31" s="2223">
        <f>'4. T7 LÅN '!I13/1000</f>
        <v>0</v>
      </c>
      <c r="AI31" s="2213"/>
      <c r="AJ31" s="1369">
        <f>'4. T7 LÅN '!K13/1000</f>
        <v>0</v>
      </c>
      <c r="AK31" s="2223">
        <f>'4. T7 LÅN '!L13/1000</f>
        <v>0</v>
      </c>
      <c r="AL31" s="2213"/>
      <c r="AM31" s="1369">
        <f>'4. T7 LÅN '!N13/1000</f>
        <v>0</v>
      </c>
      <c r="AN31" s="2223">
        <f>'4. T7 LÅN '!O13/1000</f>
        <v>0</v>
      </c>
      <c r="AO31" s="2213"/>
      <c r="AP31" s="1451">
        <f>'4. T7 LÅN '!Q13/1000</f>
        <v>0</v>
      </c>
    </row>
    <row r="32" spans="1:51" ht="11.25" customHeight="1" x14ac:dyDescent="0.2">
      <c r="Q32" s="753">
        <v>0</v>
      </c>
      <c r="R32" s="2268" t="s">
        <v>715</v>
      </c>
      <c r="S32" s="2269" t="s">
        <v>715</v>
      </c>
      <c r="T32" s="766">
        <f>'3. T3 BALANS'!F60/1000</f>
        <v>0</v>
      </c>
      <c r="U32" s="755">
        <f>'3. T3 BALANS'!G60/1000</f>
        <v>0</v>
      </c>
      <c r="V32" s="755">
        <f>'3. T3 BALANS'!H60/1000</f>
        <v>0</v>
      </c>
      <c r="W32" s="755">
        <f>'3. T3 BALANS'!I60/1000</f>
        <v>0</v>
      </c>
      <c r="X32" s="755">
        <f>'3. T3 BALANS'!J60/1000</f>
        <v>0</v>
      </c>
      <c r="Y32" s="755">
        <f>'3. T3 BALANS'!K60/1000</f>
        <v>0</v>
      </c>
      <c r="AA32" s="785">
        <f>'4. T7 LÅN '!B14</f>
        <v>0</v>
      </c>
      <c r="AB32" s="1398">
        <f>'4. T7 LÅN '!C14/1000</f>
        <v>0</v>
      </c>
      <c r="AC32" s="783">
        <f>'4. T7 LÅN '!D14</f>
        <v>0</v>
      </c>
      <c r="AD32" s="1364">
        <f>'4. T7 LÅN '!E14*100</f>
        <v>0</v>
      </c>
      <c r="AE32" s="2212">
        <f>'4. T7 LÅN '!F14/1000</f>
        <v>0</v>
      </c>
      <c r="AF32" s="2213"/>
      <c r="AG32" s="1369">
        <f>'4. T7 LÅN '!H14/1000</f>
        <v>0</v>
      </c>
      <c r="AH32" s="2223">
        <f>'4. T7 LÅN '!I14/1000</f>
        <v>0</v>
      </c>
      <c r="AI32" s="2213"/>
      <c r="AJ32" s="1369">
        <f>'4. T7 LÅN '!K14/1000</f>
        <v>0</v>
      </c>
      <c r="AK32" s="2223">
        <f>'4. T7 LÅN '!L14/1000</f>
        <v>0</v>
      </c>
      <c r="AL32" s="2213"/>
      <c r="AM32" s="1369">
        <f>'4. T7 LÅN '!N14/1000</f>
        <v>0</v>
      </c>
      <c r="AN32" s="2223">
        <f>'4. T7 LÅN '!O14/1000</f>
        <v>0</v>
      </c>
      <c r="AO32" s="2213"/>
      <c r="AP32" s="1451">
        <f>'4. T7 LÅN '!Q14/1000</f>
        <v>0</v>
      </c>
    </row>
    <row r="33" spans="1:54" ht="11.25" customHeight="1" x14ac:dyDescent="0.2">
      <c r="B33" s="2155" t="s">
        <v>695</v>
      </c>
      <c r="C33" s="2155"/>
      <c r="D33" s="1698" t="str">
        <f>D14</f>
        <v>Prog. 1</v>
      </c>
      <c r="E33" s="1698" t="str">
        <f t="shared" ref="E33:G33" si="2">E14</f>
        <v>Prog. 2</v>
      </c>
      <c r="F33" s="1698" t="str">
        <f t="shared" si="2"/>
        <v>Prog. 3</v>
      </c>
      <c r="G33" s="1698" t="str">
        <f t="shared" si="2"/>
        <v>Prog. 4</v>
      </c>
      <c r="H33" s="2165" t="str">
        <f>H14</f>
        <v>SLGT</v>
      </c>
      <c r="I33" s="2163" t="str">
        <f>I14</f>
        <v xml:space="preserve">  Förklaring</v>
      </c>
      <c r="J33" s="2163"/>
      <c r="K33" s="2163"/>
      <c r="L33" s="2163"/>
      <c r="M33" s="2163"/>
      <c r="N33" s="2163"/>
      <c r="O33" s="2163"/>
      <c r="Q33" s="753">
        <v>0</v>
      </c>
      <c r="R33" s="2178" t="s">
        <v>716</v>
      </c>
      <c r="S33" s="2179" t="s">
        <v>716</v>
      </c>
      <c r="T33" s="760">
        <f>'3. T3 BALANS'!F61/1000</f>
        <v>0</v>
      </c>
      <c r="U33" s="754">
        <f>'3. T3 BALANS'!G61/1000</f>
        <v>0</v>
      </c>
      <c r="V33" s="754">
        <f>'3. T3 BALANS'!H61/1000</f>
        <v>0</v>
      </c>
      <c r="W33" s="754">
        <f>'3. T3 BALANS'!I61/1000</f>
        <v>0</v>
      </c>
      <c r="X33" s="754">
        <f>'3. T3 BALANS'!J61/1000</f>
        <v>0</v>
      </c>
      <c r="Y33" s="754">
        <f>'3. T3 BALANS'!K61/1000</f>
        <v>0</v>
      </c>
      <c r="AA33" s="785">
        <f>'4. T7 LÅN '!B15</f>
        <v>0</v>
      </c>
      <c r="AB33" s="1398">
        <f>'4. T7 LÅN '!C15/1000</f>
        <v>0</v>
      </c>
      <c r="AC33" s="783">
        <f>'4. T7 LÅN '!D15</f>
        <v>0</v>
      </c>
      <c r="AD33" s="1364">
        <f>'4. T7 LÅN '!E15*100</f>
        <v>0</v>
      </c>
      <c r="AE33" s="2212">
        <f>'4. T7 LÅN '!F15/1000</f>
        <v>0</v>
      </c>
      <c r="AF33" s="2213"/>
      <c r="AG33" s="1369">
        <f>'4. T7 LÅN '!H15/1000</f>
        <v>0</v>
      </c>
      <c r="AH33" s="2223">
        <f>'4. T7 LÅN '!I15/1000</f>
        <v>0</v>
      </c>
      <c r="AI33" s="2213"/>
      <c r="AJ33" s="1369">
        <f>'4. T7 LÅN '!K15/1000</f>
        <v>0</v>
      </c>
      <c r="AK33" s="2223">
        <f>'4. T7 LÅN '!L15/1000</f>
        <v>0</v>
      </c>
      <c r="AL33" s="2213"/>
      <c r="AM33" s="1369">
        <f>'4. T7 LÅN '!N15/1000</f>
        <v>0</v>
      </c>
      <c r="AN33" s="2223">
        <f>'4. T7 LÅN '!O15/1000</f>
        <v>0</v>
      </c>
      <c r="AO33" s="2213"/>
      <c r="AP33" s="1451">
        <f>'4. T7 LÅN '!Q15/1000</f>
        <v>0</v>
      </c>
    </row>
    <row r="34" spans="1:54" ht="11.25" customHeight="1" x14ac:dyDescent="0.2">
      <c r="B34" s="2155"/>
      <c r="C34" s="2155"/>
      <c r="D34" s="1730">
        <f>D15</f>
        <v>2027</v>
      </c>
      <c r="E34" s="1730">
        <f>E15</f>
        <v>2028</v>
      </c>
      <c r="F34" s="1730">
        <f>F15</f>
        <v>2029</v>
      </c>
      <c r="G34" s="1731">
        <f>G15</f>
        <v>2030</v>
      </c>
      <c r="H34" s="2165"/>
      <c r="I34" s="2163"/>
      <c r="J34" s="2163"/>
      <c r="K34" s="2163"/>
      <c r="L34" s="2163"/>
      <c r="M34" s="2163"/>
      <c r="N34" s="2163"/>
      <c r="O34" s="2163"/>
      <c r="Q34" s="758" t="s">
        <v>71</v>
      </c>
      <c r="R34" s="2180" t="s">
        <v>717</v>
      </c>
      <c r="S34" s="2181" t="s">
        <v>717</v>
      </c>
      <c r="T34" s="759">
        <f>'3. T3 BALANS'!F62/1000</f>
        <v>0</v>
      </c>
      <c r="U34" s="757">
        <f>'3. T3 BALANS'!G62/1000</f>
        <v>0</v>
      </c>
      <c r="V34" s="757">
        <f>'3. T3 BALANS'!H62/1000</f>
        <v>0</v>
      </c>
      <c r="W34" s="757">
        <f>'3. T3 BALANS'!I62/1000</f>
        <v>0</v>
      </c>
      <c r="X34" s="757">
        <f>'3. T3 BALANS'!J62/1000</f>
        <v>0</v>
      </c>
      <c r="Y34" s="757">
        <f>'3. T3 BALANS'!K62/1000</f>
        <v>0</v>
      </c>
      <c r="AA34" s="785">
        <f>'4. T7 LÅN '!B16</f>
        <v>0</v>
      </c>
      <c r="AB34" s="1398">
        <f>'4. T7 LÅN '!C16/1000</f>
        <v>0</v>
      </c>
      <c r="AC34" s="783">
        <f>'4. T7 LÅN '!D16</f>
        <v>0</v>
      </c>
      <c r="AD34" s="1364">
        <f>'4. T7 LÅN '!E16*100</f>
        <v>0</v>
      </c>
      <c r="AE34" s="2212">
        <f>'4. T7 LÅN '!F16/1000</f>
        <v>0</v>
      </c>
      <c r="AF34" s="2213"/>
      <c r="AG34" s="1369">
        <f>'4. T7 LÅN '!H16/1000</f>
        <v>0</v>
      </c>
      <c r="AH34" s="2223">
        <f>'4. T7 LÅN '!I16/1000</f>
        <v>0</v>
      </c>
      <c r="AI34" s="2213"/>
      <c r="AJ34" s="1369">
        <f>'4. T7 LÅN '!K16/1000</f>
        <v>0</v>
      </c>
      <c r="AK34" s="2223">
        <f>'4. T7 LÅN '!L16/1000</f>
        <v>0</v>
      </c>
      <c r="AL34" s="2213"/>
      <c r="AM34" s="1369">
        <f>'4. T7 LÅN '!N16/1000</f>
        <v>0</v>
      </c>
      <c r="AN34" s="2223">
        <f>'4. T7 LÅN '!O16/1000</f>
        <v>0</v>
      </c>
      <c r="AO34" s="2213"/>
      <c r="AP34" s="1451">
        <f>'4. T7 LÅN '!Q16/1000</f>
        <v>0</v>
      </c>
    </row>
    <row r="35" spans="1:54" ht="11.25" customHeight="1" thickBot="1" x14ac:dyDescent="0.25">
      <c r="A35" s="1609"/>
      <c r="B35" s="1703" t="s">
        <v>281</v>
      </c>
      <c r="C35" s="1721"/>
      <c r="D35" s="1722"/>
      <c r="E35" s="1722"/>
      <c r="F35" s="1722"/>
      <c r="G35" s="1722"/>
      <c r="H35" s="1723" t="s">
        <v>0</v>
      </c>
      <c r="I35" s="1690"/>
      <c r="J35" s="1691"/>
      <c r="K35" s="1691"/>
      <c r="L35" s="1691"/>
      <c r="M35" s="1691"/>
      <c r="N35" s="1691"/>
      <c r="O35" s="1692"/>
      <c r="Q35" s="758" t="s">
        <v>78</v>
      </c>
      <c r="R35" s="2180" t="s">
        <v>368</v>
      </c>
      <c r="S35" s="2181" t="s">
        <v>368</v>
      </c>
      <c r="T35" s="759">
        <f>'3. T3 BALANS'!F66/1000</f>
        <v>0</v>
      </c>
      <c r="U35" s="757">
        <f>'3. T3 BALANS'!G66/1000</f>
        <v>0</v>
      </c>
      <c r="V35" s="757">
        <f>'3. T3 BALANS'!H66/1000</f>
        <v>0</v>
      </c>
      <c r="W35" s="757">
        <f>'3. T3 BALANS'!I66/1000</f>
        <v>0</v>
      </c>
      <c r="X35" s="757">
        <f>'3. T3 BALANS'!J66/1000</f>
        <v>0</v>
      </c>
      <c r="Y35" s="757">
        <f>'3. T3 BALANS'!K66/1000</f>
        <v>0</v>
      </c>
      <c r="AA35" s="1448" t="str">
        <f>'4. T7 LÅN '!B17</f>
        <v xml:space="preserve"> Limitkredit</v>
      </c>
      <c r="AB35" s="1399">
        <f>'4. T7 LÅN '!C17/1000</f>
        <v>0</v>
      </c>
      <c r="AC35" s="1065">
        <f>'4. T7 LÅN '!D17</f>
        <v>0</v>
      </c>
      <c r="AD35" s="1365">
        <f>'4. T7 LÅN '!E17*100</f>
        <v>0</v>
      </c>
      <c r="AE35" s="2233">
        <f>'4. T7 LÅN '!F17/1000</f>
        <v>0</v>
      </c>
      <c r="AF35" s="2218"/>
      <c r="AG35" s="1371">
        <f>'4. T7 LÅN '!H17/1000</f>
        <v>0</v>
      </c>
      <c r="AH35" s="2217">
        <f>'4. T7 LÅN '!I17/1000</f>
        <v>0</v>
      </c>
      <c r="AI35" s="2218"/>
      <c r="AJ35" s="1371">
        <f>'4. T7 LÅN '!K17/1000</f>
        <v>0</v>
      </c>
      <c r="AK35" s="2217">
        <f>'4. T7 LÅN '!L17/1000</f>
        <v>0</v>
      </c>
      <c r="AL35" s="2218"/>
      <c r="AM35" s="1371">
        <f>'4. T7 LÅN '!N17/1000</f>
        <v>0</v>
      </c>
      <c r="AN35" s="2217">
        <f>'4. T7 LÅN '!O17/1000</f>
        <v>0</v>
      </c>
      <c r="AO35" s="2218"/>
      <c r="AP35" s="1452">
        <f>'4. T7 LÅN '!Q17/1000</f>
        <v>0</v>
      </c>
    </row>
    <row r="36" spans="1:54" ht="11.25" customHeight="1" thickTop="1" x14ac:dyDescent="0.2">
      <c r="A36" s="1609"/>
      <c r="B36" s="1726" t="s">
        <v>43</v>
      </c>
      <c r="C36" s="1724" t="s">
        <v>282</v>
      </c>
      <c r="D36" s="1685"/>
      <c r="E36" s="1685"/>
      <c r="F36" s="1685"/>
      <c r="G36" s="1685"/>
      <c r="H36" s="1686"/>
      <c r="I36" s="1693"/>
      <c r="J36" s="1684"/>
      <c r="K36" s="1684"/>
      <c r="L36" s="1684"/>
      <c r="M36" s="1684"/>
      <c r="N36" s="1684"/>
      <c r="O36" s="1694"/>
      <c r="Q36" s="758" t="s">
        <v>107</v>
      </c>
      <c r="R36" s="2180" t="s">
        <v>369</v>
      </c>
      <c r="S36" s="2181" t="s">
        <v>369</v>
      </c>
      <c r="T36" s="759">
        <f>'3. T3 BALANS'!F67/1000</f>
        <v>0</v>
      </c>
      <c r="U36" s="757">
        <f>'3. T3 BALANS'!G67/1000</f>
        <v>0</v>
      </c>
      <c r="V36" s="757">
        <f>'3. T3 BALANS'!H67/1000</f>
        <v>0</v>
      </c>
      <c r="W36" s="757">
        <f>'3. T3 BALANS'!I67/1000</f>
        <v>0</v>
      </c>
      <c r="X36" s="757">
        <f>'3. T3 BALANS'!J67/1000</f>
        <v>0</v>
      </c>
      <c r="Y36" s="757">
        <f>'3. T3 BALANS'!K67/1000</f>
        <v>0</v>
      </c>
      <c r="AA36" s="761" t="str">
        <f>'4. T7 LÅN '!B18</f>
        <v xml:space="preserve"> Nuvarande lån sammanlagt</v>
      </c>
      <c r="AB36" s="1449">
        <f>'4. T7 LÅN '!C18/1000</f>
        <v>0</v>
      </c>
      <c r="AC36" s="1231">
        <v>0</v>
      </c>
      <c r="AD36" s="1366">
        <v>0</v>
      </c>
      <c r="AE36" s="2232">
        <f>SUM(AE29:AF35)</f>
        <v>0</v>
      </c>
      <c r="AF36" s="2227"/>
      <c r="AG36" s="1372">
        <f>SUM(AG29:AG35)</f>
        <v>0</v>
      </c>
      <c r="AH36" s="2226">
        <f>SUM(AH29:AI35)</f>
        <v>0</v>
      </c>
      <c r="AI36" s="2227"/>
      <c r="AJ36" s="1372">
        <f>SUM(AJ29:AJ35)</f>
        <v>0</v>
      </c>
      <c r="AK36" s="2226">
        <f>SUM(AK29:AL35)</f>
        <v>0</v>
      </c>
      <c r="AL36" s="2227"/>
      <c r="AM36" s="1372">
        <f>SUM(AM29:AM35)</f>
        <v>0</v>
      </c>
      <c r="AN36" s="2226">
        <f>SUM(AN29:AO35)</f>
        <v>0</v>
      </c>
      <c r="AO36" s="2227"/>
      <c r="AP36" s="1453">
        <f>SUM(AP29:AP35)</f>
        <v>0</v>
      </c>
    </row>
    <row r="37" spans="1:54" ht="11.25" customHeight="1" x14ac:dyDescent="0.2">
      <c r="A37" s="1609"/>
      <c r="B37" s="1727"/>
      <c r="C37" s="1729" t="s">
        <v>283</v>
      </c>
      <c r="D37" s="1686">
        <f>'1. T1 INVESTERINGSP.'!D48/1000</f>
        <v>0</v>
      </c>
      <c r="E37" s="1686">
        <f>'1. T1 INVESTERINGSP.'!E48/1000</f>
        <v>0</v>
      </c>
      <c r="F37" s="1686">
        <f>'1. T1 INVESTERINGSP.'!F48/1000</f>
        <v>0</v>
      </c>
      <c r="G37" s="1686">
        <f>'1. T1 INVESTERINGSP.'!G48/1000</f>
        <v>0</v>
      </c>
      <c r="H37" s="1686">
        <f>'1. T1 INVESTERINGSP.'!H48/1000</f>
        <v>0</v>
      </c>
      <c r="I37" s="1693"/>
      <c r="J37" s="1684"/>
      <c r="K37" s="1684"/>
      <c r="L37" s="1684"/>
      <c r="M37" s="1684"/>
      <c r="N37" s="1684"/>
      <c r="O37" s="1694"/>
      <c r="Q37" s="753" t="s">
        <v>0</v>
      </c>
      <c r="R37" s="2178" t="s">
        <v>370</v>
      </c>
      <c r="S37" s="2179" t="s">
        <v>370</v>
      </c>
      <c r="T37" s="760">
        <f>'3. T3 BALANS'!F68/1000</f>
        <v>0</v>
      </c>
      <c r="U37" s="754">
        <f>'3. T3 BALANS'!G68/1000</f>
        <v>0</v>
      </c>
      <c r="V37" s="754">
        <f>'3. T3 BALANS'!H68/1000</f>
        <v>0</v>
      </c>
      <c r="W37" s="754">
        <f>'3. T3 BALANS'!I68/1000</f>
        <v>0</v>
      </c>
      <c r="X37" s="754">
        <f>'3. T3 BALANS'!J68/1000</f>
        <v>0</v>
      </c>
      <c r="Y37" s="754">
        <f>'3. T3 BALANS'!K68/1000</f>
        <v>0</v>
      </c>
      <c r="AA37" s="119"/>
      <c r="AB37" s="239"/>
      <c r="AC37" s="239"/>
      <c r="AD37" s="239"/>
      <c r="AE37" s="239"/>
      <c r="AF37" s="239"/>
      <c r="AG37" s="239"/>
      <c r="AH37" s="239"/>
      <c r="AI37" s="239"/>
      <c r="AJ37" s="239"/>
      <c r="AK37" s="239"/>
      <c r="AL37" s="239"/>
      <c r="AM37" s="239"/>
      <c r="AN37" s="239"/>
      <c r="AO37" s="239"/>
      <c r="AP37" s="239"/>
    </row>
    <row r="38" spans="1:54" ht="11.25" customHeight="1" x14ac:dyDescent="0.2">
      <c r="A38" s="1609"/>
      <c r="B38" s="1727"/>
      <c r="C38" s="1729" t="s">
        <v>284</v>
      </c>
      <c r="D38" s="1686">
        <f>'1. T1 INVESTERINGSP.'!D49/1000</f>
        <v>0</v>
      </c>
      <c r="E38" s="1686">
        <f>'1. T1 INVESTERINGSP.'!E49/1000</f>
        <v>0</v>
      </c>
      <c r="F38" s="1686">
        <f>'1. T1 INVESTERINGSP.'!F49/1000</f>
        <v>0</v>
      </c>
      <c r="G38" s="1686">
        <f>'1. T1 INVESTERINGSP.'!G49/1000</f>
        <v>0</v>
      </c>
      <c r="H38" s="1686">
        <f>'1. T1 INVESTERINGSP.'!H49/1000</f>
        <v>0</v>
      </c>
      <c r="I38" s="1693"/>
      <c r="J38" s="1684"/>
      <c r="K38" s="1684"/>
      <c r="L38" s="1684"/>
      <c r="M38" s="1684"/>
      <c r="N38" s="1684"/>
      <c r="O38" s="1694"/>
      <c r="Q38" s="753" t="s">
        <v>0</v>
      </c>
      <c r="R38" s="2178" t="s">
        <v>718</v>
      </c>
      <c r="S38" s="2179" t="s">
        <v>718</v>
      </c>
      <c r="T38" s="760">
        <f>'3. T3 BALANS'!F69/1000</f>
        <v>0</v>
      </c>
      <c r="U38" s="754">
        <f>'3. T3 BALANS'!G69/1000</f>
        <v>0</v>
      </c>
      <c r="V38" s="754">
        <f>'3. T3 BALANS'!H69/1000</f>
        <v>0</v>
      </c>
      <c r="W38" s="754">
        <f>'3. T3 BALANS'!I69/1000</f>
        <v>0</v>
      </c>
      <c r="X38" s="754">
        <f>'3. T3 BALANS'!J69/1000</f>
        <v>0</v>
      </c>
      <c r="Y38" s="754">
        <f>'3. T3 BALANS'!K69/1000</f>
        <v>0</v>
      </c>
      <c r="AA38" s="1373" t="str">
        <f>'4. T7 LÅN '!B19</f>
        <v xml:space="preserve"> Nuvarande avbetalningslån</v>
      </c>
      <c r="AB38" s="1374">
        <f>'4. T7 LÅN '!C19/1000</f>
        <v>0</v>
      </c>
      <c r="AC38" s="987">
        <f>'4. T7 LÅN '!D19</f>
        <v>0</v>
      </c>
      <c r="AD38" s="1375">
        <f>'4. T7 LÅN '!E19*100</f>
        <v>0</v>
      </c>
      <c r="AE38" s="2215">
        <f>'4. T7 LÅN '!F19/1000</f>
        <v>0</v>
      </c>
      <c r="AF38" s="2216"/>
      <c r="AG38" s="1376">
        <f>'4. T7 LÅN '!H19/1000</f>
        <v>0</v>
      </c>
      <c r="AH38" s="2215">
        <f>'4. T7 LÅN '!I19/1000</f>
        <v>0</v>
      </c>
      <c r="AI38" s="2216"/>
      <c r="AJ38" s="1376">
        <f>'4. T7 LÅN '!K19/1000</f>
        <v>0</v>
      </c>
      <c r="AK38" s="2215">
        <f>'4. T7 LÅN '!L19/1000</f>
        <v>0</v>
      </c>
      <c r="AL38" s="2216"/>
      <c r="AM38" s="1376">
        <f>'4. T7 LÅN '!N19/1000</f>
        <v>0</v>
      </c>
      <c r="AN38" s="2215">
        <f>'4. T7 LÅN '!O19/1000</f>
        <v>0</v>
      </c>
      <c r="AO38" s="2216"/>
      <c r="AP38" s="1454">
        <f>'4. T7 LÅN '!Q19/1000</f>
        <v>0</v>
      </c>
    </row>
    <row r="39" spans="1:54" ht="11.25" customHeight="1" x14ac:dyDescent="0.2">
      <c r="A39" s="1609"/>
      <c r="B39" s="1727" t="s">
        <v>44</v>
      </c>
      <c r="C39" s="1724" t="s">
        <v>285</v>
      </c>
      <c r="D39" s="1686">
        <f>'1. T1 INVESTERINGSP.'!D50/1000</f>
        <v>0</v>
      </c>
      <c r="E39" s="1686">
        <f>'1. T1 INVESTERINGSP.'!E50/1000</f>
        <v>0</v>
      </c>
      <c r="F39" s="1686">
        <f>'1. T1 INVESTERINGSP.'!F50/1000</f>
        <v>0</v>
      </c>
      <c r="G39" s="1686">
        <f>'1. T1 INVESTERINGSP.'!G50/1000</f>
        <v>0</v>
      </c>
      <c r="H39" s="1686">
        <f>'1. T1 INVESTERINGSP.'!H50/1000</f>
        <v>0</v>
      </c>
      <c r="I39" s="1693"/>
      <c r="J39" s="1684"/>
      <c r="K39" s="1684"/>
      <c r="L39" s="1684"/>
      <c r="M39" s="1684"/>
      <c r="N39" s="1684"/>
      <c r="O39" s="1694"/>
      <c r="Q39" s="753"/>
      <c r="R39" s="2178" t="s">
        <v>372</v>
      </c>
      <c r="S39" s="2179" t="s">
        <v>372</v>
      </c>
      <c r="T39" s="760"/>
      <c r="U39" s="754"/>
      <c r="V39" s="754">
        <f>'3. T3 BALANS'!H70/1000</f>
        <v>0</v>
      </c>
      <c r="W39" s="754">
        <f>'3. T3 BALANS'!I70/1000</f>
        <v>0</v>
      </c>
      <c r="X39" s="754">
        <f>'3. T3 BALANS'!J70/1000</f>
        <v>0</v>
      </c>
      <c r="Y39" s="754">
        <f>'3. T3 BALANS'!K70/1000</f>
        <v>0</v>
      </c>
      <c r="AA39" s="900"/>
      <c r="AB39" s="900"/>
      <c r="AC39" s="663"/>
      <c r="AD39" s="663"/>
      <c r="AE39" s="901"/>
      <c r="AF39" s="901"/>
      <c r="AG39" s="901"/>
      <c r="AH39" s="901"/>
      <c r="AI39" s="901"/>
      <c r="AJ39" s="901"/>
      <c r="AK39" s="901"/>
      <c r="AL39" s="901"/>
      <c r="AM39" s="901"/>
      <c r="AN39" s="901"/>
      <c r="AO39" s="901"/>
      <c r="AP39" s="901"/>
    </row>
    <row r="40" spans="1:54" ht="11.25" customHeight="1" x14ac:dyDescent="0.2">
      <c r="A40" s="1609"/>
      <c r="B40" s="1727" t="s">
        <v>118</v>
      </c>
      <c r="C40" s="1724" t="s">
        <v>286</v>
      </c>
      <c r="D40" s="1686">
        <f>'1. T1 INVESTERINGSP.'!D51/1000</f>
        <v>0</v>
      </c>
      <c r="E40" s="1686">
        <f>'1. T1 INVESTERINGSP.'!E51/1000</f>
        <v>0</v>
      </c>
      <c r="F40" s="1686">
        <f>'1. T1 INVESTERINGSP.'!F51/1000</f>
        <v>0</v>
      </c>
      <c r="G40" s="1686">
        <f>'1. T1 INVESTERINGSP.'!G51/1000</f>
        <v>0</v>
      </c>
      <c r="H40" s="1686">
        <f>'1. T1 INVESTERINGSP.'!H51/1000</f>
        <v>0</v>
      </c>
      <c r="I40" s="1704"/>
      <c r="J40" s="1700"/>
      <c r="K40" s="2158"/>
      <c r="L40" s="1705"/>
      <c r="M40" s="1700"/>
      <c r="N40" s="1700"/>
      <c r="O40" s="1706"/>
      <c r="Q40" s="753" t="s">
        <v>0</v>
      </c>
      <c r="R40" s="2178" t="s">
        <v>373</v>
      </c>
      <c r="S40" s="2179" t="s">
        <v>373</v>
      </c>
      <c r="T40" s="760">
        <f>'3. T3 BALANS'!F71/1000</f>
        <v>0</v>
      </c>
      <c r="U40" s="754">
        <f>'3. T3 BALANS'!G71/1000</f>
        <v>0</v>
      </c>
      <c r="V40" s="754">
        <f>'3. T3 BALANS'!H71/1000</f>
        <v>0</v>
      </c>
      <c r="W40" s="754">
        <f>'3. T3 BALANS'!I71/1000</f>
        <v>0</v>
      </c>
      <c r="X40" s="754">
        <f>'3. T3 BALANS'!J71/1000</f>
        <v>0</v>
      </c>
      <c r="Y40" s="754">
        <f>'3. T3 BALANS'!K71/1000</f>
        <v>0</v>
      </c>
      <c r="AA40" s="2211" t="s">
        <v>759</v>
      </c>
      <c r="AB40" s="2237" t="s">
        <v>412</v>
      </c>
      <c r="AC40" s="2237" t="s">
        <v>760</v>
      </c>
      <c r="AD40" s="2219" t="s">
        <v>406</v>
      </c>
      <c r="AE40" s="2221" t="str">
        <f>'4. T7 LÅN '!F20</f>
        <v>Prognos 1</v>
      </c>
      <c r="AF40" s="2187"/>
      <c r="AG40" s="2222"/>
      <c r="AH40" s="2245" t="str">
        <f>'4. T7 LÅN '!I20</f>
        <v>Prognos 2</v>
      </c>
      <c r="AI40" s="2245"/>
      <c r="AJ40" s="2245"/>
      <c r="AK40" s="2221" t="str">
        <f>'4. T7 LÅN '!L20</f>
        <v>Prognos 3</v>
      </c>
      <c r="AL40" s="2187"/>
      <c r="AM40" s="2222"/>
      <c r="AN40" s="2221" t="str">
        <f>'4. T7 LÅN '!O20</f>
        <v>Prognos 4</v>
      </c>
      <c r="AO40" s="2187"/>
      <c r="AP40" s="2222"/>
    </row>
    <row r="41" spans="1:54" ht="11.25" customHeight="1" x14ac:dyDescent="0.2">
      <c r="A41" s="1609"/>
      <c r="B41" s="1728" t="s">
        <v>45</v>
      </c>
      <c r="C41" s="1724" t="s">
        <v>287</v>
      </c>
      <c r="D41" s="1686">
        <f>'1. T1 INVESTERINGSP.'!D52/1000</f>
        <v>0</v>
      </c>
      <c r="E41" s="1686">
        <f>'1. T1 INVESTERINGSP.'!E52/1000</f>
        <v>0</v>
      </c>
      <c r="F41" s="1686">
        <f>'1. T1 INVESTERINGSP.'!F52/1000</f>
        <v>0</v>
      </c>
      <c r="G41" s="1686">
        <f>'1. T1 INVESTERINGSP.'!G52/1000</f>
        <v>0</v>
      </c>
      <c r="H41" s="1686">
        <f>'1. T1 INVESTERINGSP.'!H52/1000</f>
        <v>0</v>
      </c>
      <c r="I41" s="1707"/>
      <c r="J41" s="1700"/>
      <c r="K41" s="2158"/>
      <c r="L41" s="1705"/>
      <c r="M41" s="2156"/>
      <c r="N41" s="2156"/>
      <c r="O41" s="2157"/>
      <c r="Q41" s="753">
        <v>0</v>
      </c>
      <c r="R41" s="2178" t="s">
        <v>376</v>
      </c>
      <c r="S41" s="2179" t="s">
        <v>376</v>
      </c>
      <c r="T41" s="760">
        <f>'3. T3 BALANS'!F74/1000</f>
        <v>0</v>
      </c>
      <c r="U41" s="754">
        <f>'3. T3 BALANS'!G74/1000</f>
        <v>0</v>
      </c>
      <c r="V41" s="754">
        <f>'3. T3 BALANS'!H74/1000</f>
        <v>0</v>
      </c>
      <c r="W41" s="754">
        <f>'3. T3 BALANS'!I74/1000</f>
        <v>0</v>
      </c>
      <c r="X41" s="754">
        <f>'3. T3 BALANS'!J74/1000</f>
        <v>0</v>
      </c>
      <c r="Y41" s="754">
        <f>'3. T3 BALANS'!K74/1000</f>
        <v>0</v>
      </c>
      <c r="AA41" s="2211"/>
      <c r="AB41" s="2237"/>
      <c r="AC41" s="2237"/>
      <c r="AD41" s="2219"/>
      <c r="AE41" s="2221">
        <f>AE27</f>
        <v>2027</v>
      </c>
      <c r="AF41" s="2187"/>
      <c r="AG41" s="2222"/>
      <c r="AH41" s="2245">
        <f>AH27</f>
        <v>2028</v>
      </c>
      <c r="AI41" s="2245"/>
      <c r="AJ41" s="2245"/>
      <c r="AK41" s="2221">
        <f>AK27</f>
        <v>2029</v>
      </c>
      <c r="AL41" s="2187"/>
      <c r="AM41" s="2222"/>
      <c r="AN41" s="2221">
        <f>AN27</f>
        <v>2030</v>
      </c>
      <c r="AO41" s="2187"/>
      <c r="AP41" s="2222"/>
    </row>
    <row r="42" spans="1:54" ht="11.25" customHeight="1" x14ac:dyDescent="0.2">
      <c r="A42" s="1609"/>
      <c r="B42" s="2159" t="s">
        <v>288</v>
      </c>
      <c r="C42" s="2160"/>
      <c r="D42" s="1742"/>
      <c r="E42" s="1742"/>
      <c r="F42" s="1742"/>
      <c r="G42" s="1742"/>
      <c r="H42" s="1723"/>
      <c r="I42" s="1708"/>
      <c r="J42" s="1709"/>
      <c r="K42" s="1710"/>
      <c r="L42" s="1711"/>
      <c r="M42" s="1701"/>
      <c r="N42" s="1702"/>
      <c r="O42" s="1712"/>
      <c r="Q42" s="758" t="s">
        <v>108</v>
      </c>
      <c r="R42" s="2180" t="s">
        <v>377</v>
      </c>
      <c r="S42" s="2181" t="s">
        <v>377</v>
      </c>
      <c r="T42" s="760">
        <f>'3. T3 BALANS'!F75/1000</f>
        <v>0</v>
      </c>
      <c r="U42" s="757">
        <f>'3. T3 BALANS'!G75/1000</f>
        <v>0</v>
      </c>
      <c r="V42" s="757">
        <f>'3. T3 BALANS'!H75/1000</f>
        <v>0</v>
      </c>
      <c r="W42" s="757">
        <f>'3. T3 BALANS'!I75/1000</f>
        <v>0</v>
      </c>
      <c r="X42" s="757">
        <f>'3. T3 BALANS'!J75/1000</f>
        <v>0</v>
      </c>
      <c r="Y42" s="757">
        <f>'3. T3 BALANS'!K75/1000</f>
        <v>0</v>
      </c>
      <c r="AA42" s="1437" t="str">
        <f>'4. T7 LÅN '!B22</f>
        <v>Kreditgivare</v>
      </c>
      <c r="AB42" s="2238"/>
      <c r="AC42" s="2238"/>
      <c r="AD42" s="2220"/>
      <c r="AE42" s="1434" t="str">
        <f>'4. T7 LÅN '!F22</f>
        <v>Lyft</v>
      </c>
      <c r="AF42" s="1435" t="s">
        <v>761</v>
      </c>
      <c r="AG42" s="1436" t="str">
        <f>'4. T7 LÅN '!H22</f>
        <v>Ränta</v>
      </c>
      <c r="AH42" s="1434" t="str">
        <f>'4. T7 LÅN '!I22</f>
        <v>Lyft</v>
      </c>
      <c r="AI42" s="1435" t="s">
        <v>761</v>
      </c>
      <c r="AJ42" s="1436" t="str">
        <f>'4. T7 LÅN '!K22</f>
        <v>Ränta</v>
      </c>
      <c r="AK42" s="1434" t="str">
        <f>'4. T7 LÅN '!L22</f>
        <v>Lyft</v>
      </c>
      <c r="AL42" s="1435" t="s">
        <v>761</v>
      </c>
      <c r="AM42" s="1436" t="str">
        <f>'4. T7 LÅN '!N22</f>
        <v>Ränta</v>
      </c>
      <c r="AN42" s="1434" t="str">
        <f>'4. T7 LÅN '!O22</f>
        <v>Lyft</v>
      </c>
      <c r="AO42" s="1435" t="s">
        <v>761</v>
      </c>
      <c r="AP42" s="1436" t="str">
        <f>'4. T7 LÅN '!Q22</f>
        <v>Ränta</v>
      </c>
    </row>
    <row r="43" spans="1:54" ht="11.25" customHeight="1" x14ac:dyDescent="0.2">
      <c r="A43" s="1609"/>
      <c r="B43" s="1726" t="s">
        <v>46</v>
      </c>
      <c r="C43" s="1729" t="str">
        <f>'1. T1 INVESTERINGSP.'!C55</f>
        <v>Bank, Finnvera etc.</v>
      </c>
      <c r="D43" s="1686">
        <f>'1. T1 INVESTERINGSP.'!D55/1000</f>
        <v>0</v>
      </c>
      <c r="E43" s="1686">
        <f>'1. T1 INVESTERINGSP.'!E55/1000</f>
        <v>0</v>
      </c>
      <c r="F43" s="1686">
        <f>'1. T1 INVESTERINGSP.'!F55/1000</f>
        <v>0</v>
      </c>
      <c r="G43" s="1686">
        <f>'1. T1 INVESTERINGSP.'!G55/1000</f>
        <v>0</v>
      </c>
      <c r="H43" s="1686">
        <f>'1. T1 INVESTERINGSP.'!H55/1000</f>
        <v>0</v>
      </c>
      <c r="I43" s="1713" t="s">
        <v>0</v>
      </c>
      <c r="J43" s="1709"/>
      <c r="K43" s="1714"/>
      <c r="L43" s="1714"/>
      <c r="M43" s="1702"/>
      <c r="N43" s="1702"/>
      <c r="O43" s="1712"/>
      <c r="Q43" s="753" t="s">
        <v>0</v>
      </c>
      <c r="R43" s="2178" t="s">
        <v>370</v>
      </c>
      <c r="S43" s="2179" t="s">
        <v>370</v>
      </c>
      <c r="T43" s="760">
        <f>'3. T3 BALANS'!F76/1000</f>
        <v>0</v>
      </c>
      <c r="U43" s="754">
        <f>'3. T3 BALANS'!G76/1000</f>
        <v>0</v>
      </c>
      <c r="V43" s="754">
        <f>'3. T3 BALANS'!H76/1000</f>
        <v>0</v>
      </c>
      <c r="W43" s="754">
        <f>'3. T3 BALANS'!I76/1000</f>
        <v>0</v>
      </c>
      <c r="X43" s="754">
        <f>'3. T3 BALANS'!J76/1000</f>
        <v>0</v>
      </c>
      <c r="Y43" s="754">
        <f>'3. T3 BALANS'!K76/1000</f>
        <v>0</v>
      </c>
      <c r="AA43" s="1421" t="str">
        <f>'4. T7 LÅN '!B23</f>
        <v xml:space="preserve"> Lånen som ska lyftas under 1. året</v>
      </c>
      <c r="AB43" s="1422"/>
      <c r="AC43" s="1422"/>
      <c r="AD43" s="1422"/>
      <c r="AE43" s="1423" t="s">
        <v>0</v>
      </c>
      <c r="AF43" s="1423"/>
      <c r="AG43" s="1423"/>
      <c r="AH43" s="1423" t="s">
        <v>0</v>
      </c>
      <c r="AI43" s="1423"/>
      <c r="AJ43" s="1423"/>
      <c r="AK43" s="1423"/>
      <c r="AL43" s="1423"/>
      <c r="AM43" s="1423"/>
      <c r="AN43" s="1423" t="s">
        <v>0</v>
      </c>
      <c r="AO43" s="1423"/>
      <c r="AP43" s="1423"/>
    </row>
    <row r="44" spans="1:54" ht="11.25" customHeight="1" x14ac:dyDescent="0.2">
      <c r="A44" s="1609"/>
      <c r="B44" s="1727" t="s">
        <v>47</v>
      </c>
      <c r="C44" s="1729">
        <f>'1. T1 INVESTERINGSP.'!C56</f>
        <v>0</v>
      </c>
      <c r="D44" s="1686">
        <f>'1. T1 INVESTERINGSP.'!D56/1000</f>
        <v>0</v>
      </c>
      <c r="E44" s="1686">
        <f>'1. T1 INVESTERINGSP.'!E56/1000</f>
        <v>0</v>
      </c>
      <c r="F44" s="1686">
        <f>'1. T1 INVESTERINGSP.'!F56/1000</f>
        <v>0</v>
      </c>
      <c r="G44" s="1686">
        <f>'1. T1 INVESTERINGSP.'!G56/1000</f>
        <v>0</v>
      </c>
      <c r="H44" s="1686">
        <f>'1. T1 INVESTERINGSP.'!H56/1000</f>
        <v>0</v>
      </c>
      <c r="I44" s="1715"/>
      <c r="J44" s="1702"/>
      <c r="K44" s="1710"/>
      <c r="L44" s="1711"/>
      <c r="M44" s="1701"/>
      <c r="N44" s="1702"/>
      <c r="O44" s="1712"/>
      <c r="Q44" s="753">
        <v>0</v>
      </c>
      <c r="R44" s="2178" t="s">
        <v>719</v>
      </c>
      <c r="S44" s="2179" t="s">
        <v>719</v>
      </c>
      <c r="T44" s="760">
        <f>'3. T3 BALANS'!F79/1000</f>
        <v>0</v>
      </c>
      <c r="U44" s="754">
        <f>'3. T3 BALANS'!G79/1000</f>
        <v>0</v>
      </c>
      <c r="V44" s="754">
        <f>'3. T3 BALANS'!H79/1000</f>
        <v>0</v>
      </c>
      <c r="W44" s="754">
        <f>'3. T3 BALANS'!I79/1000</f>
        <v>0</v>
      </c>
      <c r="X44" s="754">
        <f>'3. T3 BALANS'!J79/1000</f>
        <v>0</v>
      </c>
      <c r="Y44" s="754">
        <f>'3. T3 BALANS'!K79/1000</f>
        <v>0</v>
      </c>
      <c r="AA44" s="1377" t="str">
        <f>'4. T7 LÅN '!B24</f>
        <v xml:space="preserve"> Långivaren/avsedd användning</v>
      </c>
      <c r="AB44" s="1390">
        <f>'4. T7 LÅN '!C24/1000</f>
        <v>0</v>
      </c>
      <c r="AC44" s="1391">
        <f>'4. T7 LÅN '!D24</f>
        <v>0</v>
      </c>
      <c r="AD44" s="1392">
        <f>'4. T7 LÅN '!E24*100</f>
        <v>0</v>
      </c>
      <c r="AE44" s="1390">
        <f>'4. T7 LÅN '!F24/1000</f>
        <v>0</v>
      </c>
      <c r="AF44" s="1393">
        <f>'4. T7 LÅN '!G24/1000</f>
        <v>0</v>
      </c>
      <c r="AG44" s="1394">
        <f>'4. T7 LÅN '!H24/1000</f>
        <v>0</v>
      </c>
      <c r="AH44" s="1390"/>
      <c r="AI44" s="1393">
        <f>'4. T7 LÅN '!J24/1000</f>
        <v>0</v>
      </c>
      <c r="AJ44" s="1394">
        <f>'4. T7 LÅN '!K24/1000</f>
        <v>0</v>
      </c>
      <c r="AK44" s="1390"/>
      <c r="AL44" s="1393">
        <f>'4. T7 LÅN '!M24/1000</f>
        <v>0</v>
      </c>
      <c r="AM44" s="1394">
        <f>'4. T7 LÅN '!N24/1000</f>
        <v>0</v>
      </c>
      <c r="AN44" s="1390"/>
      <c r="AO44" s="1393">
        <f>'4. T7 LÅN '!P24/1000</f>
        <v>0</v>
      </c>
      <c r="AP44" s="1455">
        <f>'4. T7 LÅN '!Q24/1000</f>
        <v>0</v>
      </c>
    </row>
    <row r="45" spans="1:54" ht="11.25" customHeight="1" x14ac:dyDescent="0.2">
      <c r="A45" s="1609"/>
      <c r="B45" s="1727" t="s">
        <v>48</v>
      </c>
      <c r="C45" s="1729">
        <f>'1. T1 INVESTERINGSP.'!C57</f>
        <v>0</v>
      </c>
      <c r="D45" s="1686">
        <f>'1. T1 INVESTERINGSP.'!D57/1000</f>
        <v>0</v>
      </c>
      <c r="E45" s="1686">
        <f>'1. T1 INVESTERINGSP.'!E57/1000</f>
        <v>0</v>
      </c>
      <c r="F45" s="1686">
        <f>'1. T1 INVESTERINGSP.'!F57/1000</f>
        <v>0</v>
      </c>
      <c r="G45" s="1686">
        <f>'1. T1 INVESTERINGSP.'!G57/1000</f>
        <v>0</v>
      </c>
      <c r="H45" s="1686">
        <f>'1. T1 INVESTERINGSP.'!H57/1000</f>
        <v>0</v>
      </c>
      <c r="I45" s="1716"/>
      <c r="J45" s="1702"/>
      <c r="K45" s="1714"/>
      <c r="L45" s="1714"/>
      <c r="M45" s="1702"/>
      <c r="N45" s="1702"/>
      <c r="O45" s="1712"/>
      <c r="Q45" s="753">
        <v>0</v>
      </c>
      <c r="R45" s="2178" t="s">
        <v>373</v>
      </c>
      <c r="S45" s="2179" t="s">
        <v>373</v>
      </c>
      <c r="T45" s="760">
        <f>'3. T3 BALANS'!F80/1000</f>
        <v>0</v>
      </c>
      <c r="U45" s="754">
        <f>'3. T3 BALANS'!G80/1000</f>
        <v>0</v>
      </c>
      <c r="V45" s="754">
        <f>'3. T3 BALANS'!H80/1000</f>
        <v>0</v>
      </c>
      <c r="W45" s="754">
        <f>'3. T3 BALANS'!I80/1000</f>
        <v>0</v>
      </c>
      <c r="X45" s="754">
        <f>'3. T3 BALANS'!J80/1000</f>
        <v>0</v>
      </c>
      <c r="Y45" s="754">
        <f>'3. T3 BALANS'!K80/1000</f>
        <v>0</v>
      </c>
      <c r="AA45" s="1378">
        <f>'4. T7 LÅN '!B25</f>
        <v>0</v>
      </c>
      <c r="AB45" s="1368">
        <f>'4. T7 LÅN '!C25/1000</f>
        <v>0</v>
      </c>
      <c r="AC45" s="783">
        <f>'4. T7 LÅN '!D25</f>
        <v>0</v>
      </c>
      <c r="AD45" s="1381">
        <f>'4. T7 LÅN '!E25*100</f>
        <v>0</v>
      </c>
      <c r="AE45" s="1368">
        <f>'4. T7 LÅN '!F25/1000</f>
        <v>0</v>
      </c>
      <c r="AF45" s="754">
        <f>'4. T7 LÅN '!G25/1000</f>
        <v>0</v>
      </c>
      <c r="AG45" s="1369">
        <f>'4. T7 LÅN '!H25/1000</f>
        <v>0</v>
      </c>
      <c r="AH45" s="1368"/>
      <c r="AI45" s="754">
        <f>'4. T7 LÅN '!J25/1000</f>
        <v>0</v>
      </c>
      <c r="AJ45" s="1369">
        <f>'4. T7 LÅN '!K25/1000</f>
        <v>0</v>
      </c>
      <c r="AK45" s="1368"/>
      <c r="AL45" s="754">
        <f>'4. T7 LÅN '!M25/1000</f>
        <v>0</v>
      </c>
      <c r="AM45" s="1369">
        <f>'4. T7 LÅN '!N25/1000</f>
        <v>0</v>
      </c>
      <c r="AN45" s="1368"/>
      <c r="AO45" s="754">
        <f>'4. T7 LÅN '!P25/1000</f>
        <v>0</v>
      </c>
      <c r="AP45" s="1445">
        <f>'4. T7 LÅN '!Q25/1000</f>
        <v>0</v>
      </c>
    </row>
    <row r="46" spans="1:54" ht="11.25" customHeight="1" x14ac:dyDescent="0.2">
      <c r="A46" s="1609"/>
      <c r="B46" s="1727" t="s">
        <v>49</v>
      </c>
      <c r="C46" s="1724" t="s">
        <v>292</v>
      </c>
      <c r="D46" s="1686">
        <f>'1. T1 INVESTERINGSP.'!D60/1000</f>
        <v>0</v>
      </c>
      <c r="E46" s="1686">
        <f>'1. T1 INVESTERINGSP.'!E60/1000</f>
        <v>0</v>
      </c>
      <c r="F46" s="1686">
        <f>'1. T1 INVESTERINGSP.'!F60/1000</f>
        <v>0</v>
      </c>
      <c r="G46" s="1686">
        <f>'1. T1 INVESTERINGSP.'!G60/1000</f>
        <v>0</v>
      </c>
      <c r="H46" s="1686">
        <f>'1. T1 INVESTERINGSP.'!H60/1000</f>
        <v>0</v>
      </c>
      <c r="I46" s="1715"/>
      <c r="J46" s="1702"/>
      <c r="K46" s="1710"/>
      <c r="L46" s="1711"/>
      <c r="M46" s="1701"/>
      <c r="N46" s="1702"/>
      <c r="O46" s="1712"/>
      <c r="R46" s="2178" t="s">
        <v>376</v>
      </c>
      <c r="S46" s="2179" t="s">
        <v>376</v>
      </c>
      <c r="T46" s="760">
        <f>'3. T3 BALANS'!F84/1000</f>
        <v>0</v>
      </c>
      <c r="U46" s="754">
        <f>'3. T3 BALANS'!G84/1000</f>
        <v>0</v>
      </c>
      <c r="V46" s="754">
        <f>'3. T3 BALANS'!H84/1000</f>
        <v>0</v>
      </c>
      <c r="W46" s="754">
        <f>'3. T3 BALANS'!I84/1000</f>
        <v>0</v>
      </c>
      <c r="X46" s="754">
        <f>'3. T3 BALANS'!J84/1000</f>
        <v>0</v>
      </c>
      <c r="Y46" s="754">
        <f>'3. T3 BALANS'!K84/1000</f>
        <v>0</v>
      </c>
      <c r="AA46" s="1385">
        <f>'4. T7 LÅN '!B26</f>
        <v>0</v>
      </c>
      <c r="AB46" s="1386">
        <f>'4. T7 LÅN '!C26/1000</f>
        <v>0</v>
      </c>
      <c r="AC46" s="1387">
        <f>'4. T7 LÅN '!D26</f>
        <v>0</v>
      </c>
      <c r="AD46" s="1388">
        <f>'4. T7 LÅN '!E26*100</f>
        <v>0</v>
      </c>
      <c r="AE46" s="1386">
        <f>'4. T7 LÅN '!F26/1000</f>
        <v>0</v>
      </c>
      <c r="AF46" s="789">
        <f>'4. T7 LÅN '!G26/1000</f>
        <v>0</v>
      </c>
      <c r="AG46" s="1389">
        <f>'4. T7 LÅN '!H26/1000</f>
        <v>0</v>
      </c>
      <c r="AH46" s="1386"/>
      <c r="AI46" s="789">
        <f>'4. T7 LÅN '!J26/1000</f>
        <v>0</v>
      </c>
      <c r="AJ46" s="1389">
        <f>'4. T7 LÅN '!K26/1000</f>
        <v>0</v>
      </c>
      <c r="AK46" s="1386"/>
      <c r="AL46" s="789">
        <f>'4. T7 LÅN '!M26/1000</f>
        <v>0</v>
      </c>
      <c r="AM46" s="1389">
        <f>'4. T7 LÅN '!N26/1000</f>
        <v>0</v>
      </c>
      <c r="AN46" s="1386"/>
      <c r="AO46" s="789">
        <f>'4. T7 LÅN '!P26/1000</f>
        <v>0</v>
      </c>
      <c r="AP46" s="1456">
        <f>'4. T7 LÅN '!Q26/1000</f>
        <v>0</v>
      </c>
      <c r="AQ46" s="119"/>
      <c r="AR46" s="119"/>
      <c r="AS46" s="119"/>
      <c r="AT46" s="119"/>
      <c r="AU46" s="119"/>
      <c r="AV46" s="119"/>
      <c r="AW46" s="119"/>
      <c r="AX46" s="119"/>
      <c r="AY46" s="119"/>
      <c r="AZ46" s="119"/>
      <c r="BA46" s="119"/>
      <c r="BB46" s="119"/>
    </row>
    <row r="47" spans="1:54" ht="11.25" customHeight="1" x14ac:dyDescent="0.2">
      <c r="A47" s="1609"/>
      <c r="B47" s="1727" t="s">
        <v>50</v>
      </c>
      <c r="C47" s="1724" t="s">
        <v>696</v>
      </c>
      <c r="D47" s="1686">
        <f>'1. T1 INVESTERINGSP.'!D61/1000</f>
        <v>0</v>
      </c>
      <c r="E47" s="1686">
        <f>'1. T1 INVESTERINGSP.'!E61/1000</f>
        <v>0</v>
      </c>
      <c r="F47" s="1686">
        <f>'1. T1 INVESTERINGSP.'!F61/1000</f>
        <v>0</v>
      </c>
      <c r="G47" s="1686">
        <f>'1. T1 INVESTERINGSP.'!G61/1000</f>
        <v>0</v>
      </c>
      <c r="H47" s="1686">
        <f>'1. T1 INVESTERINGSP.'!H61/1000</f>
        <v>0</v>
      </c>
      <c r="I47" s="1716"/>
      <c r="J47" s="1702"/>
      <c r="K47" s="1714"/>
      <c r="L47" s="1714"/>
      <c r="M47" s="1702"/>
      <c r="N47" s="1702"/>
      <c r="O47" s="1712"/>
      <c r="R47" s="2178" t="s">
        <v>392</v>
      </c>
      <c r="S47" s="2179" t="s">
        <v>392</v>
      </c>
      <c r="T47" s="760">
        <f>'3. T3 BALANS'!F91/1000</f>
        <v>0</v>
      </c>
      <c r="U47" s="754">
        <f>'3. T3 BALANS'!G91/1000</f>
        <v>0</v>
      </c>
      <c r="V47" s="754">
        <f>'3. T3 BALANS'!H91/1000</f>
        <v>0</v>
      </c>
      <c r="W47" s="754">
        <f>'3. T3 BALANS'!I91/1000</f>
        <v>0</v>
      </c>
      <c r="X47" s="754">
        <f>'3. T3 BALANS'!J91/1000</f>
        <v>0</v>
      </c>
      <c r="Y47" s="754">
        <f>'3. T3 BALANS'!K91/1000</f>
        <v>0</v>
      </c>
      <c r="AA47" s="1424" t="str">
        <f>'4. T7 LÅN '!B27</f>
        <v xml:space="preserve"> Lånen som ska lyftas under 2. året</v>
      </c>
      <c r="AB47" s="1425"/>
      <c r="AC47" s="1426"/>
      <c r="AD47" s="1427"/>
      <c r="AE47" s="1425"/>
      <c r="AF47" s="1425"/>
      <c r="AG47" s="1428"/>
      <c r="AH47" s="1425"/>
      <c r="AI47" s="1425"/>
      <c r="AJ47" s="1425"/>
      <c r="AK47" s="1425"/>
      <c r="AL47" s="1425"/>
      <c r="AM47" s="1425"/>
      <c r="AN47" s="1425"/>
      <c r="AO47" s="1425"/>
      <c r="AP47" s="1427"/>
      <c r="AQ47" s="119"/>
      <c r="AR47" s="119"/>
      <c r="AS47" s="119"/>
      <c r="AT47" s="119"/>
      <c r="AU47" s="119"/>
      <c r="AV47" s="119"/>
      <c r="AW47" s="119"/>
      <c r="AX47" s="119"/>
      <c r="AY47" s="119"/>
      <c r="AZ47" s="119"/>
      <c r="BA47" s="119"/>
      <c r="BB47" s="119"/>
    </row>
    <row r="48" spans="1:54" ht="11.25" customHeight="1" x14ac:dyDescent="0.2">
      <c r="A48" s="1609"/>
      <c r="B48" s="1728" t="s">
        <v>154</v>
      </c>
      <c r="C48" s="1725" t="s">
        <v>294</v>
      </c>
      <c r="D48" s="1689">
        <f>'1. T1 INVESTERINGSP.'!D62/1000</f>
        <v>0</v>
      </c>
      <c r="E48" s="1689">
        <f>'1. T1 INVESTERINGSP.'!E62/1000</f>
        <v>0</v>
      </c>
      <c r="F48" s="1689">
        <f>'1. T1 INVESTERINGSP.'!F62/1000</f>
        <v>0</v>
      </c>
      <c r="G48" s="1689">
        <f>'1. T1 INVESTERINGSP.'!G62/1000</f>
        <v>0</v>
      </c>
      <c r="H48" s="1689">
        <f>'1. T1 INVESTERINGSP.'!H62/1000</f>
        <v>0</v>
      </c>
      <c r="I48" s="1717"/>
      <c r="J48" s="1718"/>
      <c r="K48" s="1719"/>
      <c r="L48" s="1719"/>
      <c r="M48" s="1718"/>
      <c r="N48" s="1718"/>
      <c r="O48" s="1720"/>
      <c r="Q48" s="753"/>
      <c r="R48" s="2178" t="s">
        <v>720</v>
      </c>
      <c r="S48" s="2179" t="s">
        <v>720</v>
      </c>
      <c r="T48" s="760">
        <f>'3. T3 BALANS'!F96/1000</f>
        <v>0</v>
      </c>
      <c r="U48" s="754">
        <f>'3. T3 BALANS'!G96/1000</f>
        <v>0</v>
      </c>
      <c r="V48" s="754">
        <f>'3. T3 BALANS'!H96/1000</f>
        <v>0</v>
      </c>
      <c r="W48" s="754">
        <f>'3. T3 BALANS'!I96/1000</f>
        <v>0</v>
      </c>
      <c r="X48" s="754">
        <f>'3. T3 BALANS'!J96/1000</f>
        <v>0</v>
      </c>
      <c r="Y48" s="754">
        <f>'3. T3 BALANS'!K96/1000</f>
        <v>0</v>
      </c>
      <c r="AA48" s="1377" t="str">
        <f>'4. T7 LÅN '!B28</f>
        <v xml:space="preserve"> Långivaren/avsedd användning</v>
      </c>
      <c r="AB48" s="1390">
        <f>'4. T7 LÅN '!C28/1000</f>
        <v>0</v>
      </c>
      <c r="AC48" s="1391">
        <f>'4. T7 LÅN '!D28</f>
        <v>0</v>
      </c>
      <c r="AD48" s="1392">
        <f>'4. T7 LÅN '!E28*100</f>
        <v>0</v>
      </c>
      <c r="AE48" s="1390"/>
      <c r="AF48" s="1393"/>
      <c r="AG48" s="1394"/>
      <c r="AH48" s="1390">
        <f>'4. T7 LÅN '!I28/1000</f>
        <v>0</v>
      </c>
      <c r="AI48" s="1393">
        <f>'4. T7 LÅN '!J28/1000</f>
        <v>0</v>
      </c>
      <c r="AJ48" s="1394">
        <f>'4. T7 LÅN '!K28/1000</f>
        <v>0</v>
      </c>
      <c r="AK48" s="1390"/>
      <c r="AL48" s="1393">
        <f>'4. T7 LÅN '!M28/1000</f>
        <v>0</v>
      </c>
      <c r="AM48" s="1394">
        <f>'4. T7 LÅN '!N28/1000</f>
        <v>0</v>
      </c>
      <c r="AN48" s="1390"/>
      <c r="AO48" s="1393">
        <f>'4. T7 LÅN '!P28/1000</f>
        <v>0</v>
      </c>
      <c r="AP48" s="1457">
        <f>'4. T7 LÅN '!Q28/1000</f>
        <v>0</v>
      </c>
      <c r="AQ48" s="119"/>
      <c r="AR48" s="119"/>
      <c r="AS48" s="119"/>
      <c r="AT48" s="119"/>
      <c r="AU48" s="119"/>
      <c r="AV48" s="119"/>
      <c r="AW48" s="119"/>
      <c r="AX48" s="119"/>
      <c r="AY48" s="119"/>
      <c r="AZ48" s="119"/>
      <c r="BA48" s="119"/>
      <c r="BB48" s="119"/>
    </row>
    <row r="49" spans="2:54" ht="10.9" customHeight="1" x14ac:dyDescent="0.2">
      <c r="Q49" s="753" t="s">
        <v>0</v>
      </c>
      <c r="R49" s="2271" t="s">
        <v>721</v>
      </c>
      <c r="S49" s="2272"/>
      <c r="T49" s="759">
        <f>'3. T3 BALANS'!F98/1000</f>
        <v>0</v>
      </c>
      <c r="U49" s="757">
        <f>'3. T3 BALANS'!G98/1000</f>
        <v>0</v>
      </c>
      <c r="V49" s="757">
        <f>'3. T3 BALANS'!H98/1000</f>
        <v>0</v>
      </c>
      <c r="W49" s="757">
        <f>'3. T3 BALANS'!I98/1000</f>
        <v>0</v>
      </c>
      <c r="X49" s="757">
        <f>'3. T3 BALANS'!J98/1000</f>
        <v>0</v>
      </c>
      <c r="Y49" s="757">
        <f>'3. T3 BALANS'!K98/1000</f>
        <v>0</v>
      </c>
      <c r="AA49" s="1378">
        <f>'4. T7 LÅN '!B29</f>
        <v>0</v>
      </c>
      <c r="AB49" s="1368">
        <f>'4. T7 LÅN '!C29/1000</f>
        <v>0</v>
      </c>
      <c r="AC49" s="783">
        <f>'4. T7 LÅN '!D29</f>
        <v>0</v>
      </c>
      <c r="AD49" s="1381">
        <f>'4. T7 LÅN '!E29*100</f>
        <v>0</v>
      </c>
      <c r="AE49" s="1368"/>
      <c r="AF49" s="754"/>
      <c r="AG49" s="1369"/>
      <c r="AH49" s="1368">
        <f>'4. T7 LÅN '!I29/1000</f>
        <v>0</v>
      </c>
      <c r="AI49" s="754">
        <f>'4. T7 LÅN '!J29/1000</f>
        <v>0</v>
      </c>
      <c r="AJ49" s="1369">
        <f>'4. T7 LÅN '!K29/1000</f>
        <v>0</v>
      </c>
      <c r="AK49" s="1368"/>
      <c r="AL49" s="754">
        <f>'4. T7 LÅN '!M29/1000</f>
        <v>0</v>
      </c>
      <c r="AM49" s="1369">
        <f>'4. T7 LÅN '!N29/1000</f>
        <v>0</v>
      </c>
      <c r="AN49" s="1368"/>
      <c r="AO49" s="754">
        <f>'4. T7 LÅN '!P29/1000</f>
        <v>0</v>
      </c>
      <c r="AP49" s="1445">
        <f>'4. T7 LÅN '!Q29/1000</f>
        <v>0</v>
      </c>
      <c r="AQ49" s="119"/>
      <c r="AR49" s="119"/>
      <c r="AS49" s="119"/>
      <c r="AT49" s="119"/>
      <c r="AU49" s="119"/>
      <c r="AV49" s="119"/>
      <c r="AW49" s="119"/>
      <c r="AX49" s="119"/>
      <c r="AY49" s="119"/>
      <c r="AZ49" s="119"/>
      <c r="BA49" s="119"/>
      <c r="BB49" s="119"/>
    </row>
    <row r="50" spans="2:54" ht="11.25" customHeight="1" x14ac:dyDescent="0.2">
      <c r="Q50" s="786" t="s">
        <v>109</v>
      </c>
      <c r="R50" s="786"/>
      <c r="S50" s="786"/>
      <c r="T50" s="787"/>
      <c r="U50" s="787"/>
      <c r="V50" s="758"/>
      <c r="W50" s="758"/>
      <c r="X50" s="758"/>
      <c r="Y50" s="758"/>
      <c r="AA50" s="1385">
        <f>'4. T7 LÅN '!B30</f>
        <v>0</v>
      </c>
      <c r="AB50" s="1386">
        <f>'4. T7 LÅN '!C30/1000</f>
        <v>0</v>
      </c>
      <c r="AC50" s="1387">
        <f>'4. T7 LÅN '!D30</f>
        <v>0</v>
      </c>
      <c r="AD50" s="1388">
        <f>'4. T7 LÅN '!E30*100</f>
        <v>0</v>
      </c>
      <c r="AE50" s="1386"/>
      <c r="AF50" s="789"/>
      <c r="AG50" s="1389"/>
      <c r="AH50" s="1386">
        <f>'4. T7 LÅN '!I30/1000</f>
        <v>0</v>
      </c>
      <c r="AI50" s="789">
        <f>'4. T7 LÅN '!J30/1000</f>
        <v>0</v>
      </c>
      <c r="AJ50" s="1389">
        <f>'4. T7 LÅN '!K30/1000</f>
        <v>0</v>
      </c>
      <c r="AK50" s="1386"/>
      <c r="AL50" s="789">
        <f>'4. T7 LÅN '!M30/1000</f>
        <v>0</v>
      </c>
      <c r="AM50" s="1389">
        <f>'4. T7 LÅN '!N30/1000</f>
        <v>0</v>
      </c>
      <c r="AN50" s="1386"/>
      <c r="AO50" s="789">
        <f>'4. T7 LÅN '!P30/1000</f>
        <v>0</v>
      </c>
      <c r="AP50" s="1456">
        <f>'4. T7 LÅN '!Q30/1000</f>
        <v>0</v>
      </c>
      <c r="AQ50" s="119"/>
      <c r="AR50" s="119"/>
      <c r="AS50" s="119"/>
      <c r="AT50" s="119"/>
      <c r="AU50" s="119"/>
      <c r="AV50" s="119"/>
      <c r="AW50" s="119"/>
      <c r="AX50" s="119"/>
      <c r="AY50" s="119"/>
      <c r="AZ50" s="119"/>
      <c r="BA50" s="119"/>
      <c r="BB50" s="119"/>
    </row>
    <row r="51" spans="2:54" ht="11.25" customHeight="1" x14ac:dyDescent="0.2">
      <c r="B51" s="2162" t="s">
        <v>697</v>
      </c>
      <c r="C51" s="2162"/>
      <c r="D51" s="2161" t="s">
        <v>321</v>
      </c>
      <c r="E51" s="2161"/>
      <c r="F51" s="2161" t="s">
        <v>321</v>
      </c>
      <c r="G51" s="2161"/>
      <c r="H51" s="2161" t="s">
        <v>276</v>
      </c>
      <c r="I51" s="2161"/>
      <c r="J51" s="2161" t="s">
        <v>277</v>
      </c>
      <c r="K51" s="2161"/>
      <c r="L51" s="2161" t="s">
        <v>278</v>
      </c>
      <c r="M51" s="2161"/>
      <c r="N51" s="2161" t="s">
        <v>279</v>
      </c>
      <c r="O51" s="2161"/>
      <c r="Q51" s="2270" t="s">
        <v>722</v>
      </c>
      <c r="R51" s="2270"/>
      <c r="S51" s="2270"/>
      <c r="T51" s="1165"/>
      <c r="U51" s="1165"/>
      <c r="V51" s="1162" t="str">
        <f t="shared" ref="V51:Y52" si="3">V5</f>
        <v>Prognos 1</v>
      </c>
      <c r="W51" s="1162" t="str">
        <f t="shared" si="3"/>
        <v>Prognos 2</v>
      </c>
      <c r="X51" s="1162" t="str">
        <f t="shared" si="3"/>
        <v>Prognos 3</v>
      </c>
      <c r="Y51" s="1162" t="str">
        <f t="shared" si="3"/>
        <v>Prognos 4</v>
      </c>
      <c r="AA51" s="1429" t="str">
        <f>'4. T7 LÅN '!B31</f>
        <v xml:space="preserve"> Lånen som ska lyftas under 3. året</v>
      </c>
      <c r="AB51" s="1430"/>
      <c r="AC51" s="1431"/>
      <c r="AD51" s="1432"/>
      <c r="AE51" s="1430"/>
      <c r="AF51" s="1430"/>
      <c r="AG51" s="1433"/>
      <c r="AH51" s="1430"/>
      <c r="AI51" s="1430"/>
      <c r="AJ51" s="1433"/>
      <c r="AK51" s="1430"/>
      <c r="AL51" s="1430"/>
      <c r="AM51" s="1430"/>
      <c r="AN51" s="1430"/>
      <c r="AO51" s="1430"/>
      <c r="AP51" s="1432"/>
      <c r="AQ51" s="119"/>
      <c r="AR51" s="119"/>
      <c r="AS51" s="119"/>
      <c r="AT51" s="119"/>
      <c r="AU51" s="119"/>
      <c r="AV51" s="119"/>
      <c r="AW51" s="119"/>
      <c r="AX51" s="119"/>
      <c r="AY51" s="119"/>
      <c r="AZ51" s="119"/>
      <c r="BA51" s="119"/>
      <c r="BB51" s="119"/>
    </row>
    <row r="52" spans="2:54" ht="12" customHeight="1" x14ac:dyDescent="0.2">
      <c r="B52" s="2162"/>
      <c r="C52" s="2162"/>
      <c r="D52" s="2161">
        <f>'2. &amp; 7. T2 RESULTATB.'!E8</f>
        <v>2023</v>
      </c>
      <c r="E52" s="2161"/>
      <c r="F52" s="2161">
        <f>'2. &amp; 7. T2 RESULTATB.'!G8</f>
        <v>2024</v>
      </c>
      <c r="G52" s="2161"/>
      <c r="H52" s="2164">
        <f>'2. &amp; 7. T2 RESULTATB.'!I8</f>
        <v>2027</v>
      </c>
      <c r="I52" s="2164"/>
      <c r="J52" s="2161">
        <f>'2. &amp; 7. T2 RESULTATB.'!K8</f>
        <v>2028</v>
      </c>
      <c r="K52" s="2161"/>
      <c r="L52" s="2161">
        <f>'2. &amp; 7. T2 RESULTATB.'!M8</f>
        <v>2029</v>
      </c>
      <c r="M52" s="2161"/>
      <c r="N52" s="2161">
        <f>'2. &amp; 7. T2 RESULTATB.'!O8</f>
        <v>2030</v>
      </c>
      <c r="O52" s="2161"/>
      <c r="Q52" s="2270"/>
      <c r="R52" s="2270"/>
      <c r="S52" s="2270"/>
      <c r="T52" s="1080"/>
      <c r="U52" s="1080"/>
      <c r="V52" s="1164">
        <f t="shared" si="3"/>
        <v>2027</v>
      </c>
      <c r="W52" s="1164">
        <f t="shared" si="3"/>
        <v>2028</v>
      </c>
      <c r="X52" s="1164">
        <f t="shared" si="3"/>
        <v>2029</v>
      </c>
      <c r="Y52" s="1164">
        <f t="shared" si="3"/>
        <v>2030</v>
      </c>
      <c r="AA52" s="1377" t="str">
        <f>'4. T7 LÅN '!B32</f>
        <v xml:space="preserve"> Långivaren/avsedd användning</v>
      </c>
      <c r="AB52" s="1390">
        <f>'4. T7 LÅN '!C32/1000</f>
        <v>0</v>
      </c>
      <c r="AC52" s="1391">
        <f>'4. T7 LÅN '!D32</f>
        <v>0</v>
      </c>
      <c r="AD52" s="1392">
        <f>'4. T7 LÅN '!E32*100</f>
        <v>0</v>
      </c>
      <c r="AE52" s="1390"/>
      <c r="AF52" s="1393"/>
      <c r="AG52" s="1394"/>
      <c r="AH52" s="1390"/>
      <c r="AI52" s="1393"/>
      <c r="AJ52" s="1394"/>
      <c r="AK52" s="1390">
        <f>'4. T7 LÅN '!L32/1000</f>
        <v>0</v>
      </c>
      <c r="AL52" s="1393">
        <f>'4. T7 LÅN '!M32/1000</f>
        <v>0</v>
      </c>
      <c r="AM52" s="1394">
        <f>'4. T7 LÅN '!N32/1000</f>
        <v>0</v>
      </c>
      <c r="AN52" s="1390"/>
      <c r="AO52" s="1393">
        <f>'4. T7 LÅN '!P32/1000</f>
        <v>0</v>
      </c>
      <c r="AP52" s="1455">
        <f>'4. T7 LÅN '!Q32/1000</f>
        <v>0</v>
      </c>
      <c r="AQ52" s="119"/>
      <c r="AR52" s="119"/>
      <c r="AS52" s="119"/>
      <c r="AT52" s="119"/>
      <c r="AU52" s="119"/>
      <c r="AV52" s="119"/>
      <c r="AW52" s="119"/>
      <c r="AX52" s="119"/>
      <c r="AY52" s="119"/>
      <c r="AZ52" s="119"/>
      <c r="BA52" s="119"/>
      <c r="BB52" s="119"/>
    </row>
    <row r="53" spans="2:54" ht="11.25" customHeight="1" x14ac:dyDescent="0.2">
      <c r="B53" s="2162"/>
      <c r="C53" s="2162"/>
      <c r="D53" s="1732" t="s">
        <v>153</v>
      </c>
      <c r="E53" s="1733" t="s">
        <v>13</v>
      </c>
      <c r="F53" s="1732" t="s">
        <v>153</v>
      </c>
      <c r="G53" s="1733" t="s">
        <v>13</v>
      </c>
      <c r="H53" s="1732" t="s">
        <v>153</v>
      </c>
      <c r="I53" s="1733" t="s">
        <v>13</v>
      </c>
      <c r="J53" s="1732" t="s">
        <v>153</v>
      </c>
      <c r="K53" s="1733" t="s">
        <v>13</v>
      </c>
      <c r="L53" s="1732" t="s">
        <v>153</v>
      </c>
      <c r="M53" s="1733" t="s">
        <v>13</v>
      </c>
      <c r="N53" s="1732" t="s">
        <v>153</v>
      </c>
      <c r="O53" s="1733" t="s">
        <v>13</v>
      </c>
      <c r="Q53" s="734" t="s">
        <v>729</v>
      </c>
      <c r="R53" s="663"/>
      <c r="S53" s="663"/>
      <c r="T53" s="752"/>
      <c r="U53" s="371"/>
      <c r="V53" s="763"/>
      <c r="W53" s="763"/>
      <c r="X53" s="763"/>
      <c r="Y53" s="763"/>
      <c r="AA53" s="1378">
        <f>'4. T7 LÅN '!B33</f>
        <v>0</v>
      </c>
      <c r="AB53" s="1368">
        <f>'4. T7 LÅN '!C33/1000</f>
        <v>0</v>
      </c>
      <c r="AC53" s="783">
        <f>'4. T7 LÅN '!D33</f>
        <v>0</v>
      </c>
      <c r="AD53" s="1381">
        <f>'4. T7 LÅN '!E33*100</f>
        <v>0</v>
      </c>
      <c r="AE53" s="1368"/>
      <c r="AF53" s="754"/>
      <c r="AG53" s="1369"/>
      <c r="AH53" s="1368"/>
      <c r="AI53" s="754"/>
      <c r="AJ53" s="1369"/>
      <c r="AK53" s="1368">
        <f>'4. T7 LÅN '!L33/1000</f>
        <v>0</v>
      </c>
      <c r="AL53" s="754">
        <f>'4. T7 LÅN '!M33/1000</f>
        <v>0</v>
      </c>
      <c r="AM53" s="1369">
        <f>'4. T7 LÅN '!N33/1000</f>
        <v>0</v>
      </c>
      <c r="AN53" s="1368"/>
      <c r="AO53" s="754">
        <f>'4. T7 LÅN '!P33/1000</f>
        <v>0</v>
      </c>
      <c r="AP53" s="1445">
        <f>'4. T7 LÅN '!Q33/1000</f>
        <v>0</v>
      </c>
      <c r="AQ53" s="119"/>
      <c r="AR53" s="119"/>
      <c r="AS53" s="119"/>
      <c r="AT53" s="119"/>
      <c r="AU53" s="119"/>
      <c r="AV53" s="119"/>
      <c r="AW53" s="119"/>
      <c r="AX53" s="119"/>
      <c r="AY53" s="119"/>
      <c r="AZ53" s="119"/>
      <c r="BA53" s="119"/>
      <c r="BB53" s="119"/>
    </row>
    <row r="54" spans="2:54" ht="12" customHeight="1" x14ac:dyDescent="0.2">
      <c r="B54" s="1738"/>
      <c r="C54" s="1739" t="s">
        <v>298</v>
      </c>
      <c r="D54" s="1739">
        <f>'2. &amp; 7. T2 RESULTATB.'!E10</f>
        <v>12</v>
      </c>
      <c r="E54" s="1739"/>
      <c r="F54" s="1739" t="str">
        <f>'2. &amp; 7. T2 RESULTATB.'!G10</f>
        <v>12</v>
      </c>
      <c r="G54" s="1739"/>
      <c r="H54" s="1739">
        <f>'2. &amp; 7. T2 RESULTATB.'!I10</f>
        <v>12</v>
      </c>
      <c r="I54" s="1739"/>
      <c r="J54" s="1739" t="str">
        <f>'2. &amp; 7. T2 RESULTATB.'!K10</f>
        <v>12</v>
      </c>
      <c r="K54" s="1739"/>
      <c r="L54" s="1739" t="str">
        <f>'2. &amp; 7. T2 RESULTATB.'!M10</f>
        <v>12</v>
      </c>
      <c r="M54" s="1739"/>
      <c r="N54" s="1739" t="str">
        <f>'2. &amp; 7. T2 RESULTATB.'!O10</f>
        <v>12</v>
      </c>
      <c r="O54" s="1740"/>
      <c r="Q54" s="753"/>
      <c r="R54" s="2253" t="s">
        <v>723</v>
      </c>
      <c r="S54" s="2253" t="s">
        <v>723</v>
      </c>
      <c r="T54" s="2253" t="s">
        <v>723</v>
      </c>
      <c r="U54" s="2254" t="s">
        <v>723</v>
      </c>
      <c r="V54" s="754">
        <f>'8. T4 FINANSIERINGSB.'!H15/1000</f>
        <v>0</v>
      </c>
      <c r="W54" s="754">
        <f>'8. T4 FINANSIERINGSB.'!I15/1000</f>
        <v>0</v>
      </c>
      <c r="X54" s="754">
        <f>'8. T4 FINANSIERINGSB.'!J15/1000</f>
        <v>0</v>
      </c>
      <c r="Y54" s="754">
        <f>'8. T4 FINANSIERINGSB.'!K15/1000</f>
        <v>0</v>
      </c>
      <c r="AA54" s="1385">
        <f>'4. T7 LÅN '!B34</f>
        <v>0</v>
      </c>
      <c r="AB54" s="1386">
        <f>'4. T7 LÅN '!C34/1000</f>
        <v>0</v>
      </c>
      <c r="AC54" s="1387">
        <f>'4. T7 LÅN '!D34</f>
        <v>0</v>
      </c>
      <c r="AD54" s="1388">
        <f>'4. T7 LÅN '!E34*100</f>
        <v>0</v>
      </c>
      <c r="AE54" s="1386"/>
      <c r="AF54" s="789"/>
      <c r="AG54" s="1389"/>
      <c r="AH54" s="1386"/>
      <c r="AI54" s="789"/>
      <c r="AJ54" s="1389"/>
      <c r="AK54" s="1386">
        <f>'4. T7 LÅN '!L34/1000</f>
        <v>0</v>
      </c>
      <c r="AL54" s="789">
        <f>'4. T7 LÅN '!M34/1000</f>
        <v>0</v>
      </c>
      <c r="AM54" s="1389">
        <f>'4. T7 LÅN '!N34/1000</f>
        <v>0</v>
      </c>
      <c r="AN54" s="1386"/>
      <c r="AO54" s="789">
        <f>'4. T7 LÅN '!P34/1000</f>
        <v>0</v>
      </c>
      <c r="AP54" s="1456">
        <f>'4. T7 LÅN '!Q34/1000</f>
        <v>0</v>
      </c>
      <c r="AQ54" s="119"/>
      <c r="AR54" s="119"/>
      <c r="AS54" s="119"/>
      <c r="AT54" s="119"/>
      <c r="AU54" s="119"/>
      <c r="AV54" s="119"/>
      <c r="AW54" s="119"/>
      <c r="AX54" s="119"/>
      <c r="AY54" s="119"/>
      <c r="AZ54" s="119"/>
      <c r="BA54" s="119"/>
      <c r="BB54" s="119"/>
    </row>
    <row r="55" spans="2:54" ht="11.25" customHeight="1" x14ac:dyDescent="0.2">
      <c r="B55" s="1726" t="s">
        <v>2</v>
      </c>
      <c r="C55" s="1725" t="s">
        <v>299</v>
      </c>
      <c r="D55" s="1689">
        <f>'2. &amp; 7. T2 RESULTATB.'!E11/1000</f>
        <v>0</v>
      </c>
      <c r="E55" s="1734">
        <v>0</v>
      </c>
      <c r="F55" s="1689">
        <f>'2. &amp; 7. T2 RESULTATB.'!G11/1000</f>
        <v>0</v>
      </c>
      <c r="G55" s="1734">
        <v>0</v>
      </c>
      <c r="H55" s="1689">
        <f>'2. &amp; 7. T2 RESULTATB.'!I11/1000</f>
        <v>0</v>
      </c>
      <c r="I55" s="1734">
        <v>0</v>
      </c>
      <c r="J55" s="1689">
        <f>'2. &amp; 7. T2 RESULTATB.'!K11/1000</f>
        <v>0</v>
      </c>
      <c r="K55" s="1734">
        <v>0</v>
      </c>
      <c r="L55" s="1689">
        <f>'2. &amp; 7. T2 RESULTATB.'!M11/1000</f>
        <v>0</v>
      </c>
      <c r="M55" s="1734">
        <v>0</v>
      </c>
      <c r="N55" s="1689">
        <f>'2. &amp; 7. T2 RESULTATB.'!O11/1000</f>
        <v>0</v>
      </c>
      <c r="O55" s="1734">
        <v>0</v>
      </c>
      <c r="Q55" s="753"/>
      <c r="R55" s="2178" t="s">
        <v>724</v>
      </c>
      <c r="S55" s="2178" t="s">
        <v>724</v>
      </c>
      <c r="T55" s="2178" t="s">
        <v>724</v>
      </c>
      <c r="U55" s="2179" t="s">
        <v>724</v>
      </c>
      <c r="V55" s="754">
        <f>'8. T4 FINANSIERINGSB.'!H16/1000</f>
        <v>0</v>
      </c>
      <c r="W55" s="754">
        <f>'8. T4 FINANSIERINGSB.'!I16/1000</f>
        <v>0</v>
      </c>
      <c r="X55" s="754">
        <f>'8. T4 FINANSIERINGSB.'!J16/1000</f>
        <v>0</v>
      </c>
      <c r="Y55" s="754">
        <f>'8. T4 FINANSIERINGSB.'!K16/1000</f>
        <v>0</v>
      </c>
      <c r="AA55" s="1424" t="str">
        <f>'4. T7 LÅN '!B35</f>
        <v xml:space="preserve"> Lånen som ska lyftas under 4. året</v>
      </c>
      <c r="AB55" s="1425"/>
      <c r="AC55" s="1426"/>
      <c r="AD55" s="1427"/>
      <c r="AE55" s="1425"/>
      <c r="AF55" s="1425"/>
      <c r="AG55" s="1428"/>
      <c r="AH55" s="1425"/>
      <c r="AI55" s="1425"/>
      <c r="AJ55" s="1428"/>
      <c r="AK55" s="1425"/>
      <c r="AL55" s="1425"/>
      <c r="AM55" s="1428"/>
      <c r="AN55" s="1425"/>
      <c r="AO55" s="1425"/>
      <c r="AP55" s="1427"/>
      <c r="AQ55" s="119"/>
      <c r="AR55" s="119"/>
      <c r="AS55" s="119"/>
      <c r="AT55" s="119"/>
      <c r="AU55" s="119"/>
      <c r="AV55" s="119"/>
      <c r="AW55" s="119"/>
      <c r="AX55" s="119"/>
      <c r="AY55" s="119"/>
      <c r="AZ55" s="119"/>
      <c r="BA55" s="119"/>
      <c r="BB55" s="119"/>
    </row>
    <row r="56" spans="2:54" ht="11.25" customHeight="1" x14ac:dyDescent="0.2">
      <c r="B56" s="1727" t="s">
        <v>3</v>
      </c>
      <c r="C56" s="1724" t="s">
        <v>300</v>
      </c>
      <c r="D56" s="1686">
        <f>'2. &amp; 7. T2 RESULTATB.'!E12/1000</f>
        <v>0</v>
      </c>
      <c r="E56" s="1735">
        <v>0</v>
      </c>
      <c r="F56" s="1686">
        <f>'2. &amp; 7. T2 RESULTATB.'!G12/1000</f>
        <v>0</v>
      </c>
      <c r="G56" s="1735">
        <v>0</v>
      </c>
      <c r="H56" s="1686">
        <f>'2. &amp; 7. T2 RESULTATB.'!I12/1000</f>
        <v>0</v>
      </c>
      <c r="I56" s="1735"/>
      <c r="J56" s="1686">
        <f>'2. &amp; 7. T2 RESULTATB.'!K12/1000</f>
        <v>0</v>
      </c>
      <c r="K56" s="1735"/>
      <c r="L56" s="1686">
        <f>'2. &amp; 7. T2 RESULTATB.'!M12/1000</f>
        <v>0</v>
      </c>
      <c r="M56" s="1735"/>
      <c r="N56" s="1686">
        <f>'2. &amp; 7. T2 RESULTATB.'!O12/1000</f>
        <v>0</v>
      </c>
      <c r="O56" s="1735"/>
      <c r="Q56" s="753"/>
      <c r="R56" s="2178" t="s">
        <v>725</v>
      </c>
      <c r="S56" s="2178" t="s">
        <v>725</v>
      </c>
      <c r="T56" s="2178" t="s">
        <v>725</v>
      </c>
      <c r="U56" s="2179" t="s">
        <v>725</v>
      </c>
      <c r="V56" s="754">
        <f>'8. T4 FINANSIERINGSB.'!H17/1000</f>
        <v>0</v>
      </c>
      <c r="W56" s="754">
        <f>'8. T4 FINANSIERINGSB.'!I17/1000</f>
        <v>0</v>
      </c>
      <c r="X56" s="754">
        <f>'8. T4 FINANSIERINGSB.'!J17/1000</f>
        <v>0</v>
      </c>
      <c r="Y56" s="754">
        <f>'8. T4 FINANSIERINGSB.'!K17/1000</f>
        <v>0</v>
      </c>
      <c r="AA56" s="1377" t="str">
        <f>'4. T7 LÅN '!B36</f>
        <v xml:space="preserve"> Långivaren/avsedd användning</v>
      </c>
      <c r="AB56" s="1390">
        <f>'4. T7 LÅN '!C36/1000</f>
        <v>0</v>
      </c>
      <c r="AC56" s="1391">
        <f>'4. T7 LÅN '!D36</f>
        <v>0</v>
      </c>
      <c r="AD56" s="1392">
        <f>'4. T7 LÅN '!E36*100</f>
        <v>0</v>
      </c>
      <c r="AE56" s="1390"/>
      <c r="AF56" s="1393"/>
      <c r="AG56" s="1394"/>
      <c r="AH56" s="1390"/>
      <c r="AI56" s="1393"/>
      <c r="AJ56" s="1394"/>
      <c r="AK56" s="1390"/>
      <c r="AL56" s="1393"/>
      <c r="AM56" s="1394"/>
      <c r="AN56" s="1390">
        <f>'4. T7 LÅN '!O36/1000</f>
        <v>0</v>
      </c>
      <c r="AO56" s="1393">
        <f>'4. T7 LÅN '!P36/1000</f>
        <v>0</v>
      </c>
      <c r="AP56" s="1457">
        <f>'4. T7 LÅN '!Q36/1000</f>
        <v>0</v>
      </c>
      <c r="AQ56" s="119"/>
      <c r="AR56" s="119"/>
      <c r="AS56" s="119"/>
      <c r="AT56" s="119"/>
      <c r="AU56" s="119"/>
      <c r="AV56" s="119"/>
      <c r="AW56" s="119"/>
      <c r="AX56" s="119"/>
      <c r="AY56" s="119"/>
      <c r="AZ56" s="119"/>
      <c r="BA56" s="119"/>
      <c r="BB56" s="119"/>
    </row>
    <row r="57" spans="2:54" ht="11.25" customHeight="1" x14ac:dyDescent="0.2">
      <c r="B57" s="1727" t="s">
        <v>4</v>
      </c>
      <c r="C57" s="1724" t="s">
        <v>301</v>
      </c>
      <c r="D57" s="1686">
        <f>'2. &amp; 7. T2 RESULTATB.'!E13/1000</f>
        <v>0</v>
      </c>
      <c r="E57" s="1735"/>
      <c r="F57" s="1686">
        <f>'2. &amp; 7. T2 RESULTATB.'!G13/1000</f>
        <v>0</v>
      </c>
      <c r="G57" s="1735"/>
      <c r="H57" s="1686">
        <f>'2. &amp; 7. T2 RESULTATB.'!I13/1000</f>
        <v>0</v>
      </c>
      <c r="I57" s="1735"/>
      <c r="J57" s="1686">
        <f>'2. &amp; 7. T2 RESULTATB.'!K13/1000</f>
        <v>0</v>
      </c>
      <c r="K57" s="1735"/>
      <c r="L57" s="1686">
        <f>'2. &amp; 7. T2 RESULTATB.'!M13/1000</f>
        <v>0</v>
      </c>
      <c r="M57" s="1735"/>
      <c r="N57" s="1686">
        <f>'2. &amp; 7. T2 RESULTATB.'!O13/1000</f>
        <v>0</v>
      </c>
      <c r="O57" s="1735"/>
      <c r="Q57" s="753"/>
      <c r="R57" s="2178" t="s">
        <v>726</v>
      </c>
      <c r="S57" s="2178" t="s">
        <v>726</v>
      </c>
      <c r="T57" s="2178" t="s">
        <v>726</v>
      </c>
      <c r="U57" s="2179" t="s">
        <v>726</v>
      </c>
      <c r="V57" s="754">
        <f>'8. T4 FINANSIERINGSB.'!H18/1000</f>
        <v>0</v>
      </c>
      <c r="W57" s="754">
        <f>'8. T4 FINANSIERINGSB.'!I18/1000</f>
        <v>0</v>
      </c>
      <c r="X57" s="754">
        <f>'8. T4 FINANSIERINGSB.'!J18/1000</f>
        <v>0</v>
      </c>
      <c r="Y57" s="754">
        <f>'8. T4 FINANSIERINGSB.'!K18/1000</f>
        <v>0</v>
      </c>
      <c r="AA57" s="1378">
        <f>'4. T7 LÅN '!B37</f>
        <v>0</v>
      </c>
      <c r="AB57" s="1368">
        <f>'4. T7 LÅN '!C37/1000</f>
        <v>0</v>
      </c>
      <c r="AC57" s="783">
        <f>'4. T7 LÅN '!D37</f>
        <v>0</v>
      </c>
      <c r="AD57" s="1381">
        <f>'4. T7 LÅN '!E37*100</f>
        <v>0</v>
      </c>
      <c r="AE57" s="1368"/>
      <c r="AF57" s="754"/>
      <c r="AG57" s="1369"/>
      <c r="AH57" s="1368"/>
      <c r="AI57" s="754"/>
      <c r="AJ57" s="1369"/>
      <c r="AK57" s="1368"/>
      <c r="AL57" s="754"/>
      <c r="AM57" s="1369"/>
      <c r="AN57" s="1368">
        <f>'4. T7 LÅN '!O37/1000</f>
        <v>0</v>
      </c>
      <c r="AO57" s="754">
        <f>'4. T7 LÅN '!P37/1000</f>
        <v>0</v>
      </c>
      <c r="AP57" s="1445">
        <f>'4. T7 LÅN '!Q37/1000</f>
        <v>0</v>
      </c>
      <c r="AQ57" s="119"/>
      <c r="AR57" s="119"/>
      <c r="AS57" s="119"/>
      <c r="AT57" s="119"/>
      <c r="AU57" s="119"/>
      <c r="AV57" s="119"/>
      <c r="AW57" s="119"/>
      <c r="AX57" s="119"/>
      <c r="AY57" s="119"/>
      <c r="AZ57" s="119"/>
      <c r="BA57" s="119"/>
      <c r="BB57" s="119"/>
    </row>
    <row r="58" spans="2:54" ht="11.25" customHeight="1" thickBot="1" x14ac:dyDescent="0.25">
      <c r="B58" s="1727" t="s">
        <v>5</v>
      </c>
      <c r="C58" s="1725" t="s">
        <v>302</v>
      </c>
      <c r="D58" s="1689">
        <f>'2. &amp; 7. T2 RESULTATB.'!E14/1000</f>
        <v>0</v>
      </c>
      <c r="E58" s="1736">
        <v>100</v>
      </c>
      <c r="F58" s="1689">
        <f>'2. &amp; 7. T2 RESULTATB.'!G14/1000</f>
        <v>0</v>
      </c>
      <c r="G58" s="1736">
        <v>100</v>
      </c>
      <c r="H58" s="1689">
        <f>'2. &amp; 7. T2 RESULTATB.'!I14/1000</f>
        <v>0</v>
      </c>
      <c r="I58" s="1736">
        <v>100</v>
      </c>
      <c r="J58" s="1689">
        <f>'2. &amp; 7. T2 RESULTATB.'!K14/1000</f>
        <v>0</v>
      </c>
      <c r="K58" s="1736">
        <v>100</v>
      </c>
      <c r="L58" s="1689">
        <f>'2. &amp; 7. T2 RESULTATB.'!M14/1000</f>
        <v>0</v>
      </c>
      <c r="M58" s="1736">
        <v>100</v>
      </c>
      <c r="N58" s="1689">
        <f>'2. &amp; 7. T2 RESULTATB.'!O14/1000</f>
        <v>0</v>
      </c>
      <c r="O58" s="1736">
        <v>100</v>
      </c>
      <c r="Q58" s="753"/>
      <c r="R58" s="2178" t="s">
        <v>727</v>
      </c>
      <c r="S58" s="2178" t="s">
        <v>727</v>
      </c>
      <c r="T58" s="2178" t="s">
        <v>727</v>
      </c>
      <c r="U58" s="2179" t="s">
        <v>727</v>
      </c>
      <c r="V58" s="754">
        <f>'8. T4 FINANSIERINGSB.'!H19/1000</f>
        <v>0</v>
      </c>
      <c r="W58" s="754">
        <f>'8. T4 FINANSIERINGSB.'!I19/1000</f>
        <v>0</v>
      </c>
      <c r="X58" s="754">
        <f>'8. T4 FINANSIERINGSB.'!J19/1000</f>
        <v>0</v>
      </c>
      <c r="Y58" s="754">
        <f>'8. T4 FINANSIERINGSB.'!K19/1000</f>
        <v>0</v>
      </c>
      <c r="AA58" s="1379">
        <f>'4. T7 LÅN '!B38</f>
        <v>0</v>
      </c>
      <c r="AB58" s="1370">
        <f>'4. T7 LÅN '!C38/1000</f>
        <v>0</v>
      </c>
      <c r="AC58" s="1065">
        <f>'4. T7 LÅN '!D38</f>
        <v>0</v>
      </c>
      <c r="AD58" s="1382">
        <f>'4. T7 LÅN '!E38*100</f>
        <v>0</v>
      </c>
      <c r="AE58" s="1370"/>
      <c r="AF58" s="1066"/>
      <c r="AG58" s="1371"/>
      <c r="AH58" s="1370"/>
      <c r="AI58" s="1066"/>
      <c r="AJ58" s="1371"/>
      <c r="AK58" s="1370"/>
      <c r="AL58" s="1066"/>
      <c r="AM58" s="1371"/>
      <c r="AN58" s="1370">
        <f>'4. T7 LÅN '!O38/1000</f>
        <v>0</v>
      </c>
      <c r="AO58" s="1066">
        <f>'4. T7 LÅN '!P38/1000</f>
        <v>0</v>
      </c>
      <c r="AP58" s="1446">
        <f>'4. T7 LÅN '!Q38/1000</f>
        <v>0</v>
      </c>
      <c r="AQ58" s="119"/>
      <c r="AR58" s="119"/>
      <c r="AS58" s="119"/>
      <c r="AT58" s="119"/>
      <c r="AU58" s="119"/>
      <c r="AV58" s="119"/>
      <c r="AW58" s="119"/>
      <c r="AX58" s="119"/>
      <c r="AY58" s="119"/>
      <c r="AZ58" s="119"/>
      <c r="BA58" s="119"/>
      <c r="BB58" s="119"/>
    </row>
    <row r="59" spans="2:54" ht="11.25" customHeight="1" thickTop="1" x14ac:dyDescent="0.2">
      <c r="B59" s="1727" t="s">
        <v>6</v>
      </c>
      <c r="C59" s="1724" t="s">
        <v>698</v>
      </c>
      <c r="D59" s="1686">
        <f>'2. &amp; 7. T2 RESULTATB.'!E15/1000</f>
        <v>0</v>
      </c>
      <c r="E59" s="1735">
        <f>'2. &amp; 7. T2 RESULTATB.'!F15</f>
        <v>0</v>
      </c>
      <c r="F59" s="1686">
        <f>'2. &amp; 7. T2 RESULTATB.'!G15/1000</f>
        <v>0</v>
      </c>
      <c r="G59" s="1735">
        <f>'2. &amp; 7. T2 RESULTATB.'!H15</f>
        <v>0</v>
      </c>
      <c r="H59" s="1686">
        <f>'2. &amp; 7. T2 RESULTATB.'!I15/1000</f>
        <v>0</v>
      </c>
      <c r="I59" s="1735">
        <f>'2. &amp; 7. T2 RESULTATB.'!J15</f>
        <v>0</v>
      </c>
      <c r="J59" s="1686">
        <f>'2. &amp; 7. T2 RESULTATB.'!K15/1000</f>
        <v>0</v>
      </c>
      <c r="K59" s="1735">
        <f>'2. &amp; 7. T2 RESULTATB.'!L15</f>
        <v>0</v>
      </c>
      <c r="L59" s="1686">
        <f>'2. &amp; 7. T2 RESULTATB.'!M15/1000</f>
        <v>0</v>
      </c>
      <c r="M59" s="1735">
        <f>'2. &amp; 7. T2 RESULTATB.'!N15</f>
        <v>0</v>
      </c>
      <c r="N59" s="1686">
        <f>'2. &amp; 7. T2 RESULTATB.'!O15/1000</f>
        <v>0</v>
      </c>
      <c r="O59" s="1735">
        <f>'2. &amp; 7. T2 RESULTATB.'!P15</f>
        <v>0</v>
      </c>
      <c r="Q59" s="753"/>
      <c r="R59" s="2251" t="s">
        <v>728</v>
      </c>
      <c r="S59" s="2251"/>
      <c r="T59" s="2251"/>
      <c r="U59" s="2252"/>
      <c r="V59" s="754">
        <f>'8. T4 FINANSIERINGSB.'!H20/1000</f>
        <v>0</v>
      </c>
      <c r="W59" s="754">
        <f>'8. T4 FINANSIERINGSB.'!I20/1000</f>
        <v>0</v>
      </c>
      <c r="X59" s="754">
        <f>'8. T4 FINANSIERINGSB.'!J20/1000</f>
        <v>0</v>
      </c>
      <c r="Y59" s="754">
        <f>'8. T4 FINANSIERINGSB.'!K20/1000</f>
        <v>0</v>
      </c>
      <c r="AA59" s="1380" t="str">
        <f>'4. T7 LÅN '!B39</f>
        <v xml:space="preserve"> Nya lån sammanlagt</v>
      </c>
      <c r="AB59" s="1383">
        <f>SUM(AB44:AB58)</f>
        <v>0</v>
      </c>
      <c r="AC59" s="1231">
        <v>0</v>
      </c>
      <c r="AD59" s="1366">
        <v>0</v>
      </c>
      <c r="AE59" s="1383">
        <f t="shared" ref="AE59:AM59" si="4">SUM(AE44:AE58)</f>
        <v>0</v>
      </c>
      <c r="AF59" s="1232">
        <f t="shared" si="4"/>
        <v>0</v>
      </c>
      <c r="AG59" s="1384">
        <f t="shared" si="4"/>
        <v>0</v>
      </c>
      <c r="AH59" s="1383">
        <f t="shared" si="4"/>
        <v>0</v>
      </c>
      <c r="AI59" s="1232">
        <f t="shared" si="4"/>
        <v>0</v>
      </c>
      <c r="AJ59" s="1384">
        <f t="shared" si="4"/>
        <v>0</v>
      </c>
      <c r="AK59" s="1383">
        <f t="shared" si="4"/>
        <v>0</v>
      </c>
      <c r="AL59" s="1232">
        <f t="shared" si="4"/>
        <v>0</v>
      </c>
      <c r="AM59" s="1384">
        <f t="shared" si="4"/>
        <v>0</v>
      </c>
      <c r="AN59" s="1383">
        <f>SUM(AN44:AN58)</f>
        <v>0</v>
      </c>
      <c r="AO59" s="1232">
        <f>SUM(AO44:AO58)</f>
        <v>0</v>
      </c>
      <c r="AP59" s="1458">
        <f>SUM(AP44:AP58)</f>
        <v>0</v>
      </c>
      <c r="AQ59" s="119"/>
      <c r="AR59" s="119"/>
      <c r="AS59" s="119"/>
      <c r="AT59" s="119"/>
      <c r="AU59" s="119"/>
      <c r="AV59" s="119"/>
      <c r="AW59" s="119"/>
      <c r="AX59" s="119"/>
      <c r="AY59" s="119"/>
      <c r="AZ59" s="119"/>
      <c r="BA59" s="119"/>
      <c r="BB59" s="119"/>
    </row>
    <row r="60" spans="2:54" ht="11.25" customHeight="1" x14ac:dyDescent="0.2">
      <c r="B60" s="1727" t="s">
        <v>7</v>
      </c>
      <c r="C60" s="1724" t="s">
        <v>304</v>
      </c>
      <c r="D60" s="1686">
        <f>'2. &amp; 7. T2 RESULTATB.'!E16/1000</f>
        <v>0</v>
      </c>
      <c r="E60" s="1735">
        <f>'2. &amp; 7. T2 RESULTATB.'!F16</f>
        <v>0</v>
      </c>
      <c r="F60" s="1686">
        <f>'2. &amp; 7. T2 RESULTATB.'!G16/1000</f>
        <v>0</v>
      </c>
      <c r="G60" s="1735">
        <f>'2. &amp; 7. T2 RESULTATB.'!H16</f>
        <v>0</v>
      </c>
      <c r="H60" s="1686">
        <f>'2. &amp; 7. T2 RESULTATB.'!I16/1000</f>
        <v>0</v>
      </c>
      <c r="I60" s="1735">
        <f>'2. &amp; 7. T2 RESULTATB.'!J16</f>
        <v>0</v>
      </c>
      <c r="J60" s="1686">
        <f>'2. &amp; 7. T2 RESULTATB.'!K16/1000</f>
        <v>0</v>
      </c>
      <c r="K60" s="1735">
        <f>'2. &amp; 7. T2 RESULTATB.'!L16</f>
        <v>0</v>
      </c>
      <c r="L60" s="1686">
        <f>'2. &amp; 7. T2 RESULTATB.'!M16/1000</f>
        <v>0</v>
      </c>
      <c r="M60" s="1735">
        <f>'2. &amp; 7. T2 RESULTATB.'!N16</f>
        <v>0</v>
      </c>
      <c r="N60" s="1686">
        <f>'2. &amp; 7. T2 RESULTATB.'!O16/1000</f>
        <v>0</v>
      </c>
      <c r="O60" s="1735">
        <f>'2. &amp; 7. T2 RESULTATB.'!P16</f>
        <v>0</v>
      </c>
      <c r="Q60" s="758"/>
      <c r="R60" s="768" t="s">
        <v>791</v>
      </c>
      <c r="S60" s="768"/>
      <c r="T60" s="769"/>
      <c r="U60" s="756"/>
      <c r="V60" s="757">
        <f>'8. T4 FINANSIERINGSB.'!H21/1000</f>
        <v>0</v>
      </c>
      <c r="W60" s="757">
        <f>'8. T4 FINANSIERINGSB.'!I21/1000</f>
        <v>0</v>
      </c>
      <c r="X60" s="757">
        <f>'8. T4 FINANSIERINGSB.'!J21/1000</f>
        <v>0</v>
      </c>
      <c r="Y60" s="757">
        <f>'8. T4 FINANSIERINGSB.'!K21/1000</f>
        <v>0</v>
      </c>
      <c r="AA60" s="752"/>
      <c r="AB60" s="662"/>
      <c r="AC60" s="663"/>
      <c r="AD60" s="663"/>
      <c r="AE60" s="664"/>
      <c r="AF60" s="664"/>
      <c r="AG60" s="664"/>
      <c r="AH60" s="664"/>
      <c r="AI60" s="664"/>
      <c r="AJ60" s="664"/>
      <c r="AK60" s="664"/>
      <c r="AL60" s="664"/>
      <c r="AM60" s="664"/>
      <c r="AN60" s="664"/>
      <c r="AO60" s="664"/>
      <c r="AP60" s="664"/>
      <c r="AQ60" s="119"/>
      <c r="AR60" s="119"/>
      <c r="AS60" s="119"/>
      <c r="AT60" s="119"/>
      <c r="AU60" s="119"/>
      <c r="AV60" s="119"/>
      <c r="AW60" s="119"/>
      <c r="AX60" s="119"/>
      <c r="AY60" s="119"/>
      <c r="AZ60" s="119"/>
      <c r="BA60" s="119"/>
      <c r="BB60" s="119"/>
    </row>
    <row r="61" spans="2:54" ht="11.25" customHeight="1" x14ac:dyDescent="0.2">
      <c r="B61" s="1727" t="s">
        <v>8</v>
      </c>
      <c r="C61" s="1724" t="s">
        <v>305</v>
      </c>
      <c r="D61" s="1686">
        <f>'2. &amp; 7. T2 RESULTATB.'!E17/1000</f>
        <v>0</v>
      </c>
      <c r="E61" s="1735">
        <f>'2. &amp; 7. T2 RESULTATB.'!F17</f>
        <v>0</v>
      </c>
      <c r="F61" s="1686">
        <f>'2. &amp; 7. T2 RESULTATB.'!G17/1000</f>
        <v>0</v>
      </c>
      <c r="G61" s="1735">
        <f>'2. &amp; 7. T2 RESULTATB.'!H17</f>
        <v>0</v>
      </c>
      <c r="H61" s="1686">
        <f>'2. &amp; 7. T2 RESULTATB.'!I17/1000</f>
        <v>0</v>
      </c>
      <c r="I61" s="1735">
        <f>'2. &amp; 7. T2 RESULTATB.'!J17</f>
        <v>0</v>
      </c>
      <c r="J61" s="1686">
        <f>'2. &amp; 7. T2 RESULTATB.'!K17/1000</f>
        <v>0</v>
      </c>
      <c r="K61" s="1735">
        <f>'2. &amp; 7. T2 RESULTATB.'!L17</f>
        <v>0</v>
      </c>
      <c r="L61" s="1686">
        <f>'2. &amp; 7. T2 RESULTATB.'!M17/1000</f>
        <v>0</v>
      </c>
      <c r="M61" s="1735">
        <f>'2. &amp; 7. T2 RESULTATB.'!N17</f>
        <v>0</v>
      </c>
      <c r="N61" s="1686">
        <f>'2. &amp; 7. T2 RESULTATB.'!O17/1000</f>
        <v>0</v>
      </c>
      <c r="O61" s="1735">
        <f>'2. &amp; 7. T2 RESULTATB.'!P17</f>
        <v>0</v>
      </c>
      <c r="Q61" s="734" t="s">
        <v>730</v>
      </c>
      <c r="R61" s="663"/>
      <c r="S61" s="663"/>
      <c r="T61" s="752"/>
      <c r="U61" s="752"/>
      <c r="V61" s="764"/>
      <c r="W61" s="764"/>
      <c r="X61" s="764"/>
      <c r="Y61" s="764"/>
      <c r="AA61" s="2247" t="str">
        <f>'4. T7 LÅN '!B40</f>
        <v xml:space="preserve"> NYA AVBETALNINGSSKULDER</v>
      </c>
      <c r="AB61" s="2246" t="str">
        <f>AB40</f>
        <v>Lånets belopp</v>
      </c>
      <c r="AC61" s="2246" t="str">
        <f t="shared" ref="AC61:AD61" si="5">AC40</f>
        <v>Låne-
tid (år)</v>
      </c>
      <c r="AD61" s="2246" t="str">
        <f t="shared" si="5"/>
        <v>Ränte-%</v>
      </c>
      <c r="AE61" s="2187">
        <f>AE41</f>
        <v>2027</v>
      </c>
      <c r="AF61" s="2187"/>
      <c r="AG61" s="2222"/>
      <c r="AH61" s="2221">
        <f>AH41</f>
        <v>2028</v>
      </c>
      <c r="AI61" s="2187"/>
      <c r="AJ61" s="2222"/>
      <c r="AK61" s="2221">
        <f>AK41</f>
        <v>2029</v>
      </c>
      <c r="AL61" s="2187"/>
      <c r="AM61" s="2222"/>
      <c r="AN61" s="2187">
        <f>AN41</f>
        <v>2030</v>
      </c>
      <c r="AO61" s="2187"/>
      <c r="AP61" s="2187"/>
      <c r="AQ61" s="119"/>
      <c r="AR61" s="119"/>
      <c r="AS61" s="119"/>
      <c r="AT61" s="119"/>
      <c r="AU61" s="119"/>
      <c r="AV61" s="119"/>
      <c r="AW61" s="119"/>
      <c r="AX61" s="119"/>
      <c r="AY61" s="119"/>
      <c r="AZ61" s="119"/>
      <c r="BA61" s="119"/>
      <c r="BB61" s="119"/>
    </row>
    <row r="62" spans="2:54" ht="11.25" customHeight="1" x14ac:dyDescent="0.2">
      <c r="B62" s="1727" t="s">
        <v>9</v>
      </c>
      <c r="C62" s="1729" t="s">
        <v>306</v>
      </c>
      <c r="D62" s="1686">
        <f>'2. &amp; 7. T2 RESULTATB.'!E18/1000</f>
        <v>0</v>
      </c>
      <c r="E62" s="1735">
        <f>'2. &amp; 7. T2 RESULTATB.'!F18</f>
        <v>0</v>
      </c>
      <c r="F62" s="1686">
        <f>'2. &amp; 7. T2 RESULTATB.'!G18/1000</f>
        <v>0</v>
      </c>
      <c r="G62" s="1735">
        <f>'2. &amp; 7. T2 RESULTATB.'!H18</f>
        <v>0</v>
      </c>
      <c r="H62" s="1686">
        <f>'2. &amp; 7. T2 RESULTATB.'!I18/1000</f>
        <v>0</v>
      </c>
      <c r="I62" s="1735">
        <f>'2. &amp; 7. T2 RESULTATB.'!J18</f>
        <v>0</v>
      </c>
      <c r="J62" s="1686">
        <f>'2. &amp; 7. T2 RESULTATB.'!K18/1000</f>
        <v>0</v>
      </c>
      <c r="K62" s="1735">
        <f>'2. &amp; 7. T2 RESULTATB.'!L18</f>
        <v>0</v>
      </c>
      <c r="L62" s="1686">
        <f>'2. &amp; 7. T2 RESULTATB.'!M18/1000</f>
        <v>0</v>
      </c>
      <c r="M62" s="1735">
        <f>'2. &amp; 7. T2 RESULTATB.'!N18</f>
        <v>0</v>
      </c>
      <c r="N62" s="1686">
        <f>'2. &amp; 7. T2 RESULTATB.'!O18/1000</f>
        <v>0</v>
      </c>
      <c r="O62" s="1735">
        <f>'2. &amp; 7. T2 RESULTATB.'!P18</f>
        <v>0</v>
      </c>
      <c r="Q62" s="753"/>
      <c r="R62" s="2253" t="s">
        <v>731</v>
      </c>
      <c r="S62" s="2253" t="s">
        <v>731</v>
      </c>
      <c r="T62" s="2253" t="s">
        <v>731</v>
      </c>
      <c r="U62" s="2254" t="s">
        <v>731</v>
      </c>
      <c r="V62" s="754">
        <f>('8. T4 FINANSIERINGSB.'!H24+'8. T4 FINANSIERINGSB.'!H25+'8. T4 FINANSIERINGSB.'!H26+'8. T4 FINANSIERINGSB.'!H27)/1000</f>
        <v>0</v>
      </c>
      <c r="W62" s="754">
        <f>('8. T4 FINANSIERINGSB.'!I24+'8. T4 FINANSIERINGSB.'!I25+'8. T4 FINANSIERINGSB.'!I26+'8. T4 FINANSIERINGSB.'!I27)/1000</f>
        <v>0</v>
      </c>
      <c r="X62" s="754">
        <f>('8. T4 FINANSIERINGSB.'!J24+'8. T4 FINANSIERINGSB.'!J25+'8. T4 FINANSIERINGSB.'!J26+'8. T4 FINANSIERINGSB.'!J27)/1000</f>
        <v>0</v>
      </c>
      <c r="Y62" s="754">
        <f>('8. T4 FINANSIERINGSB.'!K24+'8. T4 FINANSIERINGSB.'!K25+'8. T4 FINANSIERINGSB.'!K26+'8. T4 FINANSIERINGSB.'!K27)/1000</f>
        <v>0</v>
      </c>
      <c r="AA62" s="2247"/>
      <c r="AB62" s="2246"/>
      <c r="AC62" s="2246"/>
      <c r="AD62" s="2246"/>
      <c r="AE62" s="1166" t="str">
        <f>AE42</f>
        <v>Lyft</v>
      </c>
      <c r="AF62" s="1166" t="str">
        <f t="shared" ref="AF62:AP62" si="6">AF42</f>
        <v>Amort</v>
      </c>
      <c r="AG62" s="1166" t="str">
        <f t="shared" si="6"/>
        <v>Ränta</v>
      </c>
      <c r="AH62" s="1166" t="str">
        <f t="shared" si="6"/>
        <v>Lyft</v>
      </c>
      <c r="AI62" s="1166" t="str">
        <f t="shared" si="6"/>
        <v>Amort</v>
      </c>
      <c r="AJ62" s="1166" t="str">
        <f t="shared" si="6"/>
        <v>Ränta</v>
      </c>
      <c r="AK62" s="1166" t="str">
        <f t="shared" si="6"/>
        <v>Lyft</v>
      </c>
      <c r="AL62" s="1166" t="str">
        <f t="shared" si="6"/>
        <v>Amort</v>
      </c>
      <c r="AM62" s="1166" t="str">
        <f t="shared" si="6"/>
        <v>Ränta</v>
      </c>
      <c r="AN62" s="1166" t="str">
        <f t="shared" si="6"/>
        <v>Lyft</v>
      </c>
      <c r="AO62" s="1166" t="str">
        <f t="shared" si="6"/>
        <v>Amort</v>
      </c>
      <c r="AP62" s="1166" t="str">
        <f t="shared" si="6"/>
        <v>Ränta</v>
      </c>
      <c r="AQ62" s="119"/>
      <c r="AR62" s="119"/>
      <c r="AS62" s="119"/>
      <c r="AT62" s="119"/>
      <c r="AU62" s="119"/>
      <c r="AV62" s="119"/>
      <c r="AW62" s="119"/>
      <c r="AX62" s="119"/>
      <c r="AY62" s="119"/>
      <c r="AZ62" s="119"/>
      <c r="BA62" s="119"/>
      <c r="BB62" s="119"/>
    </row>
    <row r="63" spans="2:54" ht="11.25" customHeight="1" x14ac:dyDescent="0.2">
      <c r="B63" s="1727" t="s">
        <v>10</v>
      </c>
      <c r="C63" s="1729" t="s">
        <v>307</v>
      </c>
      <c r="D63" s="1686">
        <f>'2. &amp; 7. T2 RESULTATB.'!E19/1000</f>
        <v>0</v>
      </c>
      <c r="E63" s="1735">
        <f>'2. &amp; 7. T2 RESULTATB.'!F19</f>
        <v>0</v>
      </c>
      <c r="F63" s="1686">
        <f>'2. &amp; 7. T2 RESULTATB.'!G19/1000</f>
        <v>0</v>
      </c>
      <c r="G63" s="1735">
        <f>'2. &amp; 7. T2 RESULTATB.'!H19</f>
        <v>0</v>
      </c>
      <c r="H63" s="1686">
        <f>'2. &amp; 7. T2 RESULTATB.'!I19/1000</f>
        <v>0</v>
      </c>
      <c r="I63" s="1735">
        <f>'2. &amp; 7. T2 RESULTATB.'!J19</f>
        <v>0</v>
      </c>
      <c r="J63" s="1686">
        <f>'2. &amp; 7. T2 RESULTATB.'!K19/1000</f>
        <v>0</v>
      </c>
      <c r="K63" s="1735">
        <f>'2. &amp; 7. T2 RESULTATB.'!L19</f>
        <v>0</v>
      </c>
      <c r="L63" s="1686">
        <f>'2. &amp; 7. T2 RESULTATB.'!M19/1000</f>
        <v>0</v>
      </c>
      <c r="M63" s="1735">
        <f>'2. &amp; 7. T2 RESULTATB.'!N19</f>
        <v>0</v>
      </c>
      <c r="N63" s="1686">
        <f>'2. &amp; 7. T2 RESULTATB.'!O19/1000</f>
        <v>0</v>
      </c>
      <c r="O63" s="1735">
        <f>'2. &amp; 7. T2 RESULTATB.'!P19</f>
        <v>0</v>
      </c>
      <c r="Q63" s="753"/>
      <c r="R63" s="2178" t="s">
        <v>732</v>
      </c>
      <c r="S63" s="2178" t="s">
        <v>732</v>
      </c>
      <c r="T63" s="2178" t="s">
        <v>732</v>
      </c>
      <c r="U63" s="2179" t="s">
        <v>732</v>
      </c>
      <c r="V63" s="754">
        <f>'8. T4 FINANSIERINGSB.'!H28/1000</f>
        <v>0</v>
      </c>
      <c r="W63" s="754">
        <f>'8. T4 FINANSIERINGSB.'!I28/1000</f>
        <v>0</v>
      </c>
      <c r="X63" s="754">
        <f>'8. T4 FINANSIERINGSB.'!J28/1000</f>
        <v>0</v>
      </c>
      <c r="Y63" s="754">
        <f>'8. T4 FINANSIERINGSB.'!K28/1000</f>
        <v>0</v>
      </c>
      <c r="AA63" s="1377" t="str">
        <f>'4. T7 LÅN '!B41</f>
        <v xml:space="preserve"> Ny avbetalningsskuld år 1</v>
      </c>
      <c r="AB63" s="1398">
        <f>'4. T7 LÅN '!C41/1000</f>
        <v>0</v>
      </c>
      <c r="AC63" s="782">
        <f>'4. T7 LÅN '!D41</f>
        <v>0</v>
      </c>
      <c r="AD63" s="1364">
        <f>'4. T7 LÅN '!E41*100</f>
        <v>0</v>
      </c>
      <c r="AE63" s="1225">
        <f>'4. T7 LÅN '!F41/1000</f>
        <v>0</v>
      </c>
      <c r="AF63" s="754">
        <f>'4. T7 LÅN '!G41/1000</f>
        <v>0</v>
      </c>
      <c r="AG63" s="1402">
        <f>'4. T7 LÅN '!H41/1000</f>
        <v>0</v>
      </c>
      <c r="AH63" s="1408"/>
      <c r="AI63" s="754">
        <f>'4. T7 LÅN '!J41/1000</f>
        <v>0</v>
      </c>
      <c r="AJ63" s="1402">
        <f>'4. T7 LÅN '!K41/1000</f>
        <v>0</v>
      </c>
      <c r="AK63" s="1408"/>
      <c r="AL63" s="754">
        <f>'4. T7 LÅN '!M41/1000</f>
        <v>0</v>
      </c>
      <c r="AM63" s="1402">
        <f>'4. T7 LÅN '!N41/1000</f>
        <v>0</v>
      </c>
      <c r="AN63" s="1225"/>
      <c r="AO63" s="754">
        <f>'4. T7 LÅN '!P41/1000</f>
        <v>0</v>
      </c>
      <c r="AP63" s="754">
        <f>'4. T7 LÅN '!Q41/1000</f>
        <v>0</v>
      </c>
      <c r="AQ63" s="68"/>
      <c r="AT63" s="908"/>
      <c r="AU63" s="908"/>
      <c r="AV63" s="908"/>
      <c r="AW63" s="908"/>
      <c r="AX63" s="908"/>
      <c r="AY63" s="908"/>
      <c r="AZ63" s="908"/>
      <c r="BB63" s="143"/>
    </row>
    <row r="64" spans="2:54" ht="11.25" customHeight="1" x14ac:dyDescent="0.2">
      <c r="B64" s="1727" t="s">
        <v>11</v>
      </c>
      <c r="C64" s="1741" t="s">
        <v>308</v>
      </c>
      <c r="D64" s="1689">
        <f>'2. &amp; 7. T2 RESULTATB.'!E20/1000</f>
        <v>0</v>
      </c>
      <c r="E64" s="1737">
        <f>'2. &amp; 7. T2 RESULTATB.'!F20</f>
        <v>0</v>
      </c>
      <c r="F64" s="1689">
        <f>'2. &amp; 7. T2 RESULTATB.'!G20/1000</f>
        <v>0</v>
      </c>
      <c r="G64" s="1737">
        <f>'2. &amp; 7. T2 RESULTATB.'!H20</f>
        <v>0</v>
      </c>
      <c r="H64" s="1689">
        <f>'2. &amp; 7. T2 RESULTATB.'!I20/1000</f>
        <v>0</v>
      </c>
      <c r="I64" s="1737">
        <f>'2. &amp; 7. T2 RESULTATB.'!J20</f>
        <v>0</v>
      </c>
      <c r="J64" s="1689">
        <f>'2. &amp; 7. T2 RESULTATB.'!K20/1000</f>
        <v>0</v>
      </c>
      <c r="K64" s="1737">
        <f>'2. &amp; 7. T2 RESULTATB.'!L20</f>
        <v>0</v>
      </c>
      <c r="L64" s="1689">
        <f>'2. &amp; 7. T2 RESULTATB.'!M20/1000</f>
        <v>0</v>
      </c>
      <c r="M64" s="1737">
        <f>'2. &amp; 7. T2 RESULTATB.'!N20</f>
        <v>0</v>
      </c>
      <c r="N64" s="1689">
        <f>'2. &amp; 7. T2 RESULTATB.'!O20/1000</f>
        <v>0</v>
      </c>
      <c r="O64" s="1737">
        <f>'2. &amp; 7. T2 RESULTATB.'!P20</f>
        <v>0</v>
      </c>
      <c r="Q64" s="753"/>
      <c r="R64" s="2178" t="s">
        <v>733</v>
      </c>
      <c r="S64" s="2178" t="s">
        <v>733</v>
      </c>
      <c r="T64" s="2178" t="s">
        <v>733</v>
      </c>
      <c r="U64" s="2179" t="s">
        <v>733</v>
      </c>
      <c r="V64" s="754">
        <f>'8. T4 FINANSIERINGSB.'!H29/1000</f>
        <v>0</v>
      </c>
      <c r="W64" s="754">
        <f>'8. T4 FINANSIERINGSB.'!I29/1000</f>
        <v>0</v>
      </c>
      <c r="X64" s="754">
        <f>'8. T4 FINANSIERINGSB.'!J29/1000</f>
        <v>0</v>
      </c>
      <c r="Y64" s="754">
        <f>'8. T4 FINANSIERINGSB.'!K29/1000</f>
        <v>0</v>
      </c>
      <c r="AA64" s="1378" t="str">
        <f>'4. T7 LÅN '!B42</f>
        <v xml:space="preserve"> Ny avbetalningsskuld år 2</v>
      </c>
      <c r="AB64" s="1398">
        <f>'4. T7 LÅN '!C42/1000</f>
        <v>0</v>
      </c>
      <c r="AC64" s="782">
        <f>'4. T7 LÅN '!D42</f>
        <v>0</v>
      </c>
      <c r="AD64" s="1364">
        <f>'4. T7 LÅN '!E42*100</f>
        <v>0</v>
      </c>
      <c r="AE64" s="1225"/>
      <c r="AF64" s="754"/>
      <c r="AG64" s="1402"/>
      <c r="AH64" s="1408">
        <f>'4. T7 LÅN '!I42/1000</f>
        <v>0</v>
      </c>
      <c r="AI64" s="754">
        <f>'4. T7 LÅN '!J42/1000</f>
        <v>0</v>
      </c>
      <c r="AJ64" s="1402">
        <f>'4. T7 LÅN '!K42/1000</f>
        <v>0</v>
      </c>
      <c r="AK64" s="1408"/>
      <c r="AL64" s="754">
        <f>'4. T7 LÅN '!M42/1000</f>
        <v>0</v>
      </c>
      <c r="AM64" s="1402">
        <f>'4. T7 LÅN '!N42/1000</f>
        <v>0</v>
      </c>
      <c r="AN64" s="1225"/>
      <c r="AO64" s="754">
        <f>'4. T7 LÅN '!P42/1000</f>
        <v>0</v>
      </c>
      <c r="AP64" s="754">
        <f>'4. T7 LÅN '!Q42/1000</f>
        <v>0</v>
      </c>
    </row>
    <row r="65" spans="2:61" ht="11.25" customHeight="1" x14ac:dyDescent="0.2">
      <c r="B65" s="1727" t="s">
        <v>43</v>
      </c>
      <c r="C65" s="1729" t="s">
        <v>309</v>
      </c>
      <c r="D65" s="1686">
        <f>'2. &amp; 7. T2 RESULTATB.'!E21/1000</f>
        <v>0</v>
      </c>
      <c r="E65" s="1735">
        <f>'2. &amp; 7. T2 RESULTATB.'!F21</f>
        <v>0</v>
      </c>
      <c r="F65" s="1686">
        <f>'2. &amp; 7. T2 RESULTATB.'!G21/1000</f>
        <v>0</v>
      </c>
      <c r="G65" s="1735">
        <f>'2. &amp; 7. T2 RESULTATB.'!H21</f>
        <v>0</v>
      </c>
      <c r="H65" s="1686">
        <f>'2. &amp; 7. T2 RESULTATB.'!I21/1000</f>
        <v>0</v>
      </c>
      <c r="I65" s="1735">
        <f>'2. &amp; 7. T2 RESULTATB.'!J21</f>
        <v>0</v>
      </c>
      <c r="J65" s="1686">
        <f>'2. &amp; 7. T2 RESULTATB.'!K21/1000</f>
        <v>0</v>
      </c>
      <c r="K65" s="1735">
        <f>'2. &amp; 7. T2 RESULTATB.'!L21</f>
        <v>0</v>
      </c>
      <c r="L65" s="1686">
        <f>'2. &amp; 7. T2 RESULTATB.'!M21/1000</f>
        <v>0</v>
      </c>
      <c r="M65" s="1735">
        <f>'2. &amp; 7. T2 RESULTATB.'!N21</f>
        <v>0</v>
      </c>
      <c r="N65" s="1686">
        <f>'2. &amp; 7. T2 RESULTATB.'!O21/1000</f>
        <v>0</v>
      </c>
      <c r="O65" s="1735">
        <f>'2. &amp; 7. T2 RESULTATB.'!P21</f>
        <v>0</v>
      </c>
      <c r="Q65" s="753"/>
      <c r="R65" s="2251" t="s">
        <v>734</v>
      </c>
      <c r="S65" s="2251" t="s">
        <v>734</v>
      </c>
      <c r="T65" s="2251" t="s">
        <v>734</v>
      </c>
      <c r="U65" s="2252" t="s">
        <v>734</v>
      </c>
      <c r="V65" s="754">
        <f>'8. T4 FINANSIERINGSB.'!H30/1000</f>
        <v>0</v>
      </c>
      <c r="W65" s="754">
        <f>'8. T4 FINANSIERINGSB.'!I30/1000</f>
        <v>0</v>
      </c>
      <c r="X65" s="754">
        <f>'8. T4 FINANSIERINGSB.'!J30/1000</f>
        <v>0</v>
      </c>
      <c r="Y65" s="754">
        <f>'8. T4 FINANSIERINGSB.'!K30/1000</f>
        <v>0</v>
      </c>
      <c r="AA65" s="1395" t="str">
        <f>'4. T7 LÅN '!B43</f>
        <v xml:space="preserve"> Ny avbetalningsskuld år 3</v>
      </c>
      <c r="AB65" s="1398">
        <f>'4. T7 LÅN '!C43/1000</f>
        <v>0</v>
      </c>
      <c r="AC65" s="782">
        <f>'4. T7 LÅN '!D43</f>
        <v>0</v>
      </c>
      <c r="AD65" s="1364">
        <f>'4. T7 LÅN '!E43*100</f>
        <v>0</v>
      </c>
      <c r="AE65" s="1225"/>
      <c r="AF65" s="754"/>
      <c r="AG65" s="1402"/>
      <c r="AH65" s="1408"/>
      <c r="AI65" s="754"/>
      <c r="AJ65" s="1402"/>
      <c r="AK65" s="1408">
        <f>'4. T7 LÅN '!L43/1000</f>
        <v>0</v>
      </c>
      <c r="AL65" s="754">
        <f>'4. T7 LÅN '!M43/1000</f>
        <v>0</v>
      </c>
      <c r="AM65" s="1402">
        <f>'4. T7 LÅN '!N43/1000</f>
        <v>0</v>
      </c>
      <c r="AN65" s="1225"/>
      <c r="AO65" s="754">
        <f>'4. T7 LÅN '!P43/1000</f>
        <v>0</v>
      </c>
      <c r="AP65" s="754">
        <f>'4. T7 LÅN '!Q43/1000</f>
        <v>0</v>
      </c>
    </row>
    <row r="66" spans="2:61" ht="11.25" customHeight="1" thickBot="1" x14ac:dyDescent="0.25">
      <c r="B66" s="1727" t="s">
        <v>44</v>
      </c>
      <c r="C66" s="1741" t="s">
        <v>310</v>
      </c>
      <c r="D66" s="1689">
        <f>'2. &amp; 7. T2 RESULTATB.'!E22/1000</f>
        <v>0</v>
      </c>
      <c r="E66" s="1737">
        <f>'2. &amp; 7. T2 RESULTATB.'!F22</f>
        <v>0</v>
      </c>
      <c r="F66" s="1689">
        <f>'2. &amp; 7. T2 RESULTATB.'!G22/1000</f>
        <v>0</v>
      </c>
      <c r="G66" s="1737">
        <f>'2. &amp; 7. T2 RESULTATB.'!H22</f>
        <v>0</v>
      </c>
      <c r="H66" s="1689">
        <f>'2. &amp; 7. T2 RESULTATB.'!I22/1000</f>
        <v>0</v>
      </c>
      <c r="I66" s="1737">
        <f>'2. &amp; 7. T2 RESULTATB.'!J22</f>
        <v>0</v>
      </c>
      <c r="J66" s="1689">
        <f>'2. &amp; 7. T2 RESULTATB.'!K22/1000</f>
        <v>0</v>
      </c>
      <c r="K66" s="1737">
        <f>'2. &amp; 7. T2 RESULTATB.'!L22</f>
        <v>0</v>
      </c>
      <c r="L66" s="1689">
        <f>'2. &amp; 7. T2 RESULTATB.'!M22/1000</f>
        <v>0</v>
      </c>
      <c r="M66" s="1737">
        <f>'2. &amp; 7. T2 RESULTATB.'!N22</f>
        <v>0</v>
      </c>
      <c r="N66" s="1689">
        <f>'2. &amp; 7. T2 RESULTATB.'!O22/1000</f>
        <v>0</v>
      </c>
      <c r="O66" s="1737">
        <f>'2. &amp; 7. T2 RESULTATB.'!P22</f>
        <v>0</v>
      </c>
      <c r="Q66" s="753"/>
      <c r="R66" s="2251" t="s">
        <v>735</v>
      </c>
      <c r="S66" s="2251" t="s">
        <v>735</v>
      </c>
      <c r="T66" s="2251" t="s">
        <v>735</v>
      </c>
      <c r="U66" s="2252" t="s">
        <v>735</v>
      </c>
      <c r="V66" s="754">
        <f>'8. T4 FINANSIERINGSB.'!H31/1000+'8. T4 FINANSIERINGSB.'!H32/1000</f>
        <v>0</v>
      </c>
      <c r="W66" s="754">
        <f>'8. T4 FINANSIERINGSB.'!I31/1000+'8. T4 FINANSIERINGSB.'!I32/1000</f>
        <v>0</v>
      </c>
      <c r="X66" s="754">
        <f>'8. T4 FINANSIERINGSB.'!J31/1000+'8. T4 FINANSIERINGSB.'!J32/1000</f>
        <v>0</v>
      </c>
      <c r="Y66" s="754">
        <f>'8. T4 FINANSIERINGSB.'!K31/1000+'8. T4 FINANSIERINGSB.'!K32/1000</f>
        <v>0</v>
      </c>
      <c r="AA66" s="1396" t="str">
        <f>'4. T7 LÅN '!B44</f>
        <v xml:space="preserve"> Ny avbetalningsskuld år 4</v>
      </c>
      <c r="AB66" s="1399">
        <f>'4. T7 LÅN '!C44/1000</f>
        <v>0</v>
      </c>
      <c r="AC66" s="1065">
        <f>'4. T7 LÅN '!D44</f>
        <v>0</v>
      </c>
      <c r="AD66" s="1365">
        <f>'4. T7 LÅN '!E44*100</f>
        <v>0</v>
      </c>
      <c r="AE66" s="1226"/>
      <c r="AF66" s="1066"/>
      <c r="AG66" s="1403"/>
      <c r="AH66" s="1409"/>
      <c r="AI66" s="1066"/>
      <c r="AJ66" s="1403"/>
      <c r="AK66" s="1409"/>
      <c r="AL66" s="1066"/>
      <c r="AM66" s="1403"/>
      <c r="AN66" s="1226">
        <f>'4. T7 LÅN '!O44/1000</f>
        <v>0</v>
      </c>
      <c r="AO66" s="1066">
        <f>'4. T7 LÅN '!P44/1000</f>
        <v>0</v>
      </c>
      <c r="AP66" s="1066">
        <f>'4. T7 LÅN '!Q44/1000</f>
        <v>0</v>
      </c>
    </row>
    <row r="67" spans="2:61" ht="11.25" customHeight="1" thickTop="1" x14ac:dyDescent="0.2">
      <c r="B67" s="1727" t="s">
        <v>118</v>
      </c>
      <c r="C67" s="1729" t="s">
        <v>311</v>
      </c>
      <c r="D67" s="1686">
        <f>'2. &amp; 7. T2 RESULTATB.'!E23/1000</f>
        <v>0</v>
      </c>
      <c r="E67" s="1735">
        <f>'2. &amp; 7. T2 RESULTATB.'!F23</f>
        <v>0</v>
      </c>
      <c r="F67" s="1686">
        <f>'2. &amp; 7. T2 RESULTATB.'!G23/1000</f>
        <v>0</v>
      </c>
      <c r="G67" s="1735">
        <f>'2. &amp; 7. T2 RESULTATB.'!H23</f>
        <v>0</v>
      </c>
      <c r="H67" s="1686">
        <f>'2. &amp; 7. T2 RESULTATB.'!I23/1000</f>
        <v>0</v>
      </c>
      <c r="I67" s="1735">
        <f>'2. &amp; 7. T2 RESULTATB.'!J23</f>
        <v>0</v>
      </c>
      <c r="J67" s="1686">
        <f>'2. &amp; 7. T2 RESULTATB.'!K23/1000</f>
        <v>0</v>
      </c>
      <c r="K67" s="1735">
        <f>'2. &amp; 7. T2 RESULTATB.'!L23</f>
        <v>0</v>
      </c>
      <c r="L67" s="1686">
        <f>'2. &amp; 7. T2 RESULTATB.'!M23/1000</f>
        <v>0</v>
      </c>
      <c r="M67" s="1735">
        <f>'2. &amp; 7. T2 RESULTATB.'!N23</f>
        <v>0</v>
      </c>
      <c r="N67" s="1686">
        <f>'2. &amp; 7. T2 RESULTATB.'!O23/1000</f>
        <v>0</v>
      </c>
      <c r="O67" s="1735">
        <f>'2. &amp; 7. T2 RESULTATB.'!P23</f>
        <v>0</v>
      </c>
      <c r="Q67" s="753"/>
      <c r="R67" s="2178" t="s">
        <v>736</v>
      </c>
      <c r="S67" s="2178" t="s">
        <v>736</v>
      </c>
      <c r="T67" s="2178" t="s">
        <v>736</v>
      </c>
      <c r="U67" s="2179" t="s">
        <v>736</v>
      </c>
      <c r="V67" s="754">
        <f>'8. T4 FINANSIERINGSB.'!H34/1000+'8. T4 FINANSIERINGSB.'!H33/1000</f>
        <v>0</v>
      </c>
      <c r="W67" s="754">
        <f>'8. T4 FINANSIERINGSB.'!I34/1000+'8. T4 FINANSIERINGSB.'!I33/1000</f>
        <v>0</v>
      </c>
      <c r="X67" s="754">
        <f>'8. T4 FINANSIERINGSB.'!J34/1000+'8. T4 FINANSIERINGSB.'!J33/1000</f>
        <v>0</v>
      </c>
      <c r="Y67" s="754">
        <f>'8. T4 FINANSIERINGSB.'!K34/1000+'8. T4 FINANSIERINGSB.'!K33/1000</f>
        <v>0</v>
      </c>
      <c r="AA67" s="1397" t="str">
        <f>'4. T7 LÅN '!B45</f>
        <v>Nya avbetalningslån slgt</v>
      </c>
      <c r="AB67" s="1400">
        <f>SUM(AB63:AB66)</f>
        <v>0</v>
      </c>
      <c r="AC67" s="1175">
        <v>0</v>
      </c>
      <c r="AD67" s="1401">
        <v>0</v>
      </c>
      <c r="AE67" s="1227">
        <f>'4. T7 LÅN '!F45/1000</f>
        <v>0</v>
      </c>
      <c r="AF67" s="1176">
        <f t="shared" ref="AF67:AO67" si="7">SUM(AF63:AF66)</f>
        <v>0</v>
      </c>
      <c r="AG67" s="1404">
        <f t="shared" si="7"/>
        <v>0</v>
      </c>
      <c r="AH67" s="1410">
        <f t="shared" si="7"/>
        <v>0</v>
      </c>
      <c r="AI67" s="1176">
        <f t="shared" si="7"/>
        <v>0</v>
      </c>
      <c r="AJ67" s="1404">
        <f t="shared" si="7"/>
        <v>0</v>
      </c>
      <c r="AK67" s="1410">
        <f t="shared" si="7"/>
        <v>0</v>
      </c>
      <c r="AL67" s="1176">
        <f t="shared" si="7"/>
        <v>0</v>
      </c>
      <c r="AM67" s="1404">
        <f t="shared" si="7"/>
        <v>0</v>
      </c>
      <c r="AN67" s="1227">
        <f t="shared" si="7"/>
        <v>0</v>
      </c>
      <c r="AO67" s="1176">
        <f t="shared" si="7"/>
        <v>0</v>
      </c>
      <c r="AP67" s="1176">
        <f>SUM(AP63:AP66)</f>
        <v>0</v>
      </c>
    </row>
    <row r="68" spans="2:61" ht="11.25" customHeight="1" x14ac:dyDescent="0.2">
      <c r="B68" s="1727" t="s">
        <v>45</v>
      </c>
      <c r="C68" s="1724" t="s">
        <v>699</v>
      </c>
      <c r="D68" s="1686">
        <f>'2. &amp; 7. T2 RESULTATB.'!E24/1000</f>
        <v>0</v>
      </c>
      <c r="E68" s="1735">
        <f>'2. &amp; 7. T2 RESULTATB.'!F24</f>
        <v>0</v>
      </c>
      <c r="F68" s="1686">
        <f>'2. &amp; 7. T2 RESULTATB.'!G24/1000</f>
        <v>0</v>
      </c>
      <c r="G68" s="1735">
        <f>'2. &amp; 7. T2 RESULTATB.'!H24</f>
        <v>0</v>
      </c>
      <c r="H68" s="1686">
        <f>'2. &amp; 7. T2 RESULTATB.'!I24/1000</f>
        <v>0</v>
      </c>
      <c r="I68" s="1735">
        <f>'2. &amp; 7. T2 RESULTATB.'!J24</f>
        <v>0</v>
      </c>
      <c r="J68" s="1686">
        <f>'2. &amp; 7. T2 RESULTATB.'!K24/1000</f>
        <v>0</v>
      </c>
      <c r="K68" s="1735">
        <f>'2. &amp; 7. T2 RESULTATB.'!L24</f>
        <v>0</v>
      </c>
      <c r="L68" s="1686">
        <f>'2. &amp; 7. T2 RESULTATB.'!M24/1000</f>
        <v>0</v>
      </c>
      <c r="M68" s="1735">
        <f>'2. &amp; 7. T2 RESULTATB.'!N24</f>
        <v>0</v>
      </c>
      <c r="N68" s="1686">
        <f>'2. &amp; 7. T2 RESULTATB.'!O24/1000</f>
        <v>0</v>
      </c>
      <c r="O68" s="1735">
        <f>'2. &amp; 7. T2 RESULTATB.'!P24</f>
        <v>0</v>
      </c>
      <c r="Q68" s="753"/>
      <c r="R68" s="2178" t="s">
        <v>737</v>
      </c>
      <c r="S68" s="2178" t="s">
        <v>737</v>
      </c>
      <c r="T68" s="2178" t="s">
        <v>737</v>
      </c>
      <c r="U68" s="2179" t="s">
        <v>737</v>
      </c>
      <c r="V68" s="754">
        <f>'8. T4 FINANSIERINGSB.'!H35/1000</f>
        <v>0</v>
      </c>
      <c r="W68" s="754">
        <f>'8. T4 FINANSIERINGSB.'!I35/1000</f>
        <v>0</v>
      </c>
      <c r="X68" s="754">
        <f>'8. T4 FINANSIERINGSB.'!J35/1000</f>
        <v>0</v>
      </c>
      <c r="Y68" s="754">
        <f>'8. T4 FINANSIERINGSB.'!K35/1000</f>
        <v>0</v>
      </c>
      <c r="AA68" s="1417" t="str">
        <f>'4. T7 LÅN '!B46</f>
        <v>Räntor på kortfristiga lån</v>
      </c>
      <c r="AB68" s="1418">
        <f>'4. T7 LÅN '!C46/1000</f>
        <v>0</v>
      </c>
      <c r="AC68" s="1417"/>
      <c r="AD68" s="1419">
        <f>'4. T7 LÅN '!E46*100</f>
        <v>10</v>
      </c>
      <c r="AE68" s="781"/>
      <c r="AF68" s="781"/>
      <c r="AG68" s="1405">
        <f>'4. T7 LÅN '!H46/1000</f>
        <v>0</v>
      </c>
      <c r="AH68" s="1411"/>
      <c r="AI68" s="781"/>
      <c r="AJ68" s="1405">
        <f>'4. T7 LÅN '!K46/1000</f>
        <v>0</v>
      </c>
      <c r="AK68" s="1411"/>
      <c r="AL68" s="781"/>
      <c r="AM68" s="1405">
        <f>'4. T7 LÅN '!N46/1000</f>
        <v>0</v>
      </c>
      <c r="AN68" s="781"/>
      <c r="AO68" s="781"/>
      <c r="AP68" s="1064">
        <f>'4. T7 LÅN '!Q46/1000</f>
        <v>0</v>
      </c>
    </row>
    <row r="69" spans="2:61" ht="10.9" customHeight="1" x14ac:dyDescent="0.2">
      <c r="B69" s="1727" t="s">
        <v>46</v>
      </c>
      <c r="C69" s="1724" t="s">
        <v>700</v>
      </c>
      <c r="D69" s="1686">
        <f>'2. &amp; 7. T2 RESULTATB.'!E25/1000</f>
        <v>0</v>
      </c>
      <c r="E69" s="1735">
        <f>'2. &amp; 7. T2 RESULTATB.'!F25</f>
        <v>0</v>
      </c>
      <c r="F69" s="1686">
        <f>'2. &amp; 7. T2 RESULTATB.'!G25/1000</f>
        <v>0</v>
      </c>
      <c r="G69" s="1735">
        <f>'2. &amp; 7. T2 RESULTATB.'!H25</f>
        <v>0</v>
      </c>
      <c r="H69" s="1686">
        <f>'2. &amp; 7. T2 RESULTATB.'!I25/1000</f>
        <v>0</v>
      </c>
      <c r="I69" s="1735">
        <f>'2. &amp; 7. T2 RESULTATB.'!J25</f>
        <v>0</v>
      </c>
      <c r="J69" s="1686">
        <f>'2. &amp; 7. T2 RESULTATB.'!K25/1000</f>
        <v>0</v>
      </c>
      <c r="K69" s="1735">
        <f>'2. &amp; 7. T2 RESULTATB.'!L25</f>
        <v>0</v>
      </c>
      <c r="L69" s="1686">
        <f>'2. &amp; 7. T2 RESULTATB.'!M25/1000</f>
        <v>0</v>
      </c>
      <c r="M69" s="1735">
        <f>'2. &amp; 7. T2 RESULTATB.'!N25</f>
        <v>0</v>
      </c>
      <c r="N69" s="1686">
        <f>'2. &amp; 7. T2 RESULTATB.'!O25/1000</f>
        <v>0</v>
      </c>
      <c r="O69" s="1735">
        <f>'2. &amp; 7. T2 RESULTATB.'!P25</f>
        <v>0</v>
      </c>
      <c r="Q69" s="753"/>
      <c r="R69" s="2178" t="s">
        <v>738</v>
      </c>
      <c r="S69" s="2178" t="s">
        <v>738</v>
      </c>
      <c r="T69" s="2178" t="s">
        <v>738</v>
      </c>
      <c r="U69" s="2179" t="s">
        <v>738</v>
      </c>
      <c r="V69" s="754">
        <f>'8. T4 FINANSIERINGSB.'!H36/1000</f>
        <v>0</v>
      </c>
      <c r="W69" s="754">
        <f>'8. T4 FINANSIERINGSB.'!I36/1000</f>
        <v>0</v>
      </c>
      <c r="X69" s="754">
        <f>'8. T4 FINANSIERINGSB.'!J36/1000</f>
        <v>0</v>
      </c>
      <c r="Y69" s="754">
        <f>'8. T4 FINANSIERINGSB.'!K36/1000</f>
        <v>0</v>
      </c>
      <c r="AA69" s="2260" t="str">
        <f>'4. T7 LÅN '!B48</f>
        <v>Räntor på övriga långfristiga lån,
utan skuldebrev</v>
      </c>
      <c r="AB69" s="2260"/>
      <c r="AC69" s="2260"/>
      <c r="AD69" s="2261"/>
      <c r="AE69" s="781"/>
      <c r="AF69" s="781"/>
      <c r="AG69" s="1406">
        <f>'4. T7 LÅN '!H48/1000</f>
        <v>0</v>
      </c>
      <c r="AH69" s="1411"/>
      <c r="AI69" s="781"/>
      <c r="AJ69" s="1406">
        <f>'4. T7 LÅN '!K48/1000</f>
        <v>0</v>
      </c>
      <c r="AK69" s="1411"/>
      <c r="AL69" s="781"/>
      <c r="AM69" s="1406">
        <f>'4. T7 LÅN '!N48/1000</f>
        <v>0</v>
      </c>
      <c r="AN69" s="781"/>
      <c r="AO69" s="781"/>
      <c r="AP69" s="757">
        <f>'4. T7 LÅN '!Q48/1000</f>
        <v>0</v>
      </c>
    </row>
    <row r="70" spans="2:61" ht="11.25" customHeight="1" x14ac:dyDescent="0.2">
      <c r="B70" s="2263" t="s">
        <v>47</v>
      </c>
      <c r="C70" s="2262" t="s">
        <v>701</v>
      </c>
      <c r="D70" s="1689">
        <f>'2. &amp; 7. T2 RESULTATB.'!E26/1000</f>
        <v>0</v>
      </c>
      <c r="E70" s="1737">
        <f>'2. &amp; 7. T2 RESULTATB.'!F26</f>
        <v>0</v>
      </c>
      <c r="F70" s="1689">
        <f>'2. &amp; 7. T2 RESULTATB.'!G26/1000</f>
        <v>0</v>
      </c>
      <c r="G70" s="1737">
        <f>'2. &amp; 7. T2 RESULTATB.'!H26</f>
        <v>0</v>
      </c>
      <c r="H70" s="1689">
        <f>'2. &amp; 7. T2 RESULTATB.'!I26/1000</f>
        <v>0</v>
      </c>
      <c r="I70" s="1737">
        <f>'2. &amp; 7. T2 RESULTATB.'!J26</f>
        <v>0</v>
      </c>
      <c r="J70" s="1689">
        <f>'2. &amp; 7. T2 RESULTATB.'!K26/1000</f>
        <v>0</v>
      </c>
      <c r="K70" s="1737">
        <f>'2. &amp; 7. T2 RESULTATB.'!L26</f>
        <v>0</v>
      </c>
      <c r="L70" s="1689">
        <f>'2. &amp; 7. T2 RESULTATB.'!M26/1000</f>
        <v>0</v>
      </c>
      <c r="M70" s="1737">
        <f>'2. &amp; 7. T2 RESULTATB.'!N26</f>
        <v>0</v>
      </c>
      <c r="N70" s="1689">
        <f>'2. &amp; 7. T2 RESULTATB.'!O26/1000</f>
        <v>0</v>
      </c>
      <c r="O70" s="1737">
        <f>'2. &amp; 7. T2 RESULTATB.'!P26</f>
        <v>0</v>
      </c>
      <c r="Q70" s="753"/>
      <c r="R70" s="2178" t="s">
        <v>739</v>
      </c>
      <c r="S70" s="2178" t="s">
        <v>739</v>
      </c>
      <c r="T70" s="2178" t="s">
        <v>739</v>
      </c>
      <c r="U70" s="2179" t="s">
        <v>739</v>
      </c>
      <c r="V70" s="754">
        <f>'8. T4 FINANSIERINGSB.'!H37/1000</f>
        <v>0</v>
      </c>
      <c r="W70" s="754">
        <f>'8. T4 FINANSIERINGSB.'!I37/1000</f>
        <v>0</v>
      </c>
      <c r="X70" s="754">
        <f>'8. T4 FINANSIERINGSB.'!J37/1000</f>
        <v>0</v>
      </c>
      <c r="Y70" s="754">
        <f>'8. T4 FINANSIERINGSB.'!K37/1000</f>
        <v>0</v>
      </c>
      <c r="AA70" s="1171" t="str">
        <f>'4. T7 LÅN '!B49</f>
        <v>Expeditionsavgifter, bankgarantiavgifter</v>
      </c>
      <c r="AB70" s="1172"/>
      <c r="AC70" s="1171"/>
      <c r="AD70" s="1420"/>
      <c r="AE70" s="1173"/>
      <c r="AF70" s="1173"/>
      <c r="AG70" s="1407">
        <f>'4. T7 LÅN '!H49/1000</f>
        <v>0</v>
      </c>
      <c r="AH70" s="1412"/>
      <c r="AI70" s="1173"/>
      <c r="AJ70" s="1407">
        <f>'4. T7 LÅN '!K49/1000</f>
        <v>0</v>
      </c>
      <c r="AK70" s="1412"/>
      <c r="AL70" s="1173"/>
      <c r="AM70" s="1407">
        <f>'4. T7 LÅN '!N49/1000</f>
        <v>0</v>
      </c>
      <c r="AN70" s="1173"/>
      <c r="AO70" s="1173"/>
      <c r="AP70" s="1174">
        <f>'4. T7 LÅN '!Q49/1000</f>
        <v>0</v>
      </c>
    </row>
    <row r="71" spans="2:61" ht="11.25" customHeight="1" x14ac:dyDescent="0.2">
      <c r="B71" s="2263"/>
      <c r="C71" s="2262" t="s">
        <v>315</v>
      </c>
      <c r="D71" s="1689"/>
      <c r="E71" s="1737"/>
      <c r="F71" s="1689"/>
      <c r="G71" s="1737"/>
      <c r="H71" s="1689"/>
      <c r="I71" s="1737"/>
      <c r="J71" s="1689"/>
      <c r="K71" s="1737"/>
      <c r="L71" s="1689"/>
      <c r="M71" s="1737"/>
      <c r="N71" s="1689"/>
      <c r="O71" s="1737"/>
      <c r="Q71" s="753"/>
      <c r="R71" s="2178" t="s">
        <v>740</v>
      </c>
      <c r="S71" s="2178" t="s">
        <v>740</v>
      </c>
      <c r="T71" s="2178" t="s">
        <v>740</v>
      </c>
      <c r="U71" s="2179" t="s">
        <v>740</v>
      </c>
      <c r="V71" s="754">
        <f>'8. T4 FINANSIERINGSB.'!H38/1000</f>
        <v>0</v>
      </c>
      <c r="W71" s="754">
        <f>'8. T4 FINANSIERINGSB.'!I38/1000</f>
        <v>0</v>
      </c>
      <c r="X71" s="754">
        <f>'8. T4 FINANSIERINGSB.'!J38/1000</f>
        <v>0</v>
      </c>
      <c r="Y71" s="754">
        <f>'8. T4 FINANSIERINGSB.'!K38/1000</f>
        <v>0</v>
      </c>
      <c r="AA71" s="665"/>
      <c r="AB71" s="666"/>
      <c r="AC71" s="664"/>
      <c r="AD71" s="667"/>
      <c r="AE71" s="668"/>
      <c r="AF71" s="668"/>
      <c r="AG71" s="666"/>
      <c r="AH71" s="668"/>
      <c r="AI71" s="668"/>
      <c r="AJ71" s="666"/>
      <c r="AK71" s="668"/>
      <c r="AL71" s="668"/>
      <c r="AM71" s="666"/>
      <c r="AN71" s="668"/>
      <c r="AO71" s="668"/>
      <c r="AP71" s="666"/>
    </row>
    <row r="72" spans="2:61" ht="11.25" customHeight="1" x14ac:dyDescent="0.2">
      <c r="B72" s="1727" t="s">
        <v>48</v>
      </c>
      <c r="C72" s="1724" t="s">
        <v>317</v>
      </c>
      <c r="D72" s="1686">
        <f>'2. &amp; 7. T2 RESULTATB.'!E27/1000</f>
        <v>0</v>
      </c>
      <c r="E72" s="1735">
        <f>'2. &amp; 7. T2 RESULTATB.'!F27</f>
        <v>0</v>
      </c>
      <c r="F72" s="1686">
        <f>'2. &amp; 7. T2 RESULTATB.'!G27/1000</f>
        <v>0</v>
      </c>
      <c r="G72" s="1735">
        <f>'2. &amp; 7. T2 RESULTATB.'!H27</f>
        <v>0</v>
      </c>
      <c r="H72" s="1686">
        <f>'2. &amp; 7. T2 RESULTATB.'!I27/1000</f>
        <v>0</v>
      </c>
      <c r="I72" s="1735">
        <f>'2. &amp; 7. T2 RESULTATB.'!J27</f>
        <v>0</v>
      </c>
      <c r="J72" s="1686">
        <f>'2. &amp; 7. T2 RESULTATB.'!K27/1000</f>
        <v>0</v>
      </c>
      <c r="K72" s="1735">
        <f>'2. &amp; 7. T2 RESULTATB.'!L27</f>
        <v>0</v>
      </c>
      <c r="L72" s="1686">
        <f>'2. &amp; 7. T2 RESULTATB.'!M27/1000</f>
        <v>0</v>
      </c>
      <c r="M72" s="1735">
        <f>'2. &amp; 7. T2 RESULTATB.'!N27</f>
        <v>0</v>
      </c>
      <c r="N72" s="1686">
        <f>'2. &amp; 7. T2 RESULTATB.'!O27/1000</f>
        <v>0</v>
      </c>
      <c r="O72" s="1735">
        <f>'2. &amp; 7. T2 RESULTATB.'!P27</f>
        <v>0</v>
      </c>
      <c r="Q72" s="753"/>
      <c r="R72" s="2178" t="s">
        <v>741</v>
      </c>
      <c r="S72" s="2178" t="s">
        <v>741</v>
      </c>
      <c r="T72" s="2178" t="s">
        <v>741</v>
      </c>
      <c r="U72" s="2179" t="s">
        <v>741</v>
      </c>
      <c r="V72" s="754">
        <f>'8. T4 FINANSIERINGSB.'!H39/1000</f>
        <v>0</v>
      </c>
      <c r="W72" s="754">
        <f>'8. T4 FINANSIERINGSB.'!I39/1000</f>
        <v>0</v>
      </c>
      <c r="X72" s="754">
        <f>'8. T4 FINANSIERINGSB.'!J39/1000</f>
        <v>0</v>
      </c>
      <c r="Y72" s="754">
        <f>'8. T4 FINANSIERINGSB.'!K39/1000</f>
        <v>0</v>
      </c>
      <c r="AA72" s="1460" t="str">
        <f>'4. T7 LÅN '!B50</f>
        <v>TOTALT</v>
      </c>
      <c r="AB72" s="1230">
        <f>'4. T7 LÅN '!C50/1000</f>
        <v>0</v>
      </c>
      <c r="AC72" s="1228"/>
      <c r="AD72" s="1414"/>
      <c r="AE72" s="1413">
        <f>'4. T7 LÅN '!F50/1000</f>
        <v>0</v>
      </c>
      <c r="AF72" s="1229">
        <f>'4. T7 LÅN '!G50/1000</f>
        <v>0</v>
      </c>
      <c r="AG72" s="1415">
        <f>'4. T7 LÅN '!H50/1000</f>
        <v>0</v>
      </c>
      <c r="AH72" s="1230">
        <f>'4. T7 LÅN '!I50/1000</f>
        <v>0</v>
      </c>
      <c r="AI72" s="1229">
        <f>'4. T7 LÅN '!J50/1000</f>
        <v>0</v>
      </c>
      <c r="AJ72" s="1415">
        <f>'4. T7 LÅN '!K50/1000</f>
        <v>0</v>
      </c>
      <c r="AK72" s="1230">
        <f>'4. T7 LÅN '!L50/1000</f>
        <v>0</v>
      </c>
      <c r="AL72" s="1229">
        <f>'4. T7 LÅN '!M50/1000</f>
        <v>0</v>
      </c>
      <c r="AM72" s="1416">
        <f>'4. T7 LÅN '!N50/1000</f>
        <v>0</v>
      </c>
      <c r="AN72" s="1230">
        <f>'4. T7 LÅN '!O50/1000</f>
        <v>0</v>
      </c>
      <c r="AO72" s="1229">
        <f>'4. T7 LÅN '!P50/1000</f>
        <v>0</v>
      </c>
      <c r="AP72" s="1459">
        <f>'4. T7 LÅN '!Q50/1000</f>
        <v>0</v>
      </c>
    </row>
    <row r="73" spans="2:61" ht="11.25" customHeight="1" x14ac:dyDescent="0.2">
      <c r="B73" s="1727" t="s">
        <v>49</v>
      </c>
      <c r="C73" s="1724" t="s">
        <v>318</v>
      </c>
      <c r="D73" s="1686">
        <f>'2. &amp; 7. T2 RESULTATB.'!E29/1000</f>
        <v>0</v>
      </c>
      <c r="E73" s="1735">
        <f>'2. &amp; 7. T2 RESULTATB.'!F28</f>
        <v>0</v>
      </c>
      <c r="F73" s="1686">
        <f>'2. &amp; 7. T2 RESULTATB.'!G29/1000</f>
        <v>0</v>
      </c>
      <c r="G73" s="1735">
        <f>'2. &amp; 7. T2 RESULTATB.'!H28</f>
        <v>0</v>
      </c>
      <c r="H73" s="1686">
        <f>'2. &amp; 7. T2 RESULTATB.'!I29/1000</f>
        <v>0</v>
      </c>
      <c r="I73" s="1735">
        <f>'2. &amp; 7. T2 RESULTATB.'!J28</f>
        <v>0</v>
      </c>
      <c r="J73" s="1686">
        <f>'2. &amp; 7. T2 RESULTATB.'!K29/1000</f>
        <v>0</v>
      </c>
      <c r="K73" s="1735">
        <f>'2. &amp; 7. T2 RESULTATB.'!L28</f>
        <v>0</v>
      </c>
      <c r="L73" s="1686">
        <f>'2. &amp; 7. T2 RESULTATB.'!M29/1000</f>
        <v>0</v>
      </c>
      <c r="M73" s="1735">
        <f>'2. &amp; 7. T2 RESULTATB.'!N28</f>
        <v>0</v>
      </c>
      <c r="N73" s="1686">
        <f>'2. &amp; 7. T2 RESULTATB.'!O29/1000</f>
        <v>0</v>
      </c>
      <c r="O73" s="1735">
        <f>'2. &amp; 7. T2 RESULTATB.'!P28</f>
        <v>0</v>
      </c>
      <c r="Q73" s="753"/>
      <c r="R73" s="2178" t="s">
        <v>742</v>
      </c>
      <c r="S73" s="2178" t="s">
        <v>742</v>
      </c>
      <c r="T73" s="2178" t="s">
        <v>742</v>
      </c>
      <c r="U73" s="2179" t="s">
        <v>742</v>
      </c>
      <c r="V73" s="754">
        <f>'8. T4 FINANSIERINGSB.'!H40/1000</f>
        <v>0</v>
      </c>
      <c r="W73" s="754">
        <f>'8. T4 FINANSIERINGSB.'!I40/1000</f>
        <v>0</v>
      </c>
      <c r="X73" s="754">
        <f>'8. T4 FINANSIERINGSB.'!J40/1000</f>
        <v>0</v>
      </c>
      <c r="Y73" s="754">
        <f>'8. T4 FINANSIERINGSB.'!K40/1000</f>
        <v>0</v>
      </c>
    </row>
    <row r="74" spans="2:61" ht="11.25" customHeight="1" x14ac:dyDescent="0.2">
      <c r="B74" s="1727" t="s">
        <v>50</v>
      </c>
      <c r="C74" s="1724" t="s">
        <v>319</v>
      </c>
      <c r="D74" s="1686">
        <f>'2. &amp; 7. T2 RESULTATB.'!E30/1000</f>
        <v>0</v>
      </c>
      <c r="E74" s="1735">
        <f>'2. &amp; 7. T2 RESULTATB.'!F29</f>
        <v>0</v>
      </c>
      <c r="F74" s="1686">
        <f>'2. &amp; 7. T2 RESULTATB.'!G30/1000</f>
        <v>0</v>
      </c>
      <c r="G74" s="1735">
        <f>'2. &amp; 7. T2 RESULTATB.'!H29</f>
        <v>0</v>
      </c>
      <c r="H74" s="1686">
        <f>'2. &amp; 7. T2 RESULTATB.'!I30/1000</f>
        <v>0</v>
      </c>
      <c r="I74" s="1735">
        <f>'2. &amp; 7. T2 RESULTATB.'!J29</f>
        <v>0</v>
      </c>
      <c r="J74" s="1686">
        <f>'2. &amp; 7. T2 RESULTATB.'!K30/1000</f>
        <v>0</v>
      </c>
      <c r="K74" s="1735">
        <f>'2. &amp; 7. T2 RESULTATB.'!L29</f>
        <v>0</v>
      </c>
      <c r="L74" s="1686">
        <f>'2. &amp; 7. T2 RESULTATB.'!M30/1000</f>
        <v>0</v>
      </c>
      <c r="M74" s="1735">
        <f>'2. &amp; 7. T2 RESULTATB.'!N29</f>
        <v>0</v>
      </c>
      <c r="N74" s="1686">
        <f>'2. &amp; 7. T2 RESULTATB.'!O30/1000</f>
        <v>0</v>
      </c>
      <c r="O74" s="1735">
        <f>'2. &amp; 7. T2 RESULTATB.'!P29</f>
        <v>0</v>
      </c>
      <c r="Q74" s="753"/>
      <c r="R74" s="2178" t="s">
        <v>743</v>
      </c>
      <c r="S74" s="2178" t="s">
        <v>743</v>
      </c>
      <c r="T74" s="2178" t="s">
        <v>743</v>
      </c>
      <c r="U74" s="2179" t="s">
        <v>743</v>
      </c>
      <c r="V74" s="754">
        <f>'8. T4 FINANSIERINGSB.'!H41/1000</f>
        <v>0</v>
      </c>
      <c r="W74" s="754">
        <f>'8. T4 FINANSIERINGSB.'!I41/1000</f>
        <v>0</v>
      </c>
      <c r="X74" s="754">
        <f>'8. T4 FINANSIERINGSB.'!J41/1000</f>
        <v>0</v>
      </c>
      <c r="Y74" s="754">
        <f>'8. T4 FINANSIERINGSB.'!K41/1000</f>
        <v>0</v>
      </c>
      <c r="AG74" s="32"/>
    </row>
    <row r="75" spans="2:61" ht="11.25" customHeight="1" x14ac:dyDescent="0.2">
      <c r="B75" s="1727" t="s">
        <v>154</v>
      </c>
      <c r="C75" s="1741" t="s">
        <v>320</v>
      </c>
      <c r="D75" s="1689">
        <f>'2. &amp; 7. T2 RESULTATB.'!E31/1000</f>
        <v>0</v>
      </c>
      <c r="E75" s="1737">
        <f>'2. &amp; 7. T2 RESULTATB.'!F30</f>
        <v>0</v>
      </c>
      <c r="F75" s="1689">
        <f>'2. &amp; 7. T2 RESULTATB.'!G31/1000</f>
        <v>0</v>
      </c>
      <c r="G75" s="1737">
        <f>'2. &amp; 7. T2 RESULTATB.'!H30</f>
        <v>0</v>
      </c>
      <c r="H75" s="1689">
        <f>'2. &amp; 7. T2 RESULTATB.'!I31/1000</f>
        <v>0</v>
      </c>
      <c r="I75" s="1737">
        <f>'2. &amp; 7. T2 RESULTATB.'!J30</f>
        <v>0</v>
      </c>
      <c r="J75" s="1689">
        <f>'2. &amp; 7. T2 RESULTATB.'!K31/1000</f>
        <v>0</v>
      </c>
      <c r="K75" s="1735">
        <f>'2. &amp; 7. T2 RESULTATB.'!L30</f>
        <v>0</v>
      </c>
      <c r="L75" s="1689">
        <f>'2. &amp; 7. T2 RESULTATB.'!M31/1000</f>
        <v>0</v>
      </c>
      <c r="M75" s="1737">
        <f>'2. &amp; 7. T2 RESULTATB.'!N30</f>
        <v>0</v>
      </c>
      <c r="N75" s="1689">
        <f>'2. &amp; 7. T2 RESULTATB.'!O31/1000</f>
        <v>0</v>
      </c>
      <c r="O75" s="1737">
        <f>'2. &amp; 7. T2 RESULTATB.'!P30</f>
        <v>0</v>
      </c>
      <c r="Q75" s="753"/>
      <c r="R75" s="2178" t="s">
        <v>744</v>
      </c>
      <c r="S75" s="2178" t="s">
        <v>744</v>
      </c>
      <c r="T75" s="2178" t="s">
        <v>744</v>
      </c>
      <c r="U75" s="2179" t="s">
        <v>744</v>
      </c>
      <c r="V75" s="754">
        <f>'8. T4 FINANSIERINGSB.'!H42/1000</f>
        <v>0</v>
      </c>
      <c r="W75" s="754">
        <f>'8. T4 FINANSIERINGSB.'!I42/1000</f>
        <v>0</v>
      </c>
      <c r="X75" s="754">
        <f>'8. T4 FINANSIERINGSB.'!J42/1000</f>
        <v>0</v>
      </c>
      <c r="Y75" s="754">
        <f>'8. T4 FINANSIERINGSB.'!K42/1000</f>
        <v>0</v>
      </c>
    </row>
    <row r="76" spans="2:61" ht="10.9" customHeight="1" x14ac:dyDescent="0.2">
      <c r="B76" s="1727"/>
      <c r="C76" s="1724" t="s">
        <v>320</v>
      </c>
      <c r="D76" s="2248">
        <f>'2. &amp; 7. T2 RESULTATB.'!E33</f>
        <v>1</v>
      </c>
      <c r="E76" s="2248"/>
      <c r="F76" s="2248">
        <f>'2. &amp; 7. T2 RESULTATB.'!G33</f>
        <v>1</v>
      </c>
      <c r="G76" s="2248"/>
      <c r="H76" s="2248">
        <f>'2. &amp; 7. T2 RESULTATB.'!I33</f>
        <v>1</v>
      </c>
      <c r="I76" s="2248"/>
      <c r="J76" s="2248">
        <f>'2. &amp; 7. T2 RESULTATB.'!K33</f>
        <v>1</v>
      </c>
      <c r="K76" s="2248"/>
      <c r="L76" s="2248">
        <f>'2. &amp; 7. T2 RESULTATB.'!M33</f>
        <v>1</v>
      </c>
      <c r="M76" s="2248"/>
      <c r="N76" s="2248">
        <f>'2. &amp; 7. T2 RESULTATB.'!O33</f>
        <v>1</v>
      </c>
      <c r="O76" s="2248"/>
      <c r="Q76" s="758"/>
      <c r="R76" s="762" t="s">
        <v>745</v>
      </c>
      <c r="S76" s="762"/>
      <c r="T76" s="762"/>
      <c r="U76" s="756"/>
      <c r="V76" s="757">
        <f>'8. T4 FINANSIERINGSB.'!H43/1000</f>
        <v>0</v>
      </c>
      <c r="W76" s="757">
        <f>'8. T4 FINANSIERINGSB.'!I43/1000</f>
        <v>0</v>
      </c>
      <c r="X76" s="757">
        <f>'8. T4 FINANSIERINGSB.'!J43/1000</f>
        <v>0</v>
      </c>
      <c r="Y76" s="757">
        <f>'8. T4 FINANSIERINGSB.'!K43/1000</f>
        <v>0</v>
      </c>
    </row>
    <row r="77" spans="2:61" ht="12" customHeight="1" x14ac:dyDescent="0.2">
      <c r="B77" s="1727"/>
      <c r="C77" s="1724" t="s">
        <v>702</v>
      </c>
      <c r="D77" s="2249">
        <f>'8. T4 FINANSIERINGSB.'!P14</f>
        <v>0</v>
      </c>
      <c r="E77" s="2249"/>
      <c r="F77" s="2249">
        <f>'8. T4 FINANSIERINGSB.'!Q14</f>
        <v>0</v>
      </c>
      <c r="G77" s="2249"/>
      <c r="H77" s="2249">
        <f>'8. T4 FINANSIERINGSB.'!R14</f>
        <v>0</v>
      </c>
      <c r="I77" s="2249"/>
      <c r="J77" s="2249">
        <f>'8. T4 FINANSIERINGSB.'!S14</f>
        <v>0</v>
      </c>
      <c r="K77" s="2249"/>
      <c r="L77" s="2249">
        <f>'8. T4 FINANSIERINGSB.'!T14</f>
        <v>0</v>
      </c>
      <c r="M77" s="2249"/>
      <c r="N77" s="2249">
        <f>'8. T4 FINANSIERINGSB.'!U14</f>
        <v>0</v>
      </c>
      <c r="O77" s="2249"/>
      <c r="Q77" s="784"/>
      <c r="R77" s="2264" t="str">
        <f>'8. T4 FINANSIERINGSB.'!C44</f>
        <v>Tillräcklighet av kassan/Övriga fasta kostnader (dagar)</v>
      </c>
      <c r="S77" s="2264"/>
      <c r="T77" s="2264"/>
      <c r="U77" s="2265"/>
      <c r="V77" s="765">
        <f>'8. T4 FINANSIERINGSB.'!H44</f>
        <v>0</v>
      </c>
      <c r="W77" s="765">
        <f>'8. T4 FINANSIERINGSB.'!I44</f>
        <v>0</v>
      </c>
      <c r="X77" s="765">
        <f>'8. T4 FINANSIERINGSB.'!J44</f>
        <v>0</v>
      </c>
      <c r="Y77" s="765">
        <f>'8. T4 FINANSIERINGSB.'!K44</f>
        <v>0</v>
      </c>
      <c r="AA77" s="38"/>
    </row>
    <row r="78" spans="2:61" ht="12.75" customHeight="1" x14ac:dyDescent="0.2">
      <c r="B78" s="2304"/>
      <c r="C78" s="2305" t="s">
        <v>295</v>
      </c>
      <c r="D78" s="2305"/>
      <c r="E78" s="2305"/>
      <c r="F78" s="2305"/>
      <c r="G78" s="2306"/>
      <c r="H78" s="2302">
        <v>0</v>
      </c>
      <c r="I78" s="2303"/>
      <c r="J78" s="2302">
        <v>0</v>
      </c>
      <c r="K78" s="2303"/>
      <c r="L78" s="2302">
        <v>0</v>
      </c>
      <c r="M78" s="2303"/>
      <c r="N78" s="2302">
        <v>0</v>
      </c>
      <c r="O78" s="2303"/>
      <c r="Q78" s="2255"/>
      <c r="R78" s="2255"/>
      <c r="S78" s="2255"/>
      <c r="AA78" s="2236"/>
      <c r="AB78" s="2236"/>
      <c r="AC78" s="2236"/>
      <c r="AD78" s="2236"/>
    </row>
    <row r="79" spans="2:61" ht="11.25" customHeight="1" x14ac:dyDescent="0.2">
      <c r="BF79" s="2241" t="s">
        <v>0</v>
      </c>
      <c r="BG79" s="2241"/>
      <c r="BH79" s="2241"/>
      <c r="BI79" s="2241"/>
    </row>
    <row r="80" spans="2:61" ht="11.25" customHeight="1" x14ac:dyDescent="0.2">
      <c r="B80" s="1798">
        <f>STARTSIDAN!I5</f>
        <v>0</v>
      </c>
      <c r="C80" s="1798"/>
      <c r="I80" s="1765"/>
      <c r="J80" s="1765"/>
      <c r="K80" s="1765"/>
      <c r="L80" s="1765"/>
      <c r="M80" s="1765"/>
      <c r="N80" s="1765"/>
      <c r="O80" s="1765"/>
      <c r="P80" s="674"/>
      <c r="Q80" s="1236"/>
      <c r="R80" s="1238">
        <f>STARTSIDAN!I5</f>
        <v>0</v>
      </c>
      <c r="S80" s="1236"/>
      <c r="T80" s="671"/>
      <c r="U80" s="671"/>
      <c r="V80" s="672"/>
      <c r="W80" s="2259"/>
      <c r="X80" s="2259"/>
      <c r="Y80" s="2259"/>
      <c r="Z80" s="673"/>
      <c r="AA80" s="1798">
        <f>STARTSIDAN!I5</f>
        <v>0</v>
      </c>
      <c r="AB80" s="1798"/>
      <c r="AK80" s="1765"/>
      <c r="AL80" s="1765"/>
      <c r="AM80" s="1765"/>
      <c r="AN80" s="1765"/>
      <c r="AO80" s="1765"/>
      <c r="AP80" s="1765"/>
      <c r="AR80" s="45">
        <f>STARTSIDAN!I5</f>
        <v>0</v>
      </c>
      <c r="AW80" s="1777"/>
      <c r="AX80" s="1777"/>
      <c r="AY80" s="1777"/>
      <c r="AZ80" s="675"/>
      <c r="BA80" s="675"/>
      <c r="BB80" s="675"/>
      <c r="BC80" s="675"/>
      <c r="BD80" s="675"/>
      <c r="BE80" s="675"/>
      <c r="BF80" s="675"/>
      <c r="BG80" s="675"/>
      <c r="BH80" s="675"/>
      <c r="BI80" s="675"/>
    </row>
    <row r="81" spans="2:61" ht="10.9" customHeight="1" x14ac:dyDescent="0.2">
      <c r="B81" s="895" t="str">
        <f>STARTSIDAN!I21</f>
        <v>FöretagsLojo</v>
      </c>
      <c r="C81" s="243"/>
      <c r="D81" s="243"/>
      <c r="E81" s="243"/>
      <c r="F81" s="1235"/>
      <c r="G81" s="1235"/>
      <c r="H81" s="1235"/>
      <c r="I81" s="1235"/>
      <c r="J81" s="2250" t="str">
        <f>STARTSIDAN!G24</f>
        <v>FT22 Det aktiva företagets resultatplan</v>
      </c>
      <c r="K81" s="2250"/>
      <c r="L81" s="2250"/>
      <c r="M81" s="2250"/>
      <c r="N81" s="2250"/>
      <c r="O81" s="2250"/>
      <c r="Q81" s="663"/>
      <c r="R81" s="2240" t="str">
        <f>STARTSIDAN!I21</f>
        <v>FöretagsLojo</v>
      </c>
      <c r="S81" s="2240"/>
      <c r="T81" s="2240"/>
      <c r="U81" s="2240"/>
      <c r="V81" s="2240"/>
      <c r="W81" s="2250" t="str">
        <f>STARTSIDAN!G24</f>
        <v>FT22 Det aktiva företagets resultatplan</v>
      </c>
      <c r="X81" s="2250"/>
      <c r="Y81" s="2250"/>
      <c r="AA81" s="2240" t="str">
        <f>STARTSIDAN!I21</f>
        <v>FöretagsLojo</v>
      </c>
      <c r="AB81" s="2240"/>
      <c r="AC81" s="2240"/>
      <c r="AD81" s="2240"/>
      <c r="AE81" s="2240"/>
      <c r="AF81" s="2240"/>
      <c r="AG81" s="2240"/>
      <c r="AH81" s="2240"/>
      <c r="AI81" s="2240"/>
      <c r="AJ81" s="2240"/>
      <c r="AK81" s="1777" t="str">
        <f>STARTSIDAN!G24</f>
        <v>FT22 Det aktiva företagets resultatplan</v>
      </c>
      <c r="AL81" s="1777"/>
      <c r="AM81" s="1777"/>
      <c r="AN81" s="1777"/>
      <c r="AO81" s="1777"/>
      <c r="AP81" s="1777"/>
      <c r="AR81" s="2255" t="str">
        <f>STARTSIDAN!I21</f>
        <v>FöretagsLojo</v>
      </c>
      <c r="AS81" s="2255"/>
      <c r="AT81" s="2255"/>
      <c r="AU81" s="2255"/>
      <c r="AV81" s="2255"/>
      <c r="AW81" s="1777" t="str">
        <f>STARTSIDAN!G24</f>
        <v>FT22 Det aktiva företagets resultatplan</v>
      </c>
      <c r="AX81" s="1777"/>
      <c r="AY81" s="1777"/>
      <c r="AZ81" s="675"/>
      <c r="BA81" s="675"/>
      <c r="BB81" s="675"/>
      <c r="BC81" s="675"/>
      <c r="BD81" s="675"/>
      <c r="BE81" s="675"/>
      <c r="BF81" s="675"/>
      <c r="BG81" s="675"/>
      <c r="BH81" s="675"/>
      <c r="BI81" s="675"/>
    </row>
    <row r="82" spans="2:61" ht="11.25" customHeight="1" x14ac:dyDescent="0.2">
      <c r="AY82" s="675">
        <f>AM82</f>
        <v>0</v>
      </c>
      <c r="AZ82" s="675"/>
      <c r="BA82" s="675"/>
      <c r="BB82" s="675"/>
      <c r="BC82" s="675"/>
      <c r="BD82" s="675"/>
      <c r="BE82" s="675"/>
      <c r="BF82" s="675"/>
      <c r="BG82" s="675"/>
      <c r="BH82" s="675"/>
      <c r="BI82" s="675"/>
    </row>
    <row r="83" spans="2:61" ht="11.25" customHeight="1" x14ac:dyDescent="0.2"/>
    <row r="84" spans="2:61" ht="11.25" customHeight="1" x14ac:dyDescent="0.2"/>
    <row r="85" spans="2:61" ht="11.25" customHeight="1" x14ac:dyDescent="0.2"/>
    <row r="86" spans="2:61" ht="11.25" customHeight="1" x14ac:dyDescent="0.2">
      <c r="U86">
        <v>0</v>
      </c>
    </row>
    <row r="87" spans="2:61" ht="11.25" customHeight="1" x14ac:dyDescent="0.2"/>
    <row r="88" spans="2:61" ht="11.25" customHeight="1" x14ac:dyDescent="0.2"/>
    <row r="89" spans="2:61" ht="11.25" customHeight="1" x14ac:dyDescent="0.2"/>
    <row r="90" spans="2:61" ht="11.25" customHeight="1" x14ac:dyDescent="0.2"/>
    <row r="91" spans="2:61" ht="11.25" customHeight="1" x14ac:dyDescent="0.2"/>
    <row r="92" spans="2:61" ht="11.25" customHeight="1" x14ac:dyDescent="0.2"/>
    <row r="93" spans="2:61" ht="11.25" customHeight="1" x14ac:dyDescent="0.2"/>
    <row r="94" spans="2:61" s="45" customFormat="1" ht="11.25" customHeight="1" x14ac:dyDescent="0.2">
      <c r="AQ94"/>
      <c r="AR94"/>
      <c r="AS94"/>
      <c r="AT94"/>
      <c r="AU94"/>
      <c r="AV94"/>
      <c r="AW94"/>
      <c r="AX94"/>
      <c r="AY94"/>
      <c r="AZ94"/>
      <c r="BA94"/>
      <c r="BB94"/>
    </row>
    <row r="95" spans="2:61" ht="11.25" customHeight="1" x14ac:dyDescent="0.2"/>
    <row r="96" spans="2:61" ht="11.25" customHeight="1" x14ac:dyDescent="0.2"/>
    <row r="97" spans="43:54" s="45" customFormat="1" ht="11.25" customHeight="1" x14ac:dyDescent="0.2">
      <c r="AQ97"/>
      <c r="AR97"/>
      <c r="AS97"/>
      <c r="AT97"/>
      <c r="AU97"/>
      <c r="AV97"/>
      <c r="AW97"/>
      <c r="AX97"/>
      <c r="AY97"/>
      <c r="AZ97"/>
      <c r="BA97"/>
      <c r="BB97"/>
    </row>
    <row r="98" spans="43:54" ht="11.25" customHeight="1" x14ac:dyDescent="0.2"/>
    <row r="99" spans="43:54" ht="11.25" customHeight="1" x14ac:dyDescent="0.2"/>
    <row r="100" spans="43:54" ht="11.25" customHeight="1" x14ac:dyDescent="0.2"/>
    <row r="101" spans="43:54" ht="11.25" customHeight="1" x14ac:dyDescent="0.2"/>
    <row r="102" spans="43:54" ht="11.25" customHeight="1" x14ac:dyDescent="0.2"/>
    <row r="103" spans="43:54" ht="11.25" customHeight="1" x14ac:dyDescent="0.2"/>
    <row r="104" spans="43:54" ht="11.25" customHeight="1" x14ac:dyDescent="0.2"/>
    <row r="105" spans="43:54" ht="11.25" customHeight="1" x14ac:dyDescent="0.2"/>
    <row r="106" spans="43:54" ht="11.25" customHeight="1" x14ac:dyDescent="0.2"/>
    <row r="107" spans="43:54" ht="11.25" customHeight="1" x14ac:dyDescent="0.2"/>
    <row r="108" spans="43:54" ht="11.25" customHeight="1" x14ac:dyDescent="0.2"/>
    <row r="109" spans="43:54" ht="11.25" customHeight="1" x14ac:dyDescent="0.2"/>
    <row r="110" spans="43:54" ht="11.25" customHeight="1" x14ac:dyDescent="0.2"/>
    <row r="111" spans="43:54" ht="11.25" customHeight="1" x14ac:dyDescent="0.2"/>
    <row r="112" spans="43:54" ht="11.25" customHeight="1" x14ac:dyDescent="0.2">
      <c r="AQ112" s="45" t="s">
        <v>166</v>
      </c>
      <c r="AT112" s="143" t="str">
        <f>STARTSIDAN!I21</f>
        <v>FöretagsLojo</v>
      </c>
      <c r="AU112" s="143"/>
      <c r="AV112" s="143"/>
      <c r="AW112" s="143"/>
      <c r="AX112" s="143"/>
      <c r="AY112" s="143"/>
      <c r="AZ112" s="143"/>
      <c r="BA112" s="143"/>
      <c r="BB112" s="143"/>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s="45" customFormat="1" ht="11.25" customHeight="1" x14ac:dyDescent="0.2"/>
    <row r="125" ht="11.25" customHeight="1" x14ac:dyDescent="0.2"/>
    <row r="126" ht="11.25" customHeight="1" x14ac:dyDescent="0.2"/>
    <row r="127" ht="11.25" customHeight="1" x14ac:dyDescent="0.2"/>
    <row r="128" ht="11.25" customHeight="1" x14ac:dyDescent="0.2"/>
    <row r="129" ht="4.5" customHeight="1" x14ac:dyDescent="0.2"/>
    <row r="130" ht="10.5" customHeight="1" x14ac:dyDescent="0.2"/>
    <row r="131" ht="10.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5.25" customHeight="1" x14ac:dyDescent="0.2"/>
    <row r="157" ht="11.25" customHeight="1" x14ac:dyDescent="0.2"/>
    <row r="158" ht="12" customHeight="1" x14ac:dyDescent="0.2"/>
    <row r="159" ht="12" customHeight="1" x14ac:dyDescent="0.2"/>
    <row r="160" ht="13.15" customHeight="1" x14ac:dyDescent="0.2"/>
    <row r="161" spans="18:19" ht="12" customHeight="1" x14ac:dyDescent="0.2"/>
    <row r="162" spans="18:19" ht="11.25" customHeight="1" x14ac:dyDescent="0.2"/>
    <row r="163" spans="18:19" ht="9.75" customHeight="1" x14ac:dyDescent="0.2"/>
    <row r="164" spans="18:19" x14ac:dyDescent="0.2">
      <c r="R164" s="32"/>
      <c r="S164" s="32"/>
    </row>
    <row r="177" ht="10.9" customHeight="1" x14ac:dyDescent="0.2"/>
    <row r="181" ht="11.65" customHeight="1" x14ac:dyDescent="0.2"/>
    <row r="196" spans="17:21" ht="4.1500000000000004" customHeight="1" x14ac:dyDescent="0.2"/>
    <row r="197" spans="17:21" ht="12" customHeight="1" x14ac:dyDescent="0.2"/>
    <row r="198" spans="17:21" ht="12" customHeight="1" x14ac:dyDescent="0.2"/>
    <row r="199" spans="17:21" ht="15" customHeight="1" x14ac:dyDescent="0.2">
      <c r="Q199" s="33"/>
      <c r="R199" s="33">
        <f>'8. T4 FINANSIERINGSB.'!AB43</f>
        <v>0</v>
      </c>
      <c r="S199" s="33"/>
      <c r="T199" s="33"/>
      <c r="U199" s="33"/>
    </row>
    <row r="200" spans="17:21" ht="15" customHeight="1" x14ac:dyDescent="0.2"/>
    <row r="201" spans="17:21" ht="15" customHeight="1" x14ac:dyDescent="0.2"/>
    <row r="202" spans="17:21" ht="15" customHeight="1" x14ac:dyDescent="0.2"/>
    <row r="203" spans="17:21" ht="15" customHeight="1" x14ac:dyDescent="0.2"/>
    <row r="204" spans="17:21" ht="15" customHeight="1" x14ac:dyDescent="0.2"/>
    <row r="205" spans="17:21" ht="15" customHeight="1" x14ac:dyDescent="0.2"/>
    <row r="206" spans="17:21" ht="15" customHeight="1" x14ac:dyDescent="0.2"/>
    <row r="207" spans="17:21" ht="15" customHeight="1" x14ac:dyDescent="0.2"/>
    <row r="208" spans="17:21" ht="15" customHeight="1" x14ac:dyDescent="0.2"/>
    <row r="209" ht="15" customHeight="1" x14ac:dyDescent="0.2"/>
    <row r="210" ht="15" customHeight="1" x14ac:dyDescent="0.2"/>
    <row r="211" ht="15" customHeight="1" x14ac:dyDescent="0.2"/>
  </sheetData>
  <sheetProtection algorithmName="SHA-512" hashValue="l1EBSbgwwKhH+NYYOXhbqAWaAQuFnV0Mh9CvStIaMzCyZ9/1LScUhW74fdzRaPGdK5xQUA2PxsVvJ4Qau8QR/w==" saltValue="syPyjWN1+xFn9tfycvbsng==" spinCount="100000" sheet="1" objects="1" scenarios="1" selectLockedCells="1"/>
  <mergeCells count="318">
    <mergeCell ref="R55:U55"/>
    <mergeCell ref="R56:U56"/>
    <mergeCell ref="R41:S41"/>
    <mergeCell ref="R42:S42"/>
    <mergeCell ref="R43:S43"/>
    <mergeCell ref="R44:S44"/>
    <mergeCell ref="R45:S45"/>
    <mergeCell ref="R46:S46"/>
    <mergeCell ref="R47:S47"/>
    <mergeCell ref="R48:S48"/>
    <mergeCell ref="R54:U54"/>
    <mergeCell ref="Q51:S52"/>
    <mergeCell ref="R49:S49"/>
    <mergeCell ref="R32:S32"/>
    <mergeCell ref="R33:S33"/>
    <mergeCell ref="R34:S34"/>
    <mergeCell ref="R35:S35"/>
    <mergeCell ref="R36:S36"/>
    <mergeCell ref="R37:S37"/>
    <mergeCell ref="R38:S38"/>
    <mergeCell ref="R39:S39"/>
    <mergeCell ref="R40:S40"/>
    <mergeCell ref="R18:S18"/>
    <mergeCell ref="R19:S19"/>
    <mergeCell ref="R20:S20"/>
    <mergeCell ref="R21:S21"/>
    <mergeCell ref="R22:S22"/>
    <mergeCell ref="R23:S23"/>
    <mergeCell ref="R28:S28"/>
    <mergeCell ref="R29:S29"/>
    <mergeCell ref="R30:S30"/>
    <mergeCell ref="Q24:S24"/>
    <mergeCell ref="Q26:S27"/>
    <mergeCell ref="AR81:AV81"/>
    <mergeCell ref="B10:H12"/>
    <mergeCell ref="AN33:AO33"/>
    <mergeCell ref="AN34:AO34"/>
    <mergeCell ref="AK29:AL29"/>
    <mergeCell ref="AK30:AL30"/>
    <mergeCell ref="B80:C80"/>
    <mergeCell ref="AA80:AB80"/>
    <mergeCell ref="R74:U74"/>
    <mergeCell ref="R75:U75"/>
    <mergeCell ref="R59:U59"/>
    <mergeCell ref="I80:O80"/>
    <mergeCell ref="W80:Y80"/>
    <mergeCell ref="AH41:AJ41"/>
    <mergeCell ref="AK80:AP80"/>
    <mergeCell ref="Q78:S78"/>
    <mergeCell ref="AA69:AD69"/>
    <mergeCell ref="D77:E77"/>
    <mergeCell ref="F77:G77"/>
    <mergeCell ref="AO15:AP15"/>
    <mergeCell ref="C70:C71"/>
    <mergeCell ref="B70:B71"/>
    <mergeCell ref="R77:U77"/>
    <mergeCell ref="D76:E76"/>
    <mergeCell ref="R58:U58"/>
    <mergeCell ref="R66:U66"/>
    <mergeCell ref="R69:U69"/>
    <mergeCell ref="R63:U63"/>
    <mergeCell ref="R70:U70"/>
    <mergeCell ref="R71:U71"/>
    <mergeCell ref="R72:U72"/>
    <mergeCell ref="R73:U73"/>
    <mergeCell ref="R68:U68"/>
    <mergeCell ref="R67:U67"/>
    <mergeCell ref="R64:U64"/>
    <mergeCell ref="R65:U65"/>
    <mergeCell ref="R62:U62"/>
    <mergeCell ref="F76:G76"/>
    <mergeCell ref="H76:I76"/>
    <mergeCell ref="J76:K76"/>
    <mergeCell ref="H77:I77"/>
    <mergeCell ref="J77:K77"/>
    <mergeCell ref="L77:M77"/>
    <mergeCell ref="N77:O77"/>
    <mergeCell ref="J81:O81"/>
    <mergeCell ref="W81:Y81"/>
    <mergeCell ref="L76:M76"/>
    <mergeCell ref="N76:O76"/>
    <mergeCell ref="R81:V81"/>
    <mergeCell ref="C78:G78"/>
    <mergeCell ref="H78:I78"/>
    <mergeCell ref="J78:K78"/>
    <mergeCell ref="L78:M78"/>
    <mergeCell ref="N78:O78"/>
    <mergeCell ref="AO17:AP17"/>
    <mergeCell ref="AK19:AL19"/>
    <mergeCell ref="AO11:AP11"/>
    <mergeCell ref="AK11:AL11"/>
    <mergeCell ref="AM11:AN11"/>
    <mergeCell ref="AI14:AJ14"/>
    <mergeCell ref="AK14:AL14"/>
    <mergeCell ref="AM14:AN14"/>
    <mergeCell ref="AO14:AP14"/>
    <mergeCell ref="AM12:AN12"/>
    <mergeCell ref="AI15:AJ15"/>
    <mergeCell ref="AM13:AN13"/>
    <mergeCell ref="AA81:AJ81"/>
    <mergeCell ref="BF79:BI79"/>
    <mergeCell ref="AB25:AB28"/>
    <mergeCell ref="AC25:AC28"/>
    <mergeCell ref="AD25:AD28"/>
    <mergeCell ref="AB40:AB42"/>
    <mergeCell ref="AH28:AI28"/>
    <mergeCell ref="AE40:AG40"/>
    <mergeCell ref="AH40:AJ40"/>
    <mergeCell ref="AB61:AB62"/>
    <mergeCell ref="AC61:AC62"/>
    <mergeCell ref="AD61:AD62"/>
    <mergeCell ref="AE61:AG61"/>
    <mergeCell ref="AH61:AJ61"/>
    <mergeCell ref="AK61:AM61"/>
    <mergeCell ref="AN61:AP61"/>
    <mergeCell ref="AN26:AP26"/>
    <mergeCell ref="AK26:AM26"/>
    <mergeCell ref="AE28:AF28"/>
    <mergeCell ref="AA61:AA62"/>
    <mergeCell ref="AW80:AY80"/>
    <mergeCell ref="AK81:AP81"/>
    <mergeCell ref="AW81:AY81"/>
    <mergeCell ref="AE33:AF33"/>
    <mergeCell ref="R57:U57"/>
    <mergeCell ref="AA78:AD78"/>
    <mergeCell ref="AN29:AO29"/>
    <mergeCell ref="AH32:AI32"/>
    <mergeCell ref="AH33:AI33"/>
    <mergeCell ref="AH34:AI34"/>
    <mergeCell ref="AC40:AC42"/>
    <mergeCell ref="AA23:AB23"/>
    <mergeCell ref="AE11:AF11"/>
    <mergeCell ref="AE12:AF12"/>
    <mergeCell ref="AE18:AF18"/>
    <mergeCell ref="AG18:AH18"/>
    <mergeCell ref="AH30:AI30"/>
    <mergeCell ref="AH31:AI31"/>
    <mergeCell ref="AO16:AP16"/>
    <mergeCell ref="AM16:AN16"/>
    <mergeCell ref="AM18:AN18"/>
    <mergeCell ref="AO18:AP18"/>
    <mergeCell ref="AE13:AF13"/>
    <mergeCell ref="AE14:AF14"/>
    <mergeCell ref="AM19:AN19"/>
    <mergeCell ref="AO19:AP19"/>
    <mergeCell ref="AI13:AJ13"/>
    <mergeCell ref="AK13:AL13"/>
    <mergeCell ref="AE27:AG27"/>
    <mergeCell ref="AE30:AF30"/>
    <mergeCell ref="AE36:AF36"/>
    <mergeCell ref="AH36:AI36"/>
    <mergeCell ref="AE35:AF35"/>
    <mergeCell ref="AH35:AI35"/>
    <mergeCell ref="AK35:AL35"/>
    <mergeCell ref="AE19:AF19"/>
    <mergeCell ref="AI16:AJ16"/>
    <mergeCell ref="AE26:AG26"/>
    <mergeCell ref="AK18:AL18"/>
    <mergeCell ref="AI19:AJ19"/>
    <mergeCell ref="AG19:AH19"/>
    <mergeCell ref="AI18:AJ18"/>
    <mergeCell ref="AI17:AJ17"/>
    <mergeCell ref="AE16:AF16"/>
    <mergeCell ref="AG16:AH16"/>
    <mergeCell ref="AE17:AF17"/>
    <mergeCell ref="AG17:AH17"/>
    <mergeCell ref="AK17:AL17"/>
    <mergeCell ref="AK38:AL38"/>
    <mergeCell ref="AN36:AO36"/>
    <mergeCell ref="AN41:AP41"/>
    <mergeCell ref="AN40:AP40"/>
    <mergeCell ref="AN28:AO28"/>
    <mergeCell ref="AK28:AL28"/>
    <mergeCell ref="AH29:AI29"/>
    <mergeCell ref="AE34:AF34"/>
    <mergeCell ref="AK33:AL33"/>
    <mergeCell ref="AK34:AL34"/>
    <mergeCell ref="AA40:AA41"/>
    <mergeCell ref="AE29:AF29"/>
    <mergeCell ref="AE24:AP25"/>
    <mergeCell ref="AN38:AO38"/>
    <mergeCell ref="AN35:AO35"/>
    <mergeCell ref="AD40:AD42"/>
    <mergeCell ref="AK41:AM41"/>
    <mergeCell ref="AE31:AF31"/>
    <mergeCell ref="AE32:AF32"/>
    <mergeCell ref="AN32:AO32"/>
    <mergeCell ref="AN31:AO31"/>
    <mergeCell ref="AN27:AP27"/>
    <mergeCell ref="AK40:AM40"/>
    <mergeCell ref="AK36:AL36"/>
    <mergeCell ref="AK27:AM27"/>
    <mergeCell ref="AK32:AL32"/>
    <mergeCell ref="AH26:AJ26"/>
    <mergeCell ref="AH27:AJ27"/>
    <mergeCell ref="AN30:AO30"/>
    <mergeCell ref="AA25:AA27"/>
    <mergeCell ref="AK31:AL31"/>
    <mergeCell ref="AE41:AG41"/>
    <mergeCell ref="AE38:AF38"/>
    <mergeCell ref="AH38:AI38"/>
    <mergeCell ref="R31:S31"/>
    <mergeCell ref="B2:C2"/>
    <mergeCell ref="H14:H15"/>
    <mergeCell ref="I14:O15"/>
    <mergeCell ref="I7:O7"/>
    <mergeCell ref="E4:F4"/>
    <mergeCell ref="B14:C15"/>
    <mergeCell ref="AM10:AN10"/>
    <mergeCell ref="AO12:AP12"/>
    <mergeCell ref="AI11:AJ11"/>
    <mergeCell ref="AO13:AP13"/>
    <mergeCell ref="AM15:AN15"/>
    <mergeCell ref="B9:D9"/>
    <mergeCell ref="AI9:AJ9"/>
    <mergeCell ref="AI6:AJ6"/>
    <mergeCell ref="AE8:AF8"/>
    <mergeCell ref="Q2:R2"/>
    <mergeCell ref="AG8:AH8"/>
    <mergeCell ref="AI8:AJ8"/>
    <mergeCell ref="AA15:AD15"/>
    <mergeCell ref="AA13:AD13"/>
    <mergeCell ref="AA10:AD10"/>
    <mergeCell ref="AE6:AF6"/>
    <mergeCell ref="AG6:AH6"/>
    <mergeCell ref="Q4:S4"/>
    <mergeCell ref="Q5:R6"/>
    <mergeCell ref="AI12:AJ12"/>
    <mergeCell ref="Q3:S3"/>
    <mergeCell ref="AM8:AN8"/>
    <mergeCell ref="AI10:AJ10"/>
    <mergeCell ref="I11:O11"/>
    <mergeCell ref="R7:S7"/>
    <mergeCell ref="R8:S8"/>
    <mergeCell ref="R9:S9"/>
    <mergeCell ref="R10:S10"/>
    <mergeCell ref="R11:S11"/>
    <mergeCell ref="R12:S12"/>
    <mergeCell ref="AE9:AF9"/>
    <mergeCell ref="AG9:AH9"/>
    <mergeCell ref="AG10:AH10"/>
    <mergeCell ref="AG11:AH11"/>
    <mergeCell ref="AG12:AH12"/>
    <mergeCell ref="AE10:AF10"/>
    <mergeCell ref="AR2:AR3"/>
    <mergeCell ref="AG7:AH7"/>
    <mergeCell ref="AK9:AL9"/>
    <mergeCell ref="AK10:AL10"/>
    <mergeCell ref="AO9:AP9"/>
    <mergeCell ref="AM9:AN9"/>
    <mergeCell ref="AO10:AP10"/>
    <mergeCell ref="AE7:AF7"/>
    <mergeCell ref="AA2:AB2"/>
    <mergeCell ref="AX5:AX6"/>
    <mergeCell ref="AY5:AY6"/>
    <mergeCell ref="AA8:AD8"/>
    <mergeCell ref="AE5:AF5"/>
    <mergeCell ref="AG5:AH5"/>
    <mergeCell ref="AI5:AJ5"/>
    <mergeCell ref="AK5:AL5"/>
    <mergeCell ref="AM5:AN5"/>
    <mergeCell ref="AO5:AP5"/>
    <mergeCell ref="AA5:AD6"/>
    <mergeCell ref="AO7:AP7"/>
    <mergeCell ref="AM7:AN7"/>
    <mergeCell ref="AK7:AL7"/>
    <mergeCell ref="AI7:AJ7"/>
    <mergeCell ref="AO6:AP6"/>
    <mergeCell ref="AM6:AN6"/>
    <mergeCell ref="AK6:AL6"/>
    <mergeCell ref="AO8:AP8"/>
    <mergeCell ref="AU5:AU6"/>
    <mergeCell ref="AR5:AS7"/>
    <mergeCell ref="AV5:AV6"/>
    <mergeCell ref="AK8:AL8"/>
    <mergeCell ref="AT5:AT6"/>
    <mergeCell ref="AW5:AW6"/>
    <mergeCell ref="G5:H5"/>
    <mergeCell ref="I6:J6"/>
    <mergeCell ref="I5:J5"/>
    <mergeCell ref="L5:O5"/>
    <mergeCell ref="I8:O8"/>
    <mergeCell ref="I9:O9"/>
    <mergeCell ref="I10:O10"/>
    <mergeCell ref="I12:O12"/>
    <mergeCell ref="AM17:AN17"/>
    <mergeCell ref="AK16:AL16"/>
    <mergeCell ref="AA17:AD17"/>
    <mergeCell ref="R13:S13"/>
    <mergeCell ref="R14:S14"/>
    <mergeCell ref="R15:S15"/>
    <mergeCell ref="R16:S16"/>
    <mergeCell ref="R17:S17"/>
    <mergeCell ref="AK12:AL12"/>
    <mergeCell ref="AG13:AH13"/>
    <mergeCell ref="AK15:AL15"/>
    <mergeCell ref="AG14:AH14"/>
    <mergeCell ref="AE15:AF15"/>
    <mergeCell ref="AG15:AH15"/>
    <mergeCell ref="B33:C34"/>
    <mergeCell ref="M41:O41"/>
    <mergeCell ref="K40:K41"/>
    <mergeCell ref="B42:C42"/>
    <mergeCell ref="D51:E51"/>
    <mergeCell ref="F51:G51"/>
    <mergeCell ref="L51:M51"/>
    <mergeCell ref="N51:O51"/>
    <mergeCell ref="B51:C53"/>
    <mergeCell ref="D52:E52"/>
    <mergeCell ref="F52:G52"/>
    <mergeCell ref="J51:K51"/>
    <mergeCell ref="I33:O34"/>
    <mergeCell ref="H51:I51"/>
    <mergeCell ref="L52:M52"/>
    <mergeCell ref="N52:O52"/>
    <mergeCell ref="H52:I52"/>
    <mergeCell ref="J52:K52"/>
    <mergeCell ref="H33:H34"/>
  </mergeCells>
  <phoneticPr fontId="6" type="noConversion"/>
  <conditionalFormatting sqref="AT10:AY10">
    <cfRule type="containsText" dxfId="27" priority="33" operator="containsText" text="Bra">
      <formula>NOT(ISERROR(SEARCH("Bra",AT10)))</formula>
    </cfRule>
    <cfRule type="containsText" dxfId="26" priority="34" operator="containsText" text="Tillfredställande">
      <formula>NOT(ISERROR(SEARCH("Tillfredställande",AT10)))</formula>
    </cfRule>
    <cfRule type="containsText" dxfId="25" priority="35" operator="containsText" text="Svag">
      <formula>NOT(ISERROR(SEARCH("Svag",AT10)))</formula>
    </cfRule>
    <cfRule type="containsText" dxfId="24" priority="45" operator="containsText" text="Hyvä">
      <formula>NOT(ISERROR(SEARCH("Hyvä",AT10)))</formula>
    </cfRule>
    <cfRule type="containsText" dxfId="23" priority="46" operator="containsText" text="Tyydyttävä">
      <formula>NOT(ISERROR(SEARCH("Tyydyttävä",AT10)))</formula>
    </cfRule>
    <cfRule type="containsText" dxfId="22" priority="47" operator="containsText" text="Heikko">
      <formula>NOT(ISERROR(SEARCH("Heikko",AT10)))</formula>
    </cfRule>
  </conditionalFormatting>
  <conditionalFormatting sqref="AT12:AY12">
    <cfRule type="containsText" dxfId="21" priority="27" operator="containsText" text="Bra">
      <formula>NOT(ISERROR(SEARCH("Bra",AT12)))</formula>
    </cfRule>
    <cfRule type="containsText" dxfId="20" priority="28" operator="containsText" text="Tillfredställande">
      <formula>NOT(ISERROR(SEARCH("Tillfredställande",AT12)))</formula>
    </cfRule>
    <cfRule type="containsText" dxfId="19" priority="29" operator="containsText" text="Svag">
      <formula>NOT(ISERROR(SEARCH("Svag",AT12)))</formula>
    </cfRule>
    <cfRule type="containsText" dxfId="18" priority="30" operator="containsText" text="Hyvä">
      <formula>NOT(ISERROR(SEARCH("Hyvä",AT12)))</formula>
    </cfRule>
    <cfRule type="containsText" dxfId="17" priority="31" operator="containsText" text="Tyydyttävä">
      <formula>NOT(ISERROR(SEARCH("Tyydyttävä",AT12)))</formula>
    </cfRule>
    <cfRule type="containsText" dxfId="16" priority="32" operator="containsText" text="Heikko">
      <formula>NOT(ISERROR(SEARCH("Heikko",AT12)))</formula>
    </cfRule>
  </conditionalFormatting>
  <conditionalFormatting sqref="AT15:AY15">
    <cfRule type="containsText" dxfId="15" priority="21" operator="containsText" text="Bra">
      <formula>NOT(ISERROR(SEARCH("Bra",AT15)))</formula>
    </cfRule>
    <cfRule type="containsText" dxfId="14" priority="22" operator="containsText" text="Tillfredställande">
      <formula>NOT(ISERROR(SEARCH("Tillfredställande",AT15)))</formula>
    </cfRule>
    <cfRule type="containsText" dxfId="13" priority="23" operator="containsText" text="Svag">
      <formula>NOT(ISERROR(SEARCH("Svag",AT15)))</formula>
    </cfRule>
    <cfRule type="containsText" dxfId="12" priority="24" operator="containsText" text="Hyvä">
      <formula>NOT(ISERROR(SEARCH("Hyvä",AT15)))</formula>
    </cfRule>
    <cfRule type="containsText" dxfId="11" priority="25" operator="containsText" text="Tyydyttävä">
      <formula>NOT(ISERROR(SEARCH("Tyydyttävä",AT15)))</formula>
    </cfRule>
    <cfRule type="containsText" dxfId="10" priority="26" operator="containsText" text="Heikko">
      <formula>NOT(ISERROR(SEARCH("Heikko",AT15)))</formula>
    </cfRule>
  </conditionalFormatting>
  <conditionalFormatting sqref="AT18:AY18">
    <cfRule type="containsText" dxfId="9" priority="3" operator="containsText" text="Bra">
      <formula>NOT(ISERROR(SEARCH("Bra",AT18)))</formula>
    </cfRule>
    <cfRule type="containsText" dxfId="8" priority="4" operator="containsText" text="Tillfredställande">
      <formula>NOT(ISERROR(SEARCH("Tillfredställande",AT18)))</formula>
    </cfRule>
    <cfRule type="containsText" dxfId="7" priority="5" operator="containsText" text="Svag">
      <formula>NOT(ISERROR(SEARCH("Svag",AT18)))</formula>
    </cfRule>
  </conditionalFormatting>
  <conditionalFormatting sqref="AT20:AY20">
    <cfRule type="containsText" dxfId="6" priority="1" operator="containsText" text="Bra">
      <formula>NOT(ISERROR(SEARCH("Bra",AT20)))</formula>
    </cfRule>
    <cfRule type="containsText" dxfId="5" priority="2" operator="containsText" text="Nettoskuldfri">
      <formula>NOT(ISERROR(SEARCH("Nettoskuldfri",AT20)))</formula>
    </cfRule>
    <cfRule type="containsText" dxfId="4" priority="6" operator="containsText" text="Svag">
      <formula>NOT(ISERROR(SEARCH("Svag",AT20)))</formula>
    </cfRule>
    <cfRule type="containsText" dxfId="3" priority="7" operator="containsText" text="Bra">
      <formula>NOT(ISERROR(SEARCH("Bra",AT20)))</formula>
    </cfRule>
  </conditionalFormatting>
  <conditionalFormatting sqref="AU18:AY18">
    <cfRule type="containsText" dxfId="2" priority="18" operator="containsText" text="Hyvä">
      <formula>NOT(ISERROR(SEARCH("Hyvä",AU18)))</formula>
    </cfRule>
    <cfRule type="containsText" dxfId="1" priority="19" operator="containsText" text="Tyydyttävä">
      <formula>NOT(ISERROR(SEARCH("Tyydyttävä",AU18)))</formula>
    </cfRule>
    <cfRule type="containsText" dxfId="0" priority="20" operator="containsText" text="Heikko">
      <formula>NOT(ISERROR(SEARCH("Heikko",AU18)))</formula>
    </cfRule>
  </conditionalFormatting>
  <printOptions horizontalCentered="1" verticalCentered="1"/>
  <pageMargins left="0.23622047244094491" right="0.23622047244094491" top="0.39370078740157483" bottom="0.35433070866141736" header="0.31496062992125984" footer="0.31496062992125984"/>
  <pageSetup paperSize="9" scale="85" orientation="portrait" r:id="rId1"/>
  <headerFooter alignWithMargins="0"/>
  <rowBreaks count="1" manualBreakCount="1">
    <brk id="1" min="16" max="29" man="1"/>
  </rowBreaks>
  <colBreaks count="3" manualBreakCount="3">
    <brk id="15" min="1" max="80" man="1"/>
    <brk id="25" min="1" max="80" man="1"/>
    <brk id="42" min="1" max="80"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C9075-8025-40BB-BF3E-EB3FCB30FFC3}">
  <dimension ref="B2:E9"/>
  <sheetViews>
    <sheetView workbookViewId="0"/>
  </sheetViews>
  <sheetFormatPr defaultRowHeight="12.75" x14ac:dyDescent="0.2"/>
  <cols>
    <col min="2" max="3" width="10.28515625" customWidth="1"/>
    <col min="4" max="4" width="11.28515625" customWidth="1"/>
    <col min="5" max="5" width="54.28515625" customWidth="1"/>
  </cols>
  <sheetData>
    <row r="2" spans="2:5" x14ac:dyDescent="0.2">
      <c r="B2" t="s">
        <v>190</v>
      </c>
      <c r="C2" t="s">
        <v>188</v>
      </c>
      <c r="D2" t="s">
        <v>189</v>
      </c>
      <c r="E2" t="s">
        <v>191</v>
      </c>
    </row>
    <row r="3" spans="2:5" x14ac:dyDescent="0.2">
      <c r="B3" s="13">
        <v>44420</v>
      </c>
      <c r="C3" t="s">
        <v>192</v>
      </c>
      <c r="D3" t="s">
        <v>193</v>
      </c>
      <c r="E3" t="s">
        <v>194</v>
      </c>
    </row>
    <row r="4" spans="2:5" x14ac:dyDescent="0.2">
      <c r="B4" s="13">
        <v>44497</v>
      </c>
      <c r="C4" s="448" t="s">
        <v>195</v>
      </c>
      <c r="D4" s="448" t="s">
        <v>196</v>
      </c>
      <c r="E4" s="448" t="s">
        <v>197</v>
      </c>
    </row>
    <row r="5" spans="2:5" x14ac:dyDescent="0.2">
      <c r="C5" s="448" t="s">
        <v>198</v>
      </c>
      <c r="E5" s="448" t="s">
        <v>199</v>
      </c>
    </row>
    <row r="6" spans="2:5" x14ac:dyDescent="0.2">
      <c r="C6" s="448" t="s">
        <v>200</v>
      </c>
      <c r="E6" s="448" t="s">
        <v>201</v>
      </c>
    </row>
    <row r="7" spans="2:5" x14ac:dyDescent="0.2">
      <c r="C7" s="448" t="s">
        <v>202</v>
      </c>
      <c r="E7" s="448" t="s">
        <v>203</v>
      </c>
    </row>
    <row r="8" spans="2:5" x14ac:dyDescent="0.2">
      <c r="C8" s="448" t="s">
        <v>204</v>
      </c>
      <c r="E8" s="448" t="s">
        <v>205</v>
      </c>
    </row>
    <row r="9" spans="2:5" x14ac:dyDescent="0.2">
      <c r="C9" s="448" t="s">
        <v>204</v>
      </c>
      <c r="E9" s="448" t="s">
        <v>206</v>
      </c>
    </row>
  </sheetData>
  <sheetProtection algorithmName="SHA-512" hashValue="hN4oWbi3V8MTPIAHt3hBUBAKciN9jayHbkPCq/JvBzLuos6SAbG3refqcrjeSbWmIYhwDiYgA5DCDdjetrVYdg==" saltValue="bq3j/dMKbArkPQXg0ZsPig==" spinCount="100000" sheet="1" objects="1" scenarios="1" selectLockedCells="1" selectUnlockedCells="1"/>
  <phoneticPr fontId="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81"/>
  <dimension ref="A1:AL61"/>
  <sheetViews>
    <sheetView workbookViewId="0">
      <selection activeCell="K43" sqref="K43"/>
    </sheetView>
  </sheetViews>
  <sheetFormatPr defaultRowHeight="12.75" x14ac:dyDescent="0.2"/>
  <cols>
    <col min="2" max="2" width="41" customWidth="1"/>
    <col min="7" max="7" width="4.85546875" customWidth="1"/>
    <col min="9" max="9" width="41.85546875" customWidth="1"/>
    <col min="10" max="10" width="7.28515625" customWidth="1"/>
    <col min="13" max="13" width="10.7109375" customWidth="1"/>
    <col min="21" max="21" width="10" customWidth="1"/>
    <col min="24" max="25" width="23.85546875" customWidth="1"/>
  </cols>
  <sheetData>
    <row r="1" spans="1:38" ht="32.65" customHeight="1" thickBot="1" x14ac:dyDescent="0.25"/>
    <row r="2" spans="1:38" ht="15.75" customHeight="1" x14ac:dyDescent="0.2">
      <c r="B2" s="2273" t="s">
        <v>67</v>
      </c>
      <c r="C2" s="40" t="s">
        <v>14</v>
      </c>
      <c r="D2" s="40" t="s">
        <v>1</v>
      </c>
      <c r="E2" s="40" t="s">
        <v>12</v>
      </c>
      <c r="F2" s="163" t="s">
        <v>89</v>
      </c>
      <c r="G2" s="20"/>
      <c r="H2" s="20"/>
      <c r="I2" s="402" t="s">
        <v>113</v>
      </c>
      <c r="J2" s="2" t="str">
        <f>'9. T5 KASSABUDGET'!F9</f>
        <v>Moms-%</v>
      </c>
      <c r="K2" s="1542" t="str">
        <f>'9. T5 KASSABUDGET'!G9</f>
        <v>JAN</v>
      </c>
      <c r="L2" s="1542" t="str">
        <f>'9. T5 KASSABUDGET'!H9</f>
        <v>FEB</v>
      </c>
      <c r="M2" s="1542" t="str">
        <f>'9. T5 KASSABUDGET'!I9</f>
        <v>MARS</v>
      </c>
      <c r="N2" s="1542" t="str">
        <f>'9. T5 KASSABUDGET'!J9</f>
        <v>APRIL</v>
      </c>
      <c r="O2" s="1542" t="str">
        <f>'9. T5 KASSABUDGET'!K9</f>
        <v>MAJ</v>
      </c>
      <c r="P2" s="1542" t="str">
        <f>'9. T5 KASSABUDGET'!L9</f>
        <v>JUNI</v>
      </c>
      <c r="Q2" s="1542" t="str">
        <f>'9. T5 KASSABUDGET'!M9</f>
        <v>JULI</v>
      </c>
      <c r="R2" s="1542" t="str">
        <f>'9. T5 KASSABUDGET'!N9</f>
        <v>AUG</v>
      </c>
      <c r="S2" s="1542" t="str">
        <f>'9. T5 KASSABUDGET'!O9</f>
        <v>SEP</v>
      </c>
      <c r="T2" s="1542" t="str">
        <f>'9. T5 KASSABUDGET'!P9</f>
        <v>OKT</v>
      </c>
      <c r="U2" s="1542" t="str">
        <f>'9. T5 KASSABUDGET'!Q9</f>
        <v>NOV</v>
      </c>
      <c r="V2" s="1542" t="str">
        <f>'9. T5 KASSABUDGET'!R9</f>
        <v>DEC</v>
      </c>
      <c r="X2" s="20"/>
      <c r="Y2" s="1545"/>
      <c r="Z2" s="2"/>
      <c r="AA2" s="1542"/>
      <c r="AB2" s="1542"/>
      <c r="AC2" s="1542"/>
      <c r="AD2" s="1542"/>
      <c r="AE2" s="1542"/>
      <c r="AF2" s="1542"/>
      <c r="AG2" s="1542"/>
      <c r="AH2" s="1542"/>
      <c r="AI2" s="1542"/>
      <c r="AJ2" s="1542"/>
      <c r="AK2" s="1542"/>
      <c r="AL2" s="1542"/>
    </row>
    <row r="3" spans="1:38" x14ac:dyDescent="0.2">
      <c r="B3" s="2274"/>
      <c r="C3" s="164">
        <f>'1. T1 INVESTERINGSP.'!D16</f>
        <v>2027</v>
      </c>
      <c r="D3" s="164">
        <f>'1. T1 INVESTERINGSP.'!E16</f>
        <v>2028</v>
      </c>
      <c r="E3" s="164">
        <f>'1. T1 INVESTERINGSP.'!F16</f>
        <v>2029</v>
      </c>
      <c r="F3" s="164">
        <f>'1. T1 INVESTERINGSP.'!G16</f>
        <v>2030</v>
      </c>
      <c r="G3" s="403"/>
      <c r="H3" s="21" t="str">
        <f>'9. T5 KASSABUDGET'!B12</f>
        <v>2.</v>
      </c>
      <c r="I3" s="408" t="str">
        <f>'9. T5 KASSABUDGET'!C12</f>
        <v xml:space="preserve"> Kontantbetalning, andel av försäljning</v>
      </c>
      <c r="J3">
        <f>'9. T5 KASSABUDGET'!F12</f>
        <v>25.5</v>
      </c>
      <c r="K3">
        <f>'9. T5 KASSABUDGET'!G12</f>
        <v>0</v>
      </c>
      <c r="L3">
        <f>'9. T5 KASSABUDGET'!H12</f>
        <v>0</v>
      </c>
      <c r="M3">
        <f>'9. T5 KASSABUDGET'!I12</f>
        <v>0</v>
      </c>
      <c r="N3">
        <f>'9. T5 KASSABUDGET'!J12</f>
        <v>0</v>
      </c>
      <c r="O3">
        <f>'9. T5 KASSABUDGET'!K12</f>
        <v>0</v>
      </c>
      <c r="P3">
        <f>'9. T5 KASSABUDGET'!L12</f>
        <v>0</v>
      </c>
      <c r="Q3">
        <f>'9. T5 KASSABUDGET'!M12</f>
        <v>0</v>
      </c>
      <c r="R3">
        <f>'9. T5 KASSABUDGET'!N12</f>
        <v>0</v>
      </c>
      <c r="S3">
        <f>'9. T5 KASSABUDGET'!O12</f>
        <v>0</v>
      </c>
      <c r="T3">
        <f>'9. T5 KASSABUDGET'!P12</f>
        <v>0</v>
      </c>
      <c r="U3">
        <f>'9. T5 KASSABUDGET'!Q12</f>
        <v>0</v>
      </c>
      <c r="V3">
        <f>'9. T5 KASSABUDGET'!R12</f>
        <v>0</v>
      </c>
      <c r="W3">
        <f>SUM(K3:V3)</f>
        <v>0</v>
      </c>
      <c r="Y3" s="1546"/>
    </row>
    <row r="4" spans="1:38" x14ac:dyDescent="0.2">
      <c r="A4" t="str">
        <f>'1. T1 INVESTERINGSP.'!B17</f>
        <v>1.</v>
      </c>
      <c r="B4" s="77" t="str">
        <f>'1. T1 INVESTERINGSP.'!C17</f>
        <v xml:space="preserve"> Jordområden, anslutningar o.d</v>
      </c>
      <c r="C4" s="77">
        <f>'1. T1 INVESTERINGSP.'!D17</f>
        <v>0</v>
      </c>
      <c r="D4" s="77">
        <f>'1. T1 INVESTERINGSP.'!E17</f>
        <v>0</v>
      </c>
      <c r="E4" s="77">
        <f>'1. T1 INVESTERINGSP.'!F17</f>
        <v>0</v>
      </c>
      <c r="F4" s="77">
        <f>'1. T1 INVESTERINGSP.'!G17</f>
        <v>0</v>
      </c>
      <c r="I4" s="409" t="s">
        <v>114</v>
      </c>
      <c r="K4">
        <f t="shared" ref="K4:V4" si="0">K3-K3/(1+$J3%)</f>
        <v>0</v>
      </c>
      <c r="L4">
        <f t="shared" si="0"/>
        <v>0</v>
      </c>
      <c r="M4">
        <f t="shared" si="0"/>
        <v>0</v>
      </c>
      <c r="N4">
        <f t="shared" si="0"/>
        <v>0</v>
      </c>
      <c r="O4">
        <f t="shared" si="0"/>
        <v>0</v>
      </c>
      <c r="P4">
        <f t="shared" si="0"/>
        <v>0</v>
      </c>
      <c r="Q4">
        <f t="shared" si="0"/>
        <v>0</v>
      </c>
      <c r="R4">
        <f t="shared" si="0"/>
        <v>0</v>
      </c>
      <c r="S4">
        <f t="shared" si="0"/>
        <v>0</v>
      </c>
      <c r="T4">
        <f t="shared" si="0"/>
        <v>0</v>
      </c>
      <c r="U4">
        <f t="shared" si="0"/>
        <v>0</v>
      </c>
      <c r="V4">
        <f t="shared" si="0"/>
        <v>0</v>
      </c>
      <c r="W4">
        <f t="shared" ref="W4:W61" si="1">SUM(K4:V4)</f>
        <v>0</v>
      </c>
      <c r="Y4" s="1547"/>
    </row>
    <row r="5" spans="1:38" x14ac:dyDescent="0.2">
      <c r="A5" s="1" t="s">
        <v>0</v>
      </c>
      <c r="B5" s="77" t="str">
        <f>'1. T1 INVESTERINGSP.'!C19</f>
        <v xml:space="preserve"> - bidrags-%</v>
      </c>
      <c r="C5" s="168">
        <f>'1. T1 INVESTERINGSP.'!D19</f>
        <v>0</v>
      </c>
      <c r="D5" s="168">
        <f>'1. T1 INVESTERINGSP.'!E19</f>
        <v>0</v>
      </c>
      <c r="E5" s="168">
        <f>'1. T1 INVESTERINGSP.'!F19</f>
        <v>0</v>
      </c>
      <c r="F5" s="168">
        <f>'1. T1 INVESTERINGSP.'!G19</f>
        <v>0</v>
      </c>
      <c r="G5" s="404"/>
      <c r="H5" s="21" t="str">
        <f>'9. T5 KASSABUDGET'!B14</f>
        <v>3.</v>
      </c>
      <c r="I5" s="408" t="str">
        <f>'9. T5 KASSABUDGET'!C14</f>
        <v xml:space="preserve"> Fakturaförsäljning</v>
      </c>
      <c r="J5">
        <f>'9. T5 KASSABUDGET'!F14</f>
        <v>25.5</v>
      </c>
      <c r="K5">
        <f>'9. T5 KASSABUDGET'!G14</f>
        <v>0</v>
      </c>
      <c r="L5">
        <f>'9. T5 KASSABUDGET'!H14</f>
        <v>0</v>
      </c>
      <c r="M5">
        <f>'9. T5 KASSABUDGET'!I14</f>
        <v>0</v>
      </c>
      <c r="N5">
        <f>'9. T5 KASSABUDGET'!J14</f>
        <v>0</v>
      </c>
      <c r="O5">
        <f>'9. T5 KASSABUDGET'!K14</f>
        <v>0</v>
      </c>
      <c r="P5">
        <f>'9. T5 KASSABUDGET'!L14</f>
        <v>0</v>
      </c>
      <c r="Q5">
        <f>'9. T5 KASSABUDGET'!M14</f>
        <v>0</v>
      </c>
      <c r="R5">
        <f>'9. T5 KASSABUDGET'!N14</f>
        <v>0</v>
      </c>
      <c r="S5">
        <f>'9. T5 KASSABUDGET'!O14</f>
        <v>0</v>
      </c>
      <c r="T5">
        <f>'9. T5 KASSABUDGET'!P14</f>
        <v>0</v>
      </c>
      <c r="U5">
        <f>'9. T5 KASSABUDGET'!Q14</f>
        <v>0</v>
      </c>
      <c r="V5">
        <f>'9. T5 KASSABUDGET'!R14</f>
        <v>0</v>
      </c>
      <c r="W5">
        <f t="shared" si="1"/>
        <v>0</v>
      </c>
      <c r="Y5" s="1546"/>
    </row>
    <row r="6" spans="1:38" x14ac:dyDescent="0.2">
      <c r="B6" s="165" t="s">
        <v>64</v>
      </c>
      <c r="C6" s="77">
        <f>C4*C5</f>
        <v>0</v>
      </c>
      <c r="D6" s="77">
        <f>D4*D5</f>
        <v>0</v>
      </c>
      <c r="E6" s="77">
        <f>E4*E5</f>
        <v>0</v>
      </c>
      <c r="F6" s="77">
        <f>F4*F5</f>
        <v>0</v>
      </c>
      <c r="I6" s="409" t="s">
        <v>114</v>
      </c>
      <c r="K6">
        <f t="shared" ref="K6:V6" si="2">K5-K5/(1+$J5%)</f>
        <v>0</v>
      </c>
      <c r="L6">
        <f t="shared" si="2"/>
        <v>0</v>
      </c>
      <c r="M6">
        <f t="shared" si="2"/>
        <v>0</v>
      </c>
      <c r="N6">
        <f t="shared" si="2"/>
        <v>0</v>
      </c>
      <c r="O6">
        <f t="shared" si="2"/>
        <v>0</v>
      </c>
      <c r="P6">
        <f t="shared" si="2"/>
        <v>0</v>
      </c>
      <c r="Q6">
        <f t="shared" si="2"/>
        <v>0</v>
      </c>
      <c r="R6">
        <f t="shared" si="2"/>
        <v>0</v>
      </c>
      <c r="S6">
        <f t="shared" si="2"/>
        <v>0</v>
      </c>
      <c r="T6">
        <f t="shared" si="2"/>
        <v>0</v>
      </c>
      <c r="U6">
        <f t="shared" si="2"/>
        <v>0</v>
      </c>
      <c r="V6">
        <f t="shared" si="2"/>
        <v>0</v>
      </c>
      <c r="W6">
        <f t="shared" si="1"/>
        <v>0</v>
      </c>
      <c r="Y6" s="1547"/>
    </row>
    <row r="7" spans="1:38" x14ac:dyDescent="0.2">
      <c r="B7" s="165" t="s">
        <v>79</v>
      </c>
      <c r="C7" s="77">
        <f>C4-C6</f>
        <v>0</v>
      </c>
      <c r="D7" s="77">
        <f>D4-D6</f>
        <v>0</v>
      </c>
      <c r="E7" s="77">
        <f>E4-E6</f>
        <v>0</v>
      </c>
      <c r="F7" s="77">
        <f>F4-F6</f>
        <v>0</v>
      </c>
      <c r="H7" s="21" t="str">
        <f>'9. T5 KASSABUDGET'!B17</f>
        <v>4.</v>
      </c>
      <c r="I7" s="408" t="str">
        <f>'9. T5 KASSABUDGET'!C17</f>
        <v xml:space="preserve"> Extraordinära intäkter, försäljning av egendom</v>
      </c>
      <c r="J7">
        <f>'9. T5 KASSABUDGET'!F17</f>
        <v>25.5</v>
      </c>
      <c r="K7">
        <f>'9. T5 KASSABUDGET'!G17</f>
        <v>0</v>
      </c>
      <c r="L7">
        <f>'9. T5 KASSABUDGET'!H17</f>
        <v>0</v>
      </c>
      <c r="M7">
        <f>'9. T5 KASSABUDGET'!I17</f>
        <v>0</v>
      </c>
      <c r="N7">
        <f>'9. T5 KASSABUDGET'!J17</f>
        <v>0</v>
      </c>
      <c r="O7">
        <f>'9. T5 KASSABUDGET'!K17</f>
        <v>0</v>
      </c>
      <c r="P7">
        <f>'9. T5 KASSABUDGET'!L17</f>
        <v>0</v>
      </c>
      <c r="Q7">
        <f>'9. T5 KASSABUDGET'!M17</f>
        <v>0</v>
      </c>
      <c r="R7">
        <f>'9. T5 KASSABUDGET'!N17</f>
        <v>0</v>
      </c>
      <c r="S7">
        <f>'9. T5 KASSABUDGET'!O17</f>
        <v>0</v>
      </c>
      <c r="T7">
        <f>'9. T5 KASSABUDGET'!P17</f>
        <v>0</v>
      </c>
      <c r="U7">
        <f>'9. T5 KASSABUDGET'!Q17</f>
        <v>0</v>
      </c>
      <c r="V7">
        <f>'9. T5 KASSABUDGET'!R17</f>
        <v>0</v>
      </c>
      <c r="W7">
        <f t="shared" si="1"/>
        <v>0</v>
      </c>
      <c r="Y7" s="1546"/>
    </row>
    <row r="8" spans="1:38" x14ac:dyDescent="0.2">
      <c r="A8" s="4" t="str">
        <f>'1. T1 INVESTERINGSP.'!B20</f>
        <v>2.</v>
      </c>
      <c r="B8" s="165" t="str">
        <f>'1. T1 INVESTERINGSP.'!C20</f>
        <v xml:space="preserve"> Byggnader och konstruktioner inkl. moms </v>
      </c>
      <c r="C8" s="165">
        <f>'1. T1 INVESTERINGSP.'!D20</f>
        <v>0</v>
      </c>
      <c r="D8" s="165">
        <f>'1. T1 INVESTERINGSP.'!E20</f>
        <v>0</v>
      </c>
      <c r="E8" s="165">
        <f>'1. T1 INVESTERINGSP.'!F20</f>
        <v>0</v>
      </c>
      <c r="F8" s="165">
        <f>'1. T1 INVESTERINGSP.'!G20</f>
        <v>0</v>
      </c>
      <c r="G8" s="4"/>
      <c r="H8" s="32"/>
      <c r="I8" s="409" t="s">
        <v>114</v>
      </c>
      <c r="K8">
        <f t="shared" ref="K8:V8" si="3">K7-K7/(1+$J7%)</f>
        <v>0</v>
      </c>
      <c r="L8">
        <f t="shared" si="3"/>
        <v>0</v>
      </c>
      <c r="M8">
        <f t="shared" si="3"/>
        <v>0</v>
      </c>
      <c r="N8">
        <f t="shared" si="3"/>
        <v>0</v>
      </c>
      <c r="O8">
        <f t="shared" si="3"/>
        <v>0</v>
      </c>
      <c r="P8">
        <f t="shared" si="3"/>
        <v>0</v>
      </c>
      <c r="Q8">
        <f t="shared" si="3"/>
        <v>0</v>
      </c>
      <c r="R8">
        <f t="shared" si="3"/>
        <v>0</v>
      </c>
      <c r="S8">
        <f t="shared" si="3"/>
        <v>0</v>
      </c>
      <c r="T8">
        <f t="shared" si="3"/>
        <v>0</v>
      </c>
      <c r="U8">
        <f t="shared" si="3"/>
        <v>0</v>
      </c>
      <c r="V8">
        <f t="shared" si="3"/>
        <v>0</v>
      </c>
      <c r="W8">
        <f t="shared" si="1"/>
        <v>0</v>
      </c>
      <c r="Y8" s="1547"/>
    </row>
    <row r="9" spans="1:38" x14ac:dyDescent="0.2">
      <c r="A9" s="4"/>
      <c r="B9" s="165" t="str">
        <f>'1. T1 INVESTERINGSP.'!C22</f>
        <v xml:space="preserve"> - moms-%</v>
      </c>
      <c r="C9" s="166">
        <f>'1. T1 INVESTERINGSP.'!D22</f>
        <v>0.255</v>
      </c>
      <c r="D9" s="166">
        <f>'1. T1 INVESTERINGSP.'!E22</f>
        <v>0.255</v>
      </c>
      <c r="E9" s="166">
        <f>'1. T1 INVESTERINGSP.'!F22</f>
        <v>0.255</v>
      </c>
      <c r="F9" s="166">
        <f>'1. T1 INVESTERINGSP.'!G22</f>
        <v>0.255</v>
      </c>
      <c r="G9" s="405"/>
      <c r="H9" s="32"/>
      <c r="I9" s="410" t="s">
        <v>115</v>
      </c>
      <c r="J9" s="411"/>
      <c r="K9" s="411">
        <f>K4+K6+K8</f>
        <v>0</v>
      </c>
      <c r="L9" s="411">
        <f t="shared" ref="L9:V9" si="4">L4+L6+L8</f>
        <v>0</v>
      </c>
      <c r="M9" s="411">
        <f t="shared" si="4"/>
        <v>0</v>
      </c>
      <c r="N9" s="411">
        <f t="shared" si="4"/>
        <v>0</v>
      </c>
      <c r="O9" s="411">
        <f t="shared" si="4"/>
        <v>0</v>
      </c>
      <c r="P9" s="411">
        <f t="shared" si="4"/>
        <v>0</v>
      </c>
      <c r="Q9" s="411">
        <f t="shared" si="4"/>
        <v>0</v>
      </c>
      <c r="R9" s="411">
        <f t="shared" si="4"/>
        <v>0</v>
      </c>
      <c r="S9" s="411">
        <f t="shared" si="4"/>
        <v>0</v>
      </c>
      <c r="T9" s="411">
        <f t="shared" si="4"/>
        <v>0</v>
      </c>
      <c r="U9" s="411">
        <f t="shared" si="4"/>
        <v>0</v>
      </c>
      <c r="V9" s="411">
        <f t="shared" si="4"/>
        <v>0</v>
      </c>
      <c r="W9">
        <f t="shared" si="1"/>
        <v>0</v>
      </c>
      <c r="Y9" s="1548"/>
      <c r="Z9" s="411"/>
      <c r="AA9" s="411"/>
      <c r="AB9" s="411"/>
      <c r="AC9" s="411"/>
      <c r="AD9" s="411"/>
      <c r="AE9" s="411"/>
      <c r="AF9" s="411"/>
      <c r="AG9" s="411"/>
      <c r="AH9" s="411"/>
      <c r="AI9" s="411"/>
      <c r="AJ9" s="411"/>
      <c r="AK9" s="411"/>
      <c r="AL9" s="411"/>
    </row>
    <row r="10" spans="1:38" x14ac:dyDescent="0.2">
      <c r="A10" s="4"/>
      <c r="B10" s="165" t="s">
        <v>63</v>
      </c>
      <c r="C10" s="167">
        <f>C8/(1+C9)</f>
        <v>0</v>
      </c>
      <c r="D10" s="167">
        <f>D8/(1+D9)</f>
        <v>0</v>
      </c>
      <c r="E10" s="167">
        <f>E8/(1+E9)</f>
        <v>0</v>
      </c>
      <c r="F10" s="167">
        <f>F8/(1+F9)</f>
        <v>0</v>
      </c>
      <c r="G10" s="406"/>
      <c r="H10" s="271" t="str">
        <f>'9. T5 KASSABUDGET'!B22</f>
        <v>6.</v>
      </c>
      <c r="I10" s="32" t="str">
        <f>'9. T5 KASSABUDGET'!C22</f>
        <v xml:space="preserve"> Materialbruk och varor</v>
      </c>
      <c r="J10">
        <f>'9. T5 KASSABUDGET'!F22</f>
        <v>25.5</v>
      </c>
      <c r="K10">
        <f>'9. T5 KASSABUDGET'!G22</f>
        <v>0</v>
      </c>
      <c r="L10">
        <f>'9. T5 KASSABUDGET'!H22</f>
        <v>0</v>
      </c>
      <c r="M10">
        <f>'9. T5 KASSABUDGET'!I22</f>
        <v>0</v>
      </c>
      <c r="N10">
        <f>'9. T5 KASSABUDGET'!J22</f>
        <v>0</v>
      </c>
      <c r="O10">
        <f>'9. T5 KASSABUDGET'!K22</f>
        <v>0</v>
      </c>
      <c r="P10">
        <f>'9. T5 KASSABUDGET'!L22</f>
        <v>0</v>
      </c>
      <c r="Q10">
        <f>'9. T5 KASSABUDGET'!M22</f>
        <v>0</v>
      </c>
      <c r="R10">
        <f>'9. T5 KASSABUDGET'!N22</f>
        <v>0</v>
      </c>
      <c r="S10">
        <f>'9. T5 KASSABUDGET'!O22</f>
        <v>0</v>
      </c>
      <c r="T10">
        <f>'9. T5 KASSABUDGET'!P22</f>
        <v>0</v>
      </c>
      <c r="U10">
        <f>'9. T5 KASSABUDGET'!Q22</f>
        <v>0</v>
      </c>
      <c r="V10">
        <f>'9. T5 KASSABUDGET'!R22</f>
        <v>0</v>
      </c>
      <c r="W10">
        <f t="shared" si="1"/>
        <v>0</v>
      </c>
      <c r="Y10" s="1543"/>
    </row>
    <row r="11" spans="1:38" x14ac:dyDescent="0.2">
      <c r="A11" s="4" t="s">
        <v>0</v>
      </c>
      <c r="B11" s="165" t="s">
        <v>62</v>
      </c>
      <c r="C11" s="167">
        <f>C8-C10</f>
        <v>0</v>
      </c>
      <c r="D11" s="167">
        <f>D8-D10</f>
        <v>0</v>
      </c>
      <c r="E11" s="167">
        <f>E8-E10</f>
        <v>0</v>
      </c>
      <c r="F11" s="167">
        <f>F8-F10</f>
        <v>0</v>
      </c>
      <c r="G11" s="406"/>
      <c r="H11" s="6"/>
      <c r="I11" s="409" t="s">
        <v>114</v>
      </c>
      <c r="K11">
        <f t="shared" ref="K11:V11" si="5">K10-K10/(1+$J10%)</f>
        <v>0</v>
      </c>
      <c r="L11">
        <f t="shared" si="5"/>
        <v>0</v>
      </c>
      <c r="M11">
        <f t="shared" si="5"/>
        <v>0</v>
      </c>
      <c r="N11">
        <f t="shared" si="5"/>
        <v>0</v>
      </c>
      <c r="O11">
        <f t="shared" si="5"/>
        <v>0</v>
      </c>
      <c r="P11">
        <f t="shared" si="5"/>
        <v>0</v>
      </c>
      <c r="Q11">
        <f t="shared" si="5"/>
        <v>0</v>
      </c>
      <c r="R11">
        <f t="shared" si="5"/>
        <v>0</v>
      </c>
      <c r="S11">
        <f t="shared" si="5"/>
        <v>0</v>
      </c>
      <c r="T11">
        <f t="shared" si="5"/>
        <v>0</v>
      </c>
      <c r="U11">
        <f t="shared" si="5"/>
        <v>0</v>
      </c>
      <c r="V11">
        <f t="shared" si="5"/>
        <v>0</v>
      </c>
      <c r="W11">
        <f t="shared" si="1"/>
        <v>0</v>
      </c>
      <c r="Y11" s="1547"/>
    </row>
    <row r="12" spans="1:38" x14ac:dyDescent="0.2">
      <c r="A12" s="4"/>
      <c r="B12" s="165" t="str">
        <f>'1. T1 INVESTERINGSP.'!C23</f>
        <v xml:space="preserve"> - bidrags-%</v>
      </c>
      <c r="C12" s="166">
        <f>'1. T1 INVESTERINGSP.'!D23</f>
        <v>0</v>
      </c>
      <c r="D12" s="166">
        <f>'1. T1 INVESTERINGSP.'!E23</f>
        <v>0</v>
      </c>
      <c r="E12" s="166">
        <f>'1. T1 INVESTERINGSP.'!F23</f>
        <v>0</v>
      </c>
      <c r="F12" s="166">
        <f>'1. T1 INVESTERINGSP.'!G23</f>
        <v>0</v>
      </c>
      <c r="G12" s="405"/>
      <c r="H12" s="271" t="str">
        <f>'9. T5 KASSABUDGET'!B24</f>
        <v>7.</v>
      </c>
      <c r="I12" s="32"/>
      <c r="W12">
        <f t="shared" si="1"/>
        <v>0</v>
      </c>
      <c r="Y12" s="1543"/>
    </row>
    <row r="13" spans="1:38" x14ac:dyDescent="0.2">
      <c r="A13" s="4"/>
      <c r="B13" s="165" t="s">
        <v>64</v>
      </c>
      <c r="C13" s="167">
        <f>C10*C12</f>
        <v>0</v>
      </c>
      <c r="D13" s="167">
        <f>D10*D12</f>
        <v>0</v>
      </c>
      <c r="E13" s="167">
        <f>E10*E12</f>
        <v>0</v>
      </c>
      <c r="F13" s="167">
        <f>F10*F12</f>
        <v>0</v>
      </c>
      <c r="G13" s="406"/>
      <c r="H13" s="6"/>
      <c r="I13" s="409"/>
      <c r="W13">
        <f t="shared" si="1"/>
        <v>0</v>
      </c>
      <c r="Y13" s="1547"/>
    </row>
    <row r="14" spans="1:38" x14ac:dyDescent="0.2">
      <c r="B14" s="165" t="s">
        <v>79</v>
      </c>
      <c r="C14" s="187">
        <f>C10-C13</f>
        <v>0</v>
      </c>
      <c r="D14" s="187">
        <f>D10-D13</f>
        <v>0</v>
      </c>
      <c r="E14" s="187">
        <f>E10-E13</f>
        <v>0</v>
      </c>
      <c r="F14" s="187">
        <f>F10-F13</f>
        <v>0</v>
      </c>
      <c r="G14" s="32"/>
      <c r="H14" s="271" t="str">
        <f>'9. T5 KASSABUDGET'!B25</f>
        <v>7.</v>
      </c>
      <c r="I14" s="32" t="str">
        <f>'9. T5 KASSABUDGET'!C25</f>
        <v xml:space="preserve"> Köpta tjänster</v>
      </c>
      <c r="J14">
        <f>'9. T5 KASSABUDGET'!F25</f>
        <v>25.5</v>
      </c>
      <c r="K14">
        <f>'9. T5 KASSABUDGET'!G25</f>
        <v>0</v>
      </c>
      <c r="L14">
        <f>'9. T5 KASSABUDGET'!H25</f>
        <v>0</v>
      </c>
      <c r="M14">
        <f>'9. T5 KASSABUDGET'!I25</f>
        <v>0</v>
      </c>
      <c r="N14">
        <f>'9. T5 KASSABUDGET'!J25</f>
        <v>0</v>
      </c>
      <c r="O14">
        <f>'9. T5 KASSABUDGET'!K25</f>
        <v>0</v>
      </c>
      <c r="P14">
        <f>'9. T5 KASSABUDGET'!L25</f>
        <v>0</v>
      </c>
      <c r="Q14">
        <f>'9. T5 KASSABUDGET'!M25</f>
        <v>0</v>
      </c>
      <c r="R14">
        <f>'9. T5 KASSABUDGET'!N25</f>
        <v>0</v>
      </c>
      <c r="S14">
        <f>'9. T5 KASSABUDGET'!O25</f>
        <v>0</v>
      </c>
      <c r="T14">
        <f>'9. T5 KASSABUDGET'!P25</f>
        <v>0</v>
      </c>
      <c r="U14">
        <f>'9. T5 KASSABUDGET'!Q25</f>
        <v>0</v>
      </c>
      <c r="V14">
        <f>'9. T5 KASSABUDGET'!R25</f>
        <v>0</v>
      </c>
      <c r="W14">
        <f t="shared" si="1"/>
        <v>0</v>
      </c>
      <c r="Y14" s="1543"/>
    </row>
    <row r="15" spans="1:38" x14ac:dyDescent="0.2">
      <c r="A15" s="4" t="str">
        <f>'1. T1 INVESTERINGSP.'!B24</f>
        <v>3.</v>
      </c>
      <c r="B15" s="165" t="str">
        <f>'1. T1 INVESTERINGSP.'!C24</f>
        <v>Byggnader och konstruktioner moms 0 %</v>
      </c>
      <c r="C15" s="165">
        <f>'1. T1 INVESTERINGSP.'!D24</f>
        <v>0</v>
      </c>
      <c r="D15" s="165">
        <f>'1. T1 INVESTERINGSP.'!E24</f>
        <v>0</v>
      </c>
      <c r="E15" s="165">
        <f>'1. T1 INVESTERINGSP.'!F24</f>
        <v>0</v>
      </c>
      <c r="F15" s="165">
        <f>'1. T1 INVESTERINGSP.'!G24</f>
        <v>0</v>
      </c>
      <c r="G15" s="4"/>
      <c r="H15" s="6"/>
      <c r="I15" s="409" t="s">
        <v>114</v>
      </c>
      <c r="K15">
        <f t="shared" ref="K15:V15" si="6">K14-K14/(1+$J14%)</f>
        <v>0</v>
      </c>
      <c r="L15">
        <f t="shared" si="6"/>
        <v>0</v>
      </c>
      <c r="M15">
        <f t="shared" si="6"/>
        <v>0</v>
      </c>
      <c r="N15">
        <f t="shared" si="6"/>
        <v>0</v>
      </c>
      <c r="O15">
        <f t="shared" si="6"/>
        <v>0</v>
      </c>
      <c r="P15">
        <f t="shared" si="6"/>
        <v>0</v>
      </c>
      <c r="Q15">
        <f t="shared" si="6"/>
        <v>0</v>
      </c>
      <c r="R15">
        <f t="shared" si="6"/>
        <v>0</v>
      </c>
      <c r="S15">
        <f t="shared" si="6"/>
        <v>0</v>
      </c>
      <c r="T15">
        <f t="shared" si="6"/>
        <v>0</v>
      </c>
      <c r="U15">
        <f t="shared" si="6"/>
        <v>0</v>
      </c>
      <c r="V15">
        <f t="shared" si="6"/>
        <v>0</v>
      </c>
      <c r="W15">
        <f t="shared" si="1"/>
        <v>0</v>
      </c>
      <c r="Y15" s="1547"/>
    </row>
    <row r="16" spans="1:38" x14ac:dyDescent="0.2">
      <c r="A16" s="4"/>
      <c r="B16" s="165" t="s">
        <v>61</v>
      </c>
      <c r="C16" s="166">
        <f>'1. T1 INVESTERINGSP.'!D26</f>
        <v>0</v>
      </c>
      <c r="D16" s="166">
        <f>'1. T1 INVESTERINGSP.'!E26</f>
        <v>0</v>
      </c>
      <c r="E16" s="166">
        <f>'1. T1 INVESTERINGSP.'!F26</f>
        <v>0</v>
      </c>
      <c r="F16" s="166">
        <f>'1. T1 INVESTERINGSP.'!G26</f>
        <v>0</v>
      </c>
      <c r="G16" s="405"/>
      <c r="H16" s="271" t="str">
        <f>'9. T5 KASSABUDGET'!B26</f>
        <v>8.</v>
      </c>
      <c r="I16" s="32" t="str">
        <f>'9. T5 KASSABUDGET'!C26</f>
        <v xml:space="preserve"> Investeringar inkl. Moms</v>
      </c>
      <c r="J16">
        <f>'9. T5 KASSABUDGET'!F26</f>
        <v>25.5</v>
      </c>
      <c r="K16">
        <f>'9. T5 KASSABUDGET'!G26</f>
        <v>0</v>
      </c>
      <c r="L16">
        <f>'9. T5 KASSABUDGET'!H26</f>
        <v>0</v>
      </c>
      <c r="M16">
        <f>'9. T5 KASSABUDGET'!I26</f>
        <v>0</v>
      </c>
      <c r="N16">
        <f>'9. T5 KASSABUDGET'!J26</f>
        <v>0</v>
      </c>
      <c r="O16">
        <f>'9. T5 KASSABUDGET'!K26</f>
        <v>0</v>
      </c>
      <c r="P16">
        <f>'9. T5 KASSABUDGET'!L26</f>
        <v>0</v>
      </c>
      <c r="Q16">
        <f>'9. T5 KASSABUDGET'!M26</f>
        <v>0</v>
      </c>
      <c r="R16">
        <f>'9. T5 KASSABUDGET'!N26</f>
        <v>0</v>
      </c>
      <c r="S16">
        <f>'9. T5 KASSABUDGET'!O26</f>
        <v>0</v>
      </c>
      <c r="T16">
        <f>'9. T5 KASSABUDGET'!P26</f>
        <v>0</v>
      </c>
      <c r="U16">
        <f>'9. T5 KASSABUDGET'!Q26</f>
        <v>0</v>
      </c>
      <c r="V16">
        <f>'9. T5 KASSABUDGET'!R26</f>
        <v>0</v>
      </c>
      <c r="W16">
        <f t="shared" si="1"/>
        <v>0</v>
      </c>
      <c r="Y16" s="1543"/>
    </row>
    <row r="17" spans="1:38" x14ac:dyDescent="0.2">
      <c r="A17" s="4"/>
      <c r="B17" s="165" t="s">
        <v>64</v>
      </c>
      <c r="C17" s="77">
        <f>C16*C15</f>
        <v>0</v>
      </c>
      <c r="D17" s="77">
        <f>D16*D15</f>
        <v>0</v>
      </c>
      <c r="E17" s="77">
        <f>E16*E15</f>
        <v>0</v>
      </c>
      <c r="F17" s="77">
        <f>F16*F15</f>
        <v>0</v>
      </c>
      <c r="H17" s="6"/>
      <c r="I17" s="409" t="s">
        <v>114</v>
      </c>
      <c r="K17">
        <f t="shared" ref="K17:V17" si="7">K16-K16/(1+$J16%)</f>
        <v>0</v>
      </c>
      <c r="L17">
        <f t="shared" si="7"/>
        <v>0</v>
      </c>
      <c r="M17">
        <f t="shared" si="7"/>
        <v>0</v>
      </c>
      <c r="N17">
        <f t="shared" si="7"/>
        <v>0</v>
      </c>
      <c r="O17">
        <f t="shared" si="7"/>
        <v>0</v>
      </c>
      <c r="P17">
        <f t="shared" si="7"/>
        <v>0</v>
      </c>
      <c r="Q17">
        <f t="shared" si="7"/>
        <v>0</v>
      </c>
      <c r="R17">
        <f t="shared" si="7"/>
        <v>0</v>
      </c>
      <c r="S17">
        <f t="shared" si="7"/>
        <v>0</v>
      </c>
      <c r="T17">
        <f t="shared" si="7"/>
        <v>0</v>
      </c>
      <c r="U17">
        <f t="shared" si="7"/>
        <v>0</v>
      </c>
      <c r="V17">
        <f t="shared" si="7"/>
        <v>0</v>
      </c>
      <c r="W17">
        <f t="shared" si="1"/>
        <v>0</v>
      </c>
      <c r="Y17" s="1547"/>
    </row>
    <row r="18" spans="1:38" x14ac:dyDescent="0.2">
      <c r="B18" s="165" t="s">
        <v>162</v>
      </c>
      <c r="C18" s="77">
        <f>C15-C17</f>
        <v>0</v>
      </c>
      <c r="D18" s="77">
        <f>D15-D17</f>
        <v>0</v>
      </c>
      <c r="E18" s="77">
        <f>E15-E17</f>
        <v>0</v>
      </c>
      <c r="F18" s="77">
        <f>F15-F17</f>
        <v>0</v>
      </c>
      <c r="H18" s="271" t="str">
        <f>'9. T5 KASSABUDGET'!B27</f>
        <v>9.</v>
      </c>
      <c r="I18" s="32" t="str">
        <f>'9. T5 KASSABUDGET'!C27</f>
        <v xml:space="preserve"> Lokalhyror inklusive Moms</v>
      </c>
      <c r="J18">
        <f>'9. T5 KASSABUDGET'!F27</f>
        <v>25.5</v>
      </c>
      <c r="K18">
        <f>'9. T5 KASSABUDGET'!G27</f>
        <v>0</v>
      </c>
      <c r="L18">
        <f>'9. T5 KASSABUDGET'!H27</f>
        <v>0</v>
      </c>
      <c r="M18">
        <f>'9. T5 KASSABUDGET'!I27</f>
        <v>0</v>
      </c>
      <c r="N18">
        <f>'9. T5 KASSABUDGET'!J27</f>
        <v>0</v>
      </c>
      <c r="O18">
        <f>'9. T5 KASSABUDGET'!K27</f>
        <v>0</v>
      </c>
      <c r="P18">
        <f>'9. T5 KASSABUDGET'!L27</f>
        <v>0</v>
      </c>
      <c r="Q18">
        <f>'9. T5 KASSABUDGET'!M27</f>
        <v>0</v>
      </c>
      <c r="R18">
        <f>'9. T5 KASSABUDGET'!N27</f>
        <v>0</v>
      </c>
      <c r="S18">
        <f>'9. T5 KASSABUDGET'!O27</f>
        <v>0</v>
      </c>
      <c r="T18">
        <f>'9. T5 KASSABUDGET'!P27</f>
        <v>0</v>
      </c>
      <c r="U18">
        <f>'9. T5 KASSABUDGET'!Q27</f>
        <v>0</v>
      </c>
      <c r="V18">
        <f>'9. T5 KASSABUDGET'!R27</f>
        <v>0</v>
      </c>
      <c r="W18">
        <f t="shared" si="1"/>
        <v>0</v>
      </c>
      <c r="Y18" s="1543"/>
    </row>
    <row r="19" spans="1:38" x14ac:dyDescent="0.2">
      <c r="A19" s="4" t="str">
        <f>'1. T1 INVESTERINGSP.'!B27</f>
        <v>4.</v>
      </c>
      <c r="B19" s="165" t="str">
        <f>'1. T1 INVESTERINGSP.'!C27</f>
        <v>Maskiner och anläggningar inkl. moms</v>
      </c>
      <c r="C19" s="165">
        <f>'1. T1 INVESTERINGSP.'!D27</f>
        <v>0</v>
      </c>
      <c r="D19" s="165">
        <f>'1. T1 INVESTERINGSP.'!E27</f>
        <v>0</v>
      </c>
      <c r="E19" s="165">
        <f>'1. T1 INVESTERINGSP.'!F27</f>
        <v>0</v>
      </c>
      <c r="F19" s="165">
        <f>'1. T1 INVESTERINGSP.'!G27</f>
        <v>0</v>
      </c>
      <c r="G19" s="4"/>
      <c r="H19" s="6"/>
      <c r="I19" s="409" t="s">
        <v>114</v>
      </c>
      <c r="K19">
        <f t="shared" ref="K19:V19" si="8">K18-K18/(1+$J18%)</f>
        <v>0</v>
      </c>
      <c r="L19">
        <f t="shared" si="8"/>
        <v>0</v>
      </c>
      <c r="M19">
        <f t="shared" si="8"/>
        <v>0</v>
      </c>
      <c r="N19">
        <f t="shared" si="8"/>
        <v>0</v>
      </c>
      <c r="O19">
        <f t="shared" si="8"/>
        <v>0</v>
      </c>
      <c r="P19">
        <f t="shared" si="8"/>
        <v>0</v>
      </c>
      <c r="Q19">
        <f t="shared" si="8"/>
        <v>0</v>
      </c>
      <c r="R19">
        <f t="shared" si="8"/>
        <v>0</v>
      </c>
      <c r="S19">
        <f t="shared" si="8"/>
        <v>0</v>
      </c>
      <c r="T19">
        <f t="shared" si="8"/>
        <v>0</v>
      </c>
      <c r="U19">
        <f t="shared" si="8"/>
        <v>0</v>
      </c>
      <c r="V19">
        <f t="shared" si="8"/>
        <v>0</v>
      </c>
      <c r="W19">
        <f t="shared" si="1"/>
        <v>0</v>
      </c>
      <c r="Y19" s="1547"/>
    </row>
    <row r="20" spans="1:38" x14ac:dyDescent="0.2">
      <c r="A20" s="4"/>
      <c r="B20" s="165" t="s">
        <v>156</v>
      </c>
      <c r="C20" s="497">
        <f>'1. T1 INVESTERINGSP.'!D58</f>
        <v>0</v>
      </c>
      <c r="D20" s="497">
        <f>'1. T1 INVESTERINGSP.'!E58</f>
        <v>0</v>
      </c>
      <c r="E20" s="497">
        <f>'1. T1 INVESTERINGSP.'!F58</f>
        <v>0</v>
      </c>
      <c r="F20" s="497">
        <f>'1. T1 INVESTERINGSP.'!G58</f>
        <v>0</v>
      </c>
      <c r="G20" s="4"/>
      <c r="H20" s="6"/>
      <c r="I20" s="409"/>
      <c r="Y20" s="1547"/>
    </row>
    <row r="21" spans="1:38" x14ac:dyDescent="0.2">
      <c r="A21" s="4" t="s">
        <v>0</v>
      </c>
      <c r="B21" s="165" t="s">
        <v>157</v>
      </c>
      <c r="C21" s="187">
        <f>C19-C20</f>
        <v>0</v>
      </c>
      <c r="D21" s="187">
        <f>D19-D20</f>
        <v>0</v>
      </c>
      <c r="E21" s="187">
        <f>E19-E20</f>
        <v>0</v>
      </c>
      <c r="F21" s="187">
        <f>F19-F20</f>
        <v>0</v>
      </c>
      <c r="G21" s="405"/>
      <c r="H21" s="271" t="str">
        <f>'9. T5 KASSABUDGET'!B28</f>
        <v>10.</v>
      </c>
      <c r="I21" s="32" t="str">
        <f>'9. T5 KASSABUDGET'!C28</f>
        <v xml:space="preserve"> Fordonleasingkostnader, affärsbruk</v>
      </c>
      <c r="J21">
        <f>'9. T5 KASSABUDGET'!F28</f>
        <v>25.5</v>
      </c>
      <c r="K21">
        <f>'9. T5 KASSABUDGET'!G28</f>
        <v>0</v>
      </c>
      <c r="L21">
        <f>'9. T5 KASSABUDGET'!H28</f>
        <v>0</v>
      </c>
      <c r="M21">
        <f>'9. T5 KASSABUDGET'!I28</f>
        <v>0</v>
      </c>
      <c r="N21">
        <f>'9. T5 KASSABUDGET'!J28</f>
        <v>0</v>
      </c>
      <c r="O21">
        <f>'9. T5 KASSABUDGET'!K28</f>
        <v>0</v>
      </c>
      <c r="P21">
        <f>'9. T5 KASSABUDGET'!L28</f>
        <v>0</v>
      </c>
      <c r="Q21">
        <f>'9. T5 KASSABUDGET'!M28</f>
        <v>0</v>
      </c>
      <c r="R21">
        <f>'9. T5 KASSABUDGET'!N28</f>
        <v>0</v>
      </c>
      <c r="S21">
        <f>'9. T5 KASSABUDGET'!O28</f>
        <v>0</v>
      </c>
      <c r="T21">
        <f>'9. T5 KASSABUDGET'!P28</f>
        <v>0</v>
      </c>
      <c r="U21">
        <f>'9. T5 KASSABUDGET'!Q28</f>
        <v>0</v>
      </c>
      <c r="V21">
        <f>'9. T5 KASSABUDGET'!R28</f>
        <v>0</v>
      </c>
      <c r="W21">
        <f t="shared" si="1"/>
        <v>0</v>
      </c>
      <c r="Y21" s="1543"/>
    </row>
    <row r="22" spans="1:38" x14ac:dyDescent="0.2">
      <c r="A22" s="4"/>
      <c r="B22" s="165" t="str">
        <f>'1. T1 INVESTERINGSP.'!C28</f>
        <v xml:space="preserve"> - moms-%</v>
      </c>
      <c r="C22" s="166">
        <f>'1. T1 INVESTERINGSP.'!D28</f>
        <v>0.255</v>
      </c>
      <c r="D22" s="166">
        <f>'1. T1 INVESTERINGSP.'!E28</f>
        <v>0.255</v>
      </c>
      <c r="E22" s="166">
        <f>'1. T1 INVESTERINGSP.'!F28</f>
        <v>0.255</v>
      </c>
      <c r="F22" s="166">
        <f>'1. T1 INVESTERINGSP.'!G28</f>
        <v>0.255</v>
      </c>
      <c r="G22" s="406"/>
      <c r="H22" s="6"/>
      <c r="I22" s="409" t="s">
        <v>114</v>
      </c>
      <c r="K22">
        <f>K21-K21/(1+$J21%)</f>
        <v>0</v>
      </c>
      <c r="L22">
        <f t="shared" ref="L22:V22" si="9">L21-L21/(1+$J21%)</f>
        <v>0</v>
      </c>
      <c r="M22">
        <f t="shared" si="9"/>
        <v>0</v>
      </c>
      <c r="N22">
        <f t="shared" si="9"/>
        <v>0</v>
      </c>
      <c r="O22">
        <f t="shared" si="9"/>
        <v>0</v>
      </c>
      <c r="P22">
        <f t="shared" si="9"/>
        <v>0</v>
      </c>
      <c r="Q22">
        <f t="shared" si="9"/>
        <v>0</v>
      </c>
      <c r="R22">
        <f t="shared" si="9"/>
        <v>0</v>
      </c>
      <c r="S22">
        <f t="shared" si="9"/>
        <v>0</v>
      </c>
      <c r="T22">
        <f t="shared" si="9"/>
        <v>0</v>
      </c>
      <c r="U22">
        <f t="shared" si="9"/>
        <v>0</v>
      </c>
      <c r="V22">
        <f t="shared" si="9"/>
        <v>0</v>
      </c>
      <c r="W22">
        <f t="shared" si="1"/>
        <v>0</v>
      </c>
      <c r="Y22" s="1547"/>
    </row>
    <row r="23" spans="1:38" x14ac:dyDescent="0.2">
      <c r="A23" s="4"/>
      <c r="B23" s="165" t="s">
        <v>158</v>
      </c>
      <c r="C23" s="167">
        <f>C21/(1+C22)</f>
        <v>0</v>
      </c>
      <c r="D23" s="167">
        <f>D21/(1+D22)</f>
        <v>0</v>
      </c>
      <c r="E23" s="167">
        <f>E21/(1+E22)</f>
        <v>0</v>
      </c>
      <c r="F23" s="167">
        <f>F21/(1+F22)</f>
        <v>0</v>
      </c>
      <c r="G23" s="406"/>
      <c r="H23" s="271" t="str">
        <f>'9. T5 KASSABUDGET'!B29</f>
        <v>11.</v>
      </c>
      <c r="I23" s="32" t="str">
        <f>'9. T5 KASSABUDGET'!C29</f>
        <v xml:space="preserve"> Övriga fasta kostnader inkl. Moms</v>
      </c>
      <c r="J23">
        <f>'9. T5 KASSABUDGET'!F29</f>
        <v>0</v>
      </c>
      <c r="K23">
        <f>'9. T5 KASSABUDGET'!G29</f>
        <v>0</v>
      </c>
      <c r="L23">
        <f>'9. T5 KASSABUDGET'!H29</f>
        <v>0</v>
      </c>
      <c r="M23">
        <f>'9. T5 KASSABUDGET'!I29</f>
        <v>0</v>
      </c>
      <c r="N23">
        <f>'9. T5 KASSABUDGET'!J29</f>
        <v>0</v>
      </c>
      <c r="O23">
        <f>'9. T5 KASSABUDGET'!K29</f>
        <v>0</v>
      </c>
      <c r="P23">
        <f>'9. T5 KASSABUDGET'!L29</f>
        <v>0</v>
      </c>
      <c r="Q23">
        <f>'9. T5 KASSABUDGET'!M29</f>
        <v>0</v>
      </c>
      <c r="R23">
        <f>'9. T5 KASSABUDGET'!N29</f>
        <v>0</v>
      </c>
      <c r="S23">
        <f>'9. T5 KASSABUDGET'!O29</f>
        <v>0</v>
      </c>
      <c r="T23">
        <f>'9. T5 KASSABUDGET'!P29</f>
        <v>0</v>
      </c>
      <c r="U23">
        <f>'9. T5 KASSABUDGET'!Q29</f>
        <v>0</v>
      </c>
      <c r="V23">
        <f>'9. T5 KASSABUDGET'!R29</f>
        <v>0</v>
      </c>
      <c r="W23">
        <f t="shared" si="1"/>
        <v>0</v>
      </c>
      <c r="Y23" s="1543"/>
    </row>
    <row r="24" spans="1:38" x14ac:dyDescent="0.2">
      <c r="A24" s="4" t="s">
        <v>0</v>
      </c>
      <c r="B24" s="165" t="s">
        <v>62</v>
      </c>
      <c r="C24" s="167">
        <f>C21-C23</f>
        <v>0</v>
      </c>
      <c r="D24" s="167">
        <f>D21-D23</f>
        <v>0</v>
      </c>
      <c r="E24" s="167">
        <f>E21-E23</f>
        <v>0</v>
      </c>
      <c r="F24" s="167">
        <f>F21-F23</f>
        <v>0</v>
      </c>
      <c r="G24" s="405"/>
      <c r="H24" s="21"/>
      <c r="I24" s="409" t="s">
        <v>114</v>
      </c>
      <c r="K24">
        <f t="shared" ref="K24:V24" si="10">K23-K23/(1+$J23%)</f>
        <v>0</v>
      </c>
      <c r="L24">
        <f t="shared" si="10"/>
        <v>0</v>
      </c>
      <c r="M24">
        <f t="shared" si="10"/>
        <v>0</v>
      </c>
      <c r="N24">
        <f t="shared" si="10"/>
        <v>0</v>
      </c>
      <c r="O24">
        <f t="shared" si="10"/>
        <v>0</v>
      </c>
      <c r="P24">
        <f t="shared" si="10"/>
        <v>0</v>
      </c>
      <c r="Q24">
        <f t="shared" si="10"/>
        <v>0</v>
      </c>
      <c r="R24">
        <f t="shared" si="10"/>
        <v>0</v>
      </c>
      <c r="S24">
        <f t="shared" si="10"/>
        <v>0</v>
      </c>
      <c r="T24">
        <f t="shared" si="10"/>
        <v>0</v>
      </c>
      <c r="U24">
        <f t="shared" si="10"/>
        <v>0</v>
      </c>
      <c r="V24">
        <f t="shared" si="10"/>
        <v>0</v>
      </c>
      <c r="W24">
        <f t="shared" si="1"/>
        <v>0</v>
      </c>
      <c r="Y24" s="1547"/>
    </row>
    <row r="25" spans="1:38" x14ac:dyDescent="0.2">
      <c r="A25" s="4"/>
      <c r="B25" s="165" t="s">
        <v>61</v>
      </c>
      <c r="C25" s="166">
        <f>'1. T1 INVESTERINGSP.'!D29</f>
        <v>0</v>
      </c>
      <c r="D25" s="166">
        <f>'1. T1 INVESTERINGSP.'!E29</f>
        <v>0</v>
      </c>
      <c r="E25" s="166">
        <f>'1. T1 INVESTERINGSP.'!F29</f>
        <v>0</v>
      </c>
      <c r="F25" s="166">
        <f>'1. T1 INVESTERINGSP.'!G29</f>
        <v>0</v>
      </c>
      <c r="G25" s="406"/>
      <c r="H25" s="21"/>
      <c r="I25" s="412" t="s">
        <v>116</v>
      </c>
      <c r="J25" s="411"/>
      <c r="K25" s="411">
        <f>K11+K13+K15+K17+K19+K22+K24</f>
        <v>0</v>
      </c>
      <c r="L25" s="411">
        <f t="shared" ref="L25:V25" si="11">L11+L13+L15+L17+L19+L22+L24</f>
        <v>0</v>
      </c>
      <c r="M25" s="411">
        <f t="shared" si="11"/>
        <v>0</v>
      </c>
      <c r="N25" s="411">
        <f t="shared" si="11"/>
        <v>0</v>
      </c>
      <c r="O25" s="411">
        <f t="shared" si="11"/>
        <v>0</v>
      </c>
      <c r="P25" s="411">
        <f t="shared" si="11"/>
        <v>0</v>
      </c>
      <c r="Q25" s="411">
        <f t="shared" si="11"/>
        <v>0</v>
      </c>
      <c r="R25" s="411">
        <f t="shared" si="11"/>
        <v>0</v>
      </c>
      <c r="S25" s="411">
        <f t="shared" si="11"/>
        <v>0</v>
      </c>
      <c r="T25" s="411">
        <f t="shared" si="11"/>
        <v>0</v>
      </c>
      <c r="U25" s="411">
        <f t="shared" si="11"/>
        <v>0</v>
      </c>
      <c r="V25" s="411">
        <f t="shared" si="11"/>
        <v>0</v>
      </c>
      <c r="W25">
        <f t="shared" si="1"/>
        <v>0</v>
      </c>
      <c r="Y25" s="1549"/>
      <c r="Z25" s="411"/>
      <c r="AA25" s="411"/>
      <c r="AB25" s="411"/>
      <c r="AC25" s="411"/>
      <c r="AD25" s="411"/>
      <c r="AE25" s="411"/>
      <c r="AF25" s="411"/>
      <c r="AG25" s="411"/>
      <c r="AH25" s="411"/>
      <c r="AI25" s="411"/>
      <c r="AJ25" s="411"/>
      <c r="AK25" s="411"/>
      <c r="AL25" s="411"/>
    </row>
    <row r="26" spans="1:38" x14ac:dyDescent="0.2">
      <c r="B26" s="165" t="s">
        <v>64</v>
      </c>
      <c r="C26" s="167">
        <f>C23*C25</f>
        <v>0</v>
      </c>
      <c r="D26" s="167">
        <f>D23*D25</f>
        <v>0</v>
      </c>
      <c r="E26" s="167">
        <f>E23*E25</f>
        <v>0</v>
      </c>
      <c r="F26" s="167">
        <f>F23*F25</f>
        <v>0</v>
      </c>
      <c r="G26" s="32"/>
      <c r="H26" s="21"/>
      <c r="I26" s="1556" t="s">
        <v>117</v>
      </c>
      <c r="K26" s="6">
        <f>K9-K25</f>
        <v>0</v>
      </c>
      <c r="L26" s="6">
        <f t="shared" ref="L26:V26" si="12">L9-L25</f>
        <v>0</v>
      </c>
      <c r="M26" s="6">
        <f t="shared" si="12"/>
        <v>0</v>
      </c>
      <c r="N26" s="6">
        <f t="shared" si="12"/>
        <v>0</v>
      </c>
      <c r="O26" s="6">
        <f t="shared" si="12"/>
        <v>0</v>
      </c>
      <c r="P26" s="6">
        <f t="shared" si="12"/>
        <v>0</v>
      </c>
      <c r="Q26" s="6">
        <f t="shared" si="12"/>
        <v>0</v>
      </c>
      <c r="R26" s="6">
        <f t="shared" si="12"/>
        <v>0</v>
      </c>
      <c r="S26" s="6">
        <f t="shared" si="12"/>
        <v>0</v>
      </c>
      <c r="T26" s="6">
        <f t="shared" si="12"/>
        <v>0</v>
      </c>
      <c r="U26" s="6">
        <f t="shared" si="12"/>
        <v>0</v>
      </c>
      <c r="V26" s="6">
        <f t="shared" si="12"/>
        <v>0</v>
      </c>
      <c r="W26">
        <f t="shared" si="1"/>
        <v>0</v>
      </c>
      <c r="Y26" s="1546"/>
    </row>
    <row r="27" spans="1:38" x14ac:dyDescent="0.2">
      <c r="B27" s="165" t="s">
        <v>79</v>
      </c>
      <c r="C27" s="187">
        <f>C23-C26</f>
        <v>0</v>
      </c>
      <c r="D27" s="187">
        <f>D23-D26</f>
        <v>0</v>
      </c>
      <c r="E27" s="187">
        <f>E23-E26</f>
        <v>0</v>
      </c>
      <c r="F27" s="187">
        <f>F23-F26</f>
        <v>0</v>
      </c>
      <c r="G27" s="4"/>
      <c r="H27" s="21"/>
      <c r="I27" s="16"/>
      <c r="X27" s="21"/>
      <c r="Y27" s="1544"/>
    </row>
    <row r="28" spans="1:38" x14ac:dyDescent="0.2">
      <c r="A28" s="4" t="str">
        <f>'1. T1 INVESTERINGSP.'!B30</f>
        <v>5.</v>
      </c>
      <c r="B28" s="165" t="str">
        <f>'1. T1 INVESTERINGSP.'!C30</f>
        <v xml:space="preserve">Maskiner och anläggningar moms 0 % </v>
      </c>
      <c r="C28" s="165">
        <f>'1. T1 INVESTERINGSP.'!D30</f>
        <v>0</v>
      </c>
      <c r="D28" s="165">
        <f>'1. T1 INVESTERINGSP.'!E30</f>
        <v>0</v>
      </c>
      <c r="E28" s="165">
        <f>'1. T1 INVESTERINGSP.'!F30</f>
        <v>0</v>
      </c>
      <c r="F28" s="165">
        <f>'1. T1 INVESTERINGSP.'!G30</f>
        <v>0</v>
      </c>
      <c r="G28" s="405"/>
      <c r="H28" s="21"/>
      <c r="I28" s="16"/>
      <c r="X28" s="21"/>
      <c r="Y28" s="1544"/>
    </row>
    <row r="29" spans="1:38" x14ac:dyDescent="0.2">
      <c r="A29" s="4"/>
      <c r="B29" s="165" t="s">
        <v>156</v>
      </c>
      <c r="C29" s="497">
        <f>'1. T1 INVESTERINGSP.'!D59</f>
        <v>0</v>
      </c>
      <c r="D29" s="497">
        <f>'1. T1 INVESTERINGSP.'!E59</f>
        <v>0</v>
      </c>
      <c r="E29" s="497">
        <f>'1. T1 INVESTERINGSP.'!F59</f>
        <v>0</v>
      </c>
      <c r="F29" s="497">
        <f>'1. T1 INVESTERINGSP.'!G59</f>
        <v>0</v>
      </c>
      <c r="G29" s="4"/>
      <c r="H29" s="6"/>
      <c r="I29" s="409"/>
      <c r="X29" s="6"/>
      <c r="Y29" s="1547"/>
    </row>
    <row r="30" spans="1:38" x14ac:dyDescent="0.2">
      <c r="A30" s="4" t="s">
        <v>0</v>
      </c>
      <c r="B30" s="165" t="s">
        <v>163</v>
      </c>
      <c r="C30" s="187">
        <f>C28-C29</f>
        <v>0</v>
      </c>
      <c r="D30" s="187">
        <f>D28-D29</f>
        <v>0</v>
      </c>
      <c r="E30" s="187">
        <f>E28-E29</f>
        <v>0</v>
      </c>
      <c r="F30" s="187">
        <f>F28-F29</f>
        <v>0</v>
      </c>
      <c r="G30" s="405"/>
      <c r="H30" s="271"/>
      <c r="I30" s="32" t="str">
        <f>'9. T5 KASSABUDGET'!C39</f>
        <v xml:space="preserve"> Finansieringskostnader</v>
      </c>
      <c r="J30">
        <f>'9. T5 KASSABUDGET'!F39</f>
        <v>0</v>
      </c>
      <c r="K30">
        <f>'9. T5 KASSABUDGET'!G39</f>
        <v>0</v>
      </c>
      <c r="L30">
        <f>'9. T5 KASSABUDGET'!H39</f>
        <v>0</v>
      </c>
      <c r="M30">
        <f>'9. T5 KASSABUDGET'!I39</f>
        <v>0</v>
      </c>
      <c r="N30">
        <f>'9. T5 KASSABUDGET'!J39</f>
        <v>0</v>
      </c>
      <c r="O30">
        <f>'9. T5 KASSABUDGET'!K39</f>
        <v>0</v>
      </c>
      <c r="P30">
        <f>'9. T5 KASSABUDGET'!L39</f>
        <v>0</v>
      </c>
      <c r="Q30">
        <f>'9. T5 KASSABUDGET'!M39</f>
        <v>0</v>
      </c>
      <c r="R30">
        <f>'9. T5 KASSABUDGET'!N39</f>
        <v>0</v>
      </c>
      <c r="S30">
        <f>'9. T5 KASSABUDGET'!O39</f>
        <v>0</v>
      </c>
      <c r="T30">
        <f>'9. T5 KASSABUDGET'!P39</f>
        <v>0</v>
      </c>
      <c r="U30">
        <f>'9. T5 KASSABUDGET'!Q39</f>
        <v>0</v>
      </c>
      <c r="V30">
        <f>'9. T5 KASSABUDGET'!R39</f>
        <v>0</v>
      </c>
      <c r="W30">
        <f t="shared" si="1"/>
        <v>0</v>
      </c>
      <c r="X30" s="271">
        <f>'9. T5 KASSABUDGET'!R39</f>
        <v>0</v>
      </c>
      <c r="Y30" s="1543"/>
    </row>
    <row r="31" spans="1:38" x14ac:dyDescent="0.2">
      <c r="A31" s="4"/>
      <c r="B31" s="165" t="str">
        <f>'1. T1 INVESTERINGSP.'!C31</f>
        <v xml:space="preserve"> - bidrags-%</v>
      </c>
      <c r="C31" s="508">
        <f>'1. T1 INVESTERINGSP.'!D31</f>
        <v>0</v>
      </c>
      <c r="D31" s="508">
        <f>'1. T1 INVESTERINGSP.'!E31</f>
        <v>0</v>
      </c>
      <c r="E31" s="508">
        <f>'1. T1 INVESTERINGSP.'!F31</f>
        <v>0</v>
      </c>
      <c r="F31" s="508">
        <f>'1. T1 INVESTERINGSP.'!G31</f>
        <v>0</v>
      </c>
      <c r="G31" s="166"/>
      <c r="I31" s="16"/>
      <c r="J31" s="16"/>
    </row>
    <row r="32" spans="1:38" x14ac:dyDescent="0.2">
      <c r="A32" s="4"/>
      <c r="B32" s="165" t="s">
        <v>64</v>
      </c>
      <c r="C32" s="77">
        <f>C31*C30</f>
        <v>0</v>
      </c>
      <c r="D32" s="77">
        <f>D31*D30</f>
        <v>0</v>
      </c>
      <c r="E32" s="77">
        <f>E31*E30</f>
        <v>0</v>
      </c>
      <c r="F32" s="77">
        <f>F31*F30</f>
        <v>0</v>
      </c>
      <c r="G32" s="77"/>
      <c r="I32" s="21"/>
      <c r="J32" s="21"/>
      <c r="L32">
        <v>0</v>
      </c>
    </row>
    <row r="33" spans="1:24" x14ac:dyDescent="0.2">
      <c r="B33" s="165" t="s">
        <v>79</v>
      </c>
      <c r="C33" s="187">
        <f>C30-C32</f>
        <v>0</v>
      </c>
      <c r="D33" s="187">
        <f>D30-D32</f>
        <v>0</v>
      </c>
      <c r="E33" s="187">
        <f>E30-E32</f>
        <v>0</v>
      </c>
      <c r="F33" s="187">
        <f>F30-F32</f>
        <v>0</v>
      </c>
      <c r="G33" s="77"/>
      <c r="H33" s="20"/>
      <c r="I33" s="402" t="s">
        <v>113</v>
      </c>
      <c r="J33" s="2" t="s">
        <v>229</v>
      </c>
      <c r="K33" s="1542" t="str">
        <f>'9. T5 KASSABUDGET'!G66</f>
        <v>JAN</v>
      </c>
      <c r="L33" s="1542" t="str">
        <f>'9. T5 KASSABUDGET'!H66</f>
        <v>FEB</v>
      </c>
      <c r="M33" s="1542" t="str">
        <f>'9. T5 KASSABUDGET'!I66</f>
        <v>MARS</v>
      </c>
      <c r="N33" s="1542" t="str">
        <f>'9. T5 KASSABUDGET'!J66</f>
        <v>APRIL</v>
      </c>
      <c r="O33" s="1542" t="str">
        <f>'9. T5 KASSABUDGET'!K66</f>
        <v>MAJ</v>
      </c>
      <c r="P33" s="1542" t="str">
        <f>'9. T5 KASSABUDGET'!L66</f>
        <v>JUNI</v>
      </c>
      <c r="Q33" s="1542" t="str">
        <f>'9. T5 KASSABUDGET'!M66</f>
        <v>JULI</v>
      </c>
      <c r="R33" s="1542" t="str">
        <f>'9. T5 KASSABUDGET'!N66</f>
        <v>AUG</v>
      </c>
      <c r="S33" s="1542" t="str">
        <f>'9. T5 KASSABUDGET'!O66</f>
        <v>SEP</v>
      </c>
      <c r="T33" s="1542" t="str">
        <f>'9. T5 KASSABUDGET'!P66</f>
        <v>OKT</v>
      </c>
      <c r="U33" s="1542" t="str">
        <f>'9. T5 KASSABUDGET'!Q66</f>
        <v>NOV</v>
      </c>
      <c r="V33" s="1542" t="str">
        <f>'9. T5 KASSABUDGET'!R66</f>
        <v>DEC</v>
      </c>
      <c r="W33">
        <f t="shared" si="1"/>
        <v>0</v>
      </c>
    </row>
    <row r="34" spans="1:24" x14ac:dyDescent="0.2">
      <c r="A34" s="4" t="str">
        <f>'1. T1 INVESTERINGSP.'!B32</f>
        <v>6.</v>
      </c>
      <c r="B34" s="165" t="str">
        <f>'1. T1 INVESTERINGSP.'!C32</f>
        <v xml:space="preserve">Övriga materiella nyttigheter </v>
      </c>
      <c r="C34" s="165">
        <f>'1. T1 INVESTERINGSP.'!D32</f>
        <v>0</v>
      </c>
      <c r="D34" s="165">
        <f>'1. T1 INVESTERINGSP.'!E32</f>
        <v>0</v>
      </c>
      <c r="E34" s="165">
        <f>'1. T1 INVESTERINGSP.'!F32</f>
        <v>0</v>
      </c>
      <c r="F34" s="165">
        <f>'1. T1 INVESTERINGSP.'!G32</f>
        <v>0</v>
      </c>
      <c r="G34" s="405"/>
      <c r="H34" s="21"/>
      <c r="I34" s="408" t="s">
        <v>223</v>
      </c>
      <c r="J34">
        <f>'9. T5 KASSABUDGET'!F69</f>
        <v>25.5</v>
      </c>
      <c r="K34" s="32">
        <f>'9. T5 KASSABUDGET'!G69</f>
        <v>0</v>
      </c>
      <c r="L34" s="32">
        <f>'9. T5 KASSABUDGET'!H69</f>
        <v>0</v>
      </c>
      <c r="M34" s="32">
        <f>'9. T5 KASSABUDGET'!I69</f>
        <v>0</v>
      </c>
      <c r="N34" s="32">
        <f>'9. T5 KASSABUDGET'!J69</f>
        <v>0</v>
      </c>
      <c r="O34" s="32">
        <f>'9. T5 KASSABUDGET'!K69</f>
        <v>0</v>
      </c>
      <c r="P34" s="32">
        <f>'9. T5 KASSABUDGET'!L69</f>
        <v>0</v>
      </c>
      <c r="Q34" s="32">
        <f>'9. T5 KASSABUDGET'!M69</f>
        <v>0</v>
      </c>
      <c r="R34" s="32">
        <f>'9. T5 KASSABUDGET'!N69</f>
        <v>0</v>
      </c>
      <c r="S34" s="32">
        <f>'9. T5 KASSABUDGET'!O69</f>
        <v>0</v>
      </c>
      <c r="T34" s="32">
        <f>'9. T5 KASSABUDGET'!P69</f>
        <v>0</v>
      </c>
      <c r="U34" s="32">
        <f>'9. T5 KASSABUDGET'!Q69</f>
        <v>0</v>
      </c>
      <c r="V34" s="32">
        <f>'9. T5 KASSABUDGET'!R69</f>
        <v>0</v>
      </c>
      <c r="W34">
        <f t="shared" si="1"/>
        <v>0</v>
      </c>
    </row>
    <row r="35" spans="1:24" x14ac:dyDescent="0.2">
      <c r="A35" s="4"/>
      <c r="B35" s="165" t="str">
        <f>'1. T1 INVESTERINGSP.'!C33</f>
        <v xml:space="preserve"> - moms-%</v>
      </c>
      <c r="C35" s="166">
        <f>'1. T1 INVESTERINGSP.'!D33</f>
        <v>0.255</v>
      </c>
      <c r="D35" s="166">
        <f>'1. T1 INVESTERINGSP.'!E33</f>
        <v>0.255</v>
      </c>
      <c r="E35" s="166">
        <f>'1. T1 INVESTERINGSP.'!F33</f>
        <v>0.255</v>
      </c>
      <c r="F35" s="166">
        <f>'1. T1 INVESTERINGSP.'!G33</f>
        <v>0.255</v>
      </c>
      <c r="G35" s="406"/>
      <c r="I35" s="409" t="s">
        <v>114</v>
      </c>
      <c r="K35">
        <f t="shared" ref="K35:V35" si="13">K34-K34/(1+$J34%)</f>
        <v>0</v>
      </c>
      <c r="L35">
        <f t="shared" si="13"/>
        <v>0</v>
      </c>
      <c r="M35">
        <f t="shared" si="13"/>
        <v>0</v>
      </c>
      <c r="N35">
        <f t="shared" si="13"/>
        <v>0</v>
      </c>
      <c r="O35">
        <f t="shared" si="13"/>
        <v>0</v>
      </c>
      <c r="P35">
        <f t="shared" si="13"/>
        <v>0</v>
      </c>
      <c r="Q35">
        <f t="shared" si="13"/>
        <v>0</v>
      </c>
      <c r="R35">
        <f t="shared" si="13"/>
        <v>0</v>
      </c>
      <c r="S35">
        <f t="shared" si="13"/>
        <v>0</v>
      </c>
      <c r="T35">
        <f t="shared" si="13"/>
        <v>0</v>
      </c>
      <c r="U35">
        <f t="shared" si="13"/>
        <v>0</v>
      </c>
      <c r="V35">
        <f t="shared" si="13"/>
        <v>0</v>
      </c>
      <c r="W35">
        <f t="shared" si="1"/>
        <v>0</v>
      </c>
    </row>
    <row r="36" spans="1:24" x14ac:dyDescent="0.2">
      <c r="A36" s="4"/>
      <c r="B36" s="165" t="s">
        <v>63</v>
      </c>
      <c r="C36" s="167">
        <f>C34/(1+C35)</f>
        <v>0</v>
      </c>
      <c r="D36" s="167">
        <f>D34/(1+D35)</f>
        <v>0</v>
      </c>
      <c r="E36" s="167">
        <f>E34/(1+E35)</f>
        <v>0</v>
      </c>
      <c r="F36" s="167">
        <f>F34/(1+F35)</f>
        <v>0</v>
      </c>
      <c r="G36" s="406"/>
      <c r="H36" s="21"/>
      <c r="I36" s="408" t="s">
        <v>224</v>
      </c>
      <c r="J36">
        <f>'9. T5 KASSABUDGET'!F71</f>
        <v>25.5</v>
      </c>
      <c r="K36" s="32">
        <f>'9. T5 KASSABUDGET'!G71</f>
        <v>0</v>
      </c>
      <c r="L36" s="32">
        <f>'9. T5 KASSABUDGET'!H71</f>
        <v>0</v>
      </c>
      <c r="M36" s="32">
        <f>'9. T5 KASSABUDGET'!I71</f>
        <v>0</v>
      </c>
      <c r="N36" s="32">
        <f>'9. T5 KASSABUDGET'!J71</f>
        <v>0</v>
      </c>
      <c r="O36" s="32">
        <f>'9. T5 KASSABUDGET'!K71</f>
        <v>0</v>
      </c>
      <c r="P36" s="32">
        <f>'9. T5 KASSABUDGET'!L71</f>
        <v>0</v>
      </c>
      <c r="Q36" s="32">
        <f>'9. T5 KASSABUDGET'!M71</f>
        <v>0</v>
      </c>
      <c r="R36" s="32">
        <f>'9. T5 KASSABUDGET'!N71</f>
        <v>0</v>
      </c>
      <c r="S36" s="32">
        <f>'9. T5 KASSABUDGET'!O71</f>
        <v>0</v>
      </c>
      <c r="T36" s="32">
        <f>'9. T5 KASSABUDGET'!P71</f>
        <v>0</v>
      </c>
      <c r="U36" s="32">
        <f>'9. T5 KASSABUDGET'!Q71</f>
        <v>0</v>
      </c>
      <c r="V36" s="32">
        <f>'9. T5 KASSABUDGET'!R71</f>
        <v>0</v>
      </c>
      <c r="W36">
        <f t="shared" si="1"/>
        <v>0</v>
      </c>
    </row>
    <row r="37" spans="1:24" x14ac:dyDescent="0.2">
      <c r="A37" s="4"/>
      <c r="B37" s="165" t="s">
        <v>62</v>
      </c>
      <c r="C37" s="167">
        <f>C34-C36</f>
        <v>0</v>
      </c>
      <c r="D37" s="167">
        <f>D34-D36</f>
        <v>0</v>
      </c>
      <c r="E37" s="167">
        <f>E34-E36</f>
        <v>0</v>
      </c>
      <c r="F37" s="167">
        <f>F34-F36</f>
        <v>0</v>
      </c>
      <c r="G37" s="405"/>
      <c r="I37" s="409" t="s">
        <v>114</v>
      </c>
      <c r="K37">
        <f t="shared" ref="K37:V37" si="14">K36-K36/(1+$J36%)</f>
        <v>0</v>
      </c>
      <c r="L37">
        <f t="shared" si="14"/>
        <v>0</v>
      </c>
      <c r="M37">
        <f t="shared" si="14"/>
        <v>0</v>
      </c>
      <c r="N37">
        <f t="shared" si="14"/>
        <v>0</v>
      </c>
      <c r="O37">
        <f t="shared" si="14"/>
        <v>0</v>
      </c>
      <c r="P37">
        <f t="shared" si="14"/>
        <v>0</v>
      </c>
      <c r="Q37">
        <f t="shared" si="14"/>
        <v>0</v>
      </c>
      <c r="R37">
        <f t="shared" si="14"/>
        <v>0</v>
      </c>
      <c r="S37">
        <f t="shared" si="14"/>
        <v>0</v>
      </c>
      <c r="T37">
        <f t="shared" si="14"/>
        <v>0</v>
      </c>
      <c r="U37">
        <f t="shared" si="14"/>
        <v>0</v>
      </c>
      <c r="V37">
        <f t="shared" si="14"/>
        <v>0</v>
      </c>
      <c r="W37">
        <f t="shared" si="1"/>
        <v>0</v>
      </c>
    </row>
    <row r="38" spans="1:24" x14ac:dyDescent="0.2">
      <c r="A38" s="4"/>
      <c r="B38" s="165" t="str">
        <f>'1. T1 INVESTERINGSP.'!C34</f>
        <v xml:space="preserve"> - bidrags-%</v>
      </c>
      <c r="C38" s="166">
        <f>'1. T1 INVESTERINGSP.'!D34</f>
        <v>0</v>
      </c>
      <c r="D38" s="166">
        <f>'1. T1 INVESTERINGSP.'!E34</f>
        <v>0</v>
      </c>
      <c r="E38" s="166">
        <f>'1. T1 INVESTERINGSP.'!F34</f>
        <v>0</v>
      </c>
      <c r="F38" s="166">
        <f>'1. T1 INVESTERINGSP.'!G34</f>
        <v>0</v>
      </c>
      <c r="G38" s="406"/>
      <c r="H38" s="21"/>
      <c r="I38" s="408" t="s">
        <v>230</v>
      </c>
      <c r="J38">
        <f>'9. T5 KASSABUDGET'!F74</f>
        <v>25.5</v>
      </c>
      <c r="K38" s="32">
        <f>'9. T5 KASSABUDGET'!G74</f>
        <v>0</v>
      </c>
      <c r="L38" s="32">
        <f>'9. T5 KASSABUDGET'!H74</f>
        <v>0</v>
      </c>
      <c r="M38" s="32">
        <f>'9. T5 KASSABUDGET'!I74</f>
        <v>0</v>
      </c>
      <c r="N38" s="32">
        <f>'9. T5 KASSABUDGET'!J74</f>
        <v>0</v>
      </c>
      <c r="O38" s="32">
        <f>'9. T5 KASSABUDGET'!K74</f>
        <v>0</v>
      </c>
      <c r="P38" s="32">
        <f>'9. T5 KASSABUDGET'!L74</f>
        <v>0</v>
      </c>
      <c r="Q38" s="32">
        <f>'9. T5 KASSABUDGET'!M74</f>
        <v>0</v>
      </c>
      <c r="R38" s="32">
        <f>'9. T5 KASSABUDGET'!N74</f>
        <v>0</v>
      </c>
      <c r="S38" s="32">
        <f>'9. T5 KASSABUDGET'!O74</f>
        <v>0</v>
      </c>
      <c r="T38" s="32">
        <f>'9. T5 KASSABUDGET'!P74</f>
        <v>0</v>
      </c>
      <c r="U38" s="32">
        <f>'9. T5 KASSABUDGET'!Q74</f>
        <v>0</v>
      </c>
      <c r="V38" s="32">
        <f>'9. T5 KASSABUDGET'!R74</f>
        <v>0</v>
      </c>
      <c r="W38">
        <f t="shared" si="1"/>
        <v>0</v>
      </c>
    </row>
    <row r="39" spans="1:24" x14ac:dyDescent="0.2">
      <c r="A39" s="4"/>
      <c r="B39" s="165" t="s">
        <v>64</v>
      </c>
      <c r="C39" s="167">
        <f>C36*C38</f>
        <v>0</v>
      </c>
      <c r="D39" s="167">
        <f>D36*D38</f>
        <v>0</v>
      </c>
      <c r="E39" s="167">
        <f>E36*E38</f>
        <v>0</v>
      </c>
      <c r="F39" s="167">
        <f>F36*F38</f>
        <v>0</v>
      </c>
      <c r="G39" s="32"/>
      <c r="H39" s="32"/>
      <c r="I39" s="409" t="s">
        <v>114</v>
      </c>
      <c r="K39">
        <f t="shared" ref="K39:V39" si="15">K38-K38/(1+$J38%)</f>
        <v>0</v>
      </c>
      <c r="L39">
        <f t="shared" si="15"/>
        <v>0</v>
      </c>
      <c r="M39">
        <f t="shared" si="15"/>
        <v>0</v>
      </c>
      <c r="N39">
        <f t="shared" si="15"/>
        <v>0</v>
      </c>
      <c r="O39">
        <f t="shared" si="15"/>
        <v>0</v>
      </c>
      <c r="P39">
        <f t="shared" si="15"/>
        <v>0</v>
      </c>
      <c r="Q39">
        <f t="shared" si="15"/>
        <v>0</v>
      </c>
      <c r="R39">
        <f t="shared" si="15"/>
        <v>0</v>
      </c>
      <c r="S39">
        <f t="shared" si="15"/>
        <v>0</v>
      </c>
      <c r="T39">
        <f t="shared" si="15"/>
        <v>0</v>
      </c>
      <c r="U39">
        <f t="shared" si="15"/>
        <v>0</v>
      </c>
      <c r="V39">
        <f t="shared" si="15"/>
        <v>0</v>
      </c>
      <c r="W39">
        <f t="shared" si="1"/>
        <v>0</v>
      </c>
    </row>
    <row r="40" spans="1:24" x14ac:dyDescent="0.2">
      <c r="B40" s="165" t="s">
        <v>79</v>
      </c>
      <c r="C40" s="187">
        <f>C36-C39</f>
        <v>0</v>
      </c>
      <c r="D40" s="187">
        <f>D36-D39</f>
        <v>0</v>
      </c>
      <c r="E40" s="187">
        <f>E36-E39</f>
        <v>0</v>
      </c>
      <c r="F40" s="187">
        <f>F36-F39</f>
        <v>0</v>
      </c>
      <c r="G40" s="4"/>
      <c r="H40" s="32"/>
      <c r="I40" s="410" t="s">
        <v>115</v>
      </c>
      <c r="J40" s="411"/>
      <c r="K40" s="411">
        <f t="shared" ref="K40:V40" si="16">K35+K37+K39</f>
        <v>0</v>
      </c>
      <c r="L40" s="411">
        <f t="shared" si="16"/>
        <v>0</v>
      </c>
      <c r="M40" s="411">
        <f t="shared" si="16"/>
        <v>0</v>
      </c>
      <c r="N40" s="411">
        <f t="shared" si="16"/>
        <v>0</v>
      </c>
      <c r="O40" s="411">
        <f t="shared" si="16"/>
        <v>0</v>
      </c>
      <c r="P40" s="411">
        <f t="shared" si="16"/>
        <v>0</v>
      </c>
      <c r="Q40" s="411">
        <f t="shared" si="16"/>
        <v>0</v>
      </c>
      <c r="R40" s="411">
        <f t="shared" si="16"/>
        <v>0</v>
      </c>
      <c r="S40" s="411">
        <f t="shared" si="16"/>
        <v>0</v>
      </c>
      <c r="T40" s="411">
        <f t="shared" si="16"/>
        <v>0</v>
      </c>
      <c r="U40" s="411">
        <f t="shared" si="16"/>
        <v>0</v>
      </c>
      <c r="V40" s="411">
        <f t="shared" si="16"/>
        <v>0</v>
      </c>
      <c r="W40">
        <f t="shared" si="1"/>
        <v>0</v>
      </c>
    </row>
    <row r="41" spans="1:24" x14ac:dyDescent="0.2">
      <c r="A41" s="4" t="str">
        <f>'1. T1 INVESTERINGSP.'!B35</f>
        <v>7.</v>
      </c>
      <c r="B41" s="165" t="str">
        <f>'1. T1 INVESTERINGSP.'!C35</f>
        <v xml:space="preserve">Immateriella nyttigheter </v>
      </c>
      <c r="C41" s="165">
        <f>'1. T1 INVESTERINGSP.'!D35</f>
        <v>0</v>
      </c>
      <c r="D41" s="165">
        <f>'1. T1 INVESTERINGSP.'!E35</f>
        <v>0</v>
      </c>
      <c r="E41" s="165">
        <f>'1. T1 INVESTERINGSP.'!F35</f>
        <v>0</v>
      </c>
      <c r="F41" s="165">
        <f>'1. T1 INVESTERINGSP.'!G35</f>
        <v>0</v>
      </c>
      <c r="G41" s="407"/>
      <c r="H41" s="271"/>
      <c r="I41" s="1550" t="s">
        <v>225</v>
      </c>
      <c r="J41">
        <f>'9. T5 KASSABUDGET'!F79</f>
        <v>25.5</v>
      </c>
      <c r="K41" s="32">
        <f>'9. T5 KASSABUDGET'!G79</f>
        <v>0</v>
      </c>
      <c r="L41" s="32">
        <f>'9. T5 KASSABUDGET'!H79</f>
        <v>0</v>
      </c>
      <c r="M41" s="32">
        <f>'9. T5 KASSABUDGET'!I79</f>
        <v>0</v>
      </c>
      <c r="N41" s="32">
        <f>'9. T5 KASSABUDGET'!J79</f>
        <v>0</v>
      </c>
      <c r="O41" s="32">
        <f>'9. T5 KASSABUDGET'!K79</f>
        <v>0</v>
      </c>
      <c r="P41" s="32">
        <f>'9. T5 KASSABUDGET'!L79</f>
        <v>0</v>
      </c>
      <c r="Q41" s="32">
        <f>'9. T5 KASSABUDGET'!M79</f>
        <v>0</v>
      </c>
      <c r="R41" s="32">
        <f>'9. T5 KASSABUDGET'!N79</f>
        <v>0</v>
      </c>
      <c r="S41" s="32">
        <f>'9. T5 KASSABUDGET'!O79</f>
        <v>0</v>
      </c>
      <c r="T41" s="32">
        <f>'9. T5 KASSABUDGET'!P79</f>
        <v>0</v>
      </c>
      <c r="U41" s="32">
        <f>'9. T5 KASSABUDGET'!Q79</f>
        <v>0</v>
      </c>
      <c r="V41" s="32">
        <f>'9. T5 KASSABUDGET'!R79</f>
        <v>0</v>
      </c>
      <c r="W41">
        <f t="shared" si="1"/>
        <v>0</v>
      </c>
    </row>
    <row r="42" spans="1:24" x14ac:dyDescent="0.2">
      <c r="A42" s="4"/>
      <c r="B42" s="165" t="str">
        <f>'1. T1 INVESTERINGSP.'!C36</f>
        <v xml:space="preserve"> - moms-%</v>
      </c>
      <c r="C42" s="256">
        <f>'1. T1 INVESTERINGSP.'!D36</f>
        <v>0</v>
      </c>
      <c r="D42" s="256">
        <f>'1. T1 INVESTERINGSP.'!E36</f>
        <v>0</v>
      </c>
      <c r="E42" s="256">
        <f>'1. T1 INVESTERINGSP.'!F36</f>
        <v>0</v>
      </c>
      <c r="F42" s="256">
        <f>'1. T1 INVESTERINGSP.'!G36</f>
        <v>0</v>
      </c>
      <c r="G42" s="406"/>
      <c r="H42" s="6"/>
      <c r="I42" s="409" t="s">
        <v>114</v>
      </c>
      <c r="K42">
        <f t="shared" ref="K42:V42" si="17">K41-K41/(1+$J41%)</f>
        <v>0</v>
      </c>
      <c r="L42">
        <f t="shared" si="17"/>
        <v>0</v>
      </c>
      <c r="M42">
        <f t="shared" si="17"/>
        <v>0</v>
      </c>
      <c r="N42">
        <f t="shared" si="17"/>
        <v>0</v>
      </c>
      <c r="O42">
        <f t="shared" si="17"/>
        <v>0</v>
      </c>
      <c r="P42">
        <f t="shared" si="17"/>
        <v>0</v>
      </c>
      <c r="Q42">
        <f t="shared" si="17"/>
        <v>0</v>
      </c>
      <c r="R42">
        <f t="shared" si="17"/>
        <v>0</v>
      </c>
      <c r="S42">
        <f t="shared" si="17"/>
        <v>0</v>
      </c>
      <c r="T42">
        <f t="shared" si="17"/>
        <v>0</v>
      </c>
      <c r="U42">
        <f t="shared" si="17"/>
        <v>0</v>
      </c>
      <c r="V42">
        <f t="shared" si="17"/>
        <v>0</v>
      </c>
      <c r="W42">
        <f t="shared" si="1"/>
        <v>0</v>
      </c>
    </row>
    <row r="43" spans="1:24" x14ac:dyDescent="0.2">
      <c r="A43" s="4"/>
      <c r="B43" s="165" t="s">
        <v>63</v>
      </c>
      <c r="C43" s="167">
        <f>C41/(1+C42)</f>
        <v>0</v>
      </c>
      <c r="D43" s="167">
        <f>D41/(1+D42)</f>
        <v>0</v>
      </c>
      <c r="E43" s="167">
        <f>E41/(1+E42)</f>
        <v>0</v>
      </c>
      <c r="F43" s="167">
        <f>F41/(1+F42)</f>
        <v>0</v>
      </c>
      <c r="G43" s="406"/>
      <c r="H43" s="271"/>
      <c r="I43" s="1553" t="s">
        <v>231</v>
      </c>
      <c r="J43" s="1554"/>
      <c r="K43" s="1554"/>
      <c r="L43" s="1554"/>
      <c r="M43" s="1554"/>
      <c r="N43" s="1554"/>
      <c r="O43" s="1554"/>
      <c r="P43" s="1554"/>
      <c r="Q43" s="1554"/>
      <c r="R43" s="1554"/>
      <c r="S43" s="1554"/>
      <c r="T43" s="1554"/>
      <c r="U43" s="1554"/>
      <c r="V43" s="1554"/>
      <c r="W43">
        <f t="shared" si="1"/>
        <v>0</v>
      </c>
    </row>
    <row r="44" spans="1:24" x14ac:dyDescent="0.2">
      <c r="A44" s="4"/>
      <c r="B44" s="165" t="s">
        <v>62</v>
      </c>
      <c r="C44" s="167">
        <f>C41-C43</f>
        <v>0</v>
      </c>
      <c r="D44" s="167">
        <f>D41-D43</f>
        <v>0</v>
      </c>
      <c r="E44" s="167">
        <f>E41-E43</f>
        <v>0</v>
      </c>
      <c r="F44" s="167">
        <f>F41-F43</f>
        <v>0</v>
      </c>
      <c r="G44" s="405"/>
      <c r="H44" s="6"/>
      <c r="I44" s="1555"/>
      <c r="J44" s="1554"/>
      <c r="K44" s="1554"/>
      <c r="L44" s="1554"/>
      <c r="M44" s="1554"/>
      <c r="N44" s="1554"/>
      <c r="O44" s="1554"/>
      <c r="P44" s="1554"/>
      <c r="Q44" s="1554"/>
      <c r="R44" s="1554"/>
      <c r="S44" s="1554"/>
      <c r="T44" s="1554"/>
      <c r="U44" s="1554"/>
      <c r="V44" s="1554"/>
      <c r="W44">
        <f t="shared" si="1"/>
        <v>0</v>
      </c>
    </row>
    <row r="45" spans="1:24" x14ac:dyDescent="0.2">
      <c r="A45" s="4"/>
      <c r="B45" s="165" t="s">
        <v>61</v>
      </c>
      <c r="C45" s="166">
        <f>'1. T1 INVESTERINGSP.'!D37</f>
        <v>0</v>
      </c>
      <c r="D45" s="166">
        <f>'1. T1 INVESTERINGSP.'!E37</f>
        <v>0</v>
      </c>
      <c r="E45" s="166">
        <f>'1. T1 INVESTERINGSP.'!F37</f>
        <v>0</v>
      </c>
      <c r="F45" s="166">
        <f>'1. T1 INVESTERINGSP.'!G37</f>
        <v>0</v>
      </c>
      <c r="G45" s="406"/>
      <c r="H45" s="271"/>
      <c r="I45" s="1550" t="s">
        <v>226</v>
      </c>
      <c r="J45">
        <f>'9. T5 KASSABUDGET'!F82</f>
        <v>25.5</v>
      </c>
      <c r="K45" s="32">
        <f>'9. T5 KASSABUDGET'!G82</f>
        <v>0</v>
      </c>
      <c r="L45" s="32">
        <f>'9. T5 KASSABUDGET'!H82</f>
        <v>0</v>
      </c>
      <c r="M45" s="32">
        <f>'9. T5 KASSABUDGET'!I82</f>
        <v>0</v>
      </c>
      <c r="N45" s="32">
        <f>'9. T5 KASSABUDGET'!J82</f>
        <v>0</v>
      </c>
      <c r="O45" s="32">
        <f>'9. T5 KASSABUDGET'!K82</f>
        <v>0</v>
      </c>
      <c r="P45" s="32">
        <f>'9. T5 KASSABUDGET'!L82</f>
        <v>0</v>
      </c>
      <c r="Q45" s="32">
        <f>'9. T5 KASSABUDGET'!M82</f>
        <v>0</v>
      </c>
      <c r="R45" s="32">
        <f>'9. T5 KASSABUDGET'!N82</f>
        <v>0</v>
      </c>
      <c r="S45" s="32">
        <f>'9. T5 KASSABUDGET'!O82</f>
        <v>0</v>
      </c>
      <c r="T45" s="32">
        <f>'9. T5 KASSABUDGET'!P82</f>
        <v>0</v>
      </c>
      <c r="U45" s="32">
        <f>'9. T5 KASSABUDGET'!Q82</f>
        <v>0</v>
      </c>
      <c r="V45" s="32">
        <f>'9. T5 KASSABUDGET'!R82</f>
        <v>0</v>
      </c>
      <c r="W45">
        <f t="shared" si="1"/>
        <v>0</v>
      </c>
    </row>
    <row r="46" spans="1:24" x14ac:dyDescent="0.2">
      <c r="B46" s="165" t="s">
        <v>64</v>
      </c>
      <c r="C46" s="167">
        <f>C43*C45</f>
        <v>0</v>
      </c>
      <c r="D46" s="167">
        <f>D43*D45</f>
        <v>0</v>
      </c>
      <c r="E46" s="167">
        <f>E43*E45</f>
        <v>0</v>
      </c>
      <c r="F46" s="167">
        <f>F43*F45</f>
        <v>0</v>
      </c>
      <c r="G46" s="32"/>
      <c r="H46" s="6"/>
      <c r="I46" s="409" t="s">
        <v>114</v>
      </c>
      <c r="K46">
        <f t="shared" ref="K46:V46" si="18">K45-K45/(1+$J45%)</f>
        <v>0</v>
      </c>
      <c r="L46">
        <f t="shared" si="18"/>
        <v>0</v>
      </c>
      <c r="M46">
        <f t="shared" si="18"/>
        <v>0</v>
      </c>
      <c r="N46">
        <f t="shared" si="18"/>
        <v>0</v>
      </c>
      <c r="O46">
        <f t="shared" si="18"/>
        <v>0</v>
      </c>
      <c r="P46">
        <f t="shared" si="18"/>
        <v>0</v>
      </c>
      <c r="Q46">
        <f t="shared" si="18"/>
        <v>0</v>
      </c>
      <c r="R46">
        <f t="shared" si="18"/>
        <v>0</v>
      </c>
      <c r="S46">
        <f t="shared" si="18"/>
        <v>0</v>
      </c>
      <c r="T46">
        <f t="shared" si="18"/>
        <v>0</v>
      </c>
      <c r="U46">
        <f t="shared" si="18"/>
        <v>0</v>
      </c>
      <c r="V46">
        <f t="shared" si="18"/>
        <v>0</v>
      </c>
      <c r="W46">
        <f t="shared" si="1"/>
        <v>0</v>
      </c>
      <c r="X46">
        <v>0</v>
      </c>
    </row>
    <row r="47" spans="1:24" x14ac:dyDescent="0.2">
      <c r="A47" s="4"/>
      <c r="B47" s="165" t="s">
        <v>79</v>
      </c>
      <c r="C47" s="187">
        <f>C43-C46</f>
        <v>0</v>
      </c>
      <c r="D47" s="187">
        <f>D43-D46</f>
        <v>0</v>
      </c>
      <c r="E47" s="187">
        <f>E43-E46</f>
        <v>0</v>
      </c>
      <c r="F47" s="187">
        <f>F43-F46</f>
        <v>0</v>
      </c>
      <c r="G47" s="4"/>
      <c r="H47" s="271"/>
      <c r="I47" s="1550" t="s">
        <v>227</v>
      </c>
      <c r="J47">
        <f>'9. T5 KASSABUDGET'!F83</f>
        <v>25.5</v>
      </c>
      <c r="K47" s="32">
        <f>'9. T5 KASSABUDGET'!G83</f>
        <v>0</v>
      </c>
      <c r="L47" s="32">
        <f>'9. T5 KASSABUDGET'!H83</f>
        <v>0</v>
      </c>
      <c r="M47" s="32">
        <f>'9. T5 KASSABUDGET'!I83</f>
        <v>0</v>
      </c>
      <c r="N47" s="32">
        <f>'9. T5 KASSABUDGET'!J83</f>
        <v>0</v>
      </c>
      <c r="O47" s="32">
        <f>'9. T5 KASSABUDGET'!K83</f>
        <v>0</v>
      </c>
      <c r="P47" s="32">
        <f>'9. T5 KASSABUDGET'!L83</f>
        <v>0</v>
      </c>
      <c r="Q47" s="32">
        <f>'9. T5 KASSABUDGET'!M83</f>
        <v>0</v>
      </c>
      <c r="R47" s="32">
        <f>'9. T5 KASSABUDGET'!N83</f>
        <v>0</v>
      </c>
      <c r="S47" s="32">
        <f>'9. T5 KASSABUDGET'!O83</f>
        <v>0</v>
      </c>
      <c r="T47" s="32">
        <f>'9. T5 KASSABUDGET'!P83</f>
        <v>0</v>
      </c>
      <c r="U47" s="32">
        <f>'9. T5 KASSABUDGET'!Q83</f>
        <v>0</v>
      </c>
      <c r="V47" s="32">
        <f>'9. T5 KASSABUDGET'!R83</f>
        <v>0</v>
      </c>
      <c r="W47">
        <f t="shared" si="1"/>
        <v>0</v>
      </c>
    </row>
    <row r="48" spans="1:24" x14ac:dyDescent="0.2">
      <c r="A48" s="4"/>
      <c r="B48" s="4" t="s">
        <v>65</v>
      </c>
      <c r="C48" s="27">
        <f>C11+C24+C37+C44</f>
        <v>0</v>
      </c>
      <c r="D48" s="27">
        <f>D11+D24+D37+D44</f>
        <v>0</v>
      </c>
      <c r="E48" s="27">
        <f>E11+E24+E37+E44</f>
        <v>0</v>
      </c>
      <c r="F48" s="27">
        <f>F11+F24+F37+F44</f>
        <v>0</v>
      </c>
      <c r="G48" s="27"/>
      <c r="H48" s="6"/>
      <c r="I48" s="409" t="s">
        <v>114</v>
      </c>
      <c r="K48">
        <f t="shared" ref="K48:V48" si="19">K47-K47/(1+$J47%)</f>
        <v>0</v>
      </c>
      <c r="L48">
        <f t="shared" si="19"/>
        <v>0</v>
      </c>
      <c r="M48">
        <f t="shared" si="19"/>
        <v>0</v>
      </c>
      <c r="N48">
        <f t="shared" si="19"/>
        <v>0</v>
      </c>
      <c r="O48">
        <f t="shared" si="19"/>
        <v>0</v>
      </c>
      <c r="P48">
        <f t="shared" si="19"/>
        <v>0</v>
      </c>
      <c r="Q48">
        <f t="shared" si="19"/>
        <v>0</v>
      </c>
      <c r="R48">
        <f t="shared" si="19"/>
        <v>0</v>
      </c>
      <c r="S48">
        <f t="shared" si="19"/>
        <v>0</v>
      </c>
      <c r="T48">
        <f t="shared" si="19"/>
        <v>0</v>
      </c>
      <c r="U48">
        <f t="shared" si="19"/>
        <v>0</v>
      </c>
      <c r="V48">
        <f t="shared" si="19"/>
        <v>0</v>
      </c>
      <c r="W48">
        <f t="shared" si="1"/>
        <v>0</v>
      </c>
    </row>
    <row r="49" spans="1:23" x14ac:dyDescent="0.2">
      <c r="A49" s="4"/>
      <c r="B49" s="4" t="s">
        <v>66</v>
      </c>
      <c r="C49" s="27">
        <f>C6+C13+C17+C26+C39+C46+C32</f>
        <v>0</v>
      </c>
      <c r="D49" s="27">
        <f>D6+D13+D17+D26+D39+D46+D32</f>
        <v>0</v>
      </c>
      <c r="E49" s="27">
        <f>E6+E13+E17+E26+E39+E46+E32</f>
        <v>0</v>
      </c>
      <c r="F49" s="27">
        <f>F6+F13+F17+F26+F39+F46+F32</f>
        <v>0</v>
      </c>
      <c r="G49" s="1"/>
      <c r="H49" s="271"/>
      <c r="I49" s="1550" t="s">
        <v>232</v>
      </c>
      <c r="J49">
        <f>'9. T5 KASSABUDGET'!F84</f>
        <v>25.5</v>
      </c>
      <c r="K49" s="32">
        <f>'9. T5 KASSABUDGET'!G84</f>
        <v>0</v>
      </c>
      <c r="L49" s="32">
        <f>'9. T5 KASSABUDGET'!H84</f>
        <v>0</v>
      </c>
      <c r="M49" s="32">
        <f>'9. T5 KASSABUDGET'!I84</f>
        <v>0</v>
      </c>
      <c r="N49" s="32">
        <f>'9. T5 KASSABUDGET'!J84</f>
        <v>0</v>
      </c>
      <c r="O49" s="32">
        <f>'9. T5 KASSABUDGET'!K84</f>
        <v>0</v>
      </c>
      <c r="P49" s="32">
        <f>'9. T5 KASSABUDGET'!L84</f>
        <v>0</v>
      </c>
      <c r="Q49" s="32">
        <f>'9. T5 KASSABUDGET'!M84</f>
        <v>0</v>
      </c>
      <c r="R49" s="32">
        <f>'9. T5 KASSABUDGET'!N84</f>
        <v>0</v>
      </c>
      <c r="S49" s="32">
        <f>'9. T5 KASSABUDGET'!O84</f>
        <v>0</v>
      </c>
      <c r="T49" s="32">
        <f>'9. T5 KASSABUDGET'!P84</f>
        <v>0</v>
      </c>
      <c r="U49" s="32">
        <f>'9. T5 KASSABUDGET'!Q84</f>
        <v>0</v>
      </c>
      <c r="V49" s="32">
        <f>'9. T5 KASSABUDGET'!R84</f>
        <v>0</v>
      </c>
      <c r="W49">
        <f t="shared" si="1"/>
        <v>0</v>
      </c>
    </row>
    <row r="50" spans="1:23" x14ac:dyDescent="0.2">
      <c r="A50" s="4"/>
      <c r="B50" s="4" t="s">
        <v>0</v>
      </c>
      <c r="C50" s="4"/>
      <c r="D50" s="4"/>
      <c r="E50" s="4"/>
      <c r="F50" s="1"/>
      <c r="G50" s="1"/>
      <c r="H50" s="6"/>
      <c r="I50" s="409" t="s">
        <v>114</v>
      </c>
      <c r="K50">
        <f t="shared" ref="K50:V50" si="20">K49-K49/(1+$J49%)</f>
        <v>0</v>
      </c>
      <c r="L50">
        <f t="shared" si="20"/>
        <v>0</v>
      </c>
      <c r="M50">
        <f t="shared" si="20"/>
        <v>0</v>
      </c>
      <c r="N50">
        <f t="shared" si="20"/>
        <v>0</v>
      </c>
      <c r="O50">
        <f t="shared" si="20"/>
        <v>0</v>
      </c>
      <c r="P50">
        <f t="shared" si="20"/>
        <v>0</v>
      </c>
      <c r="Q50">
        <f t="shared" si="20"/>
        <v>0</v>
      </c>
      <c r="R50">
        <f t="shared" si="20"/>
        <v>0</v>
      </c>
      <c r="S50">
        <f t="shared" si="20"/>
        <v>0</v>
      </c>
      <c r="T50">
        <f t="shared" si="20"/>
        <v>0</v>
      </c>
      <c r="U50">
        <f t="shared" si="20"/>
        <v>0</v>
      </c>
      <c r="V50">
        <f t="shared" si="20"/>
        <v>0</v>
      </c>
      <c r="W50">
        <f t="shared" si="1"/>
        <v>0</v>
      </c>
    </row>
    <row r="51" spans="1:23" x14ac:dyDescent="0.2">
      <c r="A51" s="4"/>
      <c r="B51" s="4"/>
      <c r="C51" s="4"/>
      <c r="D51" s="4"/>
      <c r="E51" s="4"/>
      <c r="F51" s="1"/>
      <c r="G51" s="1"/>
      <c r="H51" s="6"/>
      <c r="I51" s="676"/>
      <c r="W51">
        <f t="shared" si="1"/>
        <v>0</v>
      </c>
    </row>
    <row r="52" spans="1:23" x14ac:dyDescent="0.2">
      <c r="A52" s="4"/>
      <c r="B52" s="4"/>
      <c r="C52" s="4"/>
      <c r="D52" s="4"/>
      <c r="E52" s="4"/>
      <c r="F52" s="1"/>
      <c r="G52" s="1"/>
      <c r="H52" s="271"/>
      <c r="I52" s="1550" t="s">
        <v>233</v>
      </c>
      <c r="J52">
        <f>'9. T5 KASSABUDGET'!F85</f>
        <v>25.5</v>
      </c>
      <c r="K52" s="32">
        <f>'9. T5 KASSABUDGET'!G85</f>
        <v>0</v>
      </c>
      <c r="L52" s="32">
        <f>'9. T5 KASSABUDGET'!H85</f>
        <v>0</v>
      </c>
      <c r="M52" s="32">
        <f>'9. T5 KASSABUDGET'!I85</f>
        <v>0</v>
      </c>
      <c r="N52" s="32">
        <f>'9. T5 KASSABUDGET'!J85</f>
        <v>0</v>
      </c>
      <c r="O52" s="32">
        <f>'9. T5 KASSABUDGET'!K85</f>
        <v>0</v>
      </c>
      <c r="P52" s="32">
        <f>'9. T5 KASSABUDGET'!L85</f>
        <v>0</v>
      </c>
      <c r="Q52" s="32">
        <f>'9. T5 KASSABUDGET'!M85</f>
        <v>0</v>
      </c>
      <c r="R52" s="32">
        <f>'9. T5 KASSABUDGET'!N85</f>
        <v>0</v>
      </c>
      <c r="S52" s="32">
        <f>'9. T5 KASSABUDGET'!O85</f>
        <v>0</v>
      </c>
      <c r="T52" s="32">
        <f>'9. T5 KASSABUDGET'!P85</f>
        <v>0</v>
      </c>
      <c r="U52" s="32">
        <f>'9. T5 KASSABUDGET'!Q85</f>
        <v>0</v>
      </c>
      <c r="V52" s="32">
        <f>'9. T5 KASSABUDGET'!R85</f>
        <v>0</v>
      </c>
      <c r="W52">
        <f t="shared" si="1"/>
        <v>0</v>
      </c>
    </row>
    <row r="53" spans="1:23" x14ac:dyDescent="0.2">
      <c r="A53" s="4"/>
      <c r="B53" s="4"/>
      <c r="C53" s="4"/>
      <c r="D53" s="4"/>
      <c r="E53" s="4"/>
      <c r="F53" s="1"/>
      <c r="G53" s="1"/>
      <c r="H53" s="6"/>
      <c r="I53" s="409" t="s">
        <v>114</v>
      </c>
      <c r="K53">
        <f t="shared" ref="K53:V53" si="21">K52-K52/(1+$J52%)</f>
        <v>0</v>
      </c>
      <c r="L53">
        <f t="shared" si="21"/>
        <v>0</v>
      </c>
      <c r="M53">
        <f t="shared" si="21"/>
        <v>0</v>
      </c>
      <c r="N53">
        <f t="shared" si="21"/>
        <v>0</v>
      </c>
      <c r="O53">
        <f t="shared" si="21"/>
        <v>0</v>
      </c>
      <c r="P53">
        <f t="shared" si="21"/>
        <v>0</v>
      </c>
      <c r="Q53">
        <f t="shared" si="21"/>
        <v>0</v>
      </c>
      <c r="R53">
        <f t="shared" si="21"/>
        <v>0</v>
      </c>
      <c r="S53">
        <f t="shared" si="21"/>
        <v>0</v>
      </c>
      <c r="T53">
        <f t="shared" si="21"/>
        <v>0</v>
      </c>
      <c r="U53">
        <f t="shared" si="21"/>
        <v>0</v>
      </c>
      <c r="V53">
        <f t="shared" si="21"/>
        <v>0</v>
      </c>
      <c r="W53">
        <f t="shared" si="1"/>
        <v>0</v>
      </c>
    </row>
    <row r="54" spans="1:23" x14ac:dyDescent="0.2">
      <c r="A54" s="1"/>
      <c r="B54" s="1"/>
      <c r="C54" s="1"/>
      <c r="D54" s="1"/>
      <c r="E54" s="1"/>
      <c r="F54" s="1"/>
      <c r="G54" s="1"/>
      <c r="H54" s="271"/>
      <c r="I54" s="1550" t="s">
        <v>228</v>
      </c>
      <c r="J54">
        <f>'9. T5 KASSABUDGET'!F86</f>
        <v>0</v>
      </c>
      <c r="K54" s="32">
        <f>'9. T5 KASSABUDGET'!G86</f>
        <v>0</v>
      </c>
      <c r="L54" s="32">
        <f>'9. T5 KASSABUDGET'!H86</f>
        <v>0</v>
      </c>
      <c r="M54" s="32">
        <f>'9. T5 KASSABUDGET'!I86</f>
        <v>0</v>
      </c>
      <c r="N54" s="32">
        <f>'9. T5 KASSABUDGET'!J86</f>
        <v>0</v>
      </c>
      <c r="O54" s="32">
        <f>'9. T5 KASSABUDGET'!K86</f>
        <v>0</v>
      </c>
      <c r="P54" s="32">
        <f>'9. T5 KASSABUDGET'!L86</f>
        <v>0</v>
      </c>
      <c r="Q54" s="32">
        <f>'9. T5 KASSABUDGET'!M86</f>
        <v>0</v>
      </c>
      <c r="R54" s="32">
        <f>'9. T5 KASSABUDGET'!N86</f>
        <v>0</v>
      </c>
      <c r="S54" s="32">
        <f>'9. T5 KASSABUDGET'!O86</f>
        <v>0</v>
      </c>
      <c r="T54" s="32">
        <f>'9. T5 KASSABUDGET'!P86</f>
        <v>0</v>
      </c>
      <c r="U54" s="32">
        <f>'9. T5 KASSABUDGET'!Q86</f>
        <v>0</v>
      </c>
      <c r="V54" s="32">
        <f>'9. T5 KASSABUDGET'!R86</f>
        <v>0</v>
      </c>
      <c r="W54">
        <f t="shared" si="1"/>
        <v>0</v>
      </c>
    </row>
    <row r="55" spans="1:23" x14ac:dyDescent="0.2">
      <c r="H55" s="21"/>
      <c r="I55" s="409" t="s">
        <v>114</v>
      </c>
      <c r="J55" s="448"/>
      <c r="K55">
        <f t="shared" ref="K55:V55" si="22">K54-K54/(1+$J54%)</f>
        <v>0</v>
      </c>
      <c r="L55">
        <f t="shared" si="22"/>
        <v>0</v>
      </c>
      <c r="M55">
        <f t="shared" si="22"/>
        <v>0</v>
      </c>
      <c r="N55">
        <f t="shared" si="22"/>
        <v>0</v>
      </c>
      <c r="O55">
        <f t="shared" si="22"/>
        <v>0</v>
      </c>
      <c r="P55">
        <f t="shared" si="22"/>
        <v>0</v>
      </c>
      <c r="Q55">
        <f t="shared" si="22"/>
        <v>0</v>
      </c>
      <c r="R55">
        <f t="shared" si="22"/>
        <v>0</v>
      </c>
      <c r="S55">
        <f t="shared" si="22"/>
        <v>0</v>
      </c>
      <c r="T55">
        <f t="shared" si="22"/>
        <v>0</v>
      </c>
      <c r="U55">
        <f t="shared" si="22"/>
        <v>0</v>
      </c>
      <c r="V55">
        <f t="shared" si="22"/>
        <v>0</v>
      </c>
      <c r="W55">
        <f t="shared" si="1"/>
        <v>0</v>
      </c>
    </row>
    <row r="56" spans="1:23" x14ac:dyDescent="0.2">
      <c r="H56" s="21"/>
      <c r="I56" s="412" t="s">
        <v>234</v>
      </c>
      <c r="J56" s="411"/>
      <c r="K56" s="411">
        <f t="shared" ref="K56:V56" si="23">K42+K44+K46+K48+K50+K53+K55</f>
        <v>0</v>
      </c>
      <c r="L56" s="411">
        <f t="shared" si="23"/>
        <v>0</v>
      </c>
      <c r="M56" s="411">
        <f t="shared" si="23"/>
        <v>0</v>
      </c>
      <c r="N56" s="411">
        <f t="shared" si="23"/>
        <v>0</v>
      </c>
      <c r="O56" s="411">
        <f t="shared" si="23"/>
        <v>0</v>
      </c>
      <c r="P56" s="411">
        <f t="shared" si="23"/>
        <v>0</v>
      </c>
      <c r="Q56" s="411">
        <f t="shared" si="23"/>
        <v>0</v>
      </c>
      <c r="R56" s="411">
        <f t="shared" si="23"/>
        <v>0</v>
      </c>
      <c r="S56" s="411">
        <f t="shared" si="23"/>
        <v>0</v>
      </c>
      <c r="T56" s="411">
        <f t="shared" si="23"/>
        <v>0</v>
      </c>
      <c r="U56" s="411">
        <f t="shared" si="23"/>
        <v>0</v>
      </c>
      <c r="V56" s="411">
        <f t="shared" si="23"/>
        <v>0</v>
      </c>
      <c r="W56">
        <f t="shared" si="1"/>
        <v>0</v>
      </c>
    </row>
    <row r="57" spans="1:23" x14ac:dyDescent="0.2">
      <c r="H57" s="21"/>
      <c r="I57" s="1556" t="s">
        <v>117</v>
      </c>
      <c r="K57" s="6">
        <f t="shared" ref="K57:V57" si="24">K40-K56</f>
        <v>0</v>
      </c>
      <c r="L57" s="6">
        <f t="shared" si="24"/>
        <v>0</v>
      </c>
      <c r="M57" s="6">
        <f t="shared" si="24"/>
        <v>0</v>
      </c>
      <c r="N57" s="6">
        <f t="shared" si="24"/>
        <v>0</v>
      </c>
      <c r="O57" s="6">
        <f t="shared" si="24"/>
        <v>0</v>
      </c>
      <c r="P57" s="6">
        <f t="shared" si="24"/>
        <v>0</v>
      </c>
      <c r="Q57" s="6">
        <f t="shared" si="24"/>
        <v>0</v>
      </c>
      <c r="R57" s="6">
        <f t="shared" si="24"/>
        <v>0</v>
      </c>
      <c r="S57" s="6">
        <f t="shared" si="24"/>
        <v>0</v>
      </c>
      <c r="T57" s="6">
        <f t="shared" si="24"/>
        <v>0</v>
      </c>
      <c r="U57" s="6">
        <f t="shared" si="24"/>
        <v>0</v>
      </c>
      <c r="V57" s="6">
        <f t="shared" si="24"/>
        <v>0</v>
      </c>
      <c r="W57">
        <f t="shared" si="1"/>
        <v>0</v>
      </c>
    </row>
    <row r="58" spans="1:23" x14ac:dyDescent="0.2">
      <c r="H58" s="21"/>
      <c r="I58" s="16"/>
    </row>
    <row r="59" spans="1:23" x14ac:dyDescent="0.2">
      <c r="H59" s="21"/>
      <c r="I59" s="16"/>
    </row>
    <row r="60" spans="1:23" x14ac:dyDescent="0.2">
      <c r="H60" s="6"/>
      <c r="I60" s="409"/>
    </row>
    <row r="61" spans="1:23" x14ac:dyDescent="0.2">
      <c r="H61" s="271">
        <f>'9. T5 KASSABUDGET'!B70</f>
        <v>0</v>
      </c>
      <c r="I61" s="162" t="str">
        <f>'9. T5 KASSABUDGET'!C39</f>
        <v xml:space="preserve"> Finansieringskostnader</v>
      </c>
      <c r="J61">
        <f>'9. T5 KASSABUDGET'!F70</f>
        <v>0</v>
      </c>
      <c r="K61" s="32">
        <f>'9. T5 KASSABUDGET'!G96</f>
        <v>0</v>
      </c>
      <c r="L61" s="32">
        <f>'9. T5 KASSABUDGET'!H96</f>
        <v>0</v>
      </c>
      <c r="M61" s="32">
        <f>'9. T5 KASSABUDGET'!I96</f>
        <v>0</v>
      </c>
      <c r="N61" s="32">
        <f>'9. T5 KASSABUDGET'!J96</f>
        <v>0</v>
      </c>
      <c r="O61" s="32">
        <f>'9. T5 KASSABUDGET'!K96</f>
        <v>0</v>
      </c>
      <c r="P61" s="32">
        <f>'9. T5 KASSABUDGET'!L96</f>
        <v>0</v>
      </c>
      <c r="Q61" s="32">
        <f>'9. T5 KASSABUDGET'!M96</f>
        <v>0</v>
      </c>
      <c r="R61" s="32">
        <f>'9. T5 KASSABUDGET'!N96</f>
        <v>0</v>
      </c>
      <c r="S61" s="32">
        <f>'9. T5 KASSABUDGET'!O96</f>
        <v>0</v>
      </c>
      <c r="T61" s="32">
        <f>'9. T5 KASSABUDGET'!P96</f>
        <v>0</v>
      </c>
      <c r="U61" s="32">
        <f>'9. T5 KASSABUDGET'!Q96</f>
        <v>0</v>
      </c>
      <c r="V61" s="32">
        <f>'9. T5 KASSABUDGET'!R96</f>
        <v>0</v>
      </c>
      <c r="W61">
        <f t="shared" si="1"/>
        <v>0</v>
      </c>
    </row>
  </sheetData>
  <sheetProtection algorithmName="SHA-512" hashValue="xlWPKKoG/bifunqD9rrtZt6ZXnCtBIHLUySSSxElw8ryB3O3Wyj9sohykoZs6d9pYZi8SWQxtom5YsZp9vzbZw==" saltValue="f86r839PSKzdvWdkyBzy8Q==" spinCount="100000" sheet="1" objects="1" scenarios="1" selectLockedCells="1" selectUnlockedCells="1"/>
  <mergeCells count="1">
    <mergeCell ref="B2:B3"/>
  </mergeCells>
  <pageMargins left="0.7" right="0.7" top="0.75" bottom="0.75" header="0.3" footer="0.3"/>
  <pageSetup paperSize="9" orientation="portrait" verticalDpi="4" r:id="rId1"/>
  <ignoredErrors>
    <ignoredError sqref="K5:N5"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dimension ref="B2:AN115"/>
  <sheetViews>
    <sheetView topLeftCell="A36" workbookViewId="0">
      <selection activeCell="J78" sqref="J78:K78"/>
    </sheetView>
  </sheetViews>
  <sheetFormatPr defaultRowHeight="12.75" x14ac:dyDescent="0.2"/>
  <cols>
    <col min="2" max="2" width="49.42578125" customWidth="1"/>
    <col min="3" max="3" width="10" customWidth="1"/>
    <col min="4" max="4" width="12.7109375" style="79" customWidth="1"/>
    <col min="5" max="5" width="11.7109375" customWidth="1"/>
    <col min="6" max="6" width="8.7109375" customWidth="1"/>
    <col min="7" max="7" width="8.85546875" customWidth="1"/>
    <col min="8" max="9" width="10" customWidth="1"/>
    <col min="10" max="10" width="8.85546875" customWidth="1"/>
    <col min="11" max="11" width="11.28515625" customWidth="1"/>
    <col min="12" max="12" width="9.28515625" customWidth="1"/>
    <col min="13" max="13" width="10.140625" customWidth="1"/>
    <col min="14" max="14" width="11.140625" customWidth="1"/>
    <col min="15" max="15" width="9.5703125" customWidth="1"/>
    <col min="16" max="16" width="9" customWidth="1"/>
    <col min="17" max="17" width="7.5703125" customWidth="1"/>
    <col min="19" max="19" width="9.85546875" customWidth="1"/>
    <col min="20" max="20" width="9.28515625" customWidth="1"/>
    <col min="21" max="21" width="10.28515625" customWidth="1"/>
    <col min="22" max="23" width="8.28515625" customWidth="1"/>
    <col min="24" max="24" width="9.140625" customWidth="1"/>
    <col min="25" max="25" width="10.85546875" customWidth="1"/>
    <col min="26" max="26" width="11" customWidth="1"/>
    <col min="27" max="27" width="10.28515625" customWidth="1"/>
    <col min="28" max="28" width="9.140625" customWidth="1"/>
  </cols>
  <sheetData>
    <row r="2" spans="2:40" ht="13.5" thickBot="1" x14ac:dyDescent="0.25"/>
    <row r="3" spans="2:40" x14ac:dyDescent="0.2">
      <c r="F3" s="2290"/>
      <c r="G3" s="2291"/>
      <c r="H3" s="2291"/>
      <c r="I3" s="2291"/>
      <c r="J3" s="2292"/>
      <c r="K3" s="2290" t="str">
        <f>'4. T7 LÅN '!F20</f>
        <v>Prognos 1</v>
      </c>
      <c r="L3" s="2291"/>
      <c r="M3" s="2291"/>
      <c r="N3" s="2291"/>
      <c r="O3" s="2291"/>
      <c r="P3" s="2292"/>
      <c r="Q3" s="2290" t="str">
        <f>'4. T7 LÅN '!I20</f>
        <v>Prognos 2</v>
      </c>
      <c r="R3" s="2291"/>
      <c r="S3" s="2291"/>
      <c r="T3" s="2291"/>
      <c r="U3" s="2291"/>
      <c r="V3" s="2292"/>
      <c r="W3" s="2290" t="str">
        <f>'4. T7 LÅN '!L20</f>
        <v>Prognos 3</v>
      </c>
      <c r="X3" s="2291"/>
      <c r="Y3" s="2291"/>
      <c r="Z3" s="2291"/>
      <c r="AA3" s="2291"/>
      <c r="AB3" s="2292"/>
      <c r="AC3" s="2290" t="s">
        <v>81</v>
      </c>
      <c r="AD3" s="2291"/>
      <c r="AE3" s="2291"/>
      <c r="AF3" s="2291"/>
      <c r="AG3" s="2291"/>
      <c r="AH3" s="2292"/>
      <c r="AI3" s="2290" t="s">
        <v>111</v>
      </c>
      <c r="AJ3" s="2291"/>
      <c r="AK3" s="2291"/>
      <c r="AL3" s="2291"/>
      <c r="AM3" s="2291"/>
      <c r="AN3" s="2292"/>
    </row>
    <row r="4" spans="2:40" x14ac:dyDescent="0.2">
      <c r="F4" s="2284"/>
      <c r="G4" s="2285"/>
      <c r="H4" s="2285"/>
      <c r="I4" s="2285"/>
      <c r="J4" s="2286"/>
      <c r="K4" s="2284">
        <f>'4. T7 LÅN '!F21</f>
        <v>2027</v>
      </c>
      <c r="L4" s="2285"/>
      <c r="M4" s="2285"/>
      <c r="N4" s="2285"/>
      <c r="O4" s="2285"/>
      <c r="P4" s="2286"/>
      <c r="Q4" s="2284">
        <f>'4. T7 LÅN '!I21</f>
        <v>2028</v>
      </c>
      <c r="R4" s="2285"/>
      <c r="S4" s="2285"/>
      <c r="T4" s="2285"/>
      <c r="U4" s="2285"/>
      <c r="V4" s="2286"/>
      <c r="W4" s="2284">
        <f>'4. T7 LÅN '!L21</f>
        <v>2029</v>
      </c>
      <c r="X4" s="2285"/>
      <c r="Y4" s="2285"/>
      <c r="Z4" s="2285"/>
      <c r="AA4" s="2285"/>
      <c r="AB4" s="2286"/>
      <c r="AC4" s="2284">
        <f>'4. T7 LÅN '!O21</f>
        <v>2030</v>
      </c>
      <c r="AD4" s="2285"/>
      <c r="AE4" s="2285"/>
      <c r="AF4" s="2285"/>
      <c r="AG4" s="2285"/>
      <c r="AH4" s="2286"/>
      <c r="AI4" s="2284">
        <f>'4. T7 LÅN '!O21+1</f>
        <v>2031</v>
      </c>
      <c r="AJ4" s="2285"/>
      <c r="AK4" s="2285"/>
      <c r="AL4" s="2285"/>
      <c r="AM4" s="2285"/>
      <c r="AN4" s="2286"/>
    </row>
    <row r="5" spans="2:40" x14ac:dyDescent="0.2">
      <c r="C5" s="2"/>
      <c r="D5" s="6" t="s">
        <v>35</v>
      </c>
      <c r="E5" s="2"/>
      <c r="F5" s="275"/>
      <c r="G5" s="276"/>
      <c r="H5" s="276"/>
      <c r="I5" s="276"/>
      <c r="J5" s="277"/>
      <c r="K5" s="275"/>
      <c r="L5" s="276" t="s">
        <v>35</v>
      </c>
      <c r="M5" s="276"/>
      <c r="N5" s="276"/>
      <c r="O5" s="276"/>
      <c r="P5" s="277"/>
      <c r="Q5" s="275"/>
      <c r="R5" s="276" t="s">
        <v>35</v>
      </c>
      <c r="S5" s="276"/>
      <c r="T5" s="276"/>
      <c r="U5" s="276"/>
      <c r="V5" s="277"/>
      <c r="W5" s="275"/>
      <c r="X5" s="276" t="s">
        <v>35</v>
      </c>
      <c r="Y5" s="276"/>
      <c r="Z5" s="276"/>
      <c r="AA5" s="276"/>
      <c r="AB5" s="277"/>
      <c r="AC5" s="275"/>
      <c r="AD5" s="276" t="s">
        <v>35</v>
      </c>
      <c r="AE5" s="276"/>
      <c r="AF5" s="276"/>
      <c r="AG5" s="276"/>
      <c r="AH5" s="277"/>
      <c r="AI5" s="275"/>
      <c r="AJ5" s="276" t="s">
        <v>35</v>
      </c>
      <c r="AK5" s="276"/>
      <c r="AL5" s="276"/>
      <c r="AM5" s="276"/>
      <c r="AN5" s="277"/>
    </row>
    <row r="6" spans="2:40" x14ac:dyDescent="0.2">
      <c r="B6" s="1" t="s">
        <v>82</v>
      </c>
      <c r="C6" s="6" t="s">
        <v>29</v>
      </c>
      <c r="D6" s="6" t="s">
        <v>34</v>
      </c>
      <c r="E6" s="6" t="s">
        <v>27</v>
      </c>
      <c r="F6" s="87" t="s">
        <v>30</v>
      </c>
      <c r="G6" s="83" t="s">
        <v>26</v>
      </c>
      <c r="H6" s="83" t="s">
        <v>36</v>
      </c>
      <c r="I6" s="83" t="s">
        <v>31</v>
      </c>
      <c r="J6" s="88" t="s">
        <v>27</v>
      </c>
      <c r="K6" s="87" t="s">
        <v>30</v>
      </c>
      <c r="L6" s="86" t="s">
        <v>110</v>
      </c>
      <c r="M6" s="83" t="s">
        <v>33</v>
      </c>
      <c r="N6" s="83" t="s">
        <v>36</v>
      </c>
      <c r="O6" s="83" t="s">
        <v>31</v>
      </c>
      <c r="P6" s="88" t="s">
        <v>27</v>
      </c>
      <c r="Q6" s="87" t="s">
        <v>30</v>
      </c>
      <c r="R6" s="86" t="s">
        <v>110</v>
      </c>
      <c r="S6" s="83" t="s">
        <v>33</v>
      </c>
      <c r="T6" s="83" t="s">
        <v>36</v>
      </c>
      <c r="U6" s="83" t="s">
        <v>31</v>
      </c>
      <c r="V6" s="88" t="s">
        <v>27</v>
      </c>
      <c r="W6" s="87" t="s">
        <v>30</v>
      </c>
      <c r="X6" s="86" t="s">
        <v>110</v>
      </c>
      <c r="Y6" s="83" t="s">
        <v>33</v>
      </c>
      <c r="Z6" s="83" t="s">
        <v>36</v>
      </c>
      <c r="AA6" s="83" t="s">
        <v>31</v>
      </c>
      <c r="AB6" s="88" t="s">
        <v>27</v>
      </c>
      <c r="AC6" s="87" t="s">
        <v>30</v>
      </c>
      <c r="AD6" s="86" t="s">
        <v>110</v>
      </c>
      <c r="AE6" s="83" t="s">
        <v>33</v>
      </c>
      <c r="AF6" s="83" t="s">
        <v>36</v>
      </c>
      <c r="AG6" s="83" t="s">
        <v>31</v>
      </c>
      <c r="AH6" s="88" t="s">
        <v>27</v>
      </c>
      <c r="AI6" s="87" t="s">
        <v>30</v>
      </c>
      <c r="AJ6" s="86" t="s">
        <v>110</v>
      </c>
      <c r="AK6" s="83" t="s">
        <v>33</v>
      </c>
      <c r="AL6" s="83" t="s">
        <v>36</v>
      </c>
      <c r="AM6" s="83" t="s">
        <v>31</v>
      </c>
      <c r="AN6" s="88" t="s">
        <v>27</v>
      </c>
    </row>
    <row r="7" spans="2:40" x14ac:dyDescent="0.2">
      <c r="B7" s="1" t="str">
        <f>'4. T7 LÅN '!B11</f>
        <v xml:space="preserve"> </v>
      </c>
      <c r="C7" s="193">
        <f>'4. T7 LÅN '!C11</f>
        <v>0</v>
      </c>
      <c r="D7" s="75">
        <f>'4. T7 LÅN '!D11</f>
        <v>0</v>
      </c>
      <c r="E7" s="194">
        <f>'4. T7 LÅN '!E11</f>
        <v>0</v>
      </c>
      <c r="F7" s="366"/>
      <c r="G7" s="367"/>
      <c r="H7" s="368"/>
      <c r="I7" s="368"/>
      <c r="J7" s="369"/>
      <c r="K7" s="195"/>
      <c r="L7" s="198"/>
      <c r="M7" s="196">
        <f>'4. T7 LÅN '!F11</f>
        <v>0</v>
      </c>
      <c r="N7" s="196">
        <f>O7+M7/4</f>
        <v>0</v>
      </c>
      <c r="O7" s="196">
        <f>C7</f>
        <v>0</v>
      </c>
      <c r="P7" s="197">
        <f>'4. T7 LÅN '!H11</f>
        <v>0</v>
      </c>
      <c r="Q7" s="195"/>
      <c r="R7" s="198"/>
      <c r="S7" s="196">
        <f>'4. T7 LÅN '!I11</f>
        <v>0</v>
      </c>
      <c r="T7" s="196">
        <f>O7-S7/4</f>
        <v>0</v>
      </c>
      <c r="U7" s="196">
        <f>O7-S7</f>
        <v>0</v>
      </c>
      <c r="V7" s="197">
        <f>'4. T7 LÅN '!K11</f>
        <v>0</v>
      </c>
      <c r="W7" s="195"/>
      <c r="X7" s="198"/>
      <c r="Y7" s="196">
        <f>'4. T7 LÅN '!L11</f>
        <v>0</v>
      </c>
      <c r="Z7" s="196">
        <f>U7-Y7/4</f>
        <v>0</v>
      </c>
      <c r="AA7" s="196">
        <f>U7-Y7</f>
        <v>0</v>
      </c>
      <c r="AB7" s="197">
        <f>'4. T7 LÅN '!N11</f>
        <v>0</v>
      </c>
      <c r="AC7" s="195"/>
      <c r="AD7" s="198"/>
      <c r="AE7" s="196">
        <f>'4. T7 LÅN '!O11</f>
        <v>0</v>
      </c>
      <c r="AF7" s="196">
        <f>AA7-AE7/4</f>
        <v>0</v>
      </c>
      <c r="AG7" s="196">
        <f>AA7-AE7</f>
        <v>0</v>
      </c>
      <c r="AH7" s="197">
        <f>'4. T7 LÅN '!Q11</f>
        <v>0</v>
      </c>
      <c r="AI7" s="195"/>
      <c r="AJ7" s="198"/>
      <c r="AK7" s="196">
        <f>IF(D7=0,0,IF(C7-S7-Y7-AE7&lt;AE7,AG7,'AT2 Lainat,sotum., alv-osto'!AE7))</f>
        <v>0</v>
      </c>
      <c r="AL7" s="196">
        <f>AG7-AK7/4</f>
        <v>0</v>
      </c>
      <c r="AM7" s="196">
        <f>AG7-AK7</f>
        <v>0</v>
      </c>
      <c r="AN7" s="197"/>
    </row>
    <row r="8" spans="2:40" x14ac:dyDescent="0.2">
      <c r="B8" s="1">
        <f>'4. T7 LÅN '!B12</f>
        <v>0</v>
      </c>
      <c r="C8" s="193">
        <f>'4. T7 LÅN '!C12</f>
        <v>0</v>
      </c>
      <c r="D8" s="75">
        <f>'4. T7 LÅN '!D12</f>
        <v>0</v>
      </c>
      <c r="E8" s="194">
        <f>'4. T7 LÅN '!E12</f>
        <v>0</v>
      </c>
      <c r="F8" s="366"/>
      <c r="G8" s="367"/>
      <c r="H8" s="368"/>
      <c r="I8" s="368"/>
      <c r="J8" s="369"/>
      <c r="K8" s="195"/>
      <c r="L8" s="198"/>
      <c r="M8" s="196">
        <f>'4. T7 LÅN '!F12</f>
        <v>0</v>
      </c>
      <c r="N8" s="196">
        <f t="shared" ref="N8:N13" si="0">O8+M8/4</f>
        <v>0</v>
      </c>
      <c r="O8" s="196">
        <f t="shared" ref="O8:O13" si="1">C8</f>
        <v>0</v>
      </c>
      <c r="P8" s="197">
        <f>'4. T7 LÅN '!H12</f>
        <v>0</v>
      </c>
      <c r="Q8" s="195"/>
      <c r="R8" s="198"/>
      <c r="S8" s="196">
        <f>'4. T7 LÅN '!I12</f>
        <v>0</v>
      </c>
      <c r="T8" s="196">
        <f t="shared" ref="T8:T14" si="2">O8-S8/4</f>
        <v>0</v>
      </c>
      <c r="U8" s="196">
        <f t="shared" ref="U8:U13" si="3">O8-S8</f>
        <v>0</v>
      </c>
      <c r="V8" s="197">
        <f>'4. T7 LÅN '!K12</f>
        <v>0</v>
      </c>
      <c r="W8" s="195"/>
      <c r="X8" s="198"/>
      <c r="Y8" s="196">
        <f>'4. T7 LÅN '!L12</f>
        <v>0</v>
      </c>
      <c r="Z8" s="196">
        <f t="shared" ref="Z8:Z14" si="4">U8-Y8/4</f>
        <v>0</v>
      </c>
      <c r="AA8" s="196">
        <f t="shared" ref="AA8:AA13" si="5">U8-Y8</f>
        <v>0</v>
      </c>
      <c r="AB8" s="197">
        <f>'4. T7 LÅN '!N12</f>
        <v>0</v>
      </c>
      <c r="AC8" s="195"/>
      <c r="AD8" s="198"/>
      <c r="AE8" s="196">
        <f>'4. T7 LÅN '!O12</f>
        <v>0</v>
      </c>
      <c r="AF8" s="196">
        <f t="shared" ref="AF8:AF14" si="6">AA8-AE8/4</f>
        <v>0</v>
      </c>
      <c r="AG8" s="196">
        <f t="shared" ref="AG8:AG13" si="7">AA8-AE8</f>
        <v>0</v>
      </c>
      <c r="AH8" s="197">
        <f>'4. T7 LÅN '!Q12</f>
        <v>0</v>
      </c>
      <c r="AI8" s="195"/>
      <c r="AJ8" s="198"/>
      <c r="AK8" s="196">
        <f>IF(D8=0,0,IF(C8-S8-Y8-AE8&lt;AE8,AG8,'AT2 Lainat,sotum., alv-osto'!AE8))</f>
        <v>0</v>
      </c>
      <c r="AL8" s="196">
        <f t="shared" ref="AL8:AL14" si="8">AG8-AK8/4</f>
        <v>0</v>
      </c>
      <c r="AM8" s="196">
        <f t="shared" ref="AM8:AM13" si="9">AG8-AK8</f>
        <v>0</v>
      </c>
      <c r="AN8" s="197"/>
    </row>
    <row r="9" spans="2:40" x14ac:dyDescent="0.2">
      <c r="B9" s="1">
        <f>'4. T7 LÅN '!B13</f>
        <v>0</v>
      </c>
      <c r="C9" s="193">
        <f>'4. T7 LÅN '!C13</f>
        <v>0</v>
      </c>
      <c r="D9" s="75">
        <f>'4. T7 LÅN '!D13</f>
        <v>0</v>
      </c>
      <c r="E9" s="194">
        <f>'4. T7 LÅN '!E13</f>
        <v>0</v>
      </c>
      <c r="F9" s="366"/>
      <c r="G9" s="367"/>
      <c r="H9" s="368"/>
      <c r="I9" s="368"/>
      <c r="J9" s="369"/>
      <c r="K9" s="195"/>
      <c r="L9" s="198"/>
      <c r="M9" s="196">
        <f>'4. T7 LÅN '!F13</f>
        <v>0</v>
      </c>
      <c r="N9" s="196">
        <f t="shared" si="0"/>
        <v>0</v>
      </c>
      <c r="O9" s="196">
        <f t="shared" si="1"/>
        <v>0</v>
      </c>
      <c r="P9" s="197">
        <f>'4. T7 LÅN '!H13</f>
        <v>0</v>
      </c>
      <c r="Q9" s="195"/>
      <c r="R9" s="198"/>
      <c r="S9" s="196">
        <f>'4. T7 LÅN '!I13</f>
        <v>0</v>
      </c>
      <c r="T9" s="196">
        <f t="shared" si="2"/>
        <v>0</v>
      </c>
      <c r="U9" s="196">
        <f t="shared" si="3"/>
        <v>0</v>
      </c>
      <c r="V9" s="197">
        <f>'4. T7 LÅN '!K13</f>
        <v>0</v>
      </c>
      <c r="W9" s="195"/>
      <c r="X9" s="198"/>
      <c r="Y9" s="196">
        <f>'4. T7 LÅN '!L13</f>
        <v>0</v>
      </c>
      <c r="Z9" s="196">
        <f t="shared" si="4"/>
        <v>0</v>
      </c>
      <c r="AA9" s="196">
        <f t="shared" si="5"/>
        <v>0</v>
      </c>
      <c r="AB9" s="197">
        <f>'4. T7 LÅN '!N13</f>
        <v>0</v>
      </c>
      <c r="AC9" s="195"/>
      <c r="AD9" s="198"/>
      <c r="AE9" s="196">
        <f>'4. T7 LÅN '!O13</f>
        <v>0</v>
      </c>
      <c r="AF9" s="196">
        <f t="shared" si="6"/>
        <v>0</v>
      </c>
      <c r="AG9" s="196">
        <f t="shared" si="7"/>
        <v>0</v>
      </c>
      <c r="AH9" s="197">
        <f>'4. T7 LÅN '!Q13</f>
        <v>0</v>
      </c>
      <c r="AI9" s="195"/>
      <c r="AJ9" s="198"/>
      <c r="AK9" s="196">
        <f>IF(D9=0,0,IF(C9-S9-Y9-AE9&lt;AE9,AG9,'AT2 Lainat,sotum., alv-osto'!AE9))</f>
        <v>0</v>
      </c>
      <c r="AL9" s="196">
        <f t="shared" si="8"/>
        <v>0</v>
      </c>
      <c r="AM9" s="196">
        <f t="shared" si="9"/>
        <v>0</v>
      </c>
      <c r="AN9" s="197"/>
    </row>
    <row r="10" spans="2:40" x14ac:dyDescent="0.2">
      <c r="B10" s="1">
        <f>'4. T7 LÅN '!B14</f>
        <v>0</v>
      </c>
      <c r="C10" s="193">
        <f>'4. T7 LÅN '!C14</f>
        <v>0</v>
      </c>
      <c r="D10" s="75">
        <f>'4. T7 LÅN '!D14</f>
        <v>0</v>
      </c>
      <c r="E10" s="194">
        <f>'4. T7 LÅN '!E14</f>
        <v>0</v>
      </c>
      <c r="F10" s="366"/>
      <c r="G10" s="367"/>
      <c r="H10" s="368"/>
      <c r="I10" s="368"/>
      <c r="J10" s="369"/>
      <c r="K10" s="195"/>
      <c r="L10" s="198"/>
      <c r="M10" s="196">
        <f>'4. T7 LÅN '!F14</f>
        <v>0</v>
      </c>
      <c r="N10" s="196">
        <f t="shared" si="0"/>
        <v>0</v>
      </c>
      <c r="O10" s="196">
        <f t="shared" si="1"/>
        <v>0</v>
      </c>
      <c r="P10" s="197">
        <f>'4. T7 LÅN '!H14</f>
        <v>0</v>
      </c>
      <c r="Q10" s="195"/>
      <c r="R10" s="198"/>
      <c r="S10" s="196">
        <f>'4. T7 LÅN '!I14</f>
        <v>0</v>
      </c>
      <c r="T10" s="196">
        <f t="shared" si="2"/>
        <v>0</v>
      </c>
      <c r="U10" s="196">
        <f t="shared" si="3"/>
        <v>0</v>
      </c>
      <c r="V10" s="197">
        <f>'4. T7 LÅN '!K14</f>
        <v>0</v>
      </c>
      <c r="W10" s="195"/>
      <c r="X10" s="198"/>
      <c r="Y10" s="196">
        <f>'4. T7 LÅN '!L14</f>
        <v>0</v>
      </c>
      <c r="Z10" s="196">
        <f t="shared" si="4"/>
        <v>0</v>
      </c>
      <c r="AA10" s="196">
        <f t="shared" si="5"/>
        <v>0</v>
      </c>
      <c r="AB10" s="197">
        <f>'4. T7 LÅN '!N14</f>
        <v>0</v>
      </c>
      <c r="AC10" s="195"/>
      <c r="AD10" s="198"/>
      <c r="AE10" s="196">
        <f>'4. T7 LÅN '!O14</f>
        <v>0</v>
      </c>
      <c r="AF10" s="196">
        <f t="shared" si="6"/>
        <v>0</v>
      </c>
      <c r="AG10" s="196">
        <f t="shared" si="7"/>
        <v>0</v>
      </c>
      <c r="AH10" s="197">
        <f>'4. T7 LÅN '!Q14</f>
        <v>0</v>
      </c>
      <c r="AI10" s="195"/>
      <c r="AJ10" s="198"/>
      <c r="AK10" s="196">
        <f>IF(D10=0,0,IF(C10-S10-Y10-AE10&lt;AE10,AG10,'AT2 Lainat,sotum., alv-osto'!AE10))</f>
        <v>0</v>
      </c>
      <c r="AL10" s="196">
        <f t="shared" si="8"/>
        <v>0</v>
      </c>
      <c r="AM10" s="196">
        <f t="shared" si="9"/>
        <v>0</v>
      </c>
      <c r="AN10" s="197"/>
    </row>
    <row r="11" spans="2:40" x14ac:dyDescent="0.2">
      <c r="B11" s="1">
        <f>'4. T7 LÅN '!B15</f>
        <v>0</v>
      </c>
      <c r="C11" s="193">
        <f>'4. T7 LÅN '!C15</f>
        <v>0</v>
      </c>
      <c r="D11" s="75">
        <f>'4. T7 LÅN '!D15</f>
        <v>0</v>
      </c>
      <c r="E11" s="194">
        <f>'4. T7 LÅN '!E15</f>
        <v>0</v>
      </c>
      <c r="F11" s="366"/>
      <c r="G11" s="367"/>
      <c r="H11" s="368"/>
      <c r="I11" s="368"/>
      <c r="J11" s="369"/>
      <c r="K11" s="195"/>
      <c r="L11" s="198"/>
      <c r="M11" s="196">
        <f>'4. T7 LÅN '!F15</f>
        <v>0</v>
      </c>
      <c r="N11" s="196">
        <f t="shared" si="0"/>
        <v>0</v>
      </c>
      <c r="O11" s="196">
        <f t="shared" si="1"/>
        <v>0</v>
      </c>
      <c r="P11" s="197">
        <f>'4. T7 LÅN '!H15</f>
        <v>0</v>
      </c>
      <c r="Q11" s="195"/>
      <c r="R11" s="198"/>
      <c r="S11" s="196">
        <f>'4. T7 LÅN '!I15</f>
        <v>0</v>
      </c>
      <c r="T11" s="196">
        <f t="shared" si="2"/>
        <v>0</v>
      </c>
      <c r="U11" s="196">
        <f t="shared" si="3"/>
        <v>0</v>
      </c>
      <c r="V11" s="197">
        <f>'4. T7 LÅN '!K15</f>
        <v>0</v>
      </c>
      <c r="W11" s="195"/>
      <c r="X11" s="198"/>
      <c r="Y11" s="196">
        <f>'4. T7 LÅN '!L15</f>
        <v>0</v>
      </c>
      <c r="Z11" s="196">
        <f t="shared" si="4"/>
        <v>0</v>
      </c>
      <c r="AA11" s="196">
        <f t="shared" si="5"/>
        <v>0</v>
      </c>
      <c r="AB11" s="197">
        <f>'4. T7 LÅN '!N15</f>
        <v>0</v>
      </c>
      <c r="AC11" s="195"/>
      <c r="AD11" s="198"/>
      <c r="AE11" s="196">
        <f>'4. T7 LÅN '!O15</f>
        <v>0</v>
      </c>
      <c r="AF11" s="196">
        <f t="shared" si="6"/>
        <v>0</v>
      </c>
      <c r="AG11" s="196">
        <f t="shared" si="7"/>
        <v>0</v>
      </c>
      <c r="AH11" s="197">
        <f>'4. T7 LÅN '!Q15</f>
        <v>0</v>
      </c>
      <c r="AI11" s="195"/>
      <c r="AJ11" s="198"/>
      <c r="AK11" s="196">
        <f>IF(D11=0,0,IF(C11-S11-Y11-AE11&lt;AE11,AG11,'AT2 Lainat,sotum., alv-osto'!AE11))</f>
        <v>0</v>
      </c>
      <c r="AL11" s="196">
        <f t="shared" si="8"/>
        <v>0</v>
      </c>
      <c r="AM11" s="196">
        <f t="shared" si="9"/>
        <v>0</v>
      </c>
      <c r="AN11" s="197"/>
    </row>
    <row r="12" spans="2:40" x14ac:dyDescent="0.2">
      <c r="B12" s="1">
        <f>'4. T7 LÅN '!B16</f>
        <v>0</v>
      </c>
      <c r="C12" s="193">
        <f>'4. T7 LÅN '!C16</f>
        <v>0</v>
      </c>
      <c r="D12" s="75">
        <f>'4. T7 LÅN '!D16</f>
        <v>0</v>
      </c>
      <c r="E12" s="194">
        <f>'4. T7 LÅN '!E16</f>
        <v>0</v>
      </c>
      <c r="F12" s="366"/>
      <c r="G12" s="367"/>
      <c r="H12" s="368"/>
      <c r="I12" s="368"/>
      <c r="J12" s="369"/>
      <c r="K12" s="195"/>
      <c r="L12" s="198"/>
      <c r="M12" s="196">
        <f>'4. T7 LÅN '!F16</f>
        <v>0</v>
      </c>
      <c r="N12" s="196">
        <f t="shared" si="0"/>
        <v>0</v>
      </c>
      <c r="O12" s="196">
        <f t="shared" si="1"/>
        <v>0</v>
      </c>
      <c r="P12" s="197">
        <f>'4. T7 LÅN '!H16</f>
        <v>0</v>
      </c>
      <c r="Q12" s="195"/>
      <c r="R12" s="198"/>
      <c r="S12" s="196">
        <f>'4. T7 LÅN '!I16</f>
        <v>0</v>
      </c>
      <c r="T12" s="196">
        <f t="shared" si="2"/>
        <v>0</v>
      </c>
      <c r="U12" s="196">
        <f t="shared" si="3"/>
        <v>0</v>
      </c>
      <c r="V12" s="197">
        <f>'4. T7 LÅN '!K16</f>
        <v>0</v>
      </c>
      <c r="W12" s="195"/>
      <c r="X12" s="198"/>
      <c r="Y12" s="196">
        <f>'4. T7 LÅN '!L16</f>
        <v>0</v>
      </c>
      <c r="Z12" s="196">
        <f t="shared" si="4"/>
        <v>0</v>
      </c>
      <c r="AA12" s="196">
        <f t="shared" si="5"/>
        <v>0</v>
      </c>
      <c r="AB12" s="197">
        <f>'4. T7 LÅN '!N16</f>
        <v>0</v>
      </c>
      <c r="AC12" s="195"/>
      <c r="AD12" s="198"/>
      <c r="AE12" s="196">
        <f>'4. T7 LÅN '!O16</f>
        <v>0</v>
      </c>
      <c r="AF12" s="196">
        <f t="shared" si="6"/>
        <v>0</v>
      </c>
      <c r="AG12" s="196">
        <f t="shared" si="7"/>
        <v>0</v>
      </c>
      <c r="AH12" s="197">
        <f>'4. T7 LÅN '!Q16</f>
        <v>0</v>
      </c>
      <c r="AI12" s="195"/>
      <c r="AJ12" s="198"/>
      <c r="AK12" s="196">
        <f>IF(D12=0,0,IF(C12-S12-Y12-AE12&lt;AE12,AG12,'AT2 Lainat,sotum., alv-osto'!AE12))</f>
        <v>0</v>
      </c>
      <c r="AL12" s="196">
        <f t="shared" si="8"/>
        <v>0</v>
      </c>
      <c r="AM12" s="196">
        <f t="shared" si="9"/>
        <v>0</v>
      </c>
      <c r="AN12" s="197"/>
    </row>
    <row r="13" spans="2:40" x14ac:dyDescent="0.2">
      <c r="B13" s="1" t="str">
        <f>'4. T7 LÅN '!B17</f>
        <v xml:space="preserve"> Limitkredit</v>
      </c>
      <c r="C13" s="193">
        <f>'4. T7 LÅN '!C17</f>
        <v>0</v>
      </c>
      <c r="D13" s="75">
        <f>'4. T7 LÅN '!D17</f>
        <v>0</v>
      </c>
      <c r="E13" s="194">
        <f>'4. T7 LÅN '!E17</f>
        <v>0</v>
      </c>
      <c r="F13" s="366"/>
      <c r="G13" s="367"/>
      <c r="H13" s="368"/>
      <c r="I13" s="368"/>
      <c r="J13" s="369"/>
      <c r="K13" s="195"/>
      <c r="L13" s="198"/>
      <c r="M13" s="196">
        <f>'4. T7 LÅN '!F17</f>
        <v>0</v>
      </c>
      <c r="N13" s="196">
        <f t="shared" si="0"/>
        <v>0</v>
      </c>
      <c r="O13" s="196">
        <f t="shared" si="1"/>
        <v>0</v>
      </c>
      <c r="P13" s="197">
        <f>'4. T7 LÅN '!H17</f>
        <v>0</v>
      </c>
      <c r="Q13" s="195"/>
      <c r="R13" s="198"/>
      <c r="S13" s="196">
        <f>'4. T7 LÅN '!I17</f>
        <v>0</v>
      </c>
      <c r="T13" s="196">
        <f t="shared" si="2"/>
        <v>0</v>
      </c>
      <c r="U13" s="196">
        <f t="shared" si="3"/>
        <v>0</v>
      </c>
      <c r="V13" s="197">
        <f>'4. T7 LÅN '!K17</f>
        <v>0</v>
      </c>
      <c r="W13" s="195"/>
      <c r="X13" s="198"/>
      <c r="Y13" s="196">
        <f>'4. T7 LÅN '!L17</f>
        <v>0</v>
      </c>
      <c r="Z13" s="196">
        <f t="shared" si="4"/>
        <v>0</v>
      </c>
      <c r="AA13" s="196">
        <f t="shared" si="5"/>
        <v>0</v>
      </c>
      <c r="AB13" s="197">
        <f>'4. T7 LÅN '!N17</f>
        <v>0</v>
      </c>
      <c r="AC13" s="195"/>
      <c r="AD13" s="198"/>
      <c r="AE13" s="196">
        <f>'4. T7 LÅN '!O17</f>
        <v>0</v>
      </c>
      <c r="AF13" s="196">
        <f t="shared" si="6"/>
        <v>0</v>
      </c>
      <c r="AG13" s="196">
        <f t="shared" si="7"/>
        <v>0</v>
      </c>
      <c r="AH13" s="197">
        <f>'4. T7 LÅN '!Q17</f>
        <v>0</v>
      </c>
      <c r="AI13" s="195"/>
      <c r="AJ13" s="198"/>
      <c r="AK13" s="196">
        <f>IF(D13=0,0,IF(C13-S13-Y13-AE13&lt;AE13,AG13,'AT2 Lainat,sotum., alv-osto'!AE13))</f>
        <v>0</v>
      </c>
      <c r="AL13" s="196">
        <f t="shared" si="8"/>
        <v>0</v>
      </c>
      <c r="AM13" s="196">
        <f t="shared" si="9"/>
        <v>0</v>
      </c>
      <c r="AN13" s="197"/>
    </row>
    <row r="14" spans="2:40" s="2" customFormat="1" x14ac:dyDescent="0.2">
      <c r="B14" s="2" t="s">
        <v>94</v>
      </c>
      <c r="C14" s="271">
        <f>SUM(C7:C13)</f>
        <v>0</v>
      </c>
      <c r="D14" s="492"/>
      <c r="E14" s="272"/>
      <c r="F14" s="195"/>
      <c r="G14" s="279">
        <f>SUM(G7:G13)</f>
        <v>0</v>
      </c>
      <c r="H14" s="280"/>
      <c r="I14" s="279">
        <f>SUM(I7:I13)</f>
        <v>0</v>
      </c>
      <c r="J14" s="197"/>
      <c r="K14" s="195"/>
      <c r="L14" s="198"/>
      <c r="M14" s="271">
        <f>SUM(M7:M13)</f>
        <v>0</v>
      </c>
      <c r="N14" s="271">
        <f>SUM(N7:N13)</f>
        <v>0</v>
      </c>
      <c r="O14" s="271">
        <f>SUM(O7:O13)</f>
        <v>0</v>
      </c>
      <c r="P14" s="271">
        <f>SUM(P7:P13)</f>
        <v>0</v>
      </c>
      <c r="Q14" s="271">
        <f>SUM(Q7:Q13)</f>
        <v>0</v>
      </c>
      <c r="R14" s="198"/>
      <c r="S14" s="271">
        <f>SUM(S7:S13)</f>
        <v>0</v>
      </c>
      <c r="T14" s="196">
        <f t="shared" si="2"/>
        <v>0</v>
      </c>
      <c r="U14" s="271">
        <f>SUM(U7:U13)</f>
        <v>0</v>
      </c>
      <c r="V14" s="271">
        <f>SUM(V7:V13)</f>
        <v>0</v>
      </c>
      <c r="W14" s="271">
        <f>SUM(W7:W13)</f>
        <v>0</v>
      </c>
      <c r="X14" s="198"/>
      <c r="Y14" s="271">
        <f t="shared" ref="Y14:AN14" si="10">SUM(Y7:Y13)</f>
        <v>0</v>
      </c>
      <c r="Z14" s="196">
        <f t="shared" si="4"/>
        <v>0</v>
      </c>
      <c r="AA14" s="271">
        <f t="shared" si="10"/>
        <v>0</v>
      </c>
      <c r="AB14" s="271">
        <f t="shared" si="10"/>
        <v>0</v>
      </c>
      <c r="AC14" s="271">
        <f t="shared" si="10"/>
        <v>0</v>
      </c>
      <c r="AD14" s="271">
        <f t="shared" si="10"/>
        <v>0</v>
      </c>
      <c r="AE14" s="271">
        <f t="shared" si="10"/>
        <v>0</v>
      </c>
      <c r="AF14" s="196">
        <f t="shared" si="6"/>
        <v>0</v>
      </c>
      <c r="AG14" s="271">
        <f t="shared" si="10"/>
        <v>0</v>
      </c>
      <c r="AH14" s="271">
        <f t="shared" si="10"/>
        <v>0</v>
      </c>
      <c r="AI14" s="271">
        <f t="shared" si="10"/>
        <v>0</v>
      </c>
      <c r="AJ14" s="271">
        <f t="shared" si="10"/>
        <v>0</v>
      </c>
      <c r="AK14" s="271">
        <f t="shared" si="10"/>
        <v>0</v>
      </c>
      <c r="AL14" s="196">
        <f t="shared" si="8"/>
        <v>0</v>
      </c>
      <c r="AM14" s="271">
        <f t="shared" si="10"/>
        <v>0</v>
      </c>
      <c r="AN14" s="271">
        <f t="shared" si="10"/>
        <v>0</v>
      </c>
    </row>
    <row r="15" spans="2:40" x14ac:dyDescent="0.2">
      <c r="B15" s="1" t="s">
        <v>28</v>
      </c>
      <c r="C15" s="35"/>
      <c r="D15" s="75"/>
      <c r="E15" s="35"/>
      <c r="F15" s="87"/>
      <c r="G15" s="83"/>
      <c r="H15" s="83"/>
      <c r="I15" s="83"/>
      <c r="J15" s="88"/>
      <c r="K15" s="87"/>
      <c r="L15" s="86"/>
      <c r="M15" s="83"/>
      <c r="N15" s="83"/>
      <c r="O15" s="83"/>
      <c r="P15" s="88"/>
      <c r="Q15" s="87"/>
      <c r="R15" s="86"/>
      <c r="S15" s="83"/>
      <c r="T15" s="83"/>
      <c r="U15" s="83"/>
      <c r="V15" s="88"/>
      <c r="W15" s="87"/>
      <c r="X15" s="86"/>
      <c r="Y15" s="83"/>
      <c r="Z15" s="83"/>
      <c r="AA15" s="83"/>
      <c r="AB15" s="88"/>
      <c r="AC15" s="87"/>
      <c r="AD15" s="86"/>
      <c r="AE15" s="196" t="s">
        <v>0</v>
      </c>
      <c r="AF15" s="83"/>
      <c r="AG15" s="83"/>
      <c r="AH15" s="88"/>
      <c r="AI15" s="87"/>
      <c r="AJ15" s="86"/>
      <c r="AK15" s="196" t="s">
        <v>0</v>
      </c>
      <c r="AL15" s="83"/>
      <c r="AM15" s="83"/>
      <c r="AN15" s="88"/>
    </row>
    <row r="16" spans="2:40" x14ac:dyDescent="0.2">
      <c r="B16" s="77" t="str">
        <f>'4. T7 LÅN '!B24</f>
        <v xml:space="preserve"> Långivaren/avsedd användning</v>
      </c>
      <c r="C16" s="84">
        <f>'4. T7 LÅN '!C24</f>
        <v>0</v>
      </c>
      <c r="D16" s="493">
        <f>'4. T7 LÅN '!D24</f>
        <v>0</v>
      </c>
      <c r="E16" s="85">
        <f>'4. T7 LÅN '!E24</f>
        <v>0</v>
      </c>
      <c r="F16" s="647"/>
      <c r="G16" s="648"/>
      <c r="H16" s="648"/>
      <c r="I16" s="648"/>
      <c r="J16" s="649"/>
      <c r="K16" s="204">
        <f>'4. T7 LÅN '!F24</f>
        <v>0</v>
      </c>
      <c r="L16" s="205">
        <f>IF(I16&gt;0,IF(D16-1&gt;0,D16-1,D16),D16)</f>
        <v>0</v>
      </c>
      <c r="M16" s="187">
        <f>'4. T7 LÅN '!G24</f>
        <v>0</v>
      </c>
      <c r="N16" s="187">
        <f>F16-G16+K16-M16/4</f>
        <v>0</v>
      </c>
      <c r="O16" s="187">
        <f>K16-M16</f>
        <v>0</v>
      </c>
      <c r="P16" s="160">
        <f>IF($E16*N16&lt;0,0,N16*$E16)</f>
        <v>0</v>
      </c>
      <c r="Q16" s="161">
        <f>'4. T7 LÅN '!I24</f>
        <v>0</v>
      </c>
      <c r="R16" s="205">
        <f t="shared" ref="R16:R21" si="11">IF(F16=0,IF(K16=0,L16,$D16-1),$D16-2)</f>
        <v>0</v>
      </c>
      <c r="S16" s="187">
        <f>'4. T7 LÅN '!J24</f>
        <v>0</v>
      </c>
      <c r="T16" s="187">
        <f t="shared" ref="T16:T21" si="12">O16+Q16-S16/4</f>
        <v>0</v>
      </c>
      <c r="U16" s="187">
        <f t="shared" ref="U16:U21" si="13">O16+Q16-S16</f>
        <v>0</v>
      </c>
      <c r="V16" s="160">
        <f t="shared" ref="V16:V21" si="14">IF($E16*T16&lt;0,0,T16*$E16)</f>
        <v>0</v>
      </c>
      <c r="W16" s="161">
        <f>'4. T7 LÅN '!L24</f>
        <v>0</v>
      </c>
      <c r="X16" s="205">
        <f>IF(R16-1&gt;0,R16-1,0)</f>
        <v>0</v>
      </c>
      <c r="Y16" s="187">
        <f>'4. T7 LÅN '!M24</f>
        <v>0</v>
      </c>
      <c r="Z16" s="187">
        <f>(U16+W16-Y16/4)</f>
        <v>0</v>
      </c>
      <c r="AA16" s="187">
        <f>U16+W16-Y16</f>
        <v>0</v>
      </c>
      <c r="AB16" s="160">
        <f>IF($E16*Z16&lt;0,0,Z16*$E16)</f>
        <v>0</v>
      </c>
      <c r="AC16" s="161">
        <f>'4. T7 LÅN '!O24</f>
        <v>0</v>
      </c>
      <c r="AD16" s="205">
        <f>IF(X16-1&gt;0,X16-1,0)</f>
        <v>0</v>
      </c>
      <c r="AE16" s="196">
        <f>'4. T7 LÅN '!P24</f>
        <v>0</v>
      </c>
      <c r="AF16" s="187">
        <f>(AA16+AC16-AE16/4)</f>
        <v>0</v>
      </c>
      <c r="AG16" s="187">
        <f>AA16+AC16-AE16</f>
        <v>0</v>
      </c>
      <c r="AH16" s="160">
        <f>IF($E16*AF16&lt;0,0,AF16*$E16)</f>
        <v>0</v>
      </c>
      <c r="AI16" s="161">
        <v>0</v>
      </c>
      <c r="AJ16" s="205">
        <f>IF(AD16-1&gt;0,AD16-1,0)</f>
        <v>0</v>
      </c>
      <c r="AK16" s="196">
        <f>IF(D16=0,0,IF(C16-S16-Y16-AE16-M16&lt;=0,0,IF(AG16&lt;AE16,AG16,'AT2 Lainat,sotum., alv-osto'!AE16)))</f>
        <v>0</v>
      </c>
      <c r="AL16" s="187">
        <f>(AG16+AI16-AK16/4)</f>
        <v>0</v>
      </c>
      <c r="AM16" s="187">
        <f>AG16+AI16-AK16</f>
        <v>0</v>
      </c>
      <c r="AN16" s="160">
        <f>IF($E16*AL16&lt;0,0,AL16*$E16)</f>
        <v>0</v>
      </c>
    </row>
    <row r="17" spans="2:40" x14ac:dyDescent="0.2">
      <c r="B17" s="77">
        <f>'4. T7 LÅN '!B25</f>
        <v>0</v>
      </c>
      <c r="C17" s="84">
        <f>'4. T7 LÅN '!C25</f>
        <v>0</v>
      </c>
      <c r="D17" s="493">
        <f>'4. T7 LÅN '!D25</f>
        <v>0</v>
      </c>
      <c r="E17" s="85">
        <f>'4. T7 LÅN '!E25</f>
        <v>0</v>
      </c>
      <c r="F17" s="647"/>
      <c r="G17" s="648"/>
      <c r="H17" s="648"/>
      <c r="I17" s="648"/>
      <c r="J17" s="649"/>
      <c r="K17" s="204">
        <f>'4. T7 LÅN '!F25</f>
        <v>0</v>
      </c>
      <c r="L17" s="205">
        <f>IF(I17&gt;0,IF(D17-1&gt;0,D17-1,D17),D17)</f>
        <v>0</v>
      </c>
      <c r="M17" s="187">
        <f>'4. T7 LÅN '!G25</f>
        <v>0</v>
      </c>
      <c r="N17" s="187">
        <f>F17-G17+K17-M17/4</f>
        <v>0</v>
      </c>
      <c r="O17" s="187">
        <f>K17-M17</f>
        <v>0</v>
      </c>
      <c r="P17" s="160">
        <f>IF($E17*N17&lt;0,0,N17*$E17)</f>
        <v>0</v>
      </c>
      <c r="Q17" s="161">
        <f>'4. T7 LÅN '!I25</f>
        <v>0</v>
      </c>
      <c r="R17" s="205">
        <f t="shared" si="11"/>
        <v>0</v>
      </c>
      <c r="S17" s="187">
        <f>'4. T7 LÅN '!J25</f>
        <v>0</v>
      </c>
      <c r="T17" s="187">
        <f t="shared" si="12"/>
        <v>0</v>
      </c>
      <c r="U17" s="187">
        <f t="shared" si="13"/>
        <v>0</v>
      </c>
      <c r="V17" s="160">
        <f t="shared" si="14"/>
        <v>0</v>
      </c>
      <c r="W17" s="161">
        <f>'4. T7 LÅN '!L25</f>
        <v>0</v>
      </c>
      <c r="X17" s="205">
        <f>IF(R17-1&gt;0,R17-1,0)</f>
        <v>0</v>
      </c>
      <c r="Y17" s="187">
        <f>'4. T7 LÅN '!M25</f>
        <v>0</v>
      </c>
      <c r="Z17" s="187">
        <f t="shared" ref="Z17:Z27" si="15">(U17+W17-Y17/4)</f>
        <v>0</v>
      </c>
      <c r="AA17" s="187">
        <f>U17+W17-Y17</f>
        <v>0</v>
      </c>
      <c r="AB17" s="160">
        <f>IF($E17*Z17&lt;0,0,Z17*$E17)</f>
        <v>0</v>
      </c>
      <c r="AC17" s="161">
        <f>'4. T7 LÅN '!O25</f>
        <v>0</v>
      </c>
      <c r="AD17" s="205">
        <f>IF(X17-1&gt;0,X17-1,0)</f>
        <v>0</v>
      </c>
      <c r="AE17" s="196">
        <f>'4. T7 LÅN '!P25</f>
        <v>0</v>
      </c>
      <c r="AF17" s="187">
        <f t="shared" ref="AF17:AF27" si="16">(AA17+AC17-AE17/4)</f>
        <v>0</v>
      </c>
      <c r="AG17" s="187">
        <f>AA17+AC17-AE17</f>
        <v>0</v>
      </c>
      <c r="AH17" s="160">
        <f>IF($E17*AF17&lt;0,0,AF17*$E17)</f>
        <v>0</v>
      </c>
      <c r="AI17" s="161">
        <v>0</v>
      </c>
      <c r="AJ17" s="205">
        <f>IF(AD17-1&gt;0,AD17-1,0)</f>
        <v>0</v>
      </c>
      <c r="AK17" s="196">
        <f>IF(D17=0,0,IF(C17-S17-Y17-AE17-M17&lt;=0,0,IF(AG17&lt;AE17,AG17,'AT2 Lainat,sotum., alv-osto'!AE17)))</f>
        <v>0</v>
      </c>
      <c r="AL17" s="187">
        <f t="shared" ref="AL17:AL27" si="17">(AG17+AI17-AK17/4)</f>
        <v>0</v>
      </c>
      <c r="AM17" s="187">
        <f>AG17+AI17-AK17</f>
        <v>0</v>
      </c>
      <c r="AN17" s="160">
        <f>IF($E17*AL17&lt;0,0,AL17*$E17)</f>
        <v>0</v>
      </c>
    </row>
    <row r="18" spans="2:40" x14ac:dyDescent="0.2">
      <c r="B18" s="77">
        <f>'4. T7 LÅN '!B26</f>
        <v>0</v>
      </c>
      <c r="C18" s="84">
        <f>'4. T7 LÅN '!C26</f>
        <v>0</v>
      </c>
      <c r="D18" s="493">
        <f>'4. T7 LÅN '!D26</f>
        <v>0</v>
      </c>
      <c r="E18" s="85">
        <f>'4. T7 LÅN '!E26</f>
        <v>0</v>
      </c>
      <c r="F18" s="647"/>
      <c r="G18" s="648"/>
      <c r="H18" s="648"/>
      <c r="I18" s="648"/>
      <c r="J18" s="649"/>
      <c r="K18" s="204">
        <f>'4. T7 LÅN '!F26</f>
        <v>0</v>
      </c>
      <c r="L18" s="205">
        <f>IF(I18&gt;0,IF(D18-1&gt;0,D18-1,D18),D18)</f>
        <v>0</v>
      </c>
      <c r="M18" s="187">
        <f>'4. T7 LÅN '!G26</f>
        <v>0</v>
      </c>
      <c r="N18" s="187">
        <f>F18-G18+K18-M18/4</f>
        <v>0</v>
      </c>
      <c r="O18" s="187">
        <f>K18-M18</f>
        <v>0</v>
      </c>
      <c r="P18" s="160">
        <f>IF($E18*N18&lt;0,0,N18*$E18)</f>
        <v>0</v>
      </c>
      <c r="Q18" s="161">
        <f>'4. T7 LÅN '!I26</f>
        <v>0</v>
      </c>
      <c r="R18" s="205">
        <f t="shared" si="11"/>
        <v>0</v>
      </c>
      <c r="S18" s="187">
        <f>'4. T7 LÅN '!J26</f>
        <v>0</v>
      </c>
      <c r="T18" s="187">
        <f t="shared" si="12"/>
        <v>0</v>
      </c>
      <c r="U18" s="187">
        <f t="shared" si="13"/>
        <v>0</v>
      </c>
      <c r="V18" s="160">
        <f t="shared" si="14"/>
        <v>0</v>
      </c>
      <c r="W18" s="161">
        <f>'4. T7 LÅN '!L26</f>
        <v>0</v>
      </c>
      <c r="X18" s="205">
        <f t="shared" ref="X18:X24" si="18">IF(R18-1&gt;0,R18-1,0)</f>
        <v>0</v>
      </c>
      <c r="Y18" s="187">
        <f>'4. T7 LÅN '!M26</f>
        <v>0</v>
      </c>
      <c r="Z18" s="187">
        <f t="shared" si="15"/>
        <v>0</v>
      </c>
      <c r="AA18" s="187">
        <f t="shared" ref="AA18:AA24" si="19">U18+W18-Y18</f>
        <v>0</v>
      </c>
      <c r="AB18" s="160">
        <f t="shared" ref="AB18:AB24" si="20">IF($E18*Z18&lt;0,0,Z18*$E18)</f>
        <v>0</v>
      </c>
      <c r="AC18" s="161">
        <f>'4. T7 LÅN '!O26</f>
        <v>0</v>
      </c>
      <c r="AD18" s="205">
        <f t="shared" ref="AD18:AD27" si="21">IF(X18-1&gt;0,X18-1,0)</f>
        <v>0</v>
      </c>
      <c r="AE18" s="196">
        <f>'4. T7 LÅN '!P26</f>
        <v>0</v>
      </c>
      <c r="AF18" s="187">
        <f t="shared" si="16"/>
        <v>0</v>
      </c>
      <c r="AG18" s="187">
        <f t="shared" ref="AG18:AG27" si="22">AA18+AC18-AE18</f>
        <v>0</v>
      </c>
      <c r="AH18" s="160">
        <f t="shared" ref="AH18:AH27" si="23">IF($E18*AF18&lt;0,0,AF18*$E18)</f>
        <v>0</v>
      </c>
      <c r="AI18" s="161">
        <v>0</v>
      </c>
      <c r="AJ18" s="205">
        <f t="shared" ref="AJ18:AJ27" si="24">IF(AD18-1&gt;0,AD18-1,0)</f>
        <v>0</v>
      </c>
      <c r="AK18" s="196">
        <f>IF(D18=0,0,IF(C18-S18-Y18-AE18-M18&lt;=0,0,IF(AG18&lt;AE18,AG18,'AT2 Lainat,sotum., alv-osto'!AE18)))</f>
        <v>0</v>
      </c>
      <c r="AL18" s="187">
        <f t="shared" si="17"/>
        <v>0</v>
      </c>
      <c r="AM18" s="187">
        <f t="shared" ref="AM18:AM27" si="25">AG18+AI18-AK18</f>
        <v>0</v>
      </c>
      <c r="AN18" s="160">
        <f t="shared" ref="AN18:AN27" si="26">IF($E18*AL18&lt;0,0,AL18*$E18)</f>
        <v>0</v>
      </c>
    </row>
    <row r="19" spans="2:40" x14ac:dyDescent="0.2">
      <c r="B19" s="77" t="str">
        <f>'4. T7 LÅN '!B28</f>
        <v xml:space="preserve"> Långivaren/avsedd användning</v>
      </c>
      <c r="C19" s="84">
        <f>'4. T7 LÅN '!C28</f>
        <v>0</v>
      </c>
      <c r="D19" s="493">
        <f>'4. T7 LÅN '!D28</f>
        <v>0</v>
      </c>
      <c r="E19" s="85">
        <f>'4. T7 LÅN '!E28</f>
        <v>0</v>
      </c>
      <c r="F19" s="647"/>
      <c r="G19" s="648"/>
      <c r="H19" s="648"/>
      <c r="I19" s="648"/>
      <c r="J19" s="649"/>
      <c r="K19" s="204"/>
      <c r="L19" s="205"/>
      <c r="M19" s="187"/>
      <c r="N19" s="187"/>
      <c r="O19" s="187"/>
      <c r="P19" s="160"/>
      <c r="Q19" s="161">
        <f>'4. T7 LÅN '!I28</f>
        <v>0</v>
      </c>
      <c r="R19" s="205">
        <f t="shared" si="11"/>
        <v>0</v>
      </c>
      <c r="S19" s="187">
        <f>'4. T7 LÅN '!J28</f>
        <v>0</v>
      </c>
      <c r="T19" s="187">
        <f t="shared" si="12"/>
        <v>0</v>
      </c>
      <c r="U19" s="187">
        <f t="shared" si="13"/>
        <v>0</v>
      </c>
      <c r="V19" s="160">
        <f t="shared" si="14"/>
        <v>0</v>
      </c>
      <c r="W19" s="161">
        <f>'4. T7 LÅN '!L28</f>
        <v>0</v>
      </c>
      <c r="X19" s="205">
        <f t="shared" si="18"/>
        <v>0</v>
      </c>
      <c r="Y19" s="187">
        <f>'4. T7 LÅN '!M28</f>
        <v>0</v>
      </c>
      <c r="Z19" s="187">
        <f t="shared" si="15"/>
        <v>0</v>
      </c>
      <c r="AA19" s="187">
        <f t="shared" si="19"/>
        <v>0</v>
      </c>
      <c r="AB19" s="160">
        <f t="shared" si="20"/>
        <v>0</v>
      </c>
      <c r="AC19" s="161">
        <f>'4. T7 LÅN '!O28</f>
        <v>0</v>
      </c>
      <c r="AD19" s="205">
        <f t="shared" si="21"/>
        <v>0</v>
      </c>
      <c r="AE19" s="196">
        <f>'4. T7 LÅN '!P28</f>
        <v>0</v>
      </c>
      <c r="AF19" s="187">
        <f t="shared" si="16"/>
        <v>0</v>
      </c>
      <c r="AG19" s="187">
        <f t="shared" si="22"/>
        <v>0</v>
      </c>
      <c r="AH19" s="160">
        <f t="shared" si="23"/>
        <v>0</v>
      </c>
      <c r="AI19" s="161">
        <v>0</v>
      </c>
      <c r="AJ19" s="205">
        <f t="shared" si="24"/>
        <v>0</v>
      </c>
      <c r="AK19" s="196">
        <f>IF(D19=0,0,IF(C19-S19-Y19-AE19-M19&lt;=0,0,IF(AG19&lt;AE19,AG19,'AT2 Lainat,sotum., alv-osto'!AE19)))</f>
        <v>0</v>
      </c>
      <c r="AL19" s="187">
        <f t="shared" si="17"/>
        <v>0</v>
      </c>
      <c r="AM19" s="187">
        <f t="shared" si="25"/>
        <v>0</v>
      </c>
      <c r="AN19" s="160">
        <f t="shared" si="26"/>
        <v>0</v>
      </c>
    </row>
    <row r="20" spans="2:40" x14ac:dyDescent="0.2">
      <c r="B20" s="77">
        <f>'4. T7 LÅN '!B29</f>
        <v>0</v>
      </c>
      <c r="C20" s="84">
        <f>'4. T7 LÅN '!C29</f>
        <v>0</v>
      </c>
      <c r="D20" s="493">
        <f>'4. T7 LÅN '!D29</f>
        <v>0</v>
      </c>
      <c r="E20" s="85">
        <f>'4. T7 LÅN '!E29</f>
        <v>0</v>
      </c>
      <c r="F20" s="647"/>
      <c r="G20" s="648"/>
      <c r="H20" s="648"/>
      <c r="I20" s="648"/>
      <c r="J20" s="649"/>
      <c r="K20" s="204"/>
      <c r="L20" s="205"/>
      <c r="M20" s="187"/>
      <c r="N20" s="187"/>
      <c r="O20" s="187"/>
      <c r="P20" s="160"/>
      <c r="Q20" s="161">
        <f>'4. T7 LÅN '!I29</f>
        <v>0</v>
      </c>
      <c r="R20" s="205">
        <f t="shared" si="11"/>
        <v>0</v>
      </c>
      <c r="S20" s="187">
        <f>'4. T7 LÅN '!J29</f>
        <v>0</v>
      </c>
      <c r="T20" s="187">
        <f t="shared" si="12"/>
        <v>0</v>
      </c>
      <c r="U20" s="187">
        <f t="shared" si="13"/>
        <v>0</v>
      </c>
      <c r="V20" s="160">
        <f t="shared" si="14"/>
        <v>0</v>
      </c>
      <c r="W20" s="161">
        <f>'4. T7 LÅN '!L29</f>
        <v>0</v>
      </c>
      <c r="X20" s="205">
        <f>IF(R20-1&gt;0,R20-1,0)</f>
        <v>0</v>
      </c>
      <c r="Y20" s="187">
        <f>'4. T7 LÅN '!M29</f>
        <v>0</v>
      </c>
      <c r="Z20" s="187">
        <f t="shared" si="15"/>
        <v>0</v>
      </c>
      <c r="AA20" s="187">
        <f>U20+W20-Y20</f>
        <v>0</v>
      </c>
      <c r="AB20" s="160">
        <f>IF($E20*Z20&lt;0,0,Z20*$E20)</f>
        <v>0</v>
      </c>
      <c r="AC20" s="161">
        <f>'4. T7 LÅN '!O29</f>
        <v>0</v>
      </c>
      <c r="AD20" s="205">
        <f>IF(X20-1&gt;0,X20-1,0)</f>
        <v>0</v>
      </c>
      <c r="AE20" s="196">
        <f>'4. T7 LÅN '!P29</f>
        <v>0</v>
      </c>
      <c r="AF20" s="187">
        <f t="shared" si="16"/>
        <v>0</v>
      </c>
      <c r="AG20" s="187">
        <f>AA20+AC20-AE20</f>
        <v>0</v>
      </c>
      <c r="AH20" s="160">
        <f>IF($E20*AF20&lt;0,0,AF20*$E20)</f>
        <v>0</v>
      </c>
      <c r="AI20" s="161">
        <v>0</v>
      </c>
      <c r="AJ20" s="205">
        <f>IF(AD20-1&gt;0,AD20-1,0)</f>
        <v>0</v>
      </c>
      <c r="AK20" s="196">
        <f>IF(D20=0,0,IF(C20-S20-Y20-AE20-M20&lt;=0,0,IF(AG20&lt;AE20,AG20,'AT2 Lainat,sotum., alv-osto'!AE20)))</f>
        <v>0</v>
      </c>
      <c r="AL20" s="187">
        <f t="shared" si="17"/>
        <v>0</v>
      </c>
      <c r="AM20" s="187">
        <f>AG20+AI20-AK20</f>
        <v>0</v>
      </c>
      <c r="AN20" s="160">
        <f>IF($E20*AL20&lt;0,0,AL20*$E20)</f>
        <v>0</v>
      </c>
    </row>
    <row r="21" spans="2:40" x14ac:dyDescent="0.2">
      <c r="B21" s="77">
        <f>'4. T7 LÅN '!B30</f>
        <v>0</v>
      </c>
      <c r="C21" s="84">
        <f>'4. T7 LÅN '!C30</f>
        <v>0</v>
      </c>
      <c r="D21" s="493">
        <f>'4. T7 LÅN '!D30</f>
        <v>0</v>
      </c>
      <c r="E21" s="85">
        <f>'4. T7 LÅN '!E30</f>
        <v>0</v>
      </c>
      <c r="F21" s="647"/>
      <c r="G21" s="648"/>
      <c r="H21" s="648"/>
      <c r="I21" s="648"/>
      <c r="J21" s="649"/>
      <c r="K21" s="204"/>
      <c r="L21" s="205"/>
      <c r="M21" s="187"/>
      <c r="N21" s="187"/>
      <c r="O21" s="187"/>
      <c r="P21" s="160"/>
      <c r="Q21" s="161">
        <f>'4. T7 LÅN '!I30</f>
        <v>0</v>
      </c>
      <c r="R21" s="205">
        <f t="shared" si="11"/>
        <v>0</v>
      </c>
      <c r="S21" s="187">
        <f>'4. T7 LÅN '!J30</f>
        <v>0</v>
      </c>
      <c r="T21" s="187">
        <f t="shared" si="12"/>
        <v>0</v>
      </c>
      <c r="U21" s="187">
        <f t="shared" si="13"/>
        <v>0</v>
      </c>
      <c r="V21" s="160">
        <f t="shared" si="14"/>
        <v>0</v>
      </c>
      <c r="W21" s="161">
        <f>'4. T7 LÅN '!L30</f>
        <v>0</v>
      </c>
      <c r="X21" s="205">
        <f t="shared" si="18"/>
        <v>0</v>
      </c>
      <c r="Y21" s="187">
        <f>'4. T7 LÅN '!M30</f>
        <v>0</v>
      </c>
      <c r="Z21" s="187">
        <f t="shared" si="15"/>
        <v>0</v>
      </c>
      <c r="AA21" s="187">
        <f t="shared" si="19"/>
        <v>0</v>
      </c>
      <c r="AB21" s="160">
        <f t="shared" si="20"/>
        <v>0</v>
      </c>
      <c r="AC21" s="161">
        <f>'4. T7 LÅN '!O30</f>
        <v>0</v>
      </c>
      <c r="AD21" s="205">
        <f t="shared" si="21"/>
        <v>0</v>
      </c>
      <c r="AE21" s="196">
        <f>'4. T7 LÅN '!P30</f>
        <v>0</v>
      </c>
      <c r="AF21" s="187">
        <f t="shared" si="16"/>
        <v>0</v>
      </c>
      <c r="AG21" s="187">
        <f t="shared" si="22"/>
        <v>0</v>
      </c>
      <c r="AH21" s="160">
        <f t="shared" si="23"/>
        <v>0</v>
      </c>
      <c r="AI21" s="161">
        <v>0</v>
      </c>
      <c r="AJ21" s="205">
        <f t="shared" si="24"/>
        <v>0</v>
      </c>
      <c r="AK21" s="196">
        <f>IF(D21=0,0,IF(C21-S21-Y21-AE21-M21&lt;=0,0,IF(AG21&lt;AE21,AG21,'AT2 Lainat,sotum., alv-osto'!AE21)))</f>
        <v>0</v>
      </c>
      <c r="AL21" s="187">
        <f t="shared" si="17"/>
        <v>0</v>
      </c>
      <c r="AM21" s="187">
        <f t="shared" si="25"/>
        <v>0</v>
      </c>
      <c r="AN21" s="160">
        <f t="shared" si="26"/>
        <v>0</v>
      </c>
    </row>
    <row r="22" spans="2:40" x14ac:dyDescent="0.2">
      <c r="B22" s="77" t="str">
        <f>'4. T7 LÅN '!B32</f>
        <v xml:space="preserve"> Långivaren/avsedd användning</v>
      </c>
      <c r="C22" s="84">
        <f>'4. T7 LÅN '!C32</f>
        <v>0</v>
      </c>
      <c r="D22" s="493">
        <f>'4. T7 LÅN '!D32</f>
        <v>0</v>
      </c>
      <c r="E22" s="85">
        <f>'4. T7 LÅN '!E32</f>
        <v>0</v>
      </c>
      <c r="F22" s="647"/>
      <c r="G22" s="648"/>
      <c r="H22" s="648"/>
      <c r="I22" s="648"/>
      <c r="J22" s="649"/>
      <c r="K22" s="204"/>
      <c r="L22" s="205"/>
      <c r="M22" s="187"/>
      <c r="N22" s="187"/>
      <c r="O22" s="187"/>
      <c r="P22" s="160"/>
      <c r="Q22" s="161">
        <f>'4. T7 LÅN '!I32</f>
        <v>0</v>
      </c>
      <c r="R22" s="205">
        <f>IF(F22=0,IF(K22=0,L22,$D22-1),$D22-2)</f>
        <v>0</v>
      </c>
      <c r="S22" s="187">
        <f>'4. T7 LÅN '!J32</f>
        <v>0</v>
      </c>
      <c r="T22" s="187">
        <f>O22+Q22-S22/2</f>
        <v>0</v>
      </c>
      <c r="U22" s="187">
        <f>O22+Q22-S22</f>
        <v>0</v>
      </c>
      <c r="V22" s="160">
        <f>IF($E22*T22&lt;0,0,T22*$E22)</f>
        <v>0</v>
      </c>
      <c r="W22" s="161">
        <f>'4. T7 LÅN '!L32</f>
        <v>0</v>
      </c>
      <c r="X22" s="205">
        <f t="shared" si="18"/>
        <v>0</v>
      </c>
      <c r="Y22" s="187">
        <f>'4. T7 LÅN '!M32</f>
        <v>0</v>
      </c>
      <c r="Z22" s="187">
        <f t="shared" si="15"/>
        <v>0</v>
      </c>
      <c r="AA22" s="187">
        <f t="shared" si="19"/>
        <v>0</v>
      </c>
      <c r="AB22" s="160">
        <f t="shared" si="20"/>
        <v>0</v>
      </c>
      <c r="AC22" s="161">
        <f>'4. T7 LÅN '!O32</f>
        <v>0</v>
      </c>
      <c r="AD22" s="205">
        <f t="shared" si="21"/>
        <v>0</v>
      </c>
      <c r="AE22" s="196">
        <f>'4. T7 LÅN '!P32</f>
        <v>0</v>
      </c>
      <c r="AF22" s="187">
        <f t="shared" si="16"/>
        <v>0</v>
      </c>
      <c r="AG22" s="187">
        <f t="shared" si="22"/>
        <v>0</v>
      </c>
      <c r="AH22" s="160">
        <f t="shared" si="23"/>
        <v>0</v>
      </c>
      <c r="AI22" s="161">
        <v>0</v>
      </c>
      <c r="AJ22" s="205">
        <f t="shared" si="24"/>
        <v>0</v>
      </c>
      <c r="AK22" s="196">
        <f>IF(D22=0,0,IF(C22-S22-Y22-AE22-M22&lt;=0,0,IF(AG22&lt;AE22,AG22,'AT2 Lainat,sotum., alv-osto'!AE22)))</f>
        <v>0</v>
      </c>
      <c r="AL22" s="187">
        <f t="shared" si="17"/>
        <v>0</v>
      </c>
      <c r="AM22" s="187">
        <f t="shared" si="25"/>
        <v>0</v>
      </c>
      <c r="AN22" s="160">
        <f t="shared" si="26"/>
        <v>0</v>
      </c>
    </row>
    <row r="23" spans="2:40" x14ac:dyDescent="0.2">
      <c r="B23" s="77">
        <f>'4. T7 LÅN '!B33</f>
        <v>0</v>
      </c>
      <c r="C23" s="84">
        <f>'4. T7 LÅN '!C33</f>
        <v>0</v>
      </c>
      <c r="D23" s="493">
        <f>'4. T7 LÅN '!D33</f>
        <v>0</v>
      </c>
      <c r="E23" s="85">
        <f>'4. T7 LÅN '!E33</f>
        <v>0</v>
      </c>
      <c r="F23" s="647"/>
      <c r="G23" s="648"/>
      <c r="H23" s="648"/>
      <c r="I23" s="648"/>
      <c r="J23" s="649"/>
      <c r="K23" s="204"/>
      <c r="L23" s="205"/>
      <c r="M23" s="187"/>
      <c r="N23" s="187"/>
      <c r="O23" s="187"/>
      <c r="P23" s="160"/>
      <c r="Q23" s="161">
        <f>'4. T7 LÅN '!I33</f>
        <v>0</v>
      </c>
      <c r="R23" s="205">
        <f>IF(F23=0,IF(K23=0,L23,$D23-1),$D23-2)</f>
        <v>0</v>
      </c>
      <c r="S23" s="187">
        <f>'4. T7 LÅN '!J33</f>
        <v>0</v>
      </c>
      <c r="T23" s="187">
        <f>O23+Q23-S23/2</f>
        <v>0</v>
      </c>
      <c r="U23" s="187">
        <f>O23+Q23-S23</f>
        <v>0</v>
      </c>
      <c r="V23" s="160">
        <f>IF($E23*T23&lt;0,0,T23*$E23)</f>
        <v>0</v>
      </c>
      <c r="W23" s="161">
        <f>'4. T7 LÅN '!L33</f>
        <v>0</v>
      </c>
      <c r="X23" s="205">
        <f>IF(R23-1&gt;0,R23-1,0)</f>
        <v>0</v>
      </c>
      <c r="Y23" s="187">
        <f>'4. T7 LÅN '!M33</f>
        <v>0</v>
      </c>
      <c r="Z23" s="187">
        <f t="shared" si="15"/>
        <v>0</v>
      </c>
      <c r="AA23" s="187">
        <f>U23+W23-Y23</f>
        <v>0</v>
      </c>
      <c r="AB23" s="160">
        <f>IF($E23*Z23&lt;0,0,Z23*$E23)</f>
        <v>0</v>
      </c>
      <c r="AC23" s="161">
        <f>'4. T7 LÅN '!O33</f>
        <v>0</v>
      </c>
      <c r="AD23" s="205">
        <f>IF(X23-1&gt;0,X23-1,0)</f>
        <v>0</v>
      </c>
      <c r="AE23" s="196">
        <f>'4. T7 LÅN '!P33</f>
        <v>0</v>
      </c>
      <c r="AF23" s="187">
        <f t="shared" si="16"/>
        <v>0</v>
      </c>
      <c r="AG23" s="187">
        <f>AA23+AC23-AE23</f>
        <v>0</v>
      </c>
      <c r="AH23" s="160">
        <f>IF($E23*AF23&lt;0,0,AF23*$E23)</f>
        <v>0</v>
      </c>
      <c r="AI23" s="161">
        <v>0</v>
      </c>
      <c r="AJ23" s="205">
        <f>IF(AD23-1&gt;0,AD23-1,0)</f>
        <v>0</v>
      </c>
      <c r="AK23" s="196">
        <f>IF(D23=0,0,IF(C23-S23-Y23-AE23-M23&lt;=0,0,IF(AG23&lt;AE23,AG23,'AT2 Lainat,sotum., alv-osto'!AE23)))</f>
        <v>0</v>
      </c>
      <c r="AL23" s="187">
        <f t="shared" si="17"/>
        <v>0</v>
      </c>
      <c r="AM23" s="187">
        <f>AG23+AI23-AK23</f>
        <v>0</v>
      </c>
      <c r="AN23" s="160">
        <f>IF($E23*AL23&lt;0,0,AL23*$E23)</f>
        <v>0</v>
      </c>
    </row>
    <row r="24" spans="2:40" x14ac:dyDescent="0.2">
      <c r="B24" s="77">
        <f>'4. T7 LÅN '!B34</f>
        <v>0</v>
      </c>
      <c r="C24" s="84">
        <f>'4. T7 LÅN '!C34</f>
        <v>0</v>
      </c>
      <c r="D24" s="493">
        <f>'4. T7 LÅN '!D34</f>
        <v>0</v>
      </c>
      <c r="E24" s="85">
        <f>'4. T7 LÅN '!E34</f>
        <v>0</v>
      </c>
      <c r="F24" s="647"/>
      <c r="G24" s="648"/>
      <c r="H24" s="648"/>
      <c r="I24" s="648"/>
      <c r="J24" s="649"/>
      <c r="K24" s="204">
        <f>'4. T7 LÅN '!F34</f>
        <v>0</v>
      </c>
      <c r="L24" s="205">
        <f>IF(I24&gt;0,IF(D24-1&gt;0,D24-1,D24),D24)</f>
        <v>0</v>
      </c>
      <c r="M24" s="187">
        <f>'4. T7 LÅN '!G34</f>
        <v>0</v>
      </c>
      <c r="N24" s="187">
        <f>F24-G24+K24-M24/2</f>
        <v>0</v>
      </c>
      <c r="O24" s="187">
        <f>K24-M24</f>
        <v>0</v>
      </c>
      <c r="P24" s="160">
        <f>IF($E24*N24&lt;0,0,N24*$E24)</f>
        <v>0</v>
      </c>
      <c r="Q24" s="161">
        <f>'4. T7 LÅN '!I34</f>
        <v>0</v>
      </c>
      <c r="R24" s="205">
        <f>IF(F24=0,IF(K24=0,L24,$D24-1),$D24-2)</f>
        <v>0</v>
      </c>
      <c r="S24" s="187">
        <f>'4. T7 LÅN '!J34</f>
        <v>0</v>
      </c>
      <c r="T24" s="187">
        <f>O24+Q24-S24/2</f>
        <v>0</v>
      </c>
      <c r="U24" s="187">
        <f>O24+Q24-S24</f>
        <v>0</v>
      </c>
      <c r="V24" s="160">
        <f>IF($E24*T24&lt;0,0,T24*$E24)</f>
        <v>0</v>
      </c>
      <c r="W24" s="161">
        <f>'4. T7 LÅN '!L34</f>
        <v>0</v>
      </c>
      <c r="X24" s="205">
        <f t="shared" si="18"/>
        <v>0</v>
      </c>
      <c r="Y24" s="187">
        <f>'4. T7 LÅN '!M34</f>
        <v>0</v>
      </c>
      <c r="Z24" s="187">
        <f t="shared" si="15"/>
        <v>0</v>
      </c>
      <c r="AA24" s="187">
        <f t="shared" si="19"/>
        <v>0</v>
      </c>
      <c r="AB24" s="160">
        <f t="shared" si="20"/>
        <v>0</v>
      </c>
      <c r="AC24" s="161">
        <f>'4. T7 LÅN '!O34</f>
        <v>0</v>
      </c>
      <c r="AD24" s="205">
        <f t="shared" si="21"/>
        <v>0</v>
      </c>
      <c r="AE24" s="196">
        <f>'4. T7 LÅN '!P34</f>
        <v>0</v>
      </c>
      <c r="AF24" s="187">
        <f t="shared" si="16"/>
        <v>0</v>
      </c>
      <c r="AG24" s="187">
        <f t="shared" si="22"/>
        <v>0</v>
      </c>
      <c r="AH24" s="160">
        <f t="shared" si="23"/>
        <v>0</v>
      </c>
      <c r="AI24" s="161">
        <v>0</v>
      </c>
      <c r="AJ24" s="205">
        <f t="shared" si="24"/>
        <v>0</v>
      </c>
      <c r="AK24" s="196">
        <f>IF(D24=0,0,IF(C24-S24-Y24-AE24-M24&lt;=0,0,IF(AG24&lt;AE24,AG24,'AT2 Lainat,sotum., alv-osto'!AE24)))</f>
        <v>0</v>
      </c>
      <c r="AL24" s="187">
        <f t="shared" si="17"/>
        <v>0</v>
      </c>
      <c r="AM24" s="187">
        <f t="shared" si="25"/>
        <v>0</v>
      </c>
      <c r="AN24" s="160">
        <f t="shared" si="26"/>
        <v>0</v>
      </c>
    </row>
    <row r="25" spans="2:40" x14ac:dyDescent="0.2">
      <c r="B25" s="77" t="str">
        <f>'4. T7 LÅN '!B36</f>
        <v xml:space="preserve"> Långivaren/avsedd användning</v>
      </c>
      <c r="C25" s="84">
        <f>'4. T7 LÅN '!C36</f>
        <v>0</v>
      </c>
      <c r="D25" s="493">
        <f>'4. T7 LÅN '!D36</f>
        <v>0</v>
      </c>
      <c r="E25" s="85">
        <f>'4. T7 LÅN '!E36</f>
        <v>0</v>
      </c>
      <c r="F25" s="647"/>
      <c r="G25" s="648"/>
      <c r="H25" s="648"/>
      <c r="I25" s="648"/>
      <c r="J25" s="649"/>
      <c r="K25" s="204">
        <f>'4. T7 LÅN '!F36</f>
        <v>0</v>
      </c>
      <c r="L25" s="205">
        <f>IF(I25&gt;0,IF(D25-1&gt;0,D25-1,D25),D25)</f>
        <v>0</v>
      </c>
      <c r="M25" s="187">
        <f>'4. T7 LÅN '!G36</f>
        <v>0</v>
      </c>
      <c r="N25" s="187">
        <f>F25-G25+K25-M25/2</f>
        <v>0</v>
      </c>
      <c r="O25" s="187">
        <f>K25-M25</f>
        <v>0</v>
      </c>
      <c r="P25" s="160">
        <f>IF($E25*N25&lt;0,0,N25*$E25)</f>
        <v>0</v>
      </c>
      <c r="Q25" s="161">
        <f>'4. T7 LÅN '!I36</f>
        <v>0</v>
      </c>
      <c r="R25" s="205">
        <f>IF(F25=0,IF(K25=0,L25,$D25-1),$D25-2)</f>
        <v>0</v>
      </c>
      <c r="S25" s="187">
        <f>'4. T7 LÅN '!J36</f>
        <v>0</v>
      </c>
      <c r="T25" s="187">
        <f>O25+Q25-S25/2</f>
        <v>0</v>
      </c>
      <c r="U25" s="187">
        <f>O25+Q25-S25</f>
        <v>0</v>
      </c>
      <c r="V25" s="160">
        <f>IF($E25*T25&lt;0,0,T25*$E25)</f>
        <v>0</v>
      </c>
      <c r="W25" s="161">
        <f>'4. T7 LÅN '!L36</f>
        <v>0</v>
      </c>
      <c r="X25" s="205">
        <f>IF(R25-1&gt;0,R25-1,0)</f>
        <v>0</v>
      </c>
      <c r="Y25" s="187">
        <f>'4. T7 LÅN '!M36</f>
        <v>0</v>
      </c>
      <c r="Z25" s="187">
        <f t="shared" si="15"/>
        <v>0</v>
      </c>
      <c r="AA25" s="187">
        <f>U25+W25-Y25</f>
        <v>0</v>
      </c>
      <c r="AB25" s="160">
        <f>IF($E25*Z25&lt;0,0,Z25*$E25)</f>
        <v>0</v>
      </c>
      <c r="AC25" s="161">
        <f>'4. T7 LÅN '!O36</f>
        <v>0</v>
      </c>
      <c r="AD25" s="205">
        <f>IF(X25-1&gt;0,X25-1,0)</f>
        <v>0</v>
      </c>
      <c r="AE25" s="196">
        <f>'4. T7 LÅN '!P36</f>
        <v>0</v>
      </c>
      <c r="AF25" s="187">
        <f t="shared" si="16"/>
        <v>0</v>
      </c>
      <c r="AG25" s="187">
        <f>AA25+AC25-AE25</f>
        <v>0</v>
      </c>
      <c r="AH25" s="160">
        <f>IF($E25*AF25&lt;0,0,AF25*$E25)</f>
        <v>0</v>
      </c>
      <c r="AI25" s="161">
        <v>0</v>
      </c>
      <c r="AJ25" s="205">
        <f>IF(AD25-1&gt;0,AD25-1,0)</f>
        <v>0</v>
      </c>
      <c r="AK25" s="196">
        <f>IF(D25=0,0,IF(C25-S25-Y25-AE25-M25&lt;=0,0,IF(AG25&lt;AE25,AG25,'AT2 Lainat,sotum., alv-osto'!AE25)))</f>
        <v>0</v>
      </c>
      <c r="AL25" s="187">
        <f t="shared" si="17"/>
        <v>0</v>
      </c>
      <c r="AM25" s="187">
        <f>AG25+AI25-AK25</f>
        <v>0</v>
      </c>
      <c r="AN25" s="160">
        <f>IF($E25*AL25&lt;0,0,AL25*$E25)</f>
        <v>0</v>
      </c>
    </row>
    <row r="26" spans="2:40" x14ac:dyDescent="0.2">
      <c r="B26" s="77">
        <f>'4. T7 LÅN '!B37</f>
        <v>0</v>
      </c>
      <c r="C26" s="84">
        <f>'4. T7 LÅN '!C37</f>
        <v>0</v>
      </c>
      <c r="D26" s="493">
        <f>'4. T7 LÅN '!D37</f>
        <v>0</v>
      </c>
      <c r="E26" s="85">
        <f>'4. T7 LÅN '!E37</f>
        <v>0</v>
      </c>
      <c r="F26" s="647"/>
      <c r="G26" s="648"/>
      <c r="H26" s="648"/>
      <c r="I26" s="648"/>
      <c r="J26" s="649"/>
      <c r="K26" s="204">
        <f>'4. T7 LÅN '!F37</f>
        <v>0</v>
      </c>
      <c r="L26" s="205">
        <f>IF(I26&gt;0,IF(D26-1&gt;0,D26-1,D26),D26)</f>
        <v>0</v>
      </c>
      <c r="M26" s="187">
        <f>'4. T7 LÅN '!G37</f>
        <v>0</v>
      </c>
      <c r="N26" s="187">
        <f>F26-G26+K26-M26/2</f>
        <v>0</v>
      </c>
      <c r="O26" s="187">
        <f>K26-M26</f>
        <v>0</v>
      </c>
      <c r="P26" s="160">
        <f>IF($E26*N26&lt;0,0,N26*$E26)</f>
        <v>0</v>
      </c>
      <c r="Q26" s="161">
        <f>'4. T7 LÅN '!I37</f>
        <v>0</v>
      </c>
      <c r="R26" s="205">
        <f>IF(F26=0,IF(K26=0,L26,$D26-1),$D26-2)</f>
        <v>0</v>
      </c>
      <c r="S26" s="187">
        <f>'4. T7 LÅN '!J37</f>
        <v>0</v>
      </c>
      <c r="T26" s="187">
        <f>O26+Q26-S26/2</f>
        <v>0</v>
      </c>
      <c r="U26" s="187">
        <f>O26+Q26-S26</f>
        <v>0</v>
      </c>
      <c r="V26" s="160">
        <f>IF($E26*T26&lt;0,0,T26*$E26)</f>
        <v>0</v>
      </c>
      <c r="W26" s="161">
        <f>'4. T7 LÅN '!L37</f>
        <v>0</v>
      </c>
      <c r="X26" s="205">
        <f>IF(R26-1&gt;0,R26-1,0)</f>
        <v>0</v>
      </c>
      <c r="Y26" s="187">
        <f>'4. T7 LÅN '!M37</f>
        <v>0</v>
      </c>
      <c r="Z26" s="187">
        <f t="shared" si="15"/>
        <v>0</v>
      </c>
      <c r="AA26" s="187">
        <f>U26+W26-Y26</f>
        <v>0</v>
      </c>
      <c r="AB26" s="160">
        <f>IF($E26*Z26&lt;0,0,Z26*$E26)</f>
        <v>0</v>
      </c>
      <c r="AC26" s="161">
        <f>'4. T7 LÅN '!O37</f>
        <v>0</v>
      </c>
      <c r="AD26" s="205">
        <f>IF(X26-1&gt;0,X26-1,0)</f>
        <v>0</v>
      </c>
      <c r="AE26" s="196">
        <f>'4. T7 LÅN '!P37</f>
        <v>0</v>
      </c>
      <c r="AF26" s="187">
        <f t="shared" si="16"/>
        <v>0</v>
      </c>
      <c r="AG26" s="187">
        <f>AA26+AC26-AE26</f>
        <v>0</v>
      </c>
      <c r="AH26" s="160">
        <f>IF($E26*AF26&lt;0,0,AF26*$E26)</f>
        <v>0</v>
      </c>
      <c r="AI26" s="161">
        <v>0</v>
      </c>
      <c r="AJ26" s="205">
        <f>IF(AD26-1&gt;0,AD26-1,0)</f>
        <v>0</v>
      </c>
      <c r="AK26" s="196">
        <f>IF(D26=0,0,IF(C26-S26-Y26-AE26-M26&lt;=0,0,IF(AG26&lt;AE26,AG26,'AT2 Lainat,sotum., alv-osto'!AE26)))</f>
        <v>0</v>
      </c>
      <c r="AL26" s="187">
        <f t="shared" si="17"/>
        <v>0</v>
      </c>
      <c r="AM26" s="187">
        <f>AG26+AI26-AK26</f>
        <v>0</v>
      </c>
      <c r="AN26" s="160">
        <f>IF($E26*AL26&lt;0,0,AL26*$E26)</f>
        <v>0</v>
      </c>
    </row>
    <row r="27" spans="2:40" x14ac:dyDescent="0.2">
      <c r="B27" s="77">
        <f>'4. T7 LÅN '!B38</f>
        <v>0</v>
      </c>
      <c r="C27" s="84">
        <f>'4. T7 LÅN '!C38</f>
        <v>0</v>
      </c>
      <c r="D27" s="493">
        <f>'4. T7 LÅN '!D38</f>
        <v>0</v>
      </c>
      <c r="E27" s="85">
        <f>'4. T7 LÅN '!E38</f>
        <v>0</v>
      </c>
      <c r="F27" s="647"/>
      <c r="G27" s="648"/>
      <c r="H27" s="648"/>
      <c r="I27" s="648"/>
      <c r="J27" s="649"/>
      <c r="K27" s="204">
        <f>'4. T7 LÅN '!F38</f>
        <v>0</v>
      </c>
      <c r="L27" s="205">
        <f>IF(I27&gt;0,IF(D27-1&gt;0,D27-1,D27),D27)</f>
        <v>0</v>
      </c>
      <c r="M27" s="187"/>
      <c r="N27" s="187"/>
      <c r="O27" s="187"/>
      <c r="P27" s="160"/>
      <c r="Q27" s="161"/>
      <c r="R27" s="205"/>
      <c r="S27" s="187"/>
      <c r="T27" s="187"/>
      <c r="U27" s="187"/>
      <c r="V27" s="160"/>
      <c r="W27" s="161"/>
      <c r="X27" s="205"/>
      <c r="Y27" s="187"/>
      <c r="Z27" s="187">
        <f t="shared" si="15"/>
        <v>0</v>
      </c>
      <c r="AA27" s="187"/>
      <c r="AB27" s="160"/>
      <c r="AC27" s="161">
        <f>'4. T7 LÅN '!O38</f>
        <v>0</v>
      </c>
      <c r="AD27" s="205">
        <f t="shared" si="21"/>
        <v>0</v>
      </c>
      <c r="AE27" s="506">
        <f>'4. T7 LÅN '!P38</f>
        <v>0</v>
      </c>
      <c r="AF27" s="187">
        <f t="shared" si="16"/>
        <v>0</v>
      </c>
      <c r="AG27" s="187">
        <f t="shared" si="22"/>
        <v>0</v>
      </c>
      <c r="AH27" s="160">
        <f t="shared" si="23"/>
        <v>0</v>
      </c>
      <c r="AI27" s="161">
        <v>0</v>
      </c>
      <c r="AJ27" s="205">
        <f t="shared" si="24"/>
        <v>0</v>
      </c>
      <c r="AK27" s="506">
        <f>IF(D27=0,0,IF(C27-S27-Y27-AE27-M27&lt;=0,0,IF(AG27&lt;AE27,AG27,'AT2 Lainat,sotum., alv-osto'!AE27)))</f>
        <v>0</v>
      </c>
      <c r="AL27" s="187">
        <f t="shared" si="17"/>
        <v>0</v>
      </c>
      <c r="AM27" s="187">
        <f t="shared" si="25"/>
        <v>0</v>
      </c>
      <c r="AN27" s="160">
        <f t="shared" si="26"/>
        <v>0</v>
      </c>
    </row>
    <row r="28" spans="2:40" s="2" customFormat="1" x14ac:dyDescent="0.2">
      <c r="B28" s="2" t="s">
        <v>32</v>
      </c>
      <c r="C28" s="273">
        <f>SUM(C16:C27)</f>
        <v>0</v>
      </c>
      <c r="D28" s="274"/>
      <c r="F28" s="162"/>
      <c r="G28" s="162">
        <f>SUM(G7:G27)</f>
        <v>0</v>
      </c>
      <c r="H28" s="162"/>
      <c r="I28" s="162"/>
      <c r="J28" s="162"/>
      <c r="K28" s="273">
        <f>SUM(K16:K27)</f>
        <v>0</v>
      </c>
      <c r="L28" s="162" t="s">
        <v>0</v>
      </c>
      <c r="M28" s="273">
        <f>SUM(M16:M27)</f>
        <v>0</v>
      </c>
      <c r="N28" s="273">
        <f>SUM(N16:N27)</f>
        <v>0</v>
      </c>
      <c r="O28" s="273">
        <f>SUM(O16:O27)</f>
        <v>0</v>
      </c>
      <c r="P28" s="273">
        <f>SUM(P16:P27)</f>
        <v>0</v>
      </c>
      <c r="Q28" s="273">
        <f>SUM(Q16:Q27)</f>
        <v>0</v>
      </c>
      <c r="R28" s="162" t="s">
        <v>0</v>
      </c>
      <c r="S28" s="273">
        <f>SUM(S16:S27)</f>
        <v>0</v>
      </c>
      <c r="T28" s="273">
        <f>SUM(T16:T27)</f>
        <v>0</v>
      </c>
      <c r="U28" s="273">
        <f>SUM(U16:U27)</f>
        <v>0</v>
      </c>
      <c r="V28" s="273">
        <f>SUM(V16:V27)</f>
        <v>0</v>
      </c>
      <c r="W28" s="273">
        <f>SUM(W16:W27)</f>
        <v>0</v>
      </c>
      <c r="X28" s="162"/>
      <c r="Y28" s="273">
        <f t="shared" ref="Y28:AI28" si="27">SUM(Y16:Y27)</f>
        <v>0</v>
      </c>
      <c r="Z28" s="273">
        <f t="shared" si="27"/>
        <v>0</v>
      </c>
      <c r="AA28" s="273">
        <f t="shared" si="27"/>
        <v>0</v>
      </c>
      <c r="AB28" s="273">
        <f t="shared" si="27"/>
        <v>0</v>
      </c>
      <c r="AC28" s="273">
        <f t="shared" si="27"/>
        <v>0</v>
      </c>
      <c r="AD28" s="273">
        <f t="shared" si="27"/>
        <v>0</v>
      </c>
      <c r="AE28" s="273">
        <f t="shared" si="27"/>
        <v>0</v>
      </c>
      <c r="AF28" s="273">
        <f t="shared" si="27"/>
        <v>0</v>
      </c>
      <c r="AG28" s="273">
        <f t="shared" si="27"/>
        <v>0</v>
      </c>
      <c r="AH28" s="273">
        <f t="shared" si="27"/>
        <v>0</v>
      </c>
      <c r="AI28" s="273">
        <f t="shared" si="27"/>
        <v>0</v>
      </c>
      <c r="AJ28" s="162"/>
      <c r="AK28" s="273">
        <f>SUM(AK16:AK27)</f>
        <v>0</v>
      </c>
      <c r="AL28" s="162"/>
      <c r="AM28" s="162">
        <f>SUM(AM15:AM27)</f>
        <v>0</v>
      </c>
      <c r="AN28" s="162"/>
    </row>
    <row r="29" spans="2:40" s="2" customFormat="1" ht="13.5" thickBot="1" x14ac:dyDescent="0.25">
      <c r="C29" s="273"/>
      <c r="D29" s="274"/>
      <c r="F29" s="273"/>
      <c r="G29" s="162"/>
      <c r="H29" s="6" t="s">
        <v>26</v>
      </c>
      <c r="I29" s="273"/>
      <c r="J29" s="273"/>
      <c r="K29" s="273"/>
      <c r="L29" s="162"/>
      <c r="M29" s="6" t="s">
        <v>26</v>
      </c>
      <c r="N29" s="273"/>
      <c r="O29" s="273"/>
      <c r="P29" s="273"/>
      <c r="Q29" s="273"/>
      <c r="R29" s="162"/>
      <c r="S29" s="6" t="s">
        <v>26</v>
      </c>
      <c r="T29" s="273"/>
      <c r="U29" s="273"/>
      <c r="V29" s="273"/>
      <c r="W29" s="273"/>
      <c r="X29" s="162"/>
      <c r="Y29" s="6" t="s">
        <v>26</v>
      </c>
      <c r="Z29" s="273"/>
      <c r="AA29" s="273"/>
      <c r="AB29" s="273"/>
      <c r="AC29" s="273"/>
      <c r="AD29" s="273"/>
      <c r="AE29" s="6" t="s">
        <v>26</v>
      </c>
      <c r="AF29" s="273"/>
      <c r="AG29" s="273"/>
      <c r="AH29" s="273"/>
      <c r="AI29" s="273"/>
      <c r="AJ29" s="162"/>
      <c r="AK29" s="6" t="s">
        <v>26</v>
      </c>
      <c r="AL29" s="162"/>
      <c r="AM29" s="162"/>
      <c r="AN29" s="162"/>
    </row>
    <row r="30" spans="2:40" s="2" customFormat="1" x14ac:dyDescent="0.2">
      <c r="B30" s="376" t="s">
        <v>95</v>
      </c>
      <c r="C30" s="377"/>
      <c r="D30" s="378"/>
      <c r="E30" s="376"/>
      <c r="F30" s="379" t="s">
        <v>30</v>
      </c>
      <c r="G30" s="380"/>
      <c r="H30" s="381" t="s">
        <v>99</v>
      </c>
      <c r="I30" s="382" t="s">
        <v>97</v>
      </c>
      <c r="J30" s="382" t="s">
        <v>98</v>
      </c>
      <c r="K30" s="377"/>
      <c r="L30" s="380"/>
      <c r="M30" s="381" t="s">
        <v>99</v>
      </c>
      <c r="N30" s="382" t="s">
        <v>97</v>
      </c>
      <c r="O30" s="382" t="s">
        <v>98</v>
      </c>
      <c r="P30" s="377"/>
      <c r="Q30" s="379" t="s">
        <v>30</v>
      </c>
      <c r="R30" s="380"/>
      <c r="S30" s="381" t="s">
        <v>99</v>
      </c>
      <c r="T30" s="382" t="s">
        <v>97</v>
      </c>
      <c r="U30" s="382" t="s">
        <v>98</v>
      </c>
      <c r="V30" s="377"/>
      <c r="W30" s="379" t="s">
        <v>30</v>
      </c>
      <c r="X30" s="380"/>
      <c r="Y30" s="381" t="s">
        <v>99</v>
      </c>
      <c r="Z30" s="382" t="s">
        <v>97</v>
      </c>
      <c r="AA30" s="382" t="s">
        <v>98</v>
      </c>
      <c r="AB30" s="377"/>
      <c r="AC30" s="379" t="s">
        <v>30</v>
      </c>
      <c r="AD30" s="377"/>
      <c r="AE30" s="381" t="s">
        <v>99</v>
      </c>
      <c r="AF30" s="382" t="s">
        <v>97</v>
      </c>
      <c r="AG30" s="382" t="s">
        <v>98</v>
      </c>
      <c r="AH30" s="377"/>
      <c r="AI30" s="379" t="s">
        <v>30</v>
      </c>
      <c r="AJ30" s="380"/>
      <c r="AK30" s="381" t="s">
        <v>99</v>
      </c>
      <c r="AL30" s="382" t="s">
        <v>97</v>
      </c>
      <c r="AM30" s="382" t="s">
        <v>98</v>
      </c>
      <c r="AN30" s="380"/>
    </row>
    <row r="31" spans="2:40" s="2" customFormat="1" x14ac:dyDescent="0.2">
      <c r="B31" s="376" t="s">
        <v>96</v>
      </c>
      <c r="C31" s="377"/>
      <c r="D31" s="378"/>
      <c r="E31" s="376"/>
      <c r="F31" s="380"/>
      <c r="G31" s="380"/>
      <c r="H31" s="380"/>
      <c r="I31" s="380">
        <f>M14</f>
        <v>0</v>
      </c>
      <c r="J31" s="380">
        <f>I14-I31</f>
        <v>0</v>
      </c>
      <c r="K31" s="377"/>
      <c r="L31" s="380"/>
      <c r="M31" s="376"/>
      <c r="N31" s="377">
        <f>S14</f>
        <v>0</v>
      </c>
      <c r="O31" s="377">
        <f>U14</f>
        <v>0</v>
      </c>
      <c r="P31" s="377"/>
      <c r="Q31" s="377"/>
      <c r="R31" s="380"/>
      <c r="S31" s="376"/>
      <c r="T31" s="377">
        <f>S14</f>
        <v>0</v>
      </c>
      <c r="U31" s="377">
        <f>AA14</f>
        <v>0</v>
      </c>
      <c r="V31" s="377"/>
      <c r="W31" s="377"/>
      <c r="X31" s="380"/>
      <c r="Y31" s="376"/>
      <c r="Z31" s="377">
        <f>Y14</f>
        <v>0</v>
      </c>
      <c r="AA31" s="377">
        <f>AG14</f>
        <v>0</v>
      </c>
      <c r="AB31" s="377"/>
      <c r="AC31" s="377"/>
      <c r="AD31" s="377"/>
      <c r="AE31" s="376"/>
      <c r="AF31" s="377">
        <f>AE14</f>
        <v>0</v>
      </c>
      <c r="AG31" s="377">
        <f>AM14</f>
        <v>0</v>
      </c>
      <c r="AH31" s="377"/>
      <c r="AI31" s="377"/>
      <c r="AJ31" s="380"/>
      <c r="AK31" s="376"/>
      <c r="AL31" s="377">
        <f>AK14</f>
        <v>0</v>
      </c>
      <c r="AM31" s="377"/>
      <c r="AN31" s="380"/>
    </row>
    <row r="32" spans="2:40" s="2" customFormat="1" x14ac:dyDescent="0.2">
      <c r="B32" s="383" t="s">
        <v>28</v>
      </c>
      <c r="C32" s="377"/>
      <c r="D32" s="378"/>
      <c r="E32" s="376"/>
      <c r="F32" s="380"/>
      <c r="G32" s="380"/>
      <c r="H32" s="380"/>
      <c r="I32" s="380"/>
      <c r="J32" s="380"/>
      <c r="K32" s="377"/>
      <c r="L32" s="380"/>
      <c r="M32" s="377"/>
      <c r="N32" s="377"/>
      <c r="O32" s="377"/>
      <c r="P32" s="377"/>
      <c r="Q32" s="377"/>
      <c r="R32" s="380"/>
      <c r="S32" s="377"/>
      <c r="T32" s="377"/>
      <c r="U32" s="377"/>
      <c r="V32" s="377"/>
      <c r="W32" s="377"/>
      <c r="X32" s="380"/>
      <c r="Y32" s="377"/>
      <c r="Z32" s="377"/>
      <c r="AA32" s="377"/>
      <c r="AB32" s="377"/>
      <c r="AC32" s="377"/>
      <c r="AD32" s="377"/>
      <c r="AE32" s="377"/>
      <c r="AF32" s="377"/>
      <c r="AG32" s="377"/>
      <c r="AH32" s="377"/>
      <c r="AI32" s="377"/>
      <c r="AJ32" s="380"/>
      <c r="AK32" s="380"/>
      <c r="AL32" s="380"/>
      <c r="AM32" s="380"/>
      <c r="AN32" s="380"/>
    </row>
    <row r="33" spans="2:40" s="2" customFormat="1" x14ac:dyDescent="0.2">
      <c r="B33" s="384" t="str">
        <f>B16</f>
        <v xml:space="preserve"> Långivaren/avsedd användning</v>
      </c>
      <c r="C33" s="377"/>
      <c r="D33" s="378"/>
      <c r="E33" s="376"/>
      <c r="F33" s="380"/>
      <c r="G33" s="380"/>
      <c r="H33" s="380"/>
      <c r="I33" s="380"/>
      <c r="J33" s="380"/>
      <c r="K33" s="377">
        <f>K16</f>
        <v>0</v>
      </c>
      <c r="L33" s="380"/>
      <c r="M33" s="377">
        <f>IF(K33&gt;0,M16,0)</f>
        <v>0</v>
      </c>
      <c r="N33" s="377">
        <f>IF(O16&gt;0,S16,0)</f>
        <v>0</v>
      </c>
      <c r="O33" s="377">
        <f>O16</f>
        <v>0</v>
      </c>
      <c r="P33" s="377"/>
      <c r="Q33" s="377">
        <f>Q16</f>
        <v>0</v>
      </c>
      <c r="R33" s="380"/>
      <c r="S33" s="377">
        <f>IF(Q33&gt;0,S16,0)</f>
        <v>0</v>
      </c>
      <c r="T33" s="377">
        <f>IF(U16&gt;0,Y16,0)</f>
        <v>0</v>
      </c>
      <c r="U33" s="377"/>
      <c r="V33" s="377"/>
      <c r="W33" s="377">
        <f>W16</f>
        <v>0</v>
      </c>
      <c r="X33" s="380"/>
      <c r="Y33" s="377">
        <f>IF(W33&gt;0,Y16,0)</f>
        <v>0</v>
      </c>
      <c r="Z33" s="377">
        <f>IF(AA16&gt;0,AE16,0)</f>
        <v>0</v>
      </c>
      <c r="AA33" s="377"/>
      <c r="AB33" s="377"/>
      <c r="AC33" s="377">
        <f>AC16</f>
        <v>0</v>
      </c>
      <c r="AD33" s="377"/>
      <c r="AE33" s="377">
        <f>IF(AC33&gt;0,AE16,0)</f>
        <v>0</v>
      </c>
      <c r="AF33" s="377">
        <f>IF(AG16&gt;0,AK16,0)</f>
        <v>0</v>
      </c>
      <c r="AG33" s="377"/>
      <c r="AH33" s="377"/>
      <c r="AI33" s="377">
        <f>AI16</f>
        <v>0</v>
      </c>
      <c r="AJ33" s="380"/>
      <c r="AK33" s="377">
        <f>IF(AI33&gt;0,AK16,0)</f>
        <v>0</v>
      </c>
      <c r="AL33" s="377">
        <f>IF(AM16&gt;0,AQ16,0)</f>
        <v>0</v>
      </c>
      <c r="AM33" s="377"/>
      <c r="AN33" s="380"/>
    </row>
    <row r="34" spans="2:40" s="2" customFormat="1" x14ac:dyDescent="0.2">
      <c r="B34" s="384">
        <f>B24</f>
        <v>0</v>
      </c>
      <c r="C34" s="377"/>
      <c r="D34" s="378"/>
      <c r="E34" s="376"/>
      <c r="F34" s="380"/>
      <c r="G34" s="380"/>
      <c r="H34" s="380"/>
      <c r="I34" s="380"/>
      <c r="J34" s="380"/>
      <c r="K34" s="377">
        <f>K24</f>
        <v>0</v>
      </c>
      <c r="L34" s="380"/>
      <c r="M34" s="377">
        <f>IF(K34&gt;0,M24,0)</f>
        <v>0</v>
      </c>
      <c r="N34" s="377">
        <f>IF(O24&gt;0,S24,0)</f>
        <v>0</v>
      </c>
      <c r="O34" s="377">
        <f>O24</f>
        <v>0</v>
      </c>
      <c r="P34" s="377"/>
      <c r="Q34" s="377">
        <f>Q24</f>
        <v>0</v>
      </c>
      <c r="R34" s="380"/>
      <c r="S34" s="377">
        <f>IF(Q34&gt;0,S24,0)</f>
        <v>0</v>
      </c>
      <c r="T34" s="377">
        <f>IF(U24&gt;0,Y24,0)</f>
        <v>0</v>
      </c>
      <c r="U34" s="377"/>
      <c r="V34" s="377"/>
      <c r="W34" s="377">
        <f>W24</f>
        <v>0</v>
      </c>
      <c r="X34" s="380"/>
      <c r="Y34" s="377">
        <f>IF(W34&gt;0,Y24,0)</f>
        <v>0</v>
      </c>
      <c r="Z34" s="377">
        <f>IF(AA24&gt;0,AE24,0)</f>
        <v>0</v>
      </c>
      <c r="AA34" s="377"/>
      <c r="AB34" s="377"/>
      <c r="AC34" s="377">
        <f>AC24</f>
        <v>0</v>
      </c>
      <c r="AD34" s="377"/>
      <c r="AE34" s="377">
        <f>IF(AC34&gt;0,AE24,0)</f>
        <v>0</v>
      </c>
      <c r="AF34" s="377">
        <f>IF(AG24&gt;0,AK24,0)</f>
        <v>0</v>
      </c>
      <c r="AG34" s="377"/>
      <c r="AH34" s="377"/>
      <c r="AI34" s="377">
        <f>AI24</f>
        <v>0</v>
      </c>
      <c r="AJ34" s="380"/>
      <c r="AK34" s="377">
        <f>IF(AI34&gt;0,AK24,0)</f>
        <v>0</v>
      </c>
      <c r="AL34" s="377">
        <f>IF(AM24&gt;0,AQ24,0)</f>
        <v>0</v>
      </c>
      <c r="AM34" s="377"/>
      <c r="AN34" s="380"/>
    </row>
    <row r="35" spans="2:40" s="2" customFormat="1" x14ac:dyDescent="0.2">
      <c r="B35" s="384">
        <f>B26</f>
        <v>0</v>
      </c>
      <c r="C35" s="377"/>
      <c r="D35" s="378"/>
      <c r="E35" s="376"/>
      <c r="F35" s="380"/>
      <c r="G35" s="380"/>
      <c r="H35" s="380"/>
      <c r="I35" s="380"/>
      <c r="J35" s="380"/>
      <c r="K35" s="377">
        <f>K26</f>
        <v>0</v>
      </c>
      <c r="L35" s="380"/>
      <c r="M35" s="377">
        <f>IF(K35&gt;0,M26,0)</f>
        <v>0</v>
      </c>
      <c r="N35" s="377">
        <f>IF(O26&gt;0,S26,0)</f>
        <v>0</v>
      </c>
      <c r="O35" s="377">
        <f>O26</f>
        <v>0</v>
      </c>
      <c r="P35" s="377"/>
      <c r="Q35" s="377">
        <f>Q26</f>
        <v>0</v>
      </c>
      <c r="R35" s="380"/>
      <c r="S35" s="377">
        <f>IF(Q35&gt;0,S26,0)</f>
        <v>0</v>
      </c>
      <c r="T35" s="377">
        <f>IF(U26&gt;0,Y26,0)</f>
        <v>0</v>
      </c>
      <c r="U35" s="377"/>
      <c r="V35" s="377"/>
      <c r="W35" s="377">
        <f>W26</f>
        <v>0</v>
      </c>
      <c r="X35" s="380"/>
      <c r="Y35" s="377">
        <f>IF(W35&gt;0,Y26,0)</f>
        <v>0</v>
      </c>
      <c r="Z35" s="377">
        <f>IF(AA26&gt;0,AE26,0)</f>
        <v>0</v>
      </c>
      <c r="AA35" s="377"/>
      <c r="AB35" s="377"/>
      <c r="AC35" s="377">
        <f>AC26</f>
        <v>0</v>
      </c>
      <c r="AD35" s="377"/>
      <c r="AE35" s="377">
        <f>IF(AC35&gt;0,AE26,0)</f>
        <v>0</v>
      </c>
      <c r="AF35" s="377">
        <f>IF(AG26&gt;0,AK26,0)</f>
        <v>0</v>
      </c>
      <c r="AG35" s="377"/>
      <c r="AH35" s="377"/>
      <c r="AI35" s="377">
        <f>AI26</f>
        <v>0</v>
      </c>
      <c r="AJ35" s="380"/>
      <c r="AK35" s="377">
        <f>IF(AI35&gt;0,AK26,0)</f>
        <v>0</v>
      </c>
      <c r="AL35" s="377">
        <f>IF(AM26&gt;0,AQ26,0)</f>
        <v>0</v>
      </c>
      <c r="AM35" s="377"/>
      <c r="AN35" s="380"/>
    </row>
    <row r="36" spans="2:40" s="2" customFormat="1" x14ac:dyDescent="0.2">
      <c r="B36" s="384">
        <f>B27</f>
        <v>0</v>
      </c>
      <c r="C36" s="377"/>
      <c r="D36" s="378"/>
      <c r="E36" s="376"/>
      <c r="F36" s="380"/>
      <c r="G36" s="380"/>
      <c r="H36" s="380"/>
      <c r="I36" s="380"/>
      <c r="J36" s="380"/>
      <c r="K36" s="377">
        <f>K27</f>
        <v>0</v>
      </c>
      <c r="L36" s="380"/>
      <c r="M36" s="377">
        <f>IF(K36&gt;0,M27,0)</f>
        <v>0</v>
      </c>
      <c r="N36" s="377">
        <f>IF(O27&gt;0,S27,0)</f>
        <v>0</v>
      </c>
      <c r="O36" s="377">
        <f>O27</f>
        <v>0</v>
      </c>
      <c r="P36" s="377"/>
      <c r="Q36" s="377">
        <f>Q27</f>
        <v>0</v>
      </c>
      <c r="R36" s="380"/>
      <c r="S36" s="377">
        <f>IF(Q36&gt;0,S27,0)</f>
        <v>0</v>
      </c>
      <c r="T36" s="377">
        <f>IF(U27&gt;0,Y27,0)</f>
        <v>0</v>
      </c>
      <c r="U36" s="377"/>
      <c r="V36" s="377"/>
      <c r="W36" s="377">
        <f>W27</f>
        <v>0</v>
      </c>
      <c r="X36" s="380"/>
      <c r="Y36" s="377">
        <f>IF(W36&gt;0,Y27,0)</f>
        <v>0</v>
      </c>
      <c r="Z36" s="377">
        <f>IF(AA27&gt;0,AE27,0)</f>
        <v>0</v>
      </c>
      <c r="AA36" s="377"/>
      <c r="AB36" s="377"/>
      <c r="AC36" s="377">
        <f>AC27</f>
        <v>0</v>
      </c>
      <c r="AD36" s="377"/>
      <c r="AE36" s="377">
        <f>IF(AC36&gt;0,AE27,0)</f>
        <v>0</v>
      </c>
      <c r="AF36" s="377">
        <f>IF(AG27&gt;0,AK27,0)</f>
        <v>0</v>
      </c>
      <c r="AG36" s="377"/>
      <c r="AH36" s="377"/>
      <c r="AI36" s="377">
        <f>AI27</f>
        <v>0</v>
      </c>
      <c r="AJ36" s="380"/>
      <c r="AK36" s="377">
        <f>IF(AI36&gt;0,AK27,0)</f>
        <v>0</v>
      </c>
      <c r="AL36" s="377">
        <f>IF(AM27&gt;0,AQ27,0)</f>
        <v>0</v>
      </c>
      <c r="AM36" s="377"/>
      <c r="AN36" s="380"/>
    </row>
    <row r="37" spans="2:40" s="2" customFormat="1" ht="13.5" thickBot="1" x14ac:dyDescent="0.25">
      <c r="B37" s="376" t="s">
        <v>101</v>
      </c>
      <c r="C37" s="377"/>
      <c r="D37" s="378"/>
      <c r="E37" s="376"/>
      <c r="F37" s="380"/>
      <c r="G37" s="380"/>
      <c r="H37" s="380"/>
      <c r="I37" s="380"/>
      <c r="J37" s="380"/>
      <c r="K37" s="377">
        <f>SUM(K33:K36)</f>
        <v>0</v>
      </c>
      <c r="L37" s="380"/>
      <c r="M37" s="377">
        <f>SUM(M31:M36)</f>
        <v>0</v>
      </c>
      <c r="N37" s="377">
        <f>SUM(N31:N36)</f>
        <v>0</v>
      </c>
      <c r="O37" s="377">
        <f>SUM(O31:O36)</f>
        <v>0</v>
      </c>
      <c r="P37" s="377"/>
      <c r="Q37" s="377">
        <f>SUM(Q33:Q36)</f>
        <v>0</v>
      </c>
      <c r="R37" s="380"/>
      <c r="S37" s="377">
        <f>SUM(S30:S36)</f>
        <v>0</v>
      </c>
      <c r="T37" s="377">
        <f>SUM(T31:T36)</f>
        <v>0</v>
      </c>
      <c r="U37" s="377"/>
      <c r="V37" s="377"/>
      <c r="W37" s="377">
        <f>SUM(W33:W36)</f>
        <v>0</v>
      </c>
      <c r="X37" s="380"/>
      <c r="Y37" s="377">
        <f>SUM(Y30:Y36)</f>
        <v>0</v>
      </c>
      <c r="Z37" s="377">
        <f>SUM(Z31:Z36)</f>
        <v>0</v>
      </c>
      <c r="AA37" s="377">
        <f>SUM(AA31:AA36)</f>
        <v>0</v>
      </c>
      <c r="AB37" s="377"/>
      <c r="AC37" s="377">
        <f>SUM(AC33:AC36)</f>
        <v>0</v>
      </c>
      <c r="AD37" s="377"/>
      <c r="AE37" s="377">
        <f>SUM(AE30:AE36)</f>
        <v>0</v>
      </c>
      <c r="AF37" s="377">
        <f>SUM(AF31:AF36)</f>
        <v>0</v>
      </c>
      <c r="AG37" s="377">
        <f>SUM(AG31:AG36)</f>
        <v>0</v>
      </c>
      <c r="AH37" s="377"/>
      <c r="AI37" s="377">
        <f>SUM(AI33:AI36)</f>
        <v>0</v>
      </c>
      <c r="AJ37" s="380"/>
      <c r="AK37" s="377">
        <f>SUM(AK30:AK36)</f>
        <v>0</v>
      </c>
      <c r="AL37" s="380"/>
      <c r="AM37" s="377">
        <f>SUM(AM31:AM36)</f>
        <v>0</v>
      </c>
      <c r="AN37" s="380"/>
    </row>
    <row r="38" spans="2:40" s="2" customFormat="1" x14ac:dyDescent="0.2">
      <c r="D38" s="6" t="s">
        <v>35</v>
      </c>
      <c r="F38" s="2290">
        <f>F3</f>
        <v>0</v>
      </c>
      <c r="G38" s="2291"/>
      <c r="H38" s="2291"/>
      <c r="I38" s="2291"/>
      <c r="J38" s="2292"/>
      <c r="K38" s="2290" t="str">
        <f>K3</f>
        <v>Prognos 1</v>
      </c>
      <c r="L38" s="2291"/>
      <c r="M38" s="2291"/>
      <c r="N38" s="2291"/>
      <c r="O38" s="2291"/>
      <c r="P38" s="2292"/>
      <c r="Q38" s="2290" t="str">
        <f>Q3</f>
        <v>Prognos 2</v>
      </c>
      <c r="R38" s="2291"/>
      <c r="S38" s="2291"/>
      <c r="T38" s="2291"/>
      <c r="U38" s="2291"/>
      <c r="V38" s="2292"/>
      <c r="W38" s="2290" t="str">
        <f>W3</f>
        <v>Prognos 3</v>
      </c>
      <c r="X38" s="2291"/>
      <c r="Y38" s="2291"/>
      <c r="Z38" s="2291"/>
      <c r="AA38" s="2291"/>
      <c r="AB38" s="2292"/>
      <c r="AC38" s="2290" t="s">
        <v>81</v>
      </c>
      <c r="AD38" s="2291"/>
      <c r="AE38" s="2291"/>
      <c r="AF38" s="2291"/>
      <c r="AG38" s="2291"/>
      <c r="AH38" s="2292"/>
      <c r="AI38" s="2290" t="s">
        <v>87</v>
      </c>
      <c r="AJ38" s="2291"/>
      <c r="AK38" s="2291"/>
      <c r="AL38" s="2291"/>
      <c r="AM38" s="2291"/>
      <c r="AN38" s="2292"/>
    </row>
    <row r="39" spans="2:40" ht="13.5" thickBot="1" x14ac:dyDescent="0.25">
      <c r="C39" s="6" t="s">
        <v>29</v>
      </c>
      <c r="D39" s="6" t="s">
        <v>34</v>
      </c>
      <c r="E39" s="6" t="s">
        <v>27</v>
      </c>
      <c r="F39" s="2284">
        <f>F4</f>
        <v>0</v>
      </c>
      <c r="G39" s="2285"/>
      <c r="H39" s="2285"/>
      <c r="I39" s="2285"/>
      <c r="J39" s="2286"/>
      <c r="K39" s="2284">
        <f>K4</f>
        <v>2027</v>
      </c>
      <c r="L39" s="2285"/>
      <c r="M39" s="2285"/>
      <c r="N39" s="2285"/>
      <c r="O39" s="2285"/>
      <c r="P39" s="2286"/>
      <c r="Q39" s="2293">
        <f>Q4</f>
        <v>2028</v>
      </c>
      <c r="R39" s="2294"/>
      <c r="S39" s="2294"/>
      <c r="T39" s="2294"/>
      <c r="U39" s="2294"/>
      <c r="V39" s="2295"/>
      <c r="W39" s="2293">
        <f>W4</f>
        <v>2029</v>
      </c>
      <c r="X39" s="2294"/>
      <c r="Y39" s="2294"/>
      <c r="Z39" s="2294"/>
      <c r="AA39" s="2294"/>
      <c r="AB39" s="2295"/>
      <c r="AC39" s="2293">
        <f>AC4</f>
        <v>2030</v>
      </c>
      <c r="AD39" s="2294"/>
      <c r="AE39" s="2294"/>
      <c r="AF39" s="2294"/>
      <c r="AG39" s="2294"/>
      <c r="AH39" s="2295"/>
      <c r="AI39" s="2293">
        <f>AI4</f>
        <v>2031</v>
      </c>
      <c r="AJ39" s="2294"/>
      <c r="AK39" s="2294"/>
      <c r="AL39" s="2294"/>
      <c r="AM39" s="2294"/>
      <c r="AN39" s="2295"/>
    </row>
    <row r="40" spans="2:40" s="2" customFormat="1" x14ac:dyDescent="0.2">
      <c r="B40" s="244" t="s">
        <v>72</v>
      </c>
      <c r="C40" s="245">
        <f>'4. T7 LÅN '!C19</f>
        <v>0</v>
      </c>
      <c r="D40" s="158">
        <f>IF(12*'4. T7 LÅN '!D19-12&lt;0,0,12*'4. T7 LÅN '!D19-12)</f>
        <v>0</v>
      </c>
      <c r="E40" s="246">
        <f>'4. T7 LÅN '!E19</f>
        <v>0</v>
      </c>
      <c r="F40" s="247"/>
      <c r="G40" s="248"/>
      <c r="H40" s="247"/>
      <c r="I40" s="245">
        <f>C40</f>
        <v>0</v>
      </c>
      <c r="J40" s="247"/>
      <c r="K40" s="245"/>
      <c r="L40" s="245"/>
      <c r="M40" s="245">
        <f>'4. T7 LÅN '!F19</f>
        <v>0</v>
      </c>
      <c r="N40" s="245"/>
      <c r="O40" s="245">
        <f>I40</f>
        <v>0</v>
      </c>
      <c r="P40" s="245">
        <f>IF($D40&lt;Q41,0,IF($E40=0,0,-CUMIPMT($E40/12,$D40,$C40+M40,Q41,Q42,0)))</f>
        <v>0</v>
      </c>
      <c r="Q40" s="245"/>
      <c r="R40" s="245"/>
      <c r="S40" s="245">
        <f>IF($D40&lt;Q41,0,IF($E40=0,0,-CUMPRINC($E40/12,$D40,$C40,Q41,Q42,0)))</f>
        <v>0</v>
      </c>
      <c r="T40" s="245"/>
      <c r="U40" s="245">
        <f>IF(S40=0,0,O40-S40)</f>
        <v>0</v>
      </c>
      <c r="V40" s="245">
        <f>IF($D40&lt;Q41,0,IF($E40=0,0,-CUMIPMT($E40/12,$D40,$C40,Q41,Q42,0)))</f>
        <v>0</v>
      </c>
      <c r="W40" s="245"/>
      <c r="X40" s="245"/>
      <c r="Y40" s="245">
        <f>IF($D40&lt;W41,0,IF($E40=0,0,-CUMPRINC($E40/12,$D40,$C40,W41,W42,0)))</f>
        <v>0</v>
      </c>
      <c r="Z40" s="245"/>
      <c r="AA40" s="245">
        <f>IF(Y40=0,0,U40-Y40)</f>
        <v>0</v>
      </c>
      <c r="AB40" s="245">
        <f>IF($D40&lt;W41,0,IF($E40=0,0,-CUMIPMT($E40/12,$D40,$C40,W41,W42,0)))</f>
        <v>0</v>
      </c>
      <c r="AC40" s="245"/>
      <c r="AD40" s="245"/>
      <c r="AE40" s="245">
        <f>IF($D40&lt;AC41,0,IF($E40=0,0,-CUMPRINC($E40/12,$D40,$C40,AC41,AC42,0)))</f>
        <v>0</v>
      </c>
      <c r="AF40" s="245"/>
      <c r="AG40" s="245">
        <f>IF(AE40=0,0,AA40-AE40)</f>
        <v>0</v>
      </c>
      <c r="AH40" s="249">
        <f>IF($D40&lt;AC41,0,IF($E40=0,0,-CUMIPMT($E40/12,$D40,$C40,AC41,AC42,0)))</f>
        <v>0</v>
      </c>
      <c r="AI40" s="245"/>
      <c r="AJ40" s="245"/>
      <c r="AK40" s="245">
        <f>IF($D40&lt;AI41,0,IF($E40=0,0,-CUMPRINC($E40/12,$D40,$C40,AI41,AI42,0)))</f>
        <v>0</v>
      </c>
      <c r="AL40" s="245"/>
      <c r="AM40" s="245">
        <f>IF(AK40=0,0,AG40-AK40)</f>
        <v>0</v>
      </c>
      <c r="AN40" s="249">
        <f>IF($D40&lt;AI41,0,IF($E40=0,0,-CUMIPMT($E40/12,$D40,$C40,AI41,AI42,0)))</f>
        <v>0</v>
      </c>
    </row>
    <row r="41" spans="2:40" x14ac:dyDescent="0.2">
      <c r="B41" s="250" t="s">
        <v>73</v>
      </c>
      <c r="G41" s="90"/>
      <c r="Q41" s="32">
        <v>1</v>
      </c>
      <c r="R41" s="96"/>
      <c r="S41" s="32"/>
      <c r="T41" s="32"/>
      <c r="U41" s="32"/>
      <c r="V41" s="32"/>
      <c r="W41" s="32">
        <v>13</v>
      </c>
      <c r="X41" s="96"/>
      <c r="Y41" s="32"/>
      <c r="Z41" s="32"/>
      <c r="AA41" s="32"/>
      <c r="AB41" s="32"/>
      <c r="AC41" s="32">
        <v>25</v>
      </c>
      <c r="AD41" s="32"/>
      <c r="AE41" s="32"/>
      <c r="AF41" s="32"/>
      <c r="AG41" s="32"/>
      <c r="AH41" s="32"/>
      <c r="AI41">
        <v>37</v>
      </c>
      <c r="AN41" s="159"/>
    </row>
    <row r="42" spans="2:40" x14ac:dyDescent="0.2">
      <c r="B42" s="250" t="s">
        <v>74</v>
      </c>
      <c r="G42" s="90"/>
      <c r="Q42" s="32">
        <v>12</v>
      </c>
      <c r="R42" s="96"/>
      <c r="S42" s="32"/>
      <c r="T42" s="32"/>
      <c r="U42" s="32"/>
      <c r="V42" s="32"/>
      <c r="W42" s="32">
        <v>24</v>
      </c>
      <c r="X42" s="96"/>
      <c r="Y42" s="32"/>
      <c r="Z42" s="32"/>
      <c r="AA42" s="32"/>
      <c r="AB42" s="32"/>
      <c r="AC42" s="32">
        <v>36</v>
      </c>
      <c r="AD42" s="32"/>
      <c r="AE42" s="32"/>
      <c r="AF42" s="32"/>
      <c r="AG42" s="32"/>
      <c r="AH42" s="32"/>
      <c r="AI42">
        <v>48</v>
      </c>
      <c r="AN42" s="159"/>
    </row>
    <row r="43" spans="2:40" ht="13.5" thickBot="1" x14ac:dyDescent="0.25">
      <c r="B43" s="251" t="s">
        <v>85</v>
      </c>
      <c r="C43" s="174"/>
      <c r="D43" s="252"/>
      <c r="E43" s="174"/>
      <c r="F43" s="174"/>
      <c r="G43" s="253"/>
      <c r="H43" s="174"/>
      <c r="I43" s="254">
        <f>SUM(I40:I42)</f>
        <v>0</v>
      </c>
      <c r="J43" s="174"/>
      <c r="K43" s="254"/>
      <c r="L43" s="255"/>
      <c r="M43" s="254">
        <f>SUM(M40:M42)</f>
        <v>0</v>
      </c>
      <c r="N43" s="254"/>
      <c r="O43" s="254">
        <f>SUM(O40:O42)</f>
        <v>0</v>
      </c>
      <c r="P43" s="254">
        <f>SUM(P40:P42)</f>
        <v>0</v>
      </c>
      <c r="Q43" s="254"/>
      <c r="R43" s="255"/>
      <c r="S43" s="254">
        <f>SUM(S40:S42)</f>
        <v>0</v>
      </c>
      <c r="T43" s="254"/>
      <c r="U43" s="254">
        <f>SUM(U40:U42)</f>
        <v>0</v>
      </c>
      <c r="V43" s="254">
        <f>SUM(V40:V42)</f>
        <v>0</v>
      </c>
      <c r="W43" s="254"/>
      <c r="X43" s="254"/>
      <c r="Y43" s="254">
        <f>SUM(Y40:Y42)</f>
        <v>0</v>
      </c>
      <c r="Z43" s="254"/>
      <c r="AA43" s="254">
        <f>SUM(AA40:AA42)</f>
        <v>0</v>
      </c>
      <c r="AB43" s="254">
        <f>SUM(AB40:AB42)</f>
        <v>0</v>
      </c>
      <c r="AC43" s="174"/>
      <c r="AD43" s="174"/>
      <c r="AE43" s="254">
        <f>SUM(AE40:AE42)</f>
        <v>0</v>
      </c>
      <c r="AF43" s="174"/>
      <c r="AG43" s="254">
        <f>SUM(AG40:AG42)</f>
        <v>0</v>
      </c>
      <c r="AH43" s="254">
        <f>SUM(AH40:AH42)</f>
        <v>0</v>
      </c>
      <c r="AI43" s="174"/>
      <c r="AJ43" s="174"/>
      <c r="AK43" s="254">
        <f>SUM(AK40:AK42)</f>
        <v>0</v>
      </c>
      <c r="AL43" s="174"/>
      <c r="AM43" s="254">
        <f>SUM(AM40:AM42)</f>
        <v>0</v>
      </c>
      <c r="AN43" s="254">
        <f>SUM(AN40:AN42)</f>
        <v>0</v>
      </c>
    </row>
    <row r="44" spans="2:40" x14ac:dyDescent="0.2">
      <c r="B44" s="157" t="s">
        <v>75</v>
      </c>
      <c r="C44" s="32">
        <f>'4. T7 LÅN '!C41</f>
        <v>0</v>
      </c>
      <c r="D44" s="158">
        <f>12*'4. T7 LÅN '!D41</f>
        <v>0</v>
      </c>
      <c r="E44" s="176">
        <f>'4. T7 LÅN '!E41</f>
        <v>0</v>
      </c>
      <c r="G44" s="90"/>
      <c r="K44" s="96">
        <f>'4. T7 LÅN '!F41</f>
        <v>0</v>
      </c>
      <c r="L44" s="162"/>
      <c r="M44" s="162">
        <f>IF($E44=0,0,-CUMPRINC($E44/12,$D44,$C44,K45,K46,0))</f>
        <v>0</v>
      </c>
      <c r="N44" s="162"/>
      <c r="O44" s="162">
        <f>K44-M44</f>
        <v>0</v>
      </c>
      <c r="P44" s="245">
        <f>IF($D44&lt;K45,0,IF($E44=0,0,-CUMIPMT($E44/12,$D44,$C44,K45,K46,0)))</f>
        <v>0</v>
      </c>
      <c r="Q44" s="162"/>
      <c r="R44" s="162"/>
      <c r="S44" s="245">
        <f>IF($D44&lt;Q45,0,IF($E44=0,0,-CUMPRINC($E44/12,$D44,$C44,Q45,Q46,0)))</f>
        <v>0</v>
      </c>
      <c r="T44" s="162"/>
      <c r="U44" s="162">
        <f>O44-S44</f>
        <v>0</v>
      </c>
      <c r="V44" s="245">
        <f>IF($D44&lt;Q45,0,IF($E44=0,0,-CUMIPMT($E44/12,$D44,$C44,Q45,Q46,0)))</f>
        <v>0</v>
      </c>
      <c r="W44" s="162"/>
      <c r="X44" s="162"/>
      <c r="Y44" s="245">
        <f>IF($D44&lt;W45,0,IF($E44=0,0,-CUMPRINC($E44/12,$D44,$C44,W45,W46,0)))</f>
        <v>0</v>
      </c>
      <c r="Z44" s="162"/>
      <c r="AA44" s="162">
        <f>U44-Y44</f>
        <v>0</v>
      </c>
      <c r="AB44" s="245">
        <f>IF($D44&lt;W45,0,IF($E44=0,0,-CUMIPMT($E44/12,$D44,$C44,W45,W46,0)))</f>
        <v>0</v>
      </c>
      <c r="AC44" s="162"/>
      <c r="AD44" s="162"/>
      <c r="AE44" s="245">
        <f>IF($D44&lt;AC45,0,IF($E44=0,0,-CUMPRINC($E44/12,$D44,$C44,AC45,AC46,0)))</f>
        <v>0</v>
      </c>
      <c r="AF44" s="162"/>
      <c r="AG44" s="162">
        <f>AA44-AE44</f>
        <v>0</v>
      </c>
      <c r="AH44" s="249">
        <f>IF($D44&lt;AC45,0,IF($E44=0,0,-CUMIPMT($E44/12,$D44,$C44,AC45,AC46,0)))</f>
        <v>0</v>
      </c>
      <c r="AI44" s="162"/>
      <c r="AJ44" s="162"/>
      <c r="AK44" s="245">
        <f>IF($D44&lt;AI45,0,IF($E44=0,0,-CUMPRINC($E44/12,$D44,$C44,AI45,AI46,0)))</f>
        <v>0</v>
      </c>
      <c r="AL44" s="162"/>
      <c r="AM44" s="162">
        <f>AG44-AK44</f>
        <v>0</v>
      </c>
      <c r="AN44" s="249">
        <f>IF($D44&lt;AI45,0,IF($E44=0,0,-CUMIPMT($E44/12,$D44,$C44,AI45,AI46,0)))</f>
        <v>0</v>
      </c>
    </row>
    <row r="45" spans="2:40" x14ac:dyDescent="0.2">
      <c r="B45" s="178" t="s">
        <v>73</v>
      </c>
      <c r="G45" s="90"/>
      <c r="K45" s="32">
        <v>1</v>
      </c>
      <c r="L45" s="96"/>
      <c r="M45" s="32"/>
      <c r="N45" s="32"/>
      <c r="O45" s="32"/>
      <c r="P45" s="32"/>
      <c r="Q45" s="32">
        <v>13</v>
      </c>
      <c r="R45" s="96"/>
      <c r="S45" s="32"/>
      <c r="T45" s="32"/>
      <c r="U45" s="32"/>
      <c r="V45" s="32"/>
      <c r="W45" s="32">
        <v>25</v>
      </c>
      <c r="X45" s="32"/>
      <c r="Y45" s="32"/>
      <c r="Z45" s="32"/>
      <c r="AA45" s="32"/>
      <c r="AB45" s="32"/>
      <c r="AC45">
        <v>37</v>
      </c>
      <c r="AI45">
        <v>49</v>
      </c>
    </row>
    <row r="46" spans="2:40" ht="13.5" thickBot="1" x14ac:dyDescent="0.25">
      <c r="B46" s="178" t="s">
        <v>74</v>
      </c>
      <c r="G46" s="90"/>
      <c r="K46" s="32">
        <v>12</v>
      </c>
      <c r="L46" s="96"/>
      <c r="M46" s="32"/>
      <c r="N46" s="32"/>
      <c r="O46" s="32"/>
      <c r="P46" s="32"/>
      <c r="Q46" s="32">
        <v>24</v>
      </c>
      <c r="R46" s="96"/>
      <c r="S46" s="32"/>
      <c r="T46" s="32"/>
      <c r="U46" s="32"/>
      <c r="V46" s="32"/>
      <c r="W46" s="32">
        <v>36</v>
      </c>
      <c r="X46" s="32"/>
      <c r="Y46" s="32"/>
      <c r="Z46" s="32"/>
      <c r="AA46" s="32"/>
      <c r="AB46" s="32"/>
      <c r="AC46">
        <v>48</v>
      </c>
      <c r="AI46">
        <v>60</v>
      </c>
    </row>
    <row r="47" spans="2:40" s="2" customFormat="1" x14ac:dyDescent="0.2">
      <c r="B47" s="157" t="s">
        <v>76</v>
      </c>
      <c r="C47" s="32">
        <f>'4. T7 LÅN '!C42</f>
        <v>0</v>
      </c>
      <c r="D47" s="79">
        <f>'4. T7 LÅN '!D42*12</f>
        <v>0</v>
      </c>
      <c r="E47" s="176">
        <f>'4. T7 LÅN '!E42</f>
        <v>0</v>
      </c>
      <c r="G47" s="177"/>
      <c r="K47" s="96">
        <f>'4. T7 LÅN '!F42</f>
        <v>0</v>
      </c>
      <c r="L47" s="162"/>
      <c r="M47" s="162">
        <f>IF($E47=0,0,IF($K47=0,0,-CUMPRINC($E47/12,$D47,$C47,Q48,Q49,0)))</f>
        <v>0</v>
      </c>
      <c r="N47" s="162"/>
      <c r="O47" s="162"/>
      <c r="P47" s="162">
        <v>0</v>
      </c>
      <c r="Q47" s="96">
        <f>'4. T7 LÅN '!I42</f>
        <v>0</v>
      </c>
      <c r="R47" s="162"/>
      <c r="S47" s="245">
        <f>IF($D47&lt;Q48,0,IF($E47=0,0,-CUMPRINC($E47/12,$D47,$C47,Q48,Q49,0)))</f>
        <v>0</v>
      </c>
      <c r="T47" s="179"/>
      <c r="U47" s="180">
        <f>Q47-S47</f>
        <v>0</v>
      </c>
      <c r="V47" s="245">
        <f>IF($D47&lt;Q48,0,IF($E47=0,0,-CUMIPMT($E47/12,$D47,$C47,Q48,Q49,0)))</f>
        <v>0</v>
      </c>
      <c r="W47" s="162"/>
      <c r="X47" s="162"/>
      <c r="Y47" s="245">
        <f>IF($D47&lt;W48,0,IF($E47=0,0,-CUMPRINC($E47/12,$D47,$C47,W48,W49,0)))</f>
        <v>0</v>
      </c>
      <c r="Z47" s="162"/>
      <c r="AA47" s="162">
        <f>U47-Y47</f>
        <v>0</v>
      </c>
      <c r="AB47" s="245">
        <f>IF($D47&lt;W48,0,IF($E47=0,0,-CUMIPMT($E47/12,$D47,$C47,W48,W49,0)))</f>
        <v>0</v>
      </c>
      <c r="AC47" s="162"/>
      <c r="AD47" s="162"/>
      <c r="AE47" s="245">
        <f>IF($D47&lt;AC48,0,IF($E47=0,0,-CUMPRINC($E47/12,$D47,$C47,AC48,AC49,0)))</f>
        <v>0</v>
      </c>
      <c r="AF47" s="162"/>
      <c r="AG47" s="162">
        <f>AA47-AE47</f>
        <v>0</v>
      </c>
      <c r="AH47" s="249">
        <f>IF($D47&lt;AC48,0,IF($E47=0,0,-CUMIPMT($E47/12,$D47,$C47,AC48,AC49,0)))</f>
        <v>0</v>
      </c>
      <c r="AI47" s="162"/>
      <c r="AJ47" s="162"/>
      <c r="AK47" s="245">
        <f>IF($D47&lt;AI48,0,IF($E47=0,0,-CUMPRINC($E47/12,$D47,$C47,AI48,AI49,0)))</f>
        <v>0</v>
      </c>
      <c r="AL47" s="162"/>
      <c r="AM47" s="162">
        <f>AG47-AK47</f>
        <v>0</v>
      </c>
      <c r="AN47" s="249">
        <f>IF($D47&lt;AI48,0,IF($E47=0,0,-CUMIPMT($E47/12,$D47,$C47,AI48,AI49,0)))</f>
        <v>0</v>
      </c>
    </row>
    <row r="48" spans="2:40" x14ac:dyDescent="0.2">
      <c r="B48" s="178" t="s">
        <v>73</v>
      </c>
      <c r="G48" s="90"/>
      <c r="K48" s="32"/>
      <c r="L48" s="32"/>
      <c r="M48" s="32"/>
      <c r="N48" s="32"/>
      <c r="O48" s="32"/>
      <c r="P48" s="32"/>
      <c r="Q48" s="32">
        <v>1</v>
      </c>
      <c r="R48" s="96"/>
      <c r="S48" s="32"/>
      <c r="T48" s="32"/>
      <c r="U48" s="32"/>
      <c r="V48" s="32"/>
      <c r="W48" s="32">
        <v>13</v>
      </c>
      <c r="X48" s="96"/>
      <c r="Y48" s="32"/>
      <c r="Z48" s="32"/>
      <c r="AA48" s="32"/>
      <c r="AB48" s="32"/>
      <c r="AC48" s="81">
        <v>25</v>
      </c>
      <c r="AI48" s="81">
        <v>37</v>
      </c>
    </row>
    <row r="49" spans="2:40" ht="13.5" thickBot="1" x14ac:dyDescent="0.25">
      <c r="B49" s="178" t="s">
        <v>74</v>
      </c>
      <c r="G49" s="90"/>
      <c r="K49" s="32"/>
      <c r="L49" s="32"/>
      <c r="M49" s="32"/>
      <c r="N49" s="32"/>
      <c r="O49" s="32"/>
      <c r="P49" s="32"/>
      <c r="Q49" s="32">
        <v>12</v>
      </c>
      <c r="R49" s="96"/>
      <c r="S49" s="32"/>
      <c r="T49" s="32"/>
      <c r="U49" s="32"/>
      <c r="V49" s="32"/>
      <c r="W49" s="32">
        <v>24</v>
      </c>
      <c r="X49" s="96"/>
      <c r="Y49" s="32"/>
      <c r="Z49" s="32"/>
      <c r="AA49" s="32"/>
      <c r="AB49" s="32"/>
      <c r="AC49" s="81">
        <v>36</v>
      </c>
      <c r="AI49" s="81">
        <v>48</v>
      </c>
    </row>
    <row r="50" spans="2:40" x14ac:dyDescent="0.2">
      <c r="B50" s="157" t="s">
        <v>77</v>
      </c>
      <c r="C50" s="32">
        <f>'4. T7 LÅN '!C43</f>
        <v>0</v>
      </c>
      <c r="D50" s="79">
        <f>'4. T7 LÅN '!D43*12</f>
        <v>0</v>
      </c>
      <c r="E50" s="176">
        <f>'4. T7 LÅN '!E43</f>
        <v>0</v>
      </c>
      <c r="G50" s="90"/>
      <c r="K50" s="32"/>
      <c r="L50" s="32"/>
      <c r="M50" s="32"/>
      <c r="N50" s="32"/>
      <c r="O50" s="32"/>
      <c r="P50" s="32"/>
      <c r="Q50" s="32"/>
      <c r="R50" s="96"/>
      <c r="S50" s="32"/>
      <c r="T50" s="32"/>
      <c r="U50" s="32"/>
      <c r="V50" s="32"/>
      <c r="W50" s="32">
        <f>'4. T7 LÅN '!L43</f>
        <v>0</v>
      </c>
      <c r="X50" s="96"/>
      <c r="Y50" s="245">
        <f>IF($D50&lt;W51,0,IF($E50=0,0,-CUMPRINC($E50/12,$D50,$C50,W51,W52,0)))</f>
        <v>0</v>
      </c>
      <c r="Z50" s="162"/>
      <c r="AA50" s="162">
        <f>W50-Y50</f>
        <v>0</v>
      </c>
      <c r="AB50" s="245">
        <f>IF($D50&lt;W51,0,IF($E50=0,0,-CUMIPMT($E50/12,$D50,$C50,W51,W52,0)))</f>
        <v>0</v>
      </c>
      <c r="AC50" s="162"/>
      <c r="AD50" s="162"/>
      <c r="AE50" s="245">
        <f>IF($D50&lt;AC51,0,IF($E50=0,0,-CUMPRINC($E50/12,$D50,$C50,AC51,AC52,0)))</f>
        <v>0</v>
      </c>
      <c r="AF50" s="162"/>
      <c r="AG50" s="162">
        <f>AA50-AE50</f>
        <v>0</v>
      </c>
      <c r="AH50" s="249">
        <f>IF($D50&lt;AC51,0,IF($E50=0,0,-CUMIPMT($E50/12,$D50,$C50,AC51,AC52,0)))</f>
        <v>0</v>
      </c>
      <c r="AI50" s="162"/>
      <c r="AJ50" s="162"/>
      <c r="AK50" s="245">
        <f>IF($D50&lt;AI51,0,IF($E50=0,0,-CUMPRINC($E50/12,$D50,$C50,AI51,AI52,0)))</f>
        <v>0</v>
      </c>
      <c r="AL50" s="162"/>
      <c r="AM50" s="162">
        <f>AG50-AK50</f>
        <v>0</v>
      </c>
      <c r="AN50" s="249">
        <f>IF($D50&lt;AI51,0,IF($E50=0,0,-CUMIPMT($E50/12,$D50,$C50,AI51,AI52,0)))</f>
        <v>0</v>
      </c>
    </row>
    <row r="51" spans="2:40" x14ac:dyDescent="0.2">
      <c r="B51" s="178" t="s">
        <v>73</v>
      </c>
      <c r="G51" s="90"/>
      <c r="K51" s="32"/>
      <c r="L51" s="32"/>
      <c r="M51" s="32"/>
      <c r="N51" s="32"/>
      <c r="O51" s="32"/>
      <c r="P51" s="32"/>
      <c r="Q51" s="32"/>
      <c r="R51" s="96"/>
      <c r="S51" s="32"/>
      <c r="T51" s="32"/>
      <c r="U51" s="32"/>
      <c r="V51" s="32"/>
      <c r="W51" s="32">
        <v>1</v>
      </c>
      <c r="X51" s="96"/>
      <c r="Y51" s="32"/>
      <c r="Z51" s="32"/>
      <c r="AA51" s="32"/>
      <c r="AB51" s="32"/>
      <c r="AC51" s="32">
        <v>13</v>
      </c>
      <c r="AI51" s="32">
        <v>25</v>
      </c>
    </row>
    <row r="52" spans="2:40" ht="13.5" thickBot="1" x14ac:dyDescent="0.25">
      <c r="B52" s="178" t="s">
        <v>74</v>
      </c>
      <c r="G52" s="90"/>
      <c r="K52" s="32"/>
      <c r="L52" s="32"/>
      <c r="M52" s="32"/>
      <c r="N52" s="32"/>
      <c r="O52" s="32"/>
      <c r="P52" s="32"/>
      <c r="Q52" s="32"/>
      <c r="R52" s="96"/>
      <c r="S52" s="32"/>
      <c r="T52" s="32"/>
      <c r="U52" s="32"/>
      <c r="V52" s="32"/>
      <c r="W52" s="32">
        <v>12</v>
      </c>
      <c r="X52" s="96"/>
      <c r="Y52" s="32"/>
      <c r="Z52" s="32"/>
      <c r="AA52" s="32"/>
      <c r="AB52" s="32"/>
      <c r="AC52" s="32">
        <v>24</v>
      </c>
      <c r="AI52" s="32">
        <v>36</v>
      </c>
    </row>
    <row r="53" spans="2:40" x14ac:dyDescent="0.2">
      <c r="B53" s="157" t="s">
        <v>88</v>
      </c>
      <c r="C53" s="32">
        <f>'4. T7 LÅN '!C44</f>
        <v>0</v>
      </c>
      <c r="D53" s="32">
        <f>'4. T7 LÅN '!D44*12</f>
        <v>0</v>
      </c>
      <c r="E53" s="176">
        <f>'4. T7 LÅN '!E44</f>
        <v>0</v>
      </c>
      <c r="G53" s="90"/>
      <c r="K53" s="32"/>
      <c r="L53" s="32"/>
      <c r="M53" s="32"/>
      <c r="N53" s="32"/>
      <c r="O53" s="32"/>
      <c r="P53" s="32"/>
      <c r="Q53" s="32"/>
      <c r="R53" s="96"/>
      <c r="S53" s="32"/>
      <c r="T53" s="32"/>
      <c r="U53" s="32"/>
      <c r="V53" s="32"/>
      <c r="W53" s="32" t="e">
        <f>'4. T7 LÅN '!#REF!</f>
        <v>#REF!</v>
      </c>
      <c r="X53" s="96"/>
      <c r="Y53" s="162">
        <f>IF($E53=0,0,IF(W53=0,0,-CUMPRINC($E53/12,$D53,$C53,W54,W55,0)))</f>
        <v>0</v>
      </c>
      <c r="Z53" s="162"/>
      <c r="AA53" s="162" t="e">
        <f>W53-Y53</f>
        <v>#REF!</v>
      </c>
      <c r="AB53" s="162">
        <f>IF($E53=0,0,IF($W53=0,0,-CUMIPMT($E53/12,$D53,$C53,W54,W55,0)))</f>
        <v>0</v>
      </c>
      <c r="AC53" s="162">
        <f>'4. T7 LÅN '!O44</f>
        <v>0</v>
      </c>
      <c r="AD53" s="162"/>
      <c r="AE53" s="245">
        <f>IF($D53&lt;AC54,0,IF($E53=0,0,-CUMPRINC($E53/12,$D53,$C53,AC54,AC55,0)))</f>
        <v>0</v>
      </c>
      <c r="AF53" s="162"/>
      <c r="AG53" s="162">
        <f>AC53-AE53</f>
        <v>0</v>
      </c>
      <c r="AH53" s="249">
        <f>IF($D53&lt;AC54,0,IF($E53=0,0,-CUMIPMT($E53/12,$D53,$C53,AC54,AC55,0)))</f>
        <v>0</v>
      </c>
      <c r="AI53" s="162"/>
      <c r="AJ53" s="162"/>
      <c r="AK53" s="245">
        <f>IF($D53&lt;AI54,0,IF($E53=0,0,-CUMPRINC($E53/12,$D53,$C53,AI54,AI55,0)))</f>
        <v>0</v>
      </c>
      <c r="AL53" s="162"/>
      <c r="AM53" s="162">
        <f>AG53-AK53</f>
        <v>0</v>
      </c>
      <c r="AN53" s="249">
        <f>IF($D53&lt;AI54,0,IF($E53=0,0,-CUMIPMT($E53/12,$D53,$C53,AI54,AI55,0)))</f>
        <v>0</v>
      </c>
    </row>
    <row r="54" spans="2:40" x14ac:dyDescent="0.2">
      <c r="B54" s="178" t="s">
        <v>73</v>
      </c>
      <c r="G54" s="90"/>
      <c r="K54" s="32"/>
      <c r="L54" s="32"/>
      <c r="M54" s="32"/>
      <c r="N54" s="32"/>
      <c r="O54" s="32"/>
      <c r="P54" s="32"/>
      <c r="Q54" s="32"/>
      <c r="R54" s="96"/>
      <c r="S54" s="32"/>
      <c r="T54" s="32"/>
      <c r="U54" s="32"/>
      <c r="V54" s="32"/>
      <c r="W54" s="32"/>
      <c r="X54" s="96"/>
      <c r="Y54" s="32"/>
      <c r="Z54" s="32"/>
      <c r="AA54" s="32"/>
      <c r="AB54" s="32"/>
      <c r="AC54" s="32">
        <v>1</v>
      </c>
      <c r="AI54" s="32">
        <v>13</v>
      </c>
    </row>
    <row r="55" spans="2:40" x14ac:dyDescent="0.2">
      <c r="B55" s="178" t="s">
        <v>74</v>
      </c>
      <c r="G55" s="90"/>
      <c r="K55" s="32"/>
      <c r="L55" s="32"/>
      <c r="M55" s="32"/>
      <c r="N55" s="32"/>
      <c r="O55" s="32"/>
      <c r="P55" s="32"/>
      <c r="Q55" s="32"/>
      <c r="R55" s="96"/>
      <c r="S55" s="32"/>
      <c r="T55" s="32"/>
      <c r="U55" s="32"/>
      <c r="V55" s="32"/>
      <c r="W55" s="32"/>
      <c r="X55" s="96"/>
      <c r="Y55" s="32"/>
      <c r="Z55" s="32"/>
      <c r="AA55" s="32"/>
      <c r="AB55" s="32"/>
      <c r="AC55" s="32">
        <v>12</v>
      </c>
      <c r="AI55" s="32">
        <v>24</v>
      </c>
    </row>
    <row r="56" spans="2:40" s="2" customFormat="1" ht="13.5" thickBot="1" x14ac:dyDescent="0.25">
      <c r="B56" s="188" t="s">
        <v>80</v>
      </c>
      <c r="C56" s="189"/>
      <c r="D56" s="190"/>
      <c r="E56" s="189"/>
      <c r="F56" s="189"/>
      <c r="G56" s="191"/>
      <c r="H56" s="189"/>
      <c r="I56" s="189"/>
      <c r="J56" s="189"/>
      <c r="K56" s="281">
        <f>K44+K47+K50+K53</f>
        <v>0</v>
      </c>
      <c r="L56" s="281"/>
      <c r="M56" s="281">
        <f>SUM(M44:M52)</f>
        <v>0</v>
      </c>
      <c r="N56" s="281"/>
      <c r="O56" s="281">
        <f>SUM(O44:O52)</f>
        <v>0</v>
      </c>
      <c r="P56" s="281">
        <f>SUM(P44:P52)</f>
        <v>0</v>
      </c>
      <c r="Q56" s="281">
        <f>Q44+Q47+Q50+Q53</f>
        <v>0</v>
      </c>
      <c r="R56" s="281"/>
      <c r="S56" s="281">
        <f>SUM(S44:S52)</f>
        <v>0</v>
      </c>
      <c r="T56" s="281"/>
      <c r="U56" s="281">
        <f>SUM(U44:U52)</f>
        <v>0</v>
      </c>
      <c r="V56" s="281">
        <f>SUM(V44:V52)</f>
        <v>0</v>
      </c>
      <c r="W56" s="281" t="e">
        <f>W44+W47+W50+W53</f>
        <v>#REF!</v>
      </c>
      <c r="X56" s="281"/>
      <c r="Y56" s="281">
        <f>SUM(Y44:Y53)</f>
        <v>0</v>
      </c>
      <c r="Z56" s="281"/>
      <c r="AA56" s="281">
        <f>SUM(AA44:AA52)</f>
        <v>0</v>
      </c>
      <c r="AB56" s="281">
        <f>SUM(AB44:AB52)</f>
        <v>0</v>
      </c>
      <c r="AC56" s="281">
        <f>AC44+AC47+AC50+AC53</f>
        <v>0</v>
      </c>
      <c r="AD56" s="281"/>
      <c r="AE56" s="281">
        <f>AE44+AE47+AE50+AE53</f>
        <v>0</v>
      </c>
      <c r="AF56" s="281"/>
      <c r="AG56" s="281">
        <f>AG44+AG47+AG50+AG53</f>
        <v>0</v>
      </c>
      <c r="AH56" s="281">
        <f>AH44+AH47+AH50+AH53</f>
        <v>0</v>
      </c>
      <c r="AI56" s="281">
        <f>AI44+AI47+AI50+AI53</f>
        <v>0</v>
      </c>
      <c r="AJ56" s="281"/>
      <c r="AK56" s="281">
        <f>AK44+AK47+AK50+AK53</f>
        <v>0</v>
      </c>
      <c r="AL56" s="281"/>
      <c r="AM56" s="281">
        <f>AM44+AM47+AM50+AM53</f>
        <v>0</v>
      </c>
      <c r="AN56" s="281">
        <f>AN44+AN47+AN50+AN53</f>
        <v>0</v>
      </c>
    </row>
    <row r="57" spans="2:40" s="2" customFormat="1" ht="13.5" thickBot="1" x14ac:dyDescent="0.25">
      <c r="B57" s="157"/>
      <c r="D57" s="274"/>
      <c r="F57" s="2299">
        <f>F4</f>
        <v>0</v>
      </c>
      <c r="G57" s="2299"/>
      <c r="H57" s="2299"/>
      <c r="I57" s="2299"/>
      <c r="J57" s="2300"/>
      <c r="K57" s="2287">
        <f>K4</f>
        <v>2027</v>
      </c>
      <c r="L57" s="2288"/>
      <c r="M57" s="2288"/>
      <c r="N57" s="2288"/>
      <c r="O57" s="2288"/>
      <c r="P57" s="2289"/>
      <c r="Q57" s="2287">
        <f>Q4</f>
        <v>2028</v>
      </c>
      <c r="R57" s="2288"/>
      <c r="S57" s="2288"/>
      <c r="T57" s="2288"/>
      <c r="U57" s="2288"/>
      <c r="V57" s="2289"/>
      <c r="W57" s="2287">
        <f>W4</f>
        <v>2029</v>
      </c>
      <c r="X57" s="2288"/>
      <c r="Y57" s="2288"/>
      <c r="Z57" s="2288"/>
      <c r="AA57" s="2288"/>
      <c r="AB57" s="2289"/>
      <c r="AC57" s="2287">
        <f>AC4</f>
        <v>2030</v>
      </c>
      <c r="AD57" s="2288"/>
      <c r="AE57" s="2288"/>
      <c r="AF57" s="2288"/>
      <c r="AG57" s="2288"/>
      <c r="AH57" s="2289"/>
      <c r="AI57" s="2287">
        <f>AI4</f>
        <v>2031</v>
      </c>
      <c r="AJ57" s="2288"/>
      <c r="AK57" s="2288"/>
      <c r="AL57" s="2288"/>
      <c r="AM57" s="2288"/>
      <c r="AN57" s="2289"/>
    </row>
    <row r="58" spans="2:40" s="2" customFormat="1" x14ac:dyDescent="0.2">
      <c r="B58" s="157"/>
      <c r="D58" s="274"/>
      <c r="F58" s="273"/>
      <c r="G58" s="162"/>
      <c r="H58" s="6" t="s">
        <v>26</v>
      </c>
      <c r="I58" s="273"/>
      <c r="J58" s="273"/>
      <c r="K58" s="288"/>
      <c r="L58" s="245"/>
      <c r="M58" s="289" t="s">
        <v>26</v>
      </c>
      <c r="N58" s="290"/>
      <c r="O58" s="290"/>
      <c r="P58" s="249"/>
      <c r="Q58" s="288"/>
      <c r="R58" s="245"/>
      <c r="S58" s="289" t="s">
        <v>26</v>
      </c>
      <c r="T58" s="290"/>
      <c r="U58" s="290"/>
      <c r="V58" s="249"/>
      <c r="W58" s="288"/>
      <c r="X58" s="245"/>
      <c r="Y58" s="289" t="s">
        <v>26</v>
      </c>
      <c r="Z58" s="290"/>
      <c r="AA58" s="290"/>
      <c r="AB58" s="249"/>
      <c r="AC58" s="288"/>
      <c r="AD58" s="245"/>
      <c r="AE58" s="289" t="s">
        <v>26</v>
      </c>
      <c r="AF58" s="290"/>
      <c r="AG58" s="290"/>
      <c r="AH58" s="249"/>
      <c r="AI58" s="288"/>
      <c r="AJ58" s="245"/>
      <c r="AK58" s="289" t="s">
        <v>26</v>
      </c>
      <c r="AL58" s="290"/>
      <c r="AM58" s="290"/>
      <c r="AN58" s="249"/>
    </row>
    <row r="59" spans="2:40" s="2" customFormat="1" ht="13.5" thickBot="1" x14ac:dyDescent="0.25">
      <c r="B59" s="157" t="s">
        <v>100</v>
      </c>
      <c r="D59" s="274"/>
      <c r="F59" s="278" t="s">
        <v>30</v>
      </c>
      <c r="G59" s="162"/>
      <c r="H59" s="6" t="s">
        <v>99</v>
      </c>
      <c r="I59" s="83" t="s">
        <v>97</v>
      </c>
      <c r="J59" s="83" t="s">
        <v>98</v>
      </c>
      <c r="K59" s="291"/>
      <c r="L59" s="292"/>
      <c r="M59" s="293" t="s">
        <v>99</v>
      </c>
      <c r="N59" s="294" t="s">
        <v>97</v>
      </c>
      <c r="O59" s="294" t="s">
        <v>98</v>
      </c>
      <c r="P59" s="295"/>
      <c r="Q59" s="296" t="s">
        <v>30</v>
      </c>
      <c r="R59" s="292"/>
      <c r="S59" s="293" t="s">
        <v>99</v>
      </c>
      <c r="T59" s="294" t="s">
        <v>97</v>
      </c>
      <c r="U59" s="294" t="s">
        <v>98</v>
      </c>
      <c r="V59" s="295"/>
      <c r="W59" s="296" t="s">
        <v>30</v>
      </c>
      <c r="X59" s="292"/>
      <c r="Y59" s="293" t="s">
        <v>99</v>
      </c>
      <c r="Z59" s="294" t="s">
        <v>97</v>
      </c>
      <c r="AA59" s="294" t="s">
        <v>98</v>
      </c>
      <c r="AB59" s="295"/>
      <c r="AC59" s="296" t="s">
        <v>30</v>
      </c>
      <c r="AD59" s="292"/>
      <c r="AE59" s="293" t="s">
        <v>99</v>
      </c>
      <c r="AF59" s="294" t="s">
        <v>97</v>
      </c>
      <c r="AG59" s="294" t="s">
        <v>98</v>
      </c>
      <c r="AH59" s="295"/>
      <c r="AI59" s="296" t="s">
        <v>30</v>
      </c>
      <c r="AJ59" s="292"/>
      <c r="AK59" s="293" t="s">
        <v>99</v>
      </c>
      <c r="AL59" s="294" t="s">
        <v>97</v>
      </c>
      <c r="AM59" s="294" t="s">
        <v>98</v>
      </c>
      <c r="AN59" s="295"/>
    </row>
    <row r="60" spans="2:40" s="2" customFormat="1" x14ac:dyDescent="0.2">
      <c r="B60" s="157" t="s">
        <v>72</v>
      </c>
      <c r="D60" s="274"/>
      <c r="G60" s="177"/>
      <c r="I60" s="286">
        <f>M40</f>
        <v>0</v>
      </c>
      <c r="J60" s="162">
        <f>C40-I60</f>
        <v>0</v>
      </c>
      <c r="K60" s="285"/>
      <c r="L60" s="286"/>
      <c r="M60" s="286"/>
      <c r="N60" s="286">
        <f>S40</f>
        <v>0</v>
      </c>
      <c r="O60" s="286">
        <f>U40</f>
        <v>0</v>
      </c>
      <c r="P60" s="287"/>
      <c r="Q60" s="286"/>
      <c r="R60" s="286"/>
      <c r="S60" s="286">
        <f>S44</f>
        <v>0</v>
      </c>
      <c r="T60" s="286">
        <f>Y40</f>
        <v>0</v>
      </c>
      <c r="U60" s="286">
        <f>AA40</f>
        <v>0</v>
      </c>
      <c r="V60" s="287"/>
      <c r="W60" s="285"/>
      <c r="X60" s="286"/>
      <c r="Y60" s="286"/>
      <c r="Z60" s="286">
        <f>AE40</f>
        <v>0</v>
      </c>
      <c r="AA60" s="286">
        <f>AG40</f>
        <v>0</v>
      </c>
      <c r="AB60" s="287"/>
      <c r="AC60" s="285"/>
      <c r="AD60" s="286"/>
      <c r="AE60" s="286"/>
      <c r="AF60" s="286">
        <f>AK40</f>
        <v>0</v>
      </c>
      <c r="AG60" s="286">
        <f>AM40</f>
        <v>0</v>
      </c>
      <c r="AH60" s="287"/>
      <c r="AI60" s="285"/>
      <c r="AJ60" s="286"/>
      <c r="AK60" s="286"/>
      <c r="AL60" s="286"/>
      <c r="AM60" s="286"/>
      <c r="AN60" s="287"/>
    </row>
    <row r="61" spans="2:40" s="2" customFormat="1" x14ac:dyDescent="0.2">
      <c r="B61" s="157" t="s">
        <v>75</v>
      </c>
      <c r="D61" s="274"/>
      <c r="G61" s="177"/>
      <c r="K61" s="282">
        <f>K44</f>
        <v>0</v>
      </c>
      <c r="L61" s="192"/>
      <c r="M61" s="192">
        <f>M44</f>
        <v>0</v>
      </c>
      <c r="N61" s="192">
        <f>IF(O44&gt;0,S44,0)</f>
        <v>0</v>
      </c>
      <c r="O61" s="192"/>
      <c r="P61" s="283"/>
      <c r="Q61" s="192">
        <f>Q44</f>
        <v>0</v>
      </c>
      <c r="R61" s="192"/>
      <c r="S61" s="192">
        <f>IF(Q61&gt;0,S44,0)</f>
        <v>0</v>
      </c>
      <c r="T61" s="192">
        <f>IF(O44&gt;0,Y44,0)</f>
        <v>0</v>
      </c>
      <c r="U61" s="286">
        <f>AA44</f>
        <v>0</v>
      </c>
      <c r="V61" s="283"/>
      <c r="W61" s="192">
        <f>W44</f>
        <v>0</v>
      </c>
      <c r="X61" s="192"/>
      <c r="Y61" s="192">
        <f>IF(W61&gt;0,Y44,0)</f>
        <v>0</v>
      </c>
      <c r="Z61" s="192">
        <f>IF(U44&gt;0,AE44,0)</f>
        <v>0</v>
      </c>
      <c r="AA61" s="286">
        <f>AG44</f>
        <v>0</v>
      </c>
      <c r="AB61" s="283"/>
      <c r="AC61" s="192">
        <f>AC44</f>
        <v>0</v>
      </c>
      <c r="AD61" s="192"/>
      <c r="AE61" s="192">
        <f>IF(AC61&gt;0,AE44,0)</f>
        <v>0</v>
      </c>
      <c r="AF61" s="192">
        <f>IF(AA44&gt;0,AK44,0)</f>
        <v>0</v>
      </c>
      <c r="AG61" s="286">
        <f>AM44</f>
        <v>0</v>
      </c>
      <c r="AH61" s="283"/>
      <c r="AI61" s="192">
        <f>AI44</f>
        <v>0</v>
      </c>
      <c r="AJ61" s="192"/>
      <c r="AK61" s="192">
        <f>IF(AI61&gt;0,AK44,0)</f>
        <v>0</v>
      </c>
      <c r="AL61" s="192">
        <f>IF(AG44&gt;0,AQ44,0)</f>
        <v>0</v>
      </c>
      <c r="AM61" s="286">
        <f>AS44</f>
        <v>0</v>
      </c>
      <c r="AN61" s="283"/>
    </row>
    <row r="62" spans="2:40" s="2" customFormat="1" x14ac:dyDescent="0.2">
      <c r="B62" s="157" t="s">
        <v>76</v>
      </c>
      <c r="D62" s="274"/>
      <c r="G62" s="177"/>
      <c r="K62" s="282"/>
      <c r="L62" s="192"/>
      <c r="M62" s="192"/>
      <c r="N62" s="192">
        <f>IF(O47&gt;0,S47,0)</f>
        <v>0</v>
      </c>
      <c r="O62" s="192"/>
      <c r="P62" s="283"/>
      <c r="Q62" s="192">
        <f>Q47</f>
        <v>0</v>
      </c>
      <c r="R62" s="192"/>
      <c r="S62" s="192">
        <f>IF(Q62&gt;0,S47,0)</f>
        <v>0</v>
      </c>
      <c r="T62" s="192">
        <f>IF(O47&gt;0,Y47,0)</f>
        <v>0</v>
      </c>
      <c r="U62" s="286">
        <f>AA47</f>
        <v>0</v>
      </c>
      <c r="V62" s="283"/>
      <c r="W62" s="192">
        <f>W47</f>
        <v>0</v>
      </c>
      <c r="X62" s="192"/>
      <c r="Y62" s="192">
        <f>IF(W62&gt;0,Y47,0)</f>
        <v>0</v>
      </c>
      <c r="Z62" s="192">
        <f>IF(U47&gt;0,AE47,0)</f>
        <v>0</v>
      </c>
      <c r="AA62" s="286">
        <f>AG47</f>
        <v>0</v>
      </c>
      <c r="AB62" s="283"/>
      <c r="AC62" s="192">
        <f>AC47</f>
        <v>0</v>
      </c>
      <c r="AD62" s="192"/>
      <c r="AE62" s="192">
        <f>IF(AC62&gt;0,AE47,0)</f>
        <v>0</v>
      </c>
      <c r="AF62" s="192">
        <f>IF(AA47&gt;0,AK47,0)</f>
        <v>0</v>
      </c>
      <c r="AG62" s="286">
        <f>AM47</f>
        <v>0</v>
      </c>
      <c r="AH62" s="283"/>
      <c r="AI62" s="192">
        <f>AI47</f>
        <v>0</v>
      </c>
      <c r="AJ62" s="192"/>
      <c r="AK62" s="192">
        <f>IF(AI62&gt;0,AK47,0)</f>
        <v>0</v>
      </c>
      <c r="AL62" s="192">
        <f>IF(AG47&gt;0,AQ47,0)</f>
        <v>0</v>
      </c>
      <c r="AM62" s="286">
        <f>AS47</f>
        <v>0</v>
      </c>
      <c r="AN62" s="283"/>
    </row>
    <row r="63" spans="2:40" s="2" customFormat="1" x14ac:dyDescent="0.2">
      <c r="B63" s="157" t="s">
        <v>77</v>
      </c>
      <c r="D63" s="274"/>
      <c r="G63" s="177"/>
      <c r="K63" s="282"/>
      <c r="L63" s="192"/>
      <c r="M63" s="192"/>
      <c r="N63" s="192">
        <f>IF(O50&gt;0,S50,0)</f>
        <v>0</v>
      </c>
      <c r="O63" s="192"/>
      <c r="P63" s="283"/>
      <c r="Q63" s="192">
        <f>Q50</f>
        <v>0</v>
      </c>
      <c r="R63" s="192"/>
      <c r="S63" s="192">
        <f>IF(Q63&gt;0,S50,0)</f>
        <v>0</v>
      </c>
      <c r="T63" s="192">
        <f>IF(O50&gt;0,Y50,0)</f>
        <v>0</v>
      </c>
      <c r="U63" s="286">
        <f>AA50</f>
        <v>0</v>
      </c>
      <c r="V63" s="283"/>
      <c r="W63" s="192">
        <f>W50</f>
        <v>0</v>
      </c>
      <c r="X63" s="192"/>
      <c r="Y63" s="192">
        <f>IF(W63&gt;0,Y50,0)</f>
        <v>0</v>
      </c>
      <c r="Z63" s="192">
        <f>IF(U50&gt;0,AE50,0)</f>
        <v>0</v>
      </c>
      <c r="AA63" s="286">
        <f>AG50</f>
        <v>0</v>
      </c>
      <c r="AB63" s="283"/>
      <c r="AC63" s="192">
        <f>AC50</f>
        <v>0</v>
      </c>
      <c r="AD63" s="192"/>
      <c r="AE63" s="192">
        <f>IF(AC63&gt;0,AE50,0)</f>
        <v>0</v>
      </c>
      <c r="AF63" s="192">
        <f>IF(AA50&gt;0,AK50,0)</f>
        <v>0</v>
      </c>
      <c r="AG63" s="286">
        <f>AM50</f>
        <v>0</v>
      </c>
      <c r="AH63" s="283"/>
      <c r="AI63" s="192">
        <f>AI50</f>
        <v>0</v>
      </c>
      <c r="AJ63" s="192"/>
      <c r="AK63" s="192">
        <f>IF(AI63&gt;0,AK50,0)</f>
        <v>0</v>
      </c>
      <c r="AL63" s="192">
        <f>IF(AG50&gt;0,AQ50,0)</f>
        <v>0</v>
      </c>
      <c r="AM63" s="286">
        <f>AS50</f>
        <v>0</v>
      </c>
      <c r="AN63" s="283"/>
    </row>
    <row r="64" spans="2:40" s="2" customFormat="1" x14ac:dyDescent="0.2">
      <c r="B64" s="157" t="s">
        <v>88</v>
      </c>
      <c r="D64" s="274"/>
      <c r="G64" s="177"/>
      <c r="K64" s="282"/>
      <c r="L64" s="192"/>
      <c r="M64" s="192"/>
      <c r="N64" s="192">
        <f>IF(O53&gt;0,S53,0)</f>
        <v>0</v>
      </c>
      <c r="O64" s="192"/>
      <c r="P64" s="283"/>
      <c r="Q64" s="192">
        <f>Q53</f>
        <v>0</v>
      </c>
      <c r="R64" s="192"/>
      <c r="S64" s="192">
        <f>IF(Q64&gt;0,S53,0)</f>
        <v>0</v>
      </c>
      <c r="T64" s="192">
        <f>IF(O53&gt;0,Y53,0)</f>
        <v>0</v>
      </c>
      <c r="U64" s="286" t="e">
        <f>AA53</f>
        <v>#REF!</v>
      </c>
      <c r="V64" s="283"/>
      <c r="W64" s="192" t="e">
        <f>W53</f>
        <v>#REF!</v>
      </c>
      <c r="X64" s="192"/>
      <c r="Y64" s="192" t="e">
        <f>IF(W64&gt;0,Y53,0)</f>
        <v>#REF!</v>
      </c>
      <c r="Z64" s="192">
        <f>IF(U53&gt;0,AE53,0)</f>
        <v>0</v>
      </c>
      <c r="AA64" s="286">
        <f>AG53</f>
        <v>0</v>
      </c>
      <c r="AB64" s="283"/>
      <c r="AC64" s="192">
        <f>AC53</f>
        <v>0</v>
      </c>
      <c r="AD64" s="192"/>
      <c r="AE64" s="192">
        <f>IF(AC64&gt;0,AE53,0)</f>
        <v>0</v>
      </c>
      <c r="AF64" s="192" t="e">
        <f>IF(AA53&gt;0,AK53,0)</f>
        <v>#REF!</v>
      </c>
      <c r="AG64" s="286">
        <f>AM53</f>
        <v>0</v>
      </c>
      <c r="AH64" s="283"/>
      <c r="AI64" s="192">
        <f>AI53</f>
        <v>0</v>
      </c>
      <c r="AJ64" s="192"/>
      <c r="AK64" s="192">
        <f>IF(AI64&gt;0,AK53,0)</f>
        <v>0</v>
      </c>
      <c r="AL64" s="192">
        <f>IF(AG53&gt;0,AQ53,0)</f>
        <v>0</v>
      </c>
      <c r="AM64" s="286">
        <f>AS53</f>
        <v>0</v>
      </c>
      <c r="AN64" s="283"/>
    </row>
    <row r="65" spans="2:40" s="2" customFormat="1" x14ac:dyDescent="0.2">
      <c r="B65" s="157"/>
      <c r="D65" s="274"/>
      <c r="G65" s="177"/>
      <c r="K65" s="281">
        <f>SUM(K60:K64)</f>
        <v>0</v>
      </c>
      <c r="L65" s="281"/>
      <c r="M65" s="281">
        <f>SUM(M60:M64)</f>
        <v>0</v>
      </c>
      <c r="N65" s="281">
        <f>SUM(N60:N64)</f>
        <v>0</v>
      </c>
      <c r="O65" s="281">
        <f>SUM(O60:O64)</f>
        <v>0</v>
      </c>
      <c r="P65" s="284"/>
      <c r="Q65" s="281">
        <f>SUM(Q60:Q64)</f>
        <v>0</v>
      </c>
      <c r="R65" s="281"/>
      <c r="S65" s="281">
        <f>SUM(S60:S64)</f>
        <v>0</v>
      </c>
      <c r="T65" s="281">
        <f>SUM(T60:T64)</f>
        <v>0</v>
      </c>
      <c r="U65" s="281" t="e">
        <f>SUM(U60:U64)</f>
        <v>#REF!</v>
      </c>
      <c r="V65" s="284"/>
      <c r="W65" s="281" t="e">
        <f>SUM(W60:W64)</f>
        <v>#REF!</v>
      </c>
      <c r="X65" s="281"/>
      <c r="Y65" s="281" t="e">
        <f>SUM(Y60:Y64)</f>
        <v>#REF!</v>
      </c>
      <c r="Z65" s="281">
        <f>SUM(Z60:Z64)</f>
        <v>0</v>
      </c>
      <c r="AA65" s="281">
        <f>SUM(AA60:AA64)</f>
        <v>0</v>
      </c>
      <c r="AB65" s="284"/>
      <c r="AC65" s="281">
        <f>SUM(AC60:AC64)</f>
        <v>0</v>
      </c>
      <c r="AD65" s="281"/>
      <c r="AE65" s="281">
        <f>SUM(AE60:AE64)</f>
        <v>0</v>
      </c>
      <c r="AF65" s="281" t="e">
        <f>SUM(AF60:AF64)</f>
        <v>#REF!</v>
      </c>
      <c r="AG65" s="281">
        <f>SUM(AG60:AG64)</f>
        <v>0</v>
      </c>
      <c r="AH65" s="284"/>
      <c r="AI65" s="281">
        <f>SUM(AI60:AI64)</f>
        <v>0</v>
      </c>
      <c r="AJ65" s="281"/>
      <c r="AK65" s="281">
        <f>SUM(AK60:AK64)</f>
        <v>0</v>
      </c>
      <c r="AL65" s="192">
        <f>IF(AM54&gt;0,AQ54,0)</f>
        <v>0</v>
      </c>
      <c r="AM65" s="281">
        <f>SUM(AM60:AM64)</f>
        <v>0</v>
      </c>
      <c r="AN65" s="284"/>
    </row>
    <row r="67" spans="2:40" s="2" customFormat="1" x14ac:dyDescent="0.2">
      <c r="K67" s="43"/>
    </row>
    <row r="68" spans="2:40" x14ac:dyDescent="0.2">
      <c r="K68" s="2301"/>
      <c r="L68" s="2301"/>
    </row>
    <row r="69" spans="2:40" x14ac:dyDescent="0.2">
      <c r="K69" s="320"/>
      <c r="L69" s="320"/>
    </row>
    <row r="70" spans="2:40" x14ac:dyDescent="0.2">
      <c r="K70" s="2281"/>
      <c r="L70" s="2281"/>
    </row>
    <row r="71" spans="2:40" x14ac:dyDescent="0.2">
      <c r="C71" s="103"/>
      <c r="D71" s="111"/>
      <c r="E71" s="112"/>
      <c r="F71" s="112"/>
      <c r="G71" s="112"/>
    </row>
    <row r="72" spans="2:40" ht="15" x14ac:dyDescent="0.2">
      <c r="B72" s="1618" t="s">
        <v>243</v>
      </c>
      <c r="C72" s="1619"/>
      <c r="D72" s="43">
        <f>'2. &amp; 7. T2 RESULTATB.'!I8</f>
        <v>2027</v>
      </c>
      <c r="F72" s="43">
        <f>'2. &amp; 7. T2 RESULTATB.'!K8</f>
        <v>2028</v>
      </c>
      <c r="G72" s="43"/>
      <c r="H72" s="43">
        <f>'2. &amp; 7. T2 RESULTATB.'!M8</f>
        <v>2029</v>
      </c>
      <c r="I72" s="43"/>
      <c r="J72" s="43">
        <f>'2. &amp; 7. T2 RESULTATB.'!O8</f>
        <v>2030</v>
      </c>
      <c r="K72" s="43"/>
    </row>
    <row r="73" spans="2:40" x14ac:dyDescent="0.2">
      <c r="B73" s="1620" t="s">
        <v>244</v>
      </c>
      <c r="C73" s="1621">
        <v>0</v>
      </c>
      <c r="D73" s="2279">
        <f>'5. E1 VERKSAMHETSKOSTN.'!F47+'5. E1 VERKSAMHETSKOSTN.'!F50+'5. E1 VERKSAMHETSKOSTN.'!F54+'5. E1 VERKSAMHETSKOSTN.'!F55+'5. E1 VERKSAMHETSKOSTN.'!F56+'5. E1 VERKSAMHETSKOSTN.'!F57+'5. E1 VERKSAMHETSKOSTN.'!F58+'5. E1 VERKSAMHETSKOSTN.'!F59+'5. E1 VERKSAMHETSKOSTN.'!F60+'5. E1 VERKSAMHETSKOSTN.'!F64+'5. E1 VERKSAMHETSKOSTN.'!F65+'5. E1 VERKSAMHETSKOSTN.'!F66+'5. E1 VERKSAMHETSKOSTN.'!F68+'5. E1 VERKSAMHETSKOSTN.'!F69+'5. E1 VERKSAMHETSKOSTN.'!F74+'5. E1 VERKSAMHETSKOSTN.'!F87+'5. E1 VERKSAMHETSKOSTN.'!F88+'5. E1 VERKSAMHETSKOSTN.'!F95+'5. E1 VERKSAMHETSKOSTN.'!F97+'5. E1 VERKSAMHETSKOSTN.'!F98+'5. E1 VERKSAMHETSKOSTN.'!F100+'5. E1 VERKSAMHETSKOSTN.'!F101+'5. E1 VERKSAMHETSKOSTN.'!F102+'5. E1 VERKSAMHETSKOSTN.'!F109+'5. E1 VERKSAMHETSKOSTN.'!F110+'5. E1 VERKSAMHETSKOSTN.'!F117+'5. E1 VERKSAMHETSKOSTN.'!F118+'5. E1 VERKSAMHETSKOSTN.'!F121+'5. E1 VERKSAMHETSKOSTN.'!F123</f>
        <v>0</v>
      </c>
      <c r="E73" s="2280"/>
      <c r="F73" s="2279">
        <f>'5. E1 VERKSAMHETSKOSTN.'!H47+'5. E1 VERKSAMHETSKOSTN.'!H50+'5. E1 VERKSAMHETSKOSTN.'!H54+'5. E1 VERKSAMHETSKOSTN.'!H55+'5. E1 VERKSAMHETSKOSTN.'!H56+'5. E1 VERKSAMHETSKOSTN.'!H57+'5. E1 VERKSAMHETSKOSTN.'!H58+'5. E1 VERKSAMHETSKOSTN.'!H59+'5. E1 VERKSAMHETSKOSTN.'!H60+'5. E1 VERKSAMHETSKOSTN.'!H64+'5. E1 VERKSAMHETSKOSTN.'!H65+'5. E1 VERKSAMHETSKOSTN.'!H66+'5. E1 VERKSAMHETSKOSTN.'!H68+'5. E1 VERKSAMHETSKOSTN.'!H69+'5. E1 VERKSAMHETSKOSTN.'!H74+'5. E1 VERKSAMHETSKOSTN.'!H87+'5. E1 VERKSAMHETSKOSTN.'!H88+'5. E1 VERKSAMHETSKOSTN.'!H95+'5. E1 VERKSAMHETSKOSTN.'!H97+'5. E1 VERKSAMHETSKOSTN.'!H98+'5. E1 VERKSAMHETSKOSTN.'!H100+'5. E1 VERKSAMHETSKOSTN.'!H101+'5. E1 VERKSAMHETSKOSTN.'!H102+'5. E1 VERKSAMHETSKOSTN.'!H109+'5. E1 VERKSAMHETSKOSTN.'!H110+'5. E1 VERKSAMHETSKOSTN.'!H117+'5. E1 VERKSAMHETSKOSTN.'!H118+'5. E1 VERKSAMHETSKOSTN.'!H121+'5. E1 VERKSAMHETSKOSTN.'!H123</f>
        <v>0</v>
      </c>
      <c r="G73" s="2280"/>
      <c r="H73" s="2279">
        <f>'5. E1 VERKSAMHETSKOSTN.'!J47+'5. E1 VERKSAMHETSKOSTN.'!J50+'5. E1 VERKSAMHETSKOSTN.'!J54+'5. E1 VERKSAMHETSKOSTN.'!J55+'5. E1 VERKSAMHETSKOSTN.'!J56+'5. E1 VERKSAMHETSKOSTN.'!J57+'5. E1 VERKSAMHETSKOSTN.'!J58+'5. E1 VERKSAMHETSKOSTN.'!J59+'5. E1 VERKSAMHETSKOSTN.'!J60+'5. E1 VERKSAMHETSKOSTN.'!J64+'5. E1 VERKSAMHETSKOSTN.'!J65+'5. E1 VERKSAMHETSKOSTN.'!J66+'5. E1 VERKSAMHETSKOSTN.'!J68+'5. E1 VERKSAMHETSKOSTN.'!J69+'5. E1 VERKSAMHETSKOSTN.'!J74+'5. E1 VERKSAMHETSKOSTN.'!J87+'5. E1 VERKSAMHETSKOSTN.'!J88+'5. E1 VERKSAMHETSKOSTN.'!J95+'5. E1 VERKSAMHETSKOSTN.'!J97+'5. E1 VERKSAMHETSKOSTN.'!J98+'5. E1 VERKSAMHETSKOSTN.'!J100+'5. E1 VERKSAMHETSKOSTN.'!J101+'5. E1 VERKSAMHETSKOSTN.'!J102+'5. E1 VERKSAMHETSKOSTN.'!J109+'5. E1 VERKSAMHETSKOSTN.'!J110+'5. E1 VERKSAMHETSKOSTN.'!J117+'5. E1 VERKSAMHETSKOSTN.'!J118+'5. E1 VERKSAMHETSKOSTN.'!J121+'5. E1 VERKSAMHETSKOSTN.'!J123</f>
        <v>0</v>
      </c>
      <c r="I73" s="2280"/>
      <c r="J73" s="2279">
        <f>'5. E1 VERKSAMHETSKOSTN.'!L47+'5. E1 VERKSAMHETSKOSTN.'!L50+'5. E1 VERKSAMHETSKOSTN.'!L54+'5. E1 VERKSAMHETSKOSTN.'!L55+'5. E1 VERKSAMHETSKOSTN.'!L56+'5. E1 VERKSAMHETSKOSTN.'!L57+'5. E1 VERKSAMHETSKOSTN.'!L58+'5. E1 VERKSAMHETSKOSTN.'!L59+'5. E1 VERKSAMHETSKOSTN.'!L60+'5. E1 VERKSAMHETSKOSTN.'!L64+'5. E1 VERKSAMHETSKOSTN.'!L65+'5. E1 VERKSAMHETSKOSTN.'!L66+'5. E1 VERKSAMHETSKOSTN.'!L68+'5. E1 VERKSAMHETSKOSTN.'!L69+'5. E1 VERKSAMHETSKOSTN.'!L74+'5. E1 VERKSAMHETSKOSTN.'!L87+'5. E1 VERKSAMHETSKOSTN.'!L88+'5. E1 VERKSAMHETSKOSTN.'!L95+'5. E1 VERKSAMHETSKOSTN.'!L97+'5. E1 VERKSAMHETSKOSTN.'!L98+'5. E1 VERKSAMHETSKOSTN.'!L100+'5. E1 VERKSAMHETSKOSTN.'!L101+'5. E1 VERKSAMHETSKOSTN.'!L102+'5. E1 VERKSAMHETSKOSTN.'!L109+'5. E1 VERKSAMHETSKOSTN.'!L110+'5. E1 VERKSAMHETSKOSTN.'!L117+'5. E1 VERKSAMHETSKOSTN.'!L118+'5. E1 VERKSAMHETSKOSTN.'!L121+'5. E1 VERKSAMHETSKOSTN.'!L123</f>
        <v>0</v>
      </c>
      <c r="K73" s="2280"/>
    </row>
    <row r="74" spans="2:40" x14ac:dyDescent="0.2">
      <c r="B74" s="1620" t="s">
        <v>244</v>
      </c>
      <c r="C74" s="1621">
        <v>0.255</v>
      </c>
      <c r="D74" s="2279">
        <f>D73+D73*$C74</f>
        <v>0</v>
      </c>
      <c r="E74" s="2280"/>
      <c r="F74" s="2279">
        <f t="shared" ref="F74" si="28">F73+F73*$C74</f>
        <v>0</v>
      </c>
      <c r="G74" s="2280"/>
      <c r="H74" s="2279">
        <f t="shared" ref="H74" si="29">H73+H73*$C74</f>
        <v>0</v>
      </c>
      <c r="I74" s="2280"/>
      <c r="J74" s="2279">
        <f t="shared" ref="J74" si="30">J73+J73*$C74</f>
        <v>0</v>
      </c>
      <c r="K74" s="2280"/>
    </row>
    <row r="75" spans="2:40" x14ac:dyDescent="0.2">
      <c r="B75" s="1620" t="s">
        <v>250</v>
      </c>
      <c r="C75" s="1621">
        <v>0</v>
      </c>
      <c r="D75" s="2279">
        <f>'5. E1 VERKSAMHETSKOSTN.'!F105+'5. E1 VERKSAMHETSKOSTN.'!F80+'5. E1 VERKSAMHETSKOSTN.'!F82</f>
        <v>0</v>
      </c>
      <c r="E75" s="2280"/>
      <c r="F75" s="2279">
        <f>'5. E1 VERKSAMHETSKOSTN.'!H105+'5. E1 VERKSAMHETSKOSTN.'!H80+'5. E1 VERKSAMHETSKOSTN.'!H82</f>
        <v>0</v>
      </c>
      <c r="G75" s="2280"/>
      <c r="H75" s="2279">
        <f>'5. E1 VERKSAMHETSKOSTN.'!J105+'5. E1 VERKSAMHETSKOSTN.'!J80+'5. E1 VERKSAMHETSKOSTN.'!J82</f>
        <v>0</v>
      </c>
      <c r="I75" s="2280"/>
      <c r="J75" s="2279">
        <f>'5. E1 VERKSAMHETSKOSTN.'!L105+'5. E1 VERKSAMHETSKOSTN.'!L80+'5. E1 VERKSAMHETSKOSTN.'!L82</f>
        <v>0</v>
      </c>
      <c r="K75" s="2280"/>
    </row>
    <row r="76" spans="2:40" x14ac:dyDescent="0.2">
      <c r="B76" s="1620" t="s">
        <v>251</v>
      </c>
      <c r="C76" s="1621">
        <v>0.14000000000000001</v>
      </c>
      <c r="D76" s="2279">
        <f>D75+D75*$C76</f>
        <v>0</v>
      </c>
      <c r="E76" s="2280"/>
      <c r="F76" s="2279">
        <f>F75+F75*$C76</f>
        <v>0</v>
      </c>
      <c r="G76" s="2280"/>
      <c r="H76" s="2279">
        <f>H75+H75*$C76</f>
        <v>0</v>
      </c>
      <c r="I76" s="2280"/>
      <c r="J76" s="2279">
        <f>J75+J75*$C76</f>
        <v>0</v>
      </c>
      <c r="K76" s="2280"/>
    </row>
    <row r="77" spans="2:40" x14ac:dyDescent="0.2">
      <c r="B77" s="1620" t="s">
        <v>245</v>
      </c>
      <c r="C77" s="1621">
        <v>0</v>
      </c>
      <c r="D77" s="2279">
        <f>'5. E1 VERKSAMHETSKOSTN.'!F106</f>
        <v>0</v>
      </c>
      <c r="E77" s="2280"/>
      <c r="F77" s="2279">
        <f>'5. E1 VERKSAMHETSKOSTN.'!H106</f>
        <v>0</v>
      </c>
      <c r="G77" s="2280"/>
      <c r="H77" s="2279">
        <f>'5. E1 VERKSAMHETSKOSTN.'!J106</f>
        <v>0</v>
      </c>
      <c r="I77" s="2280"/>
      <c r="J77" s="2279">
        <f>'5. E1 VERKSAMHETSKOSTN.'!L106</f>
        <v>0</v>
      </c>
      <c r="K77" s="2280"/>
    </row>
    <row r="78" spans="2:40" x14ac:dyDescent="0.2">
      <c r="B78" s="1620" t="s">
        <v>245</v>
      </c>
      <c r="C78" s="1621">
        <v>0.1</v>
      </c>
      <c r="D78" s="2279">
        <f>D77+D77*$C78</f>
        <v>0</v>
      </c>
      <c r="E78" s="2280"/>
      <c r="F78" s="2279">
        <f>F77+F77*$C78</f>
        <v>0</v>
      </c>
      <c r="G78" s="2280"/>
      <c r="H78" s="2279">
        <f>H77+H77*$C78</f>
        <v>0</v>
      </c>
      <c r="I78" s="2280"/>
      <c r="J78" s="2279">
        <f>J77+J77*$C78</f>
        <v>0</v>
      </c>
      <c r="K78" s="2280"/>
    </row>
    <row r="79" spans="2:40" x14ac:dyDescent="0.2">
      <c r="B79" s="1625" t="s">
        <v>246</v>
      </c>
      <c r="C79" s="1626"/>
      <c r="D79" s="2277">
        <f>D74+D76+D78</f>
        <v>0</v>
      </c>
      <c r="E79" s="2278"/>
      <c r="F79" s="2277">
        <f>F74+F76+F78</f>
        <v>0</v>
      </c>
      <c r="G79" s="2278"/>
      <c r="H79" s="2277">
        <f>H74+H76+H78</f>
        <v>0</v>
      </c>
      <c r="I79" s="2278"/>
      <c r="J79" s="2277">
        <f>J74+J76+J78</f>
        <v>0</v>
      </c>
      <c r="K79" s="2278"/>
    </row>
    <row r="80" spans="2:40" x14ac:dyDescent="0.2">
      <c r="B80" s="1625" t="s">
        <v>249</v>
      </c>
      <c r="C80" s="1626"/>
      <c r="D80" s="2277">
        <f>D73+D75+D77</f>
        <v>0</v>
      </c>
      <c r="E80" s="2278"/>
      <c r="F80" s="2277">
        <f t="shared" ref="F80" si="31">F73+F75+F77</f>
        <v>0</v>
      </c>
      <c r="G80" s="2278"/>
      <c r="H80" s="2277">
        <f t="shared" ref="H80" si="32">H73+H75+H77</f>
        <v>0</v>
      </c>
      <c r="I80" s="2278"/>
      <c r="J80" s="2277">
        <f t="shared" ref="J80" si="33">J73+J75+J77</f>
        <v>0</v>
      </c>
      <c r="K80" s="2278"/>
    </row>
    <row r="81" spans="2:17" x14ac:dyDescent="0.2">
      <c r="B81" s="1627" t="s">
        <v>247</v>
      </c>
      <c r="C81" s="1626"/>
      <c r="D81" s="2282">
        <f>IF(D80=0,0,D82/D80)</f>
        <v>0</v>
      </c>
      <c r="E81" s="2283"/>
      <c r="F81" s="2282">
        <f t="shared" ref="F81" si="34">IF(F80=0,0,F82/F80)</f>
        <v>0</v>
      </c>
      <c r="G81" s="2283"/>
      <c r="H81" s="2282">
        <f t="shared" ref="H81" si="35">IF(H80=0,0,H82/H80)</f>
        <v>0</v>
      </c>
      <c r="I81" s="2283"/>
      <c r="J81" s="2282">
        <f t="shared" ref="J81" si="36">IF(J80=0,0,J82/J80)</f>
        <v>0</v>
      </c>
      <c r="K81" s="2283"/>
    </row>
    <row r="82" spans="2:17" x14ac:dyDescent="0.2">
      <c r="B82" s="1627" t="s">
        <v>248</v>
      </c>
      <c r="C82" s="1626"/>
      <c r="D82" s="2297">
        <f>D74+D76+D78-D73-D75-D77</f>
        <v>0</v>
      </c>
      <c r="E82" s="2298"/>
      <c r="F82" s="2297">
        <f t="shared" ref="F82" si="37">F74+F76+F78-F73-F75-F77</f>
        <v>0</v>
      </c>
      <c r="G82" s="2298"/>
      <c r="H82" s="2297">
        <f t="shared" ref="H82" si="38">H74+H76+H78-H73-H75-H77</f>
        <v>0</v>
      </c>
      <c r="I82" s="2298"/>
      <c r="J82" s="2297">
        <f t="shared" ref="J82" si="39">J74+J76+J78-J73-J75-J77</f>
        <v>0</v>
      </c>
      <c r="K82" s="2298"/>
    </row>
    <row r="83" spans="2:17" x14ac:dyDescent="0.2">
      <c r="B83" s="103"/>
      <c r="C83" s="1"/>
      <c r="D83" s="110"/>
      <c r="E83" s="32"/>
      <c r="F83" s="32"/>
      <c r="G83" s="32"/>
    </row>
    <row r="84" spans="2:17" x14ac:dyDescent="0.2">
      <c r="B84" s="1624" t="s">
        <v>164</v>
      </c>
      <c r="C84" s="111"/>
      <c r="D84" s="2275">
        <f>'5. E1 VERKSAMHETSKOSTN.'!F48+'5. E1 VERKSAMHETSKOSTN.'!F49+'5. E1 VERKSAMHETSKOSTN.'!F51+'5. E1 VERKSAMHETSKOSTN.'!F61+'5. E1 VERKSAMHETSKOSTN.'!F62+'5. E1 VERKSAMHETSKOSTN.'!F67+'5. E1 VERKSAMHETSKOSTN.'!F81+'5. E1 VERKSAMHETSKOSTN.'!F83+'5. E1 VERKSAMHETSKOSTN.'!F86+'5. E1 VERKSAMHETSKOSTN.'!F96+'5. E1 VERKSAMHETSKOSTN.'!F103+'5. E1 VERKSAMHETSKOSTN.'!F107+'5. E1 VERKSAMHETSKOSTN.'!F111+'5. E1 VERKSAMHETSKOSTN.'!F112+'5. E1 VERKSAMHETSKOSTN.'!F113+'5. E1 VERKSAMHETSKOSTN.'!F119+'5. E1 VERKSAMHETSKOSTN.'!F124</f>
        <v>0</v>
      </c>
      <c r="E84" s="2276"/>
      <c r="F84" s="2275">
        <f>'5. E1 VERKSAMHETSKOSTN.'!H48+'5. E1 VERKSAMHETSKOSTN.'!H49+'5. E1 VERKSAMHETSKOSTN.'!H51+'5. E1 VERKSAMHETSKOSTN.'!H61+'5. E1 VERKSAMHETSKOSTN.'!H62+'5. E1 VERKSAMHETSKOSTN.'!H67+'5. E1 VERKSAMHETSKOSTN.'!H81+'5. E1 VERKSAMHETSKOSTN.'!H83+'5. E1 VERKSAMHETSKOSTN.'!H86+'5. E1 VERKSAMHETSKOSTN.'!H96+'5. E1 VERKSAMHETSKOSTN.'!H103+'5. E1 VERKSAMHETSKOSTN.'!H107+'5. E1 VERKSAMHETSKOSTN.'!H111+'5. E1 VERKSAMHETSKOSTN.'!H112+'5. E1 VERKSAMHETSKOSTN.'!H113+'5. E1 VERKSAMHETSKOSTN.'!H119+'5. E1 VERKSAMHETSKOSTN.'!H124</f>
        <v>0</v>
      </c>
      <c r="G84" s="2276"/>
      <c r="H84" s="2275">
        <f>'5. E1 VERKSAMHETSKOSTN.'!J48+'5. E1 VERKSAMHETSKOSTN.'!J49+'5. E1 VERKSAMHETSKOSTN.'!J51+'5. E1 VERKSAMHETSKOSTN.'!J61+'5. E1 VERKSAMHETSKOSTN.'!J62+'5. E1 VERKSAMHETSKOSTN.'!J67+'5. E1 VERKSAMHETSKOSTN.'!J81+'5. E1 VERKSAMHETSKOSTN.'!J83+'5. E1 VERKSAMHETSKOSTN.'!J86+'5. E1 VERKSAMHETSKOSTN.'!J96+'5. E1 VERKSAMHETSKOSTN.'!J103+'5. E1 VERKSAMHETSKOSTN.'!J107+'5. E1 VERKSAMHETSKOSTN.'!J111+'5. E1 VERKSAMHETSKOSTN.'!J112+'5. E1 VERKSAMHETSKOSTN.'!J113+'5. E1 VERKSAMHETSKOSTN.'!J119+'5. E1 VERKSAMHETSKOSTN.'!J124</f>
        <v>0</v>
      </c>
      <c r="I84" s="2276"/>
      <c r="J84" s="2275">
        <f>'5. E1 VERKSAMHETSKOSTN.'!L48+'5. E1 VERKSAMHETSKOSTN.'!L49+'5. E1 VERKSAMHETSKOSTN.'!L51+'5. E1 VERKSAMHETSKOSTN.'!L61+'5. E1 VERKSAMHETSKOSTN.'!L62+'5. E1 VERKSAMHETSKOSTN.'!L67+'5. E1 VERKSAMHETSKOSTN.'!L81+'5. E1 VERKSAMHETSKOSTN.'!L83+'5. E1 VERKSAMHETSKOSTN.'!L86+'5. E1 VERKSAMHETSKOSTN.'!L96+'5. E1 VERKSAMHETSKOSTN.'!L103+'5. E1 VERKSAMHETSKOSTN.'!L107+'5. E1 VERKSAMHETSKOSTN.'!L111+'5. E1 VERKSAMHETSKOSTN.'!L112+'5. E1 VERKSAMHETSKOSTN.'!L113+'5. E1 VERKSAMHETSKOSTN.'!L119+'5. E1 VERKSAMHETSKOSTN.'!L124</f>
        <v>0</v>
      </c>
      <c r="K84" s="2276"/>
    </row>
    <row r="85" spans="2:17" x14ac:dyDescent="0.2">
      <c r="B85" s="103"/>
      <c r="C85" s="111"/>
      <c r="D85" s="112"/>
      <c r="E85" s="112"/>
      <c r="F85" s="112"/>
      <c r="Q85">
        <v>0</v>
      </c>
    </row>
    <row r="86" spans="2:17" s="58" customFormat="1" x14ac:dyDescent="0.2">
      <c r="C86" s="117"/>
      <c r="D86" s="117"/>
      <c r="E86" s="117"/>
      <c r="F86" s="117"/>
    </row>
    <row r="87" spans="2:17" x14ac:dyDescent="0.2">
      <c r="B87" s="102"/>
      <c r="C87" s="108"/>
      <c r="D87" s="108"/>
      <c r="E87" s="108"/>
      <c r="F87" s="108"/>
    </row>
    <row r="88" spans="2:17" x14ac:dyDescent="0.2">
      <c r="B88" s="1"/>
      <c r="C88" s="107"/>
      <c r="D88" s="107"/>
      <c r="E88" s="107"/>
      <c r="F88" s="107"/>
    </row>
    <row r="89" spans="2:17" x14ac:dyDescent="0.2">
      <c r="B89" s="1"/>
      <c r="C89" s="111"/>
      <c r="D89" s="111"/>
      <c r="E89" s="111"/>
      <c r="F89" s="111"/>
    </row>
    <row r="90" spans="2:17" x14ac:dyDescent="0.2">
      <c r="B90" s="1"/>
      <c r="C90" s="111"/>
      <c r="D90" s="111"/>
      <c r="E90" s="111"/>
      <c r="F90" s="111"/>
    </row>
    <row r="91" spans="2:17" x14ac:dyDescent="0.2">
      <c r="B91" s="103"/>
      <c r="D91"/>
    </row>
    <row r="92" spans="2:17" x14ac:dyDescent="0.2">
      <c r="B92" s="103"/>
      <c r="C92" s="112"/>
      <c r="D92" s="112"/>
      <c r="E92" s="112"/>
      <c r="F92" s="112"/>
    </row>
    <row r="93" spans="2:17" x14ac:dyDescent="0.2">
      <c r="B93" s="103"/>
      <c r="C93" s="111"/>
      <c r="D93" s="112"/>
      <c r="E93" s="112"/>
      <c r="F93" s="112"/>
    </row>
    <row r="94" spans="2:17" x14ac:dyDescent="0.2">
      <c r="B94" s="104"/>
      <c r="C94" s="111"/>
      <c r="D94" s="112"/>
      <c r="E94" s="112"/>
      <c r="F94" s="112"/>
    </row>
    <row r="95" spans="2:17" x14ac:dyDescent="0.2">
      <c r="B95" s="103"/>
      <c r="C95" s="111"/>
      <c r="D95" s="112"/>
      <c r="E95" s="112"/>
      <c r="F95" s="112"/>
    </row>
    <row r="96" spans="2:17" x14ac:dyDescent="0.2">
      <c r="B96" s="103"/>
      <c r="C96" s="111"/>
      <c r="D96" s="112"/>
      <c r="E96" s="112"/>
      <c r="F96" s="112"/>
    </row>
    <row r="97" spans="2:6" x14ac:dyDescent="0.2">
      <c r="B97" s="101"/>
      <c r="C97" s="111"/>
      <c r="D97" s="112"/>
      <c r="E97" s="112"/>
      <c r="F97" s="112"/>
    </row>
    <row r="98" spans="2:6" s="2" customFormat="1" x14ac:dyDescent="0.2">
      <c r="C98" s="2296"/>
      <c r="D98" s="2296"/>
      <c r="E98" s="116"/>
      <c r="F98" s="116"/>
    </row>
    <row r="99" spans="2:6" x14ac:dyDescent="0.2">
      <c r="B99" s="102"/>
      <c r="C99" s="108"/>
      <c r="D99" s="108"/>
      <c r="E99" s="108"/>
      <c r="F99" s="108"/>
    </row>
    <row r="100" spans="2:6" x14ac:dyDescent="0.2">
      <c r="B100" s="1"/>
      <c r="C100" s="107"/>
      <c r="D100" s="107"/>
      <c r="E100" s="107"/>
      <c r="F100" s="107"/>
    </row>
    <row r="101" spans="2:6" x14ac:dyDescent="0.2">
      <c r="B101" s="1"/>
      <c r="C101" s="107"/>
      <c r="D101" s="107"/>
      <c r="E101" s="107"/>
      <c r="F101" s="107"/>
    </row>
    <row r="102" spans="2:6" x14ac:dyDescent="0.2">
      <c r="B102" s="1"/>
      <c r="C102" s="113"/>
      <c r="D102" s="113"/>
      <c r="E102" s="113"/>
      <c r="F102" s="113"/>
    </row>
    <row r="103" spans="2:6" x14ac:dyDescent="0.2">
      <c r="B103" s="1"/>
      <c r="C103" s="109"/>
      <c r="D103" s="109"/>
      <c r="E103" s="109"/>
      <c r="F103" s="109"/>
    </row>
    <row r="104" spans="2:6" x14ac:dyDescent="0.2">
      <c r="B104" s="1"/>
      <c r="C104" s="110"/>
      <c r="D104" s="110"/>
      <c r="E104" s="110"/>
      <c r="F104" s="110"/>
    </row>
    <row r="105" spans="2:6" x14ac:dyDescent="0.2">
      <c r="B105" s="1"/>
      <c r="C105" s="110"/>
      <c r="D105" s="110"/>
      <c r="E105" s="110"/>
      <c r="F105" s="110"/>
    </row>
    <row r="106" spans="2:6" x14ac:dyDescent="0.2">
      <c r="B106" s="1"/>
      <c r="C106" s="16"/>
      <c r="D106" s="16"/>
      <c r="E106" s="16"/>
      <c r="F106" s="16"/>
    </row>
    <row r="107" spans="2:6" x14ac:dyDescent="0.2">
      <c r="B107" s="1"/>
      <c r="C107" s="114"/>
      <c r="D107" s="114"/>
      <c r="E107" s="114"/>
      <c r="F107" s="114"/>
    </row>
    <row r="108" spans="2:6" x14ac:dyDescent="0.2">
      <c r="B108" s="2"/>
      <c r="C108" s="115"/>
      <c r="D108" s="115"/>
      <c r="E108" s="115"/>
      <c r="F108" s="115"/>
    </row>
    <row r="109" spans="2:6" x14ac:dyDescent="0.2">
      <c r="B109" s="103"/>
      <c r="D109"/>
    </row>
    <row r="110" spans="2:6" x14ac:dyDescent="0.2">
      <c r="B110" s="103"/>
      <c r="C110" s="111"/>
      <c r="D110" s="111"/>
      <c r="E110" s="111"/>
      <c r="F110" s="111"/>
    </row>
    <row r="111" spans="2:6" x14ac:dyDescent="0.2">
      <c r="B111" s="103"/>
      <c r="C111" s="111"/>
      <c r="D111" s="112"/>
      <c r="E111" s="112"/>
      <c r="F111" s="112"/>
    </row>
    <row r="112" spans="2:6" x14ac:dyDescent="0.2">
      <c r="B112" s="105"/>
      <c r="C112" s="111"/>
      <c r="D112" s="112"/>
      <c r="E112" s="112"/>
      <c r="F112" s="112"/>
    </row>
    <row r="113" spans="2:6" x14ac:dyDescent="0.2">
      <c r="B113" s="106"/>
      <c r="C113" s="115"/>
      <c r="D113" s="115"/>
      <c r="E113" s="115"/>
      <c r="F113" s="115"/>
    </row>
    <row r="114" spans="2:6" x14ac:dyDescent="0.2">
      <c r="B114" s="103"/>
      <c r="C114" s="112"/>
      <c r="D114" s="112"/>
      <c r="E114" s="112"/>
      <c r="F114" s="112"/>
    </row>
    <row r="115" spans="2:6" x14ac:dyDescent="0.2">
      <c r="B115" s="106"/>
      <c r="C115" s="115"/>
      <c r="D115" s="115"/>
      <c r="E115" s="115"/>
      <c r="F115" s="115"/>
    </row>
  </sheetData>
  <sheetProtection algorithmName="SHA-512" hashValue="bh7Q6E5iwY7fxkCcxZ4AHRntZ8lV6ov0+wj/0HI3N8l/N44R5L1PkSsYd2Vqy+S8MaJD0P0A5aneznMYwTxjaw==" saltValue="nyoWJCePPz0l6gktodTBHg==" spinCount="100000" sheet="1" objects="1" scenarios="1" selectLockedCells="1" selectUnlockedCells="1"/>
  <mergeCells count="77">
    <mergeCell ref="AI3:AN3"/>
    <mergeCell ref="AI4:AN4"/>
    <mergeCell ref="Q3:V3"/>
    <mergeCell ref="W3:AB3"/>
    <mergeCell ref="Q57:V57"/>
    <mergeCell ref="AC57:AH57"/>
    <mergeCell ref="AI57:AN57"/>
    <mergeCell ref="AC39:AH39"/>
    <mergeCell ref="AI39:AN39"/>
    <mergeCell ref="Q38:V38"/>
    <mergeCell ref="W38:AB38"/>
    <mergeCell ref="AC38:AH38"/>
    <mergeCell ref="AI38:AN38"/>
    <mergeCell ref="AC3:AH3"/>
    <mergeCell ref="AC4:AH4"/>
    <mergeCell ref="W39:AB39"/>
    <mergeCell ref="K3:P3"/>
    <mergeCell ref="K4:P4"/>
    <mergeCell ref="F39:J39"/>
    <mergeCell ref="F3:J3"/>
    <mergeCell ref="K39:P39"/>
    <mergeCell ref="C98:D98"/>
    <mergeCell ref="F4:J4"/>
    <mergeCell ref="F82:G82"/>
    <mergeCell ref="J82:K82"/>
    <mergeCell ref="F38:J38"/>
    <mergeCell ref="D82:E82"/>
    <mergeCell ref="F57:J57"/>
    <mergeCell ref="H82:I82"/>
    <mergeCell ref="D73:E73"/>
    <mergeCell ref="F73:G73"/>
    <mergeCell ref="H73:I73"/>
    <mergeCell ref="J73:K73"/>
    <mergeCell ref="K68:L68"/>
    <mergeCell ref="D74:E74"/>
    <mergeCell ref="F74:G74"/>
    <mergeCell ref="H74:I74"/>
    <mergeCell ref="Q4:V4"/>
    <mergeCell ref="W4:AB4"/>
    <mergeCell ref="W57:AB57"/>
    <mergeCell ref="K57:P57"/>
    <mergeCell ref="K38:P38"/>
    <mergeCell ref="Q39:V39"/>
    <mergeCell ref="K70:L70"/>
    <mergeCell ref="D81:E81"/>
    <mergeCell ref="F81:G81"/>
    <mergeCell ref="H81:I81"/>
    <mergeCell ref="J81:K81"/>
    <mergeCell ref="J74:K74"/>
    <mergeCell ref="D76:E76"/>
    <mergeCell ref="D75:E75"/>
    <mergeCell ref="F76:G76"/>
    <mergeCell ref="H76:I76"/>
    <mergeCell ref="J76:K76"/>
    <mergeCell ref="F75:G75"/>
    <mergeCell ref="H75:I75"/>
    <mergeCell ref="J75:K75"/>
    <mergeCell ref="D77:E77"/>
    <mergeCell ref="F77:G77"/>
    <mergeCell ref="H77:I77"/>
    <mergeCell ref="J77:K77"/>
    <mergeCell ref="D78:E78"/>
    <mergeCell ref="F78:G78"/>
    <mergeCell ref="H78:I78"/>
    <mergeCell ref="J78:K78"/>
    <mergeCell ref="D84:E84"/>
    <mergeCell ref="F84:G84"/>
    <mergeCell ref="H84:I84"/>
    <mergeCell ref="J84:K84"/>
    <mergeCell ref="D79:E79"/>
    <mergeCell ref="D80:E80"/>
    <mergeCell ref="F79:G79"/>
    <mergeCell ref="H79:I79"/>
    <mergeCell ref="J79:K79"/>
    <mergeCell ref="F80:G80"/>
    <mergeCell ref="H80:I80"/>
    <mergeCell ref="J80:K80"/>
  </mergeCells>
  <pageMargins left="0.7" right="0.7" top="0.75" bottom="0.75" header="0.3" footer="0.3"/>
  <pageSetup paperSize="9" orientation="portrait" verticalDpi="4"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1">
    <tabColor rgb="FF0152A1"/>
  </sheetPr>
  <dimension ref="A1:T80"/>
  <sheetViews>
    <sheetView showGridLines="0" showZeros="0" zoomScaleNormal="100" workbookViewId="0">
      <selection activeCell="P31" sqref="P31"/>
    </sheetView>
  </sheetViews>
  <sheetFormatPr defaultRowHeight="12.75" x14ac:dyDescent="0.2"/>
  <cols>
    <col min="1" max="1" width="8.7109375" customWidth="1"/>
    <col min="2" max="2" width="3.7109375" style="33" customWidth="1"/>
    <col min="3" max="3" width="45.28515625" customWidth="1"/>
    <col min="4" max="8" width="11" customWidth="1"/>
    <col min="9" max="9" width="5.140625" customWidth="1"/>
    <col min="10" max="10" width="10.7109375" style="33" customWidth="1"/>
    <col min="11" max="11" width="10.7109375" customWidth="1"/>
    <col min="20" max="20" width="7.7109375" customWidth="1"/>
  </cols>
  <sheetData>
    <row r="1" spans="1:20" ht="15" x14ac:dyDescent="0.25">
      <c r="B1" s="73" t="s">
        <v>0</v>
      </c>
      <c r="I1" s="53"/>
    </row>
    <row r="2" spans="1:20" ht="4.5" customHeight="1" x14ac:dyDescent="0.2">
      <c r="E2" s="54" t="s">
        <v>0</v>
      </c>
    </row>
    <row r="3" spans="1:20" ht="14.25" customHeight="1" x14ac:dyDescent="0.25">
      <c r="A3" s="1360" t="s">
        <v>297</v>
      </c>
      <c r="C3" s="19" t="s">
        <v>254</v>
      </c>
      <c r="E3" s="1640" t="s">
        <v>258</v>
      </c>
      <c r="J3" s="1778"/>
      <c r="K3" s="1778"/>
      <c r="N3" s="19" t="s">
        <v>254</v>
      </c>
    </row>
    <row r="4" spans="1:20" ht="14.25" customHeight="1" x14ac:dyDescent="0.2">
      <c r="C4" s="173" t="s">
        <v>0</v>
      </c>
      <c r="E4" s="1641">
        <v>0</v>
      </c>
      <c r="F4" s="1638"/>
      <c r="G4" s="71"/>
    </row>
    <row r="5" spans="1:20" ht="7.5" customHeight="1" x14ac:dyDescent="0.25">
      <c r="E5" s="1780"/>
      <c r="F5" s="1781"/>
      <c r="G5" s="33"/>
      <c r="H5" s="19"/>
    </row>
    <row r="6" spans="1:20" x14ac:dyDescent="0.2">
      <c r="B6" s="41" t="s">
        <v>255</v>
      </c>
      <c r="C6" s="57"/>
      <c r="D6" s="57"/>
      <c r="E6" s="1642" t="s">
        <v>259</v>
      </c>
      <c r="F6" s="465"/>
      <c r="G6" s="465"/>
      <c r="H6" s="46"/>
      <c r="I6" s="57"/>
      <c r="J6" s="1566" t="s">
        <v>296</v>
      </c>
      <c r="K6" s="1181"/>
      <c r="L6" s="1181"/>
      <c r="M6" s="1181"/>
      <c r="N6" s="1181"/>
      <c r="O6" s="1181"/>
      <c r="P6" s="1181"/>
      <c r="Q6" s="1181"/>
      <c r="R6" s="1181"/>
      <c r="S6" s="1181"/>
      <c r="T6" s="1182"/>
    </row>
    <row r="7" spans="1:20" s="46" customFormat="1" ht="14.25" customHeight="1" x14ac:dyDescent="0.2">
      <c r="B7" s="1804">
        <v>0</v>
      </c>
      <c r="C7" s="1804"/>
      <c r="D7" s="518"/>
      <c r="E7" s="1786"/>
      <c r="F7" s="1787"/>
      <c r="G7" s="1787"/>
      <c r="H7" s="1787"/>
      <c r="J7" s="354"/>
      <c r="K7" s="302"/>
      <c r="L7" s="302"/>
      <c r="M7" s="302"/>
      <c r="N7" s="302"/>
      <c r="O7" s="302"/>
      <c r="P7" s="302"/>
      <c r="Q7" s="302"/>
      <c r="R7" s="302"/>
      <c r="S7" s="302"/>
      <c r="T7" s="436"/>
    </row>
    <row r="8" spans="1:20" x14ac:dyDescent="0.2">
      <c r="B8" s="1240" t="s">
        <v>256</v>
      </c>
      <c r="C8" s="56"/>
      <c r="D8" s="57"/>
      <c r="E8" s="1643" t="s">
        <v>260</v>
      </c>
      <c r="F8" s="231"/>
      <c r="G8" s="231"/>
      <c r="H8" s="1239"/>
      <c r="I8" s="58"/>
      <c r="J8" s="354"/>
      <c r="K8" s="302"/>
      <c r="L8" s="302"/>
      <c r="M8" s="302"/>
      <c r="N8" s="302"/>
      <c r="O8" s="302"/>
      <c r="P8" s="302"/>
      <c r="Q8" s="302"/>
      <c r="R8" s="302"/>
      <c r="S8" s="302"/>
      <c r="T8" s="436"/>
    </row>
    <row r="9" spans="1:20" s="46" customFormat="1" ht="14.25" customHeight="1" x14ac:dyDescent="0.2">
      <c r="B9" s="1804">
        <v>0</v>
      </c>
      <c r="C9" s="1804"/>
      <c r="D9" s="1805"/>
      <c r="E9" s="1644"/>
      <c r="F9" s="1645"/>
      <c r="G9" s="1645"/>
      <c r="H9" s="1639"/>
      <c r="I9" s="65"/>
      <c r="J9" s="354"/>
      <c r="K9" s="302"/>
      <c r="L9" s="302"/>
      <c r="M9" s="302"/>
      <c r="N9" s="302"/>
      <c r="O9" s="302"/>
      <c r="P9" s="302"/>
      <c r="Q9" s="302"/>
      <c r="R9" s="302"/>
      <c r="S9" s="302"/>
      <c r="T9" s="436"/>
    </row>
    <row r="10" spans="1:20" s="2" customFormat="1" x14ac:dyDescent="0.2">
      <c r="A10"/>
      <c r="B10" s="1240" t="s">
        <v>257</v>
      </c>
      <c r="C10" s="56"/>
      <c r="D10" s="57"/>
      <c r="E10" s="1792" t="s">
        <v>261</v>
      </c>
      <c r="F10" s="1793"/>
      <c r="G10" s="1793"/>
      <c r="H10" s="1793"/>
      <c r="J10" s="354"/>
      <c r="K10" s="302"/>
      <c r="L10" s="302"/>
      <c r="M10" s="302"/>
      <c r="N10" s="302"/>
      <c r="O10" s="302"/>
      <c r="P10" s="302"/>
      <c r="Q10" s="302"/>
      <c r="R10" s="302"/>
      <c r="S10" s="302"/>
      <c r="T10" s="436"/>
    </row>
    <row r="11" spans="1:20" s="46" customFormat="1" ht="14.25" customHeight="1" x14ac:dyDescent="0.2">
      <c r="B11" s="1806"/>
      <c r="C11" s="1807"/>
      <c r="D11" s="1808"/>
      <c r="E11" s="1790"/>
      <c r="F11" s="1791"/>
      <c r="G11" s="1791"/>
      <c r="H11" s="1791"/>
      <c r="I11" s="66"/>
      <c r="J11" s="354"/>
      <c r="K11" s="302"/>
      <c r="L11" s="302"/>
      <c r="M11" s="302"/>
      <c r="N11" s="302"/>
      <c r="O11" s="302"/>
      <c r="P11" s="302"/>
      <c r="Q11" s="302"/>
      <c r="R11" s="302"/>
      <c r="S11" s="302"/>
      <c r="T11" s="436"/>
    </row>
    <row r="12" spans="1:20" ht="14.25" customHeight="1" x14ac:dyDescent="0.2">
      <c r="B12" s="1807"/>
      <c r="C12" s="1807"/>
      <c r="D12" s="1808"/>
      <c r="E12" s="1794" t="s">
        <v>262</v>
      </c>
      <c r="F12" s="1795"/>
      <c r="G12" s="1795"/>
      <c r="H12" s="1795"/>
      <c r="J12" s="354"/>
      <c r="K12" s="302"/>
      <c r="L12" s="302"/>
      <c r="M12" s="302"/>
      <c r="N12" s="302"/>
      <c r="O12" s="302"/>
      <c r="P12" s="302"/>
      <c r="Q12" s="302"/>
      <c r="R12" s="302"/>
      <c r="S12" s="302"/>
      <c r="T12" s="436"/>
    </row>
    <row r="13" spans="1:20" ht="14.25" customHeight="1" x14ac:dyDescent="0.25">
      <c r="A13" s="46"/>
      <c r="B13" s="1809"/>
      <c r="C13" s="1809"/>
      <c r="D13" s="1810"/>
      <c r="E13" s="1796"/>
      <c r="F13" s="1797"/>
      <c r="G13" s="1797"/>
      <c r="H13" s="1797"/>
      <c r="I13" s="59"/>
      <c r="J13" s="354"/>
      <c r="K13" s="302"/>
      <c r="L13" s="302"/>
      <c r="M13" s="302"/>
      <c r="N13" s="302"/>
      <c r="O13" s="302"/>
      <c r="P13" s="302"/>
      <c r="Q13" s="302"/>
      <c r="R13" s="302"/>
      <c r="S13" s="302"/>
      <c r="T13" s="436"/>
    </row>
    <row r="14" spans="1:20" ht="13.9" customHeight="1" x14ac:dyDescent="0.2">
      <c r="A14" s="2"/>
      <c r="C14" s="230"/>
      <c r="J14" s="354"/>
      <c r="K14" s="302"/>
      <c r="L14" s="302"/>
      <c r="M14" s="302"/>
      <c r="N14" s="302"/>
      <c r="O14" s="302"/>
      <c r="P14" s="302"/>
      <c r="Q14" s="302"/>
      <c r="R14" s="302"/>
      <c r="S14" s="302"/>
      <c r="T14" s="436"/>
    </row>
    <row r="15" spans="1:20" ht="13.15" customHeight="1" x14ac:dyDescent="0.2">
      <c r="B15" s="1782" t="s">
        <v>275</v>
      </c>
      <c r="C15" s="1783"/>
      <c r="D15" s="1241" t="s">
        <v>276</v>
      </c>
      <c r="E15" s="1242" t="s">
        <v>277</v>
      </c>
      <c r="F15" s="1242" t="s">
        <v>278</v>
      </c>
      <c r="G15" s="1242" t="s">
        <v>279</v>
      </c>
      <c r="H15" s="1788" t="s">
        <v>280</v>
      </c>
      <c r="I15" s="55"/>
      <c r="J15" s="1183"/>
      <c r="K15" s="1602"/>
      <c r="L15" s="1602"/>
      <c r="M15" s="1602"/>
      <c r="N15" s="1602"/>
      <c r="O15" s="1602"/>
      <c r="P15" s="1602"/>
      <c r="Q15" s="1602"/>
      <c r="R15" s="1602"/>
      <c r="S15" s="1602"/>
      <c r="T15" s="1184"/>
    </row>
    <row r="16" spans="1:20" ht="13.5" customHeight="1" x14ac:dyDescent="0.2">
      <c r="B16" s="1784"/>
      <c r="C16" s="1785"/>
      <c r="D16" s="1247">
        <v>2027</v>
      </c>
      <c r="E16" s="1248">
        <f>D16+1</f>
        <v>2028</v>
      </c>
      <c r="F16" s="1248">
        <f>E16+1</f>
        <v>2029</v>
      </c>
      <c r="G16" s="1248">
        <f>F16+1</f>
        <v>2030</v>
      </c>
      <c r="H16" s="1789"/>
      <c r="I16" s="55"/>
      <c r="J16" s="1183"/>
      <c r="K16" s="1602"/>
      <c r="L16" s="1602"/>
      <c r="M16" s="1602"/>
      <c r="N16" s="1602"/>
      <c r="O16" s="1602"/>
      <c r="P16" s="1602"/>
      <c r="Q16" s="1602"/>
      <c r="R16" s="1602"/>
      <c r="S16" s="1602"/>
      <c r="T16" s="1184"/>
    </row>
    <row r="17" spans="1:20" ht="13.5" customHeight="1" x14ac:dyDescent="0.2">
      <c r="B17" s="1244" t="s">
        <v>2</v>
      </c>
      <c r="C17" s="170" t="s">
        <v>263</v>
      </c>
      <c r="D17" s="653"/>
      <c r="E17" s="653"/>
      <c r="F17" s="653"/>
      <c r="G17" s="653"/>
      <c r="H17" s="682">
        <f>SUM(D17:G17)</f>
        <v>0</v>
      </c>
      <c r="I17" s="60"/>
      <c r="J17" s="1183"/>
      <c r="K17" s="1602"/>
      <c r="L17" s="1602"/>
      <c r="M17" s="1602"/>
      <c r="N17" s="1602"/>
      <c r="O17" s="1602"/>
      <c r="P17" s="1602"/>
      <c r="Q17" s="1602"/>
      <c r="R17" s="1602"/>
      <c r="S17" s="1602"/>
      <c r="T17" s="1184"/>
    </row>
    <row r="18" spans="1:20" s="4" customFormat="1" ht="13.5" customHeight="1" x14ac:dyDescent="0.2">
      <c r="A18"/>
      <c r="B18" s="1244"/>
      <c r="C18" s="170" t="s">
        <v>264</v>
      </c>
      <c r="D18" s="622"/>
      <c r="E18" s="622" t="s">
        <v>0</v>
      </c>
      <c r="F18" s="622"/>
      <c r="G18" s="622"/>
      <c r="H18" s="1245"/>
      <c r="I18" s="171"/>
      <c r="J18" s="1183"/>
      <c r="K18" s="1602"/>
      <c r="L18" s="1602"/>
      <c r="M18" s="1602"/>
      <c r="N18" s="1602"/>
      <c r="O18" s="1602"/>
      <c r="P18" s="1602"/>
      <c r="Q18" s="1602"/>
      <c r="R18" s="1602"/>
      <c r="S18" s="1602"/>
      <c r="T18" s="1184"/>
    </row>
    <row r="19" spans="1:20" s="4" customFormat="1" ht="13.5" customHeight="1" x14ac:dyDescent="0.2">
      <c r="A19"/>
      <c r="B19" s="1493"/>
      <c r="C19" s="155" t="s">
        <v>265</v>
      </c>
      <c r="D19" s="1501">
        <v>0</v>
      </c>
      <c r="E19" s="1501">
        <v>0</v>
      </c>
      <c r="F19" s="1501">
        <v>0</v>
      </c>
      <c r="G19" s="1501">
        <v>0</v>
      </c>
      <c r="H19" s="1245"/>
      <c r="I19" s="171"/>
      <c r="J19" s="1183"/>
      <c r="K19" s="1602"/>
      <c r="L19" s="1602"/>
      <c r="M19" s="1602"/>
      <c r="N19" s="1602"/>
      <c r="O19" s="1602"/>
      <c r="P19" s="1602"/>
      <c r="Q19" s="1602"/>
      <c r="R19" s="1602"/>
      <c r="S19" s="1602"/>
      <c r="T19" s="1184"/>
    </row>
    <row r="20" spans="1:20" ht="13.5" customHeight="1" x14ac:dyDescent="0.2">
      <c r="B20" s="1560" t="s">
        <v>3</v>
      </c>
      <c r="C20" s="1561" t="s">
        <v>785</v>
      </c>
      <c r="D20" s="1562"/>
      <c r="E20" s="1562"/>
      <c r="F20" s="1562">
        <v>0</v>
      </c>
      <c r="G20" s="1562"/>
      <c r="H20" s="609">
        <f>SUM(D20:G20)</f>
        <v>0</v>
      </c>
      <c r="I20" s="61"/>
      <c r="J20" s="1183"/>
      <c r="K20" s="1185"/>
      <c r="L20" s="1602"/>
      <c r="M20" s="1602"/>
      <c r="N20" s="1602"/>
      <c r="O20" s="1602"/>
      <c r="P20" s="1602"/>
      <c r="Q20" s="1602"/>
      <c r="R20" s="1602"/>
      <c r="S20" s="1602"/>
      <c r="T20" s="1184"/>
    </row>
    <row r="21" spans="1:20" s="4" customFormat="1" ht="13.5" customHeight="1" x14ac:dyDescent="0.2">
      <c r="A21"/>
      <c r="B21" s="1244"/>
      <c r="C21" s="413" t="s">
        <v>266</v>
      </c>
      <c r="D21" s="510">
        <v>0</v>
      </c>
      <c r="E21" s="510">
        <v>0</v>
      </c>
      <c r="F21" s="510"/>
      <c r="G21" s="510"/>
      <c r="H21" s="1245"/>
      <c r="I21" s="172"/>
      <c r="J21" s="1183"/>
      <c r="K21" s="1185"/>
      <c r="L21" s="1602"/>
      <c r="M21" s="1602"/>
      <c r="N21" s="1602"/>
      <c r="O21" s="1602"/>
      <c r="P21" s="1602"/>
      <c r="Q21" s="1602"/>
      <c r="R21" s="1602"/>
      <c r="S21" s="1602"/>
      <c r="T21" s="1184"/>
    </row>
    <row r="22" spans="1:20" s="4" customFormat="1" ht="13.5" customHeight="1" x14ac:dyDescent="0.2">
      <c r="A22"/>
      <c r="B22" s="1244"/>
      <c r="C22" s="170" t="s">
        <v>784</v>
      </c>
      <c r="D22" s="357">
        <v>0.255</v>
      </c>
      <c r="E22" s="357">
        <v>0.255</v>
      </c>
      <c r="F22" s="357">
        <v>0.255</v>
      </c>
      <c r="G22" s="357">
        <v>0.255</v>
      </c>
      <c r="H22" s="1245"/>
      <c r="I22" s="172"/>
      <c r="J22" s="1183"/>
      <c r="K22" s="1185"/>
      <c r="L22" s="1602"/>
      <c r="M22" s="1602"/>
      <c r="N22" s="1602"/>
      <c r="O22" s="1602"/>
      <c r="P22" s="1602"/>
      <c r="Q22" s="1602"/>
      <c r="R22" s="1602"/>
      <c r="S22" s="1602"/>
      <c r="T22" s="1184"/>
    </row>
    <row r="23" spans="1:20" s="4" customFormat="1" ht="13.5" customHeight="1" x14ac:dyDescent="0.2">
      <c r="A23"/>
      <c r="B23" s="1493"/>
      <c r="C23" s="155" t="s">
        <v>265</v>
      </c>
      <c r="D23" s="1501">
        <v>0</v>
      </c>
      <c r="E23" s="1501">
        <v>0</v>
      </c>
      <c r="F23" s="1501">
        <v>0</v>
      </c>
      <c r="G23" s="1501">
        <v>0</v>
      </c>
      <c r="H23" s="1245"/>
      <c r="I23" s="172"/>
      <c r="J23" s="1183"/>
      <c r="K23" s="1185"/>
      <c r="L23" s="1602"/>
      <c r="M23" s="1602"/>
      <c r="N23" s="1602"/>
      <c r="O23" s="1602"/>
      <c r="P23" s="1602"/>
      <c r="Q23" s="1602"/>
      <c r="R23" s="1602"/>
      <c r="S23" s="1602"/>
      <c r="T23" s="1184"/>
    </row>
    <row r="24" spans="1:20" ht="13.5" customHeight="1" x14ac:dyDescent="0.2">
      <c r="B24" s="1560" t="s">
        <v>4</v>
      </c>
      <c r="C24" s="1563" t="s">
        <v>786</v>
      </c>
      <c r="D24" s="1562"/>
      <c r="E24" s="1562"/>
      <c r="F24" s="1562"/>
      <c r="G24" s="1562"/>
      <c r="H24" s="609">
        <f>SUM(D24:G24)</f>
        <v>0</v>
      </c>
      <c r="I24" s="61"/>
      <c r="J24" s="1183"/>
      <c r="K24" s="1185"/>
      <c r="L24" s="1602"/>
      <c r="M24" s="1602"/>
      <c r="N24" s="1602"/>
      <c r="O24" s="1602"/>
      <c r="P24" s="1602"/>
      <c r="Q24" s="1602"/>
      <c r="R24" s="1602"/>
      <c r="S24" s="1602"/>
      <c r="T24" s="1184"/>
    </row>
    <row r="25" spans="1:20" s="4" customFormat="1" ht="13.5" customHeight="1" x14ac:dyDescent="0.2">
      <c r="A25" s="46"/>
      <c r="B25" s="1244"/>
      <c r="C25" s="170" t="s">
        <v>266</v>
      </c>
      <c r="D25" s="510"/>
      <c r="E25" s="510">
        <v>0</v>
      </c>
      <c r="F25" s="510"/>
      <c r="G25" s="510"/>
      <c r="H25" s="1245"/>
      <c r="I25" s="172"/>
      <c r="J25" s="1183"/>
      <c r="K25" s="1185"/>
      <c r="L25" s="1602"/>
      <c r="M25" s="1602"/>
      <c r="N25" s="1602"/>
      <c r="O25" s="1602"/>
      <c r="P25" s="1602"/>
      <c r="Q25" s="1602"/>
      <c r="R25" s="1602"/>
      <c r="S25" s="1602"/>
      <c r="T25" s="1184"/>
    </row>
    <row r="26" spans="1:20" s="4" customFormat="1" ht="13.5" customHeight="1" x14ac:dyDescent="0.2">
      <c r="A26" s="2"/>
      <c r="B26" s="1493"/>
      <c r="C26" s="155" t="s">
        <v>265</v>
      </c>
      <c r="D26" s="1501"/>
      <c r="E26" s="1501"/>
      <c r="F26" s="1501"/>
      <c r="G26" s="1501">
        <v>0</v>
      </c>
      <c r="H26" s="1245"/>
      <c r="I26" s="172"/>
      <c r="J26" s="1183"/>
      <c r="K26" s="1185"/>
      <c r="L26" s="1602"/>
      <c r="M26" s="1602"/>
      <c r="N26" s="1602"/>
      <c r="O26" s="1602"/>
      <c r="P26" s="1602"/>
      <c r="Q26" s="1602"/>
      <c r="R26" s="1602"/>
      <c r="S26" s="1602"/>
      <c r="T26" s="1186"/>
    </row>
    <row r="27" spans="1:20" ht="13.15" customHeight="1" x14ac:dyDescent="0.2">
      <c r="B27" s="1560" t="s">
        <v>5</v>
      </c>
      <c r="C27" s="1561" t="s">
        <v>787</v>
      </c>
      <c r="D27" s="622">
        <v>0</v>
      </c>
      <c r="E27" s="1562"/>
      <c r="F27" s="1562"/>
      <c r="G27" s="1562"/>
      <c r="H27" s="609">
        <f>SUM(D27:G27)</f>
        <v>0</v>
      </c>
      <c r="I27" s="61"/>
      <c r="J27" s="1183"/>
      <c r="K27" s="1185"/>
      <c r="L27" s="1628"/>
      <c r="M27" s="1602"/>
      <c r="N27" s="1602"/>
      <c r="O27" s="1602"/>
      <c r="P27" s="1602"/>
      <c r="Q27" s="1602"/>
      <c r="R27" s="1602"/>
      <c r="S27" s="1602"/>
      <c r="T27" s="1184"/>
    </row>
    <row r="28" spans="1:20" s="4" customFormat="1" ht="13.5" customHeight="1" x14ac:dyDescent="0.2">
      <c r="A28"/>
      <c r="B28" s="1244"/>
      <c r="C28" s="170" t="s">
        <v>784</v>
      </c>
      <c r="D28" s="357">
        <v>0.255</v>
      </c>
      <c r="E28" s="357">
        <v>0.255</v>
      </c>
      <c r="F28" s="357">
        <v>0.255</v>
      </c>
      <c r="G28" s="357">
        <v>0.255</v>
      </c>
      <c r="H28" s="1245"/>
      <c r="I28" s="172"/>
      <c r="J28" s="1183"/>
      <c r="K28" s="1185"/>
      <c r="L28" s="1628"/>
      <c r="M28" s="1602"/>
      <c r="N28" s="1602"/>
      <c r="O28" s="1602"/>
      <c r="P28" s="1602"/>
      <c r="Q28" s="1602"/>
      <c r="R28" s="1602"/>
      <c r="S28" s="1602"/>
      <c r="T28" s="1184"/>
    </row>
    <row r="29" spans="1:20" s="4" customFormat="1" ht="13.5" customHeight="1" x14ac:dyDescent="0.2">
      <c r="A29"/>
      <c r="B29" s="1493"/>
      <c r="C29" s="155" t="s">
        <v>265</v>
      </c>
      <c r="D29" s="357">
        <v>0</v>
      </c>
      <c r="E29" s="1501">
        <v>0</v>
      </c>
      <c r="F29" s="1501">
        <v>0</v>
      </c>
      <c r="G29" s="1501">
        <v>0</v>
      </c>
      <c r="H29" s="1245"/>
      <c r="I29" s="172"/>
      <c r="J29" s="1183"/>
      <c r="K29" s="1185"/>
      <c r="L29" s="1628"/>
      <c r="M29" s="1602"/>
      <c r="N29" s="1602"/>
      <c r="O29" s="1602"/>
      <c r="P29" s="1602"/>
      <c r="Q29" s="1602"/>
      <c r="R29" s="1602"/>
      <c r="S29" s="1602"/>
      <c r="T29" s="1184"/>
    </row>
    <row r="30" spans="1:20" ht="13.5" customHeight="1" x14ac:dyDescent="0.2">
      <c r="B30" s="1560" t="s">
        <v>6</v>
      </c>
      <c r="C30" s="1561" t="s">
        <v>788</v>
      </c>
      <c r="D30" s="1562"/>
      <c r="E30" s="1562"/>
      <c r="F30" s="1562"/>
      <c r="G30" s="1562"/>
      <c r="H30" s="609">
        <f>SUM(D30:G30)</f>
        <v>0</v>
      </c>
      <c r="I30" s="61"/>
      <c r="J30" s="1183"/>
      <c r="K30" s="1185"/>
      <c r="L30" s="1628"/>
      <c r="M30" s="1602"/>
      <c r="N30" s="1602"/>
      <c r="O30" s="1602"/>
      <c r="P30" s="1602"/>
      <c r="Q30" s="1602"/>
      <c r="R30" s="1602"/>
      <c r="S30" s="1602"/>
      <c r="T30" s="1184"/>
    </row>
    <row r="31" spans="1:20" s="4" customFormat="1" ht="13.5" customHeight="1" x14ac:dyDescent="0.2">
      <c r="A31"/>
      <c r="B31" s="1493"/>
      <c r="C31" s="155" t="s">
        <v>265</v>
      </c>
      <c r="D31" s="1501">
        <v>0</v>
      </c>
      <c r="E31" s="1501">
        <v>0</v>
      </c>
      <c r="F31" s="1501">
        <v>0</v>
      </c>
      <c r="G31" s="1501">
        <v>0</v>
      </c>
      <c r="H31" s="1245"/>
      <c r="I31" s="172"/>
      <c r="J31" s="1183"/>
      <c r="K31" s="1185"/>
      <c r="L31" s="1628"/>
      <c r="M31" s="1602"/>
      <c r="N31" s="1602"/>
      <c r="O31" s="1602"/>
      <c r="P31" s="1602"/>
      <c r="Q31" s="1602"/>
      <c r="R31" s="1602"/>
      <c r="S31" s="1602"/>
      <c r="T31" s="1186"/>
    </row>
    <row r="32" spans="1:20" ht="13.5" customHeight="1" x14ac:dyDescent="0.2">
      <c r="B32" s="1560" t="s">
        <v>7</v>
      </c>
      <c r="C32" s="1561" t="s">
        <v>796</v>
      </c>
      <c r="D32" s="1562">
        <v>0</v>
      </c>
      <c r="E32" s="1562"/>
      <c r="F32" s="1562"/>
      <c r="G32" s="1562"/>
      <c r="H32" s="609">
        <f>SUM(D32:G32)</f>
        <v>0</v>
      </c>
      <c r="I32" s="61"/>
      <c r="J32" s="1183"/>
      <c r="K32" s="1185"/>
      <c r="L32" s="1628"/>
      <c r="M32" s="1602"/>
      <c r="N32" s="1602"/>
      <c r="O32" s="1602"/>
      <c r="P32" s="1602"/>
      <c r="Q32" s="1602"/>
      <c r="R32" s="1602"/>
      <c r="S32" s="1602"/>
      <c r="T32" s="1184"/>
    </row>
    <row r="33" spans="1:20" s="4" customFormat="1" ht="13.5" customHeight="1" x14ac:dyDescent="0.2">
      <c r="A33"/>
      <c r="B33" s="1244"/>
      <c r="C33" s="170" t="s">
        <v>784</v>
      </c>
      <c r="D33" s="357">
        <v>0.255</v>
      </c>
      <c r="E33" s="357">
        <v>0.255</v>
      </c>
      <c r="F33" s="357">
        <v>0.255</v>
      </c>
      <c r="G33" s="357">
        <v>0.255</v>
      </c>
      <c r="H33" s="1245"/>
      <c r="I33" s="172"/>
      <c r="J33" s="1183"/>
      <c r="K33" s="1185"/>
      <c r="L33" s="1628"/>
      <c r="M33" s="1602"/>
      <c r="N33" s="1602"/>
      <c r="O33" s="1602"/>
      <c r="P33" s="1602"/>
      <c r="Q33" s="1602"/>
      <c r="R33" s="1602"/>
      <c r="S33" s="1602"/>
      <c r="T33" s="1184"/>
    </row>
    <row r="34" spans="1:20" s="4" customFormat="1" ht="13.5" customHeight="1" x14ac:dyDescent="0.2">
      <c r="A34"/>
      <c r="B34" s="1493"/>
      <c r="C34" s="155" t="s">
        <v>265</v>
      </c>
      <c r="D34" s="1501">
        <v>0</v>
      </c>
      <c r="E34" s="1501">
        <v>0</v>
      </c>
      <c r="F34" s="1501">
        <v>0</v>
      </c>
      <c r="G34" s="1501">
        <v>0</v>
      </c>
      <c r="H34" s="1245"/>
      <c r="I34" s="172"/>
      <c r="J34" s="1183"/>
      <c r="K34" s="1185"/>
      <c r="L34" s="1602"/>
      <c r="M34" s="1602"/>
      <c r="N34" s="1602"/>
      <c r="O34" s="1602"/>
      <c r="P34" s="1602"/>
      <c r="Q34" s="1602"/>
      <c r="R34" s="1602"/>
      <c r="S34" s="1602"/>
      <c r="T34" s="1184"/>
    </row>
    <row r="35" spans="1:20" ht="13.5" customHeight="1" x14ac:dyDescent="0.2">
      <c r="B35" s="1560" t="s">
        <v>8</v>
      </c>
      <c r="C35" s="1561" t="s">
        <v>270</v>
      </c>
      <c r="D35" s="1562">
        <v>0</v>
      </c>
      <c r="E35" s="1562">
        <v>0</v>
      </c>
      <c r="F35" s="1562"/>
      <c r="G35" s="1562"/>
      <c r="H35" s="609">
        <f>SUM(D35:G35)</f>
        <v>0</v>
      </c>
      <c r="I35" s="61"/>
      <c r="J35" s="1183"/>
      <c r="K35" s="1185"/>
      <c r="L35" s="1602"/>
      <c r="M35" s="1602"/>
      <c r="N35" s="1602"/>
      <c r="O35" s="1602"/>
      <c r="P35" s="1602"/>
      <c r="Q35" s="1602"/>
      <c r="R35" s="1602"/>
      <c r="S35" s="1602"/>
      <c r="T35" s="1184"/>
    </row>
    <row r="36" spans="1:20" s="4" customFormat="1" ht="13.5" customHeight="1" x14ac:dyDescent="0.2">
      <c r="A36"/>
      <c r="B36" s="1244"/>
      <c r="C36" s="170" t="s">
        <v>784</v>
      </c>
      <c r="D36" s="357">
        <v>0</v>
      </c>
      <c r="E36" s="357">
        <f>D36</f>
        <v>0</v>
      </c>
      <c r="F36" s="357">
        <f>E36</f>
        <v>0</v>
      </c>
      <c r="G36" s="357">
        <f>F36</f>
        <v>0</v>
      </c>
      <c r="H36" s="1245"/>
      <c r="I36" s="172"/>
      <c r="J36" s="1183"/>
      <c r="K36" s="1185"/>
      <c r="L36" s="1602"/>
      <c r="M36" s="1602"/>
      <c r="N36" s="1602"/>
      <c r="O36" s="1602"/>
      <c r="P36" s="1602"/>
      <c r="Q36" s="1602"/>
      <c r="R36" s="1602"/>
      <c r="S36" s="1602"/>
      <c r="T36" s="1184"/>
    </row>
    <row r="37" spans="1:20" s="4" customFormat="1" ht="13.5" customHeight="1" x14ac:dyDescent="0.2">
      <c r="A37"/>
      <c r="B37" s="1493"/>
      <c r="C37" s="155" t="s">
        <v>265</v>
      </c>
      <c r="D37" s="1501">
        <v>0</v>
      </c>
      <c r="E37" s="1501">
        <v>0</v>
      </c>
      <c r="F37" s="1501">
        <v>0</v>
      </c>
      <c r="G37" s="1501">
        <v>0</v>
      </c>
      <c r="H37" s="1245"/>
      <c r="I37" s="172"/>
      <c r="J37" s="1183"/>
      <c r="K37" s="1185"/>
      <c r="L37" s="1602"/>
      <c r="M37" s="1602"/>
      <c r="N37" s="1602"/>
      <c r="O37" s="1602"/>
      <c r="P37" s="1602"/>
      <c r="Q37" s="1602"/>
      <c r="R37" s="1602"/>
      <c r="S37" s="1602"/>
      <c r="T37" s="1184"/>
    </row>
    <row r="38" spans="1:20" s="4" customFormat="1" ht="13.5" customHeight="1" x14ac:dyDescent="0.2">
      <c r="A38"/>
      <c r="B38" s="1560" t="s">
        <v>9</v>
      </c>
      <c r="C38" s="1563" t="s">
        <v>271</v>
      </c>
      <c r="D38" s="1562"/>
      <c r="E38" s="1562"/>
      <c r="F38" s="1562"/>
      <c r="G38" s="1562"/>
      <c r="H38" s="609">
        <f>SUM(D38:G38)</f>
        <v>0</v>
      </c>
      <c r="I38" s="172"/>
      <c r="J38" s="1183"/>
      <c r="K38" s="1185"/>
      <c r="L38" s="1602"/>
      <c r="M38" s="1602"/>
      <c r="N38" s="1602"/>
      <c r="O38" s="1602"/>
      <c r="P38" s="1602"/>
      <c r="Q38" s="1602"/>
      <c r="R38" s="1602"/>
      <c r="S38" s="1602"/>
      <c r="T38" s="1184"/>
    </row>
    <row r="39" spans="1:20" ht="13.5" customHeight="1" x14ac:dyDescent="0.2">
      <c r="B39" s="1244" t="s">
        <v>10</v>
      </c>
      <c r="C39" s="340" t="s">
        <v>272</v>
      </c>
      <c r="D39" s="1562">
        <v>0</v>
      </c>
      <c r="E39" s="1562"/>
      <c r="F39" s="1562"/>
      <c r="G39" s="1562"/>
      <c r="H39" s="609">
        <f>SUM(D39:G39)</f>
        <v>0</v>
      </c>
      <c r="I39" s="61"/>
      <c r="J39" s="1183"/>
      <c r="K39" s="1185"/>
      <c r="L39" s="1602"/>
      <c r="M39" s="1602"/>
      <c r="N39" s="1602"/>
      <c r="O39" s="1602"/>
      <c r="P39" s="1602"/>
      <c r="Q39" s="1602"/>
      <c r="R39" s="1602"/>
      <c r="S39" s="1602"/>
      <c r="T39" s="1184"/>
    </row>
    <row r="40" spans="1:20" ht="13.5" hidden="1" customHeight="1" x14ac:dyDescent="0.2">
      <c r="B40" s="1244" t="s">
        <v>11</v>
      </c>
      <c r="C40" s="340" t="s">
        <v>273</v>
      </c>
      <c r="D40" s="622">
        <v>0</v>
      </c>
      <c r="E40" s="907">
        <v>0</v>
      </c>
      <c r="F40" s="907">
        <v>0</v>
      </c>
      <c r="G40" s="907">
        <v>0</v>
      </c>
      <c r="H40" s="609">
        <f>SUM(D40:G40)</f>
        <v>0</v>
      </c>
      <c r="I40" s="61"/>
      <c r="J40" s="1183"/>
      <c r="K40" s="1185"/>
      <c r="L40" s="1602"/>
      <c r="M40" s="1602"/>
      <c r="N40" s="1602"/>
      <c r="O40" s="1602"/>
      <c r="P40" s="1602"/>
      <c r="Q40" s="1602"/>
      <c r="R40" s="1602"/>
      <c r="S40" s="1602"/>
      <c r="T40" s="1184"/>
    </row>
    <row r="41" spans="1:20" s="4" customFormat="1" ht="13.5" hidden="1" customHeight="1" x14ac:dyDescent="0.2">
      <c r="A41"/>
      <c r="B41" s="1244"/>
      <c r="C41" s="170" t="s">
        <v>267</v>
      </c>
      <c r="D41" s="357">
        <v>0</v>
      </c>
      <c r="E41" s="907">
        <v>0</v>
      </c>
      <c r="F41" s="907">
        <v>0</v>
      </c>
      <c r="G41" s="907">
        <v>0</v>
      </c>
      <c r="H41" s="1245"/>
      <c r="I41" s="172"/>
      <c r="J41" s="1183"/>
      <c r="K41" s="1185"/>
      <c r="L41" s="1602"/>
      <c r="M41" s="1602"/>
      <c r="N41" s="1602"/>
      <c r="O41" s="1602"/>
      <c r="P41" s="1602"/>
      <c r="Q41" s="1602"/>
      <c r="R41" s="1602"/>
      <c r="S41" s="1602"/>
      <c r="T41" s="1184"/>
    </row>
    <row r="42" spans="1:20" ht="15.95" customHeight="1" x14ac:dyDescent="0.2">
      <c r="B42" s="1635" t="s">
        <v>11</v>
      </c>
      <c r="C42" s="1246" t="s">
        <v>274</v>
      </c>
      <c r="D42" s="506">
        <f>D17+D20+D24+D27+D30+D32+D39+D35+D38+D40</f>
        <v>0</v>
      </c>
      <c r="E42" s="506">
        <f>E17+E20+E24+E27+E30+E32+E39+E35+E38+E40</f>
        <v>0</v>
      </c>
      <c r="F42" s="506">
        <f>F17+F20+F24+F27+F30+F32+F39+F35+F38+F40</f>
        <v>0</v>
      </c>
      <c r="G42" s="506">
        <f>G17+G20+G24+G27+G30+G32+G39+G35+G38+G40</f>
        <v>0</v>
      </c>
      <c r="H42" s="506">
        <f>SUM(D42:G42)</f>
        <v>0</v>
      </c>
      <c r="I42" s="61"/>
      <c r="J42" s="1183"/>
      <c r="K42" s="1602"/>
      <c r="L42" s="1602"/>
      <c r="M42" s="1602"/>
      <c r="N42" s="1602"/>
      <c r="O42" s="1602">
        <v>0</v>
      </c>
      <c r="P42" s="1602"/>
      <c r="Q42" s="1602"/>
      <c r="R42" s="1602"/>
      <c r="S42" s="1602"/>
      <c r="T42" s="1184"/>
    </row>
    <row r="43" spans="1:20" ht="13.9" customHeight="1" x14ac:dyDescent="0.2">
      <c r="H43" s="1249"/>
      <c r="J43" s="354"/>
      <c r="K43" s="302"/>
      <c r="L43" s="302"/>
      <c r="M43" s="302"/>
      <c r="N43" s="302"/>
      <c r="O43" s="302">
        <v>0</v>
      </c>
      <c r="P43" s="302"/>
      <c r="Q43" s="302"/>
      <c r="R43" s="302"/>
      <c r="S43" s="302"/>
      <c r="T43" s="436"/>
    </row>
    <row r="44" spans="1:20" ht="13.5" customHeight="1" x14ac:dyDescent="0.2">
      <c r="B44" s="1782" t="s">
        <v>764</v>
      </c>
      <c r="C44" s="1783"/>
      <c r="D44" s="1242" t="str">
        <f>D15</f>
        <v>Prognos 1</v>
      </c>
      <c r="E44" s="1242" t="str">
        <f>E15</f>
        <v>Prognos 2</v>
      </c>
      <c r="F44" s="1242" t="str">
        <f t="shared" ref="F44:G44" si="0">F15</f>
        <v>Prognos 3</v>
      </c>
      <c r="G44" s="1242" t="str">
        <f t="shared" si="0"/>
        <v>Prognos 4</v>
      </c>
      <c r="H44" s="1788" t="str">
        <f>H15</f>
        <v>Sammanlagt</v>
      </c>
      <c r="J44" s="354"/>
      <c r="K44" s="302"/>
      <c r="L44" s="302"/>
      <c r="M44" s="302"/>
      <c r="N44" s="302"/>
      <c r="O44" s="302"/>
      <c r="P44" s="302"/>
      <c r="Q44" s="302"/>
      <c r="R44" s="302"/>
      <c r="S44" s="302"/>
      <c r="T44" s="436"/>
    </row>
    <row r="45" spans="1:20" ht="13.5" customHeight="1" x14ac:dyDescent="0.2">
      <c r="B45" s="1784"/>
      <c r="C45" s="1785"/>
      <c r="D45" s="1257">
        <f>D16</f>
        <v>2027</v>
      </c>
      <c r="E45" s="1257">
        <f>E16</f>
        <v>2028</v>
      </c>
      <c r="F45" s="1257">
        <f>F16</f>
        <v>2029</v>
      </c>
      <c r="G45" s="1258">
        <f>G16</f>
        <v>2030</v>
      </c>
      <c r="H45" s="1789"/>
      <c r="J45" s="354"/>
      <c r="K45" s="302"/>
      <c r="L45" s="302"/>
      <c r="M45" s="302"/>
      <c r="N45" s="302"/>
      <c r="O45" s="302"/>
      <c r="P45" s="302"/>
      <c r="Q45" s="302"/>
      <c r="R45" s="302"/>
      <c r="S45" s="302"/>
      <c r="T45" s="436"/>
    </row>
    <row r="46" spans="1:20" ht="13.5" customHeight="1" x14ac:dyDescent="0.2">
      <c r="B46" s="1801" t="s">
        <v>281</v>
      </c>
      <c r="C46" s="1802"/>
      <c r="D46" s="1255"/>
      <c r="E46" s="1255"/>
      <c r="F46" s="1255"/>
      <c r="G46" s="1193"/>
      <c r="H46" s="1256" t="s">
        <v>0</v>
      </c>
      <c r="I46" s="46"/>
      <c r="J46" s="354"/>
      <c r="K46" s="302"/>
      <c r="L46" s="302"/>
      <c r="M46" s="302"/>
      <c r="N46" s="302"/>
      <c r="O46" s="302"/>
      <c r="P46" s="302"/>
      <c r="Q46" s="302"/>
      <c r="R46" s="302"/>
      <c r="S46" s="302"/>
      <c r="T46" s="436"/>
    </row>
    <row r="47" spans="1:20" ht="13.5" customHeight="1" x14ac:dyDescent="0.2">
      <c r="B47" s="660" t="s">
        <v>43</v>
      </c>
      <c r="C47" s="4" t="s">
        <v>282</v>
      </c>
      <c r="D47" s="342"/>
      <c r="E47" s="342"/>
      <c r="F47" s="342"/>
      <c r="G47" s="343"/>
      <c r="H47" s="1250"/>
      <c r="I47" s="46"/>
      <c r="J47" s="354"/>
      <c r="K47" s="302"/>
      <c r="L47" s="302"/>
      <c r="M47" s="302"/>
      <c r="N47" s="302"/>
      <c r="O47" s="302"/>
      <c r="P47" s="302"/>
      <c r="Q47" s="302"/>
      <c r="R47" s="302"/>
      <c r="S47" s="302"/>
      <c r="T47" s="436"/>
    </row>
    <row r="48" spans="1:20" ht="13.5" customHeight="1" x14ac:dyDescent="0.2">
      <c r="B48" s="1251"/>
      <c r="C48" s="413" t="s">
        <v>283</v>
      </c>
      <c r="D48" s="653">
        <v>0</v>
      </c>
      <c r="E48" s="653">
        <v>0</v>
      </c>
      <c r="F48" s="653">
        <v>0</v>
      </c>
      <c r="G48" s="654">
        <v>0</v>
      </c>
      <c r="H48" s="717">
        <f>SUM(D48:G48)</f>
        <v>0</v>
      </c>
      <c r="I48" s="62"/>
      <c r="J48" s="354"/>
      <c r="K48" s="302"/>
      <c r="L48" s="302"/>
      <c r="M48" s="302"/>
      <c r="N48" s="302"/>
      <c r="O48" s="302"/>
      <c r="P48" s="302"/>
      <c r="Q48" s="302"/>
      <c r="R48" s="302"/>
      <c r="S48" s="302"/>
      <c r="T48" s="436"/>
    </row>
    <row r="49" spans="2:20" ht="13.5" customHeight="1" x14ac:dyDescent="0.2">
      <c r="B49" s="1244"/>
      <c r="C49" s="413" t="s">
        <v>284</v>
      </c>
      <c r="D49" s="653">
        <v>0</v>
      </c>
      <c r="E49" s="653">
        <v>0</v>
      </c>
      <c r="F49" s="653">
        <v>0</v>
      </c>
      <c r="G49" s="653">
        <v>0</v>
      </c>
      <c r="H49" s="609">
        <f>SUM(D49:G49)</f>
        <v>0</v>
      </c>
      <c r="I49" s="62"/>
      <c r="J49" s="354"/>
      <c r="K49" s="302"/>
      <c r="L49" s="302"/>
      <c r="M49" s="302"/>
      <c r="N49" s="302"/>
      <c r="O49" s="302"/>
      <c r="P49" s="302"/>
      <c r="Q49" s="302"/>
      <c r="R49" s="302"/>
      <c r="S49" s="302"/>
      <c r="T49" s="436"/>
    </row>
    <row r="50" spans="2:20" ht="13.5" customHeight="1" x14ac:dyDescent="0.2">
      <c r="B50" s="1259" t="s">
        <v>44</v>
      </c>
      <c r="C50" s="340" t="s">
        <v>285</v>
      </c>
      <c r="D50" s="717">
        <f>D62-D61-D60-D57-D56-D55-D52-D51-D48-D49-D58-D59</f>
        <v>0</v>
      </c>
      <c r="E50" s="717">
        <f>E62-E61-E60-E57-E56-E55-E52-E51-E48-E49-E58-E59</f>
        <v>0</v>
      </c>
      <c r="F50" s="717">
        <f>F62-F61-F60-F57-F56-F55-F52-F51-F48-F49-F58-F59</f>
        <v>0</v>
      </c>
      <c r="G50" s="717">
        <f>G62-G61-G60-G57-G56-G55-G52-G51-G48-G49-G58-G59</f>
        <v>0</v>
      </c>
      <c r="H50" s="717">
        <f>SUM(D50:G50)</f>
        <v>0</v>
      </c>
      <c r="I50" s="61"/>
      <c r="J50" s="1187" t="str">
        <f>IF(D50&lt;0,"LISÄÄ LUKU RIVILLE 9 Käyttöpääoman lisäys!",IF(E50&lt;0,"LISÄÄ LUKU RIVILLE 9 Käyttöpääoman lisäys!",IF(F50&lt;0,"LISÄÄ LUKU RIVILLE 9 Käyttöpääoman lisäys!",IF(G50&lt;0,"LISÄÄ LUKU RIVILLE 9 Käyttöpääoman lisäys!",""))))</f>
        <v/>
      </c>
      <c r="K50" s="957"/>
      <c r="L50" s="957"/>
      <c r="M50" s="957"/>
      <c r="N50" s="957"/>
      <c r="O50" s="957"/>
      <c r="P50" s="957"/>
      <c r="Q50" s="957"/>
      <c r="R50" s="957"/>
      <c r="S50" s="957"/>
      <c r="T50" s="1188"/>
    </row>
    <row r="51" spans="2:20" ht="13.5" customHeight="1" x14ac:dyDescent="0.2">
      <c r="B51" s="1259" t="s">
        <v>118</v>
      </c>
      <c r="C51" s="340" t="s">
        <v>286</v>
      </c>
      <c r="D51" s="655">
        <v>0</v>
      </c>
      <c r="E51" s="655">
        <v>0</v>
      </c>
      <c r="F51" s="655">
        <v>0</v>
      </c>
      <c r="G51" s="655">
        <v>0</v>
      </c>
      <c r="H51" s="717">
        <f>SUM(D51:G51)</f>
        <v>0</v>
      </c>
      <c r="I51" s="63"/>
      <c r="J51" s="354"/>
      <c r="K51" s="302"/>
      <c r="L51" s="302"/>
      <c r="M51" s="302"/>
      <c r="N51" s="302"/>
      <c r="O51" s="302"/>
      <c r="P51" s="302"/>
      <c r="Q51" s="302"/>
      <c r="R51" s="302"/>
      <c r="S51" s="302"/>
      <c r="T51" s="436"/>
    </row>
    <row r="52" spans="2:20" ht="13.5" customHeight="1" x14ac:dyDescent="0.2">
      <c r="B52" s="1259" t="s">
        <v>45</v>
      </c>
      <c r="C52" s="1492" t="s">
        <v>287</v>
      </c>
      <c r="D52" s="655">
        <v>0</v>
      </c>
      <c r="E52" s="655">
        <v>0</v>
      </c>
      <c r="F52" s="655">
        <v>0</v>
      </c>
      <c r="G52" s="656">
        <v>0</v>
      </c>
      <c r="H52" s="717">
        <f>SUM(D52:G52)</f>
        <v>0</v>
      </c>
      <c r="I52" s="61"/>
      <c r="J52" s="1187" t="str">
        <f>IF(D$52&gt;0,"JOS MYYDÄÄN OMAISUUTTA TAI SIJOITUKSIA, LISÄÄ LUKU T3 TASEEN KOHTAAN VÄHENNYS TILIKAUDELLA!",IF(E52&gt;0,"JOS MYYDÄÄN OMAISUUTTA TAI SIJOITUKSIA, LISÄÄ LUKU T3 TASEEN KOHTAAN VÄHENNYS TILIKAUDELLA!",IF(F52&gt;0,"JOS MYYDÄÄN OMAISUUTTA TAI SIJOITUKSIA, LISÄÄ LUKU T3 TASEEN KOHTAAN VÄHENNYS TILIKAUDELLA!",IF(G52&gt;0,"JOS MYYDÄÄN OMAISUUTTA TAI SIJOITUKSIA, LISÄÄ LUKU T3 TASEEN KOHTAAN VÄHENNYS TILIKAUDELLA!",""))))</f>
        <v/>
      </c>
      <c r="K52" s="302"/>
      <c r="L52" s="1606"/>
      <c r="M52" s="302"/>
      <c r="N52" s="302"/>
      <c r="O52" s="302"/>
      <c r="P52" s="302"/>
      <c r="Q52" s="302"/>
      <c r="R52" s="302"/>
      <c r="S52" s="302"/>
      <c r="T52" s="436"/>
    </row>
    <row r="53" spans="2:20" ht="13.5" customHeight="1" x14ac:dyDescent="0.2">
      <c r="B53" s="1799" t="s">
        <v>288</v>
      </c>
      <c r="C53" s="1800"/>
      <c r="D53" s="657"/>
      <c r="E53" s="657"/>
      <c r="F53" s="657"/>
      <c r="G53" s="658"/>
      <c r="H53" s="1252"/>
      <c r="J53" s="1607"/>
      <c r="K53" s="1603"/>
      <c r="L53" s="1604"/>
      <c r="M53" s="1603"/>
      <c r="N53" s="1603"/>
      <c r="O53" s="302"/>
      <c r="P53" s="302"/>
      <c r="Q53" s="302"/>
      <c r="R53" s="302"/>
      <c r="S53" s="302"/>
      <c r="T53" s="436"/>
    </row>
    <row r="54" spans="2:20" ht="13.5" customHeight="1" x14ac:dyDescent="0.2">
      <c r="B54" s="1493" t="s">
        <v>0</v>
      </c>
      <c r="C54" s="155" t="s">
        <v>289</v>
      </c>
      <c r="D54" s="659"/>
      <c r="E54" s="659"/>
      <c r="F54" s="659"/>
      <c r="G54" s="660"/>
      <c r="H54" s="1253"/>
      <c r="J54" s="354"/>
      <c r="K54" s="302"/>
      <c r="L54" s="1599">
        <v>0</v>
      </c>
      <c r="M54" s="1600">
        <v>0</v>
      </c>
      <c r="N54" s="1601">
        <v>0</v>
      </c>
      <c r="O54" s="1601"/>
      <c r="P54" s="1601"/>
      <c r="Q54" s="1601"/>
      <c r="R54" s="1601"/>
      <c r="S54" s="1601"/>
      <c r="T54" s="1605"/>
    </row>
    <row r="55" spans="2:20" ht="13.5" customHeight="1" x14ac:dyDescent="0.2">
      <c r="B55" s="1244" t="s">
        <v>46</v>
      </c>
      <c r="C55" s="1494" t="s">
        <v>812</v>
      </c>
      <c r="D55" s="655">
        <v>0</v>
      </c>
      <c r="E55" s="655">
        <v>0</v>
      </c>
      <c r="F55" s="655">
        <v>0</v>
      </c>
      <c r="G55" s="656">
        <v>0</v>
      </c>
      <c r="H55" s="717">
        <f t="shared" ref="H55:H62" si="1">SUM(D55:G55)</f>
        <v>0</v>
      </c>
      <c r="I55" s="61"/>
      <c r="J55" s="354"/>
      <c r="K55" s="302"/>
      <c r="L55" s="1599"/>
      <c r="M55" s="1600"/>
      <c r="N55" s="1601"/>
      <c r="O55" s="1601"/>
      <c r="P55" s="1601"/>
      <c r="Q55" s="1601"/>
      <c r="R55" s="1601"/>
      <c r="S55" s="1601"/>
      <c r="T55" s="1605"/>
    </row>
    <row r="56" spans="2:20" ht="13.5" customHeight="1" x14ac:dyDescent="0.2">
      <c r="B56" s="1244" t="s">
        <v>47</v>
      </c>
      <c r="C56" s="1492"/>
      <c r="D56" s="655">
        <v>0</v>
      </c>
      <c r="E56" s="655">
        <v>0</v>
      </c>
      <c r="F56" s="655">
        <v>0</v>
      </c>
      <c r="G56" s="656">
        <v>0</v>
      </c>
      <c r="H56" s="717">
        <f t="shared" si="1"/>
        <v>0</v>
      </c>
      <c r="I56" s="61"/>
      <c r="J56" s="354"/>
      <c r="K56" s="302"/>
      <c r="L56" s="1599">
        <v>0</v>
      </c>
      <c r="M56" s="1600">
        <v>0</v>
      </c>
      <c r="N56" s="1601">
        <v>0</v>
      </c>
      <c r="O56" s="1601"/>
      <c r="P56" s="1601"/>
      <c r="Q56" s="1601"/>
      <c r="R56" s="1601"/>
      <c r="S56" s="1601"/>
      <c r="T56" s="1605"/>
    </row>
    <row r="57" spans="2:20" ht="13.5" customHeight="1" x14ac:dyDescent="0.2">
      <c r="B57" s="1259" t="s">
        <v>48</v>
      </c>
      <c r="C57" s="1492"/>
      <c r="D57" s="655">
        <v>0</v>
      </c>
      <c r="E57" s="655">
        <v>0</v>
      </c>
      <c r="F57" s="655">
        <v>0</v>
      </c>
      <c r="G57" s="656">
        <v>0</v>
      </c>
      <c r="H57" s="717">
        <f t="shared" si="1"/>
        <v>0</v>
      </c>
      <c r="I57" s="64"/>
      <c r="J57" s="354"/>
      <c r="K57" s="302"/>
      <c r="L57" s="1599"/>
      <c r="M57" s="1600"/>
      <c r="N57" s="1601"/>
      <c r="O57" s="1601"/>
      <c r="P57" s="1601"/>
      <c r="Q57" s="1601"/>
      <c r="R57" s="1601"/>
      <c r="S57" s="1601"/>
      <c r="T57" s="1605"/>
    </row>
    <row r="58" spans="2:20" ht="13.5" hidden="1" customHeight="1" x14ac:dyDescent="0.2">
      <c r="B58" s="1259" t="s">
        <v>49</v>
      </c>
      <c r="C58" s="1179" t="s">
        <v>290</v>
      </c>
      <c r="D58" s="1682">
        <v>0</v>
      </c>
      <c r="E58" s="1682">
        <v>0</v>
      </c>
      <c r="F58" s="1682">
        <v>0</v>
      </c>
      <c r="G58" s="1683">
        <v>0</v>
      </c>
      <c r="H58" s="717">
        <f t="shared" si="1"/>
        <v>0</v>
      </c>
      <c r="I58" s="64"/>
      <c r="J58" s="354"/>
      <c r="K58" s="302"/>
      <c r="L58" s="1599">
        <v>0</v>
      </c>
      <c r="M58" s="1600">
        <v>0</v>
      </c>
      <c r="N58" s="1601">
        <v>0</v>
      </c>
      <c r="O58" s="1601"/>
      <c r="P58" s="1601"/>
      <c r="Q58" s="1601"/>
      <c r="R58" s="1601"/>
      <c r="S58" s="1601"/>
      <c r="T58" s="1605"/>
    </row>
    <row r="59" spans="2:20" ht="13.5" hidden="1" customHeight="1" x14ac:dyDescent="0.2">
      <c r="B59" s="1259" t="s">
        <v>50</v>
      </c>
      <c r="C59" s="1179" t="s">
        <v>291</v>
      </c>
      <c r="D59" s="1682">
        <v>0</v>
      </c>
      <c r="E59" s="1682"/>
      <c r="F59" s="1682"/>
      <c r="G59" s="1683"/>
      <c r="H59" s="717">
        <f t="shared" si="1"/>
        <v>0</v>
      </c>
      <c r="I59" s="64"/>
      <c r="J59" s="354"/>
      <c r="K59" s="302"/>
      <c r="L59" s="1599"/>
      <c r="M59" s="1600"/>
      <c r="N59" s="1601"/>
      <c r="O59" s="1601"/>
      <c r="P59" s="1601"/>
      <c r="Q59" s="1601"/>
      <c r="R59" s="1601"/>
      <c r="S59" s="1601"/>
      <c r="T59" s="1605"/>
    </row>
    <row r="60" spans="2:20" ht="13.5" customHeight="1" x14ac:dyDescent="0.2">
      <c r="B60" s="1259" t="s">
        <v>49</v>
      </c>
      <c r="C60" s="340" t="s">
        <v>292</v>
      </c>
      <c r="D60" s="620">
        <f>'AT1 Avustus, alv-laskenta '!C48</f>
        <v>0</v>
      </c>
      <c r="E60" s="620">
        <f>'AT1 Avustus, alv-laskenta '!D48</f>
        <v>0</v>
      </c>
      <c r="F60" s="620">
        <f>'AT1 Avustus, alv-laskenta '!E48</f>
        <v>0</v>
      </c>
      <c r="G60" s="620">
        <f>'AT1 Avustus, alv-laskenta '!F48</f>
        <v>0</v>
      </c>
      <c r="H60" s="717">
        <f t="shared" si="1"/>
        <v>0</v>
      </c>
      <c r="I60" s="61"/>
      <c r="J60" s="354"/>
      <c r="K60" s="302"/>
      <c r="L60" s="1599">
        <v>0</v>
      </c>
      <c r="M60" s="1600">
        <v>0</v>
      </c>
      <c r="N60" s="1601">
        <v>0</v>
      </c>
      <c r="O60" s="1601"/>
      <c r="P60" s="1601"/>
      <c r="Q60" s="1601"/>
      <c r="R60" s="1601"/>
      <c r="S60" s="1601"/>
      <c r="T60" s="1605"/>
    </row>
    <row r="61" spans="2:20" ht="13.5" customHeight="1" x14ac:dyDescent="0.2">
      <c r="B61" s="1259" t="s">
        <v>50</v>
      </c>
      <c r="C61" s="340" t="s">
        <v>293</v>
      </c>
      <c r="D61" s="620">
        <f>'AT1 Avustus, alv-laskenta '!C49</f>
        <v>0</v>
      </c>
      <c r="E61" s="620">
        <f>'AT1 Avustus, alv-laskenta '!D49</f>
        <v>0</v>
      </c>
      <c r="F61" s="620">
        <f>'AT1 Avustus, alv-laskenta '!E49</f>
        <v>0</v>
      </c>
      <c r="G61" s="620">
        <f>'AT1 Avustus, alv-laskenta '!F49</f>
        <v>0</v>
      </c>
      <c r="H61" s="717">
        <f t="shared" si="1"/>
        <v>0</v>
      </c>
      <c r="I61" s="61"/>
      <c r="J61" s="354"/>
      <c r="K61" s="302"/>
      <c r="L61" s="1599"/>
      <c r="M61" s="1600"/>
      <c r="N61" s="1601"/>
      <c r="O61" s="1601"/>
      <c r="P61" s="1601"/>
      <c r="Q61" s="1601"/>
      <c r="R61" s="1601"/>
      <c r="S61" s="1601"/>
      <c r="T61" s="1605"/>
    </row>
    <row r="62" spans="2:20" ht="13.5" customHeight="1" x14ac:dyDescent="0.2">
      <c r="B62" s="1259" t="s">
        <v>154</v>
      </c>
      <c r="C62" s="1246" t="s">
        <v>294</v>
      </c>
      <c r="D62" s="1254">
        <f>D42</f>
        <v>0</v>
      </c>
      <c r="E62" s="1254">
        <f>E42</f>
        <v>0</v>
      </c>
      <c r="F62" s="1254">
        <f>F42</f>
        <v>0</v>
      </c>
      <c r="G62" s="1254">
        <f>G42</f>
        <v>0</v>
      </c>
      <c r="H62" s="1254">
        <f t="shared" si="1"/>
        <v>0</v>
      </c>
      <c r="I62" s="61"/>
      <c r="J62" s="354"/>
      <c r="K62" s="302"/>
      <c r="L62" s="302"/>
      <c r="M62" s="302"/>
      <c r="N62" s="302"/>
      <c r="O62" s="302"/>
      <c r="P62" s="302"/>
      <c r="Q62" s="302"/>
      <c r="R62" s="302"/>
      <c r="S62" s="302"/>
      <c r="T62" s="436"/>
    </row>
    <row r="63" spans="2:20" ht="3" customHeight="1" x14ac:dyDescent="0.2">
      <c r="B63" s="72"/>
      <c r="C63" s="67"/>
      <c r="D63" s="72"/>
      <c r="E63" s="72"/>
      <c r="F63" s="72"/>
      <c r="G63" s="72"/>
      <c r="H63" s="661"/>
      <c r="I63" s="61"/>
      <c r="J63" s="354"/>
      <c r="K63" s="302"/>
      <c r="L63" s="302"/>
      <c r="M63" s="302"/>
      <c r="N63" s="302"/>
      <c r="O63" s="302"/>
      <c r="P63" s="302"/>
      <c r="Q63" s="302"/>
      <c r="R63" s="302"/>
      <c r="S63" s="302"/>
      <c r="T63" s="436"/>
    </row>
    <row r="64" spans="2:20" ht="15" customHeight="1" x14ac:dyDescent="0.2">
      <c r="B64" s="2309"/>
      <c r="C64" s="2310"/>
      <c r="D64" s="2311"/>
      <c r="E64" s="2311"/>
      <c r="F64" s="2311"/>
      <c r="G64" s="2311"/>
      <c r="H64" s="2312">
        <v>0</v>
      </c>
      <c r="I64" s="61"/>
      <c r="J64" s="1608"/>
      <c r="K64" s="437"/>
      <c r="L64" s="437"/>
      <c r="M64" s="437"/>
      <c r="N64" s="437"/>
      <c r="O64" s="437"/>
      <c r="P64" s="437"/>
      <c r="Q64" s="437"/>
      <c r="R64" s="437"/>
      <c r="S64" s="437"/>
      <c r="T64" s="439"/>
    </row>
    <row r="65" spans="2:12" ht="10.15" customHeight="1" x14ac:dyDescent="0.2"/>
    <row r="66" spans="2:12" x14ac:dyDescent="0.2">
      <c r="B66" s="68">
        <f>STARTSIDAN!D26</f>
        <v>0</v>
      </c>
      <c r="C66" s="422" t="str">
        <f>IF(D50&lt;0,"13. TULORAHOITUS OLTAVA VÄHINTÄÄN 0!",IF(E50&lt;0,"13. TULORAHOITUS OLTAVA VÄHINTÄÄN 0!",IF(F50&lt;0,"13. TULORAHOITUS OLTAVA VÄHINTÄÄN 0!",IF(G50&lt;0,"13. TULORAHOITUS OLTAVA VÄHINTÄÄN 0!",""))))</f>
        <v/>
      </c>
      <c r="D66" s="45"/>
      <c r="E66" s="1765">
        <f>STARTSIDAN!I5</f>
        <v>0</v>
      </c>
      <c r="F66" s="1765"/>
      <c r="G66" s="1765"/>
      <c r="H66" s="1765"/>
      <c r="J66"/>
    </row>
    <row r="67" spans="2:12" x14ac:dyDescent="0.2">
      <c r="B67" s="1798" t="str">
        <f>STARTSIDAN!G24</f>
        <v>FT22 Det aktiva företagets resultatplan</v>
      </c>
      <c r="C67" s="1798"/>
      <c r="D67" s="1803" t="str">
        <f>STARTSIDAN!I21</f>
        <v>FöretagsLojo</v>
      </c>
      <c r="E67" s="1803"/>
      <c r="F67" s="1803"/>
      <c r="G67" s="1803"/>
      <c r="H67" s="1803"/>
      <c r="J67"/>
      <c r="L67" s="1779">
        <v>0</v>
      </c>
    </row>
    <row r="68" spans="2:12" x14ac:dyDescent="0.2">
      <c r="B68" s="1798"/>
      <c r="C68" s="1798"/>
      <c r="D68" s="911"/>
      <c r="E68" s="911"/>
      <c r="F68" s="911"/>
      <c r="G68" s="911"/>
      <c r="H68" s="911"/>
      <c r="L68" s="1779"/>
    </row>
    <row r="69" spans="2:12" ht="14.25" x14ac:dyDescent="0.2">
      <c r="B69" s="69"/>
      <c r="C69" s="70"/>
    </row>
    <row r="70" spans="2:12" x14ac:dyDescent="0.2">
      <c r="B70" s="370" t="s">
        <v>325</v>
      </c>
      <c r="C70" s="121"/>
      <c r="D70" s="121"/>
      <c r="E70" s="121"/>
      <c r="F70" s="375"/>
    </row>
    <row r="71" spans="2:12" x14ac:dyDescent="0.2">
      <c r="B71" s="45" t="s">
        <v>326</v>
      </c>
      <c r="C71" s="121"/>
      <c r="D71" s="121"/>
      <c r="E71" s="121"/>
      <c r="F71" s="119"/>
    </row>
    <row r="72" spans="2:12" x14ac:dyDescent="0.2">
      <c r="B72" s="45" t="s">
        <v>327</v>
      </c>
      <c r="C72" s="121"/>
      <c r="D72" s="121"/>
      <c r="E72" s="121"/>
      <c r="F72" s="375"/>
    </row>
    <row r="73" spans="2:12" ht="14.25" x14ac:dyDescent="0.2">
      <c r="B73" s="69"/>
      <c r="C73" s="70"/>
    </row>
    <row r="74" spans="2:12" ht="14.25" x14ac:dyDescent="0.2">
      <c r="B74" s="69"/>
      <c r="C74" s="70"/>
    </row>
    <row r="75" spans="2:12" ht="14.25" x14ac:dyDescent="0.2">
      <c r="B75" s="69"/>
      <c r="C75" s="70"/>
    </row>
    <row r="76" spans="2:12" ht="14.25" x14ac:dyDescent="0.2">
      <c r="B76" s="69"/>
      <c r="C76" s="70"/>
    </row>
    <row r="77" spans="2:12" ht="14.25" x14ac:dyDescent="0.2">
      <c r="B77" s="69"/>
      <c r="C77" s="70"/>
    </row>
    <row r="78" spans="2:12" x14ac:dyDescent="0.2">
      <c r="B78" s="370"/>
    </row>
    <row r="79" spans="2:12" x14ac:dyDescent="0.2">
      <c r="B79" s="45"/>
    </row>
    <row r="80" spans="2:12" x14ac:dyDescent="0.2">
      <c r="B80" s="45"/>
    </row>
  </sheetData>
  <sheetProtection algorithmName="SHA-512" hashValue="axKL+q6CLvJSy/IiRGiIgQsvBaxE8KyxzkckYxCFxG5bDUV+fDRzIN4MUItGhp1X+4od8BL+9RjESLBMJ7O28A==" saltValue="mhn0G7iC/kNyl23O3mhf8w==" spinCount="100000" sheet="1" objects="1" scenarios="1"/>
  <mergeCells count="21">
    <mergeCell ref="D67:H67"/>
    <mergeCell ref="E66:H66"/>
    <mergeCell ref="B7:C7"/>
    <mergeCell ref="B9:D9"/>
    <mergeCell ref="B11:D13"/>
    <mergeCell ref="J3:K3"/>
    <mergeCell ref="L67:L68"/>
    <mergeCell ref="E5:F5"/>
    <mergeCell ref="B15:C16"/>
    <mergeCell ref="B44:C45"/>
    <mergeCell ref="E7:H7"/>
    <mergeCell ref="H44:H45"/>
    <mergeCell ref="E11:H11"/>
    <mergeCell ref="E10:H10"/>
    <mergeCell ref="E12:H12"/>
    <mergeCell ref="E13:H13"/>
    <mergeCell ref="B67:C67"/>
    <mergeCell ref="B68:C68"/>
    <mergeCell ref="H15:H16"/>
    <mergeCell ref="B53:C53"/>
    <mergeCell ref="B46:C46"/>
  </mergeCells>
  <printOptions horizontalCentered="1"/>
  <pageMargins left="0.23622047244094491" right="0.23622047244094491" top="0.74803149606299213" bottom="0.74803149606299213" header="0.31496062992125984" footer="0.31496062992125984"/>
  <pageSetup paperSize="9" scale="90" orientation="portrait" verticalDpi="4" r:id="rId1"/>
  <colBreaks count="1" manualBreakCount="1">
    <brk id="8" min="2" max="63"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3">
    <tabColor rgb="FF0152A1"/>
  </sheetPr>
  <dimension ref="A1:AF129"/>
  <sheetViews>
    <sheetView showGridLines="0" showZeros="0" zoomScale="115" zoomScaleNormal="115" workbookViewId="0">
      <selection activeCell="B5" sqref="B5:E5"/>
    </sheetView>
  </sheetViews>
  <sheetFormatPr defaultRowHeight="12.75" x14ac:dyDescent="0.2"/>
  <cols>
    <col min="2" max="2" width="4.28515625" style="33" customWidth="1"/>
    <col min="3" max="3" width="34.28515625" customWidth="1"/>
    <col min="4" max="4" width="5.28515625" customWidth="1"/>
    <col min="5" max="5" width="12.28515625" customWidth="1"/>
    <col min="6" max="6" width="5.28515625" customWidth="1"/>
    <col min="7" max="7" width="12.28515625" customWidth="1"/>
    <col min="8" max="8" width="5.7109375" style="33" customWidth="1"/>
    <col min="9" max="9" width="12.28515625" style="4" customWidth="1"/>
    <col min="10" max="10" width="5.7109375" style="33" customWidth="1"/>
    <col min="11" max="11" width="12.28515625" customWidth="1"/>
    <col min="12" max="12" width="5.7109375" style="33" customWidth="1"/>
    <col min="13" max="13" width="12.28515625" customWidth="1"/>
    <col min="14" max="14" width="5.7109375" style="33" customWidth="1"/>
    <col min="15" max="15" width="12.28515625" customWidth="1"/>
    <col min="16" max="16" width="5.7109375" style="33" customWidth="1"/>
    <col min="17" max="17" width="3.28515625" customWidth="1"/>
  </cols>
  <sheetData>
    <row r="1" spans="1:32" ht="30.4" customHeight="1" x14ac:dyDescent="0.2"/>
    <row r="2" spans="1:32" ht="15.75" x14ac:dyDescent="0.25">
      <c r="A2" s="1360" t="s">
        <v>297</v>
      </c>
      <c r="C2" s="19" t="s">
        <v>322</v>
      </c>
      <c r="G2" s="41"/>
      <c r="R2" s="19" t="s">
        <v>322</v>
      </c>
    </row>
    <row r="3" spans="1:32" ht="15.75" x14ac:dyDescent="0.2">
      <c r="G3" s="516"/>
      <c r="I3" s="388"/>
      <c r="K3" s="387"/>
    </row>
    <row r="4" spans="1:32" ht="20.25" customHeight="1" x14ac:dyDescent="0.2">
      <c r="B4" s="41" t="s">
        <v>255</v>
      </c>
      <c r="C4" s="38"/>
      <c r="D4" s="38"/>
      <c r="E4" s="38"/>
      <c r="F4" s="38"/>
      <c r="G4" s="38" t="s">
        <v>256</v>
      </c>
      <c r="H4" s="51"/>
      <c r="I4" s="319"/>
      <c r="K4" s="41"/>
      <c r="M4" s="38"/>
      <c r="N4" s="38"/>
      <c r="O4" s="38" t="s">
        <v>258</v>
      </c>
      <c r="P4" s="51"/>
    </row>
    <row r="5" spans="1:32" ht="15" customHeight="1" x14ac:dyDescent="0.2">
      <c r="B5" s="1804">
        <f>'1. T1 INVESTERINGSP.'!B7</f>
        <v>0</v>
      </c>
      <c r="C5" s="1804"/>
      <c r="D5" s="1804"/>
      <c r="E5" s="1804"/>
      <c r="F5" s="518"/>
      <c r="G5" s="1804">
        <f>'1. T1 INVESTERINGSP.'!B9</f>
        <v>0</v>
      </c>
      <c r="H5" s="1804"/>
      <c r="I5" s="1804"/>
      <c r="J5" s="1804"/>
      <c r="K5" s="1804"/>
      <c r="L5" s="1804"/>
      <c r="M5" s="466"/>
      <c r="N5" s="517"/>
      <c r="O5" s="1579">
        <f>'1. T1 INVESTERINGSP.'!E4</f>
        <v>0</v>
      </c>
      <c r="P5" s="1580"/>
      <c r="R5" s="1566" t="s">
        <v>323</v>
      </c>
      <c r="S5" s="1189"/>
      <c r="T5" s="1190"/>
      <c r="U5" s="1189"/>
      <c r="V5" s="1189"/>
      <c r="W5" s="1189"/>
      <c r="X5" s="1189"/>
      <c r="Y5" s="1189"/>
      <c r="Z5" s="1191"/>
      <c r="AA5" s="1191"/>
      <c r="AB5" s="1191"/>
      <c r="AC5" s="1191"/>
      <c r="AD5" s="1191"/>
      <c r="AE5" s="1191"/>
      <c r="AF5" s="1192"/>
    </row>
    <row r="6" spans="1:32" ht="12.75" customHeight="1" x14ac:dyDescent="0.2">
      <c r="R6" s="1811"/>
      <c r="S6" s="1812"/>
      <c r="T6" s="302"/>
      <c r="U6" s="302"/>
      <c r="V6" s="302"/>
      <c r="W6" s="302"/>
      <c r="X6" s="302"/>
      <c r="Y6" s="302"/>
      <c r="Z6" s="302"/>
      <c r="AA6" s="302"/>
      <c r="AB6" s="302"/>
      <c r="AC6" s="302"/>
      <c r="AD6" s="302"/>
      <c r="AE6" s="302"/>
      <c r="AF6" s="436"/>
    </row>
    <row r="7" spans="1:32" x14ac:dyDescent="0.2">
      <c r="A7" s="46"/>
      <c r="B7" s="1816" t="s">
        <v>0</v>
      </c>
      <c r="C7" s="1817"/>
      <c r="D7" s="1818"/>
      <c r="E7" s="1847" t="s">
        <v>321</v>
      </c>
      <c r="F7" s="1848"/>
      <c r="G7" s="1847" t="s">
        <v>321</v>
      </c>
      <c r="H7" s="1848"/>
      <c r="I7" s="1847" t="s">
        <v>276</v>
      </c>
      <c r="J7" s="1848"/>
      <c r="K7" s="1847" t="s">
        <v>277</v>
      </c>
      <c r="L7" s="1848"/>
      <c r="M7" s="1847" t="s">
        <v>278</v>
      </c>
      <c r="N7" s="1848"/>
      <c r="O7" s="1847" t="s">
        <v>279</v>
      </c>
      <c r="P7" s="1858"/>
      <c r="Q7" s="4"/>
      <c r="R7" s="354"/>
      <c r="S7" s="302"/>
      <c r="T7" s="302"/>
      <c r="U7" s="302"/>
      <c r="V7" s="302"/>
      <c r="W7" s="302"/>
      <c r="X7" s="302"/>
      <c r="Y7" s="302"/>
      <c r="Z7" s="302"/>
      <c r="AA7" s="302"/>
      <c r="AB7" s="302"/>
      <c r="AC7" s="302"/>
      <c r="AD7" s="302"/>
      <c r="AE7" s="302"/>
      <c r="AF7" s="436"/>
    </row>
    <row r="8" spans="1:32" x14ac:dyDescent="0.2">
      <c r="B8" s="1819"/>
      <c r="C8" s="1820"/>
      <c r="D8" s="1821"/>
      <c r="E8" s="1849">
        <v>2023</v>
      </c>
      <c r="F8" s="1850"/>
      <c r="G8" s="1849">
        <v>2024</v>
      </c>
      <c r="H8" s="1850"/>
      <c r="I8" s="1849">
        <f>'1. T1 INVESTERINGSP.'!D16</f>
        <v>2027</v>
      </c>
      <c r="J8" s="1850"/>
      <c r="K8" s="1854">
        <f>I8+1</f>
        <v>2028</v>
      </c>
      <c r="L8" s="1855"/>
      <c r="M8" s="1854">
        <f>K8+1</f>
        <v>2029</v>
      </c>
      <c r="N8" s="1855"/>
      <c r="O8" s="1854">
        <f>M8+1</f>
        <v>2030</v>
      </c>
      <c r="P8" s="1859"/>
      <c r="Q8" s="4"/>
      <c r="R8" s="354"/>
      <c r="S8" s="302"/>
      <c r="T8" s="302"/>
      <c r="U8" s="302"/>
      <c r="V8" s="302"/>
      <c r="W8" s="302"/>
      <c r="X8" s="302"/>
      <c r="Y8" s="302"/>
      <c r="Z8" s="302"/>
      <c r="AA8" s="302"/>
      <c r="AB8" s="302"/>
      <c r="AC8" s="302"/>
      <c r="AD8" s="302"/>
      <c r="AE8" s="302"/>
      <c r="AF8" s="436"/>
    </row>
    <row r="9" spans="1:32" ht="13.5" thickBot="1" x14ac:dyDescent="0.25">
      <c r="A9" s="46"/>
      <c r="B9" s="1262"/>
      <c r="C9" s="1071"/>
      <c r="D9" s="1072"/>
      <c r="E9" s="1073" t="s">
        <v>789</v>
      </c>
      <c r="F9" s="1074" t="s">
        <v>13</v>
      </c>
      <c r="G9" s="1073" t="s">
        <v>789</v>
      </c>
      <c r="H9" s="1074" t="s">
        <v>13</v>
      </c>
      <c r="I9" s="1073" t="s">
        <v>789</v>
      </c>
      <c r="J9" s="1074" t="s">
        <v>13</v>
      </c>
      <c r="K9" s="1073" t="s">
        <v>789</v>
      </c>
      <c r="L9" s="1074" t="s">
        <v>13</v>
      </c>
      <c r="M9" s="1073" t="s">
        <v>789</v>
      </c>
      <c r="N9" s="1074" t="s">
        <v>13</v>
      </c>
      <c r="O9" s="1073" t="s">
        <v>789</v>
      </c>
      <c r="P9" s="1263" t="s">
        <v>13</v>
      </c>
      <c r="Q9" s="4"/>
      <c r="R9" s="354"/>
      <c r="S9" s="302"/>
      <c r="T9" s="302"/>
      <c r="U9" s="302"/>
      <c r="V9" s="302"/>
      <c r="W9" s="302"/>
      <c r="X9" s="302"/>
      <c r="Y9" s="302"/>
      <c r="Z9" s="302"/>
      <c r="AA9" s="302"/>
      <c r="AB9" s="302"/>
      <c r="AC9" s="302"/>
      <c r="AD9" s="302"/>
      <c r="AE9" s="302"/>
      <c r="AF9" s="436"/>
    </row>
    <row r="10" spans="1:32" x14ac:dyDescent="0.2">
      <c r="A10" s="2"/>
      <c r="B10" s="1243"/>
      <c r="C10" s="329"/>
      <c r="D10" s="958" t="s">
        <v>298</v>
      </c>
      <c r="E10" s="1851">
        <v>12</v>
      </c>
      <c r="F10" s="1852"/>
      <c r="G10" s="1851" t="s">
        <v>140</v>
      </c>
      <c r="H10" s="1852"/>
      <c r="I10" s="1851">
        <v>12</v>
      </c>
      <c r="J10" s="1852"/>
      <c r="K10" s="1851" t="s">
        <v>140</v>
      </c>
      <c r="L10" s="1852"/>
      <c r="M10" s="1851" t="s">
        <v>140</v>
      </c>
      <c r="N10" s="1852"/>
      <c r="O10" s="1851" t="s">
        <v>140</v>
      </c>
      <c r="P10" s="1857"/>
      <c r="Q10" s="4"/>
      <c r="R10" s="1649" t="s">
        <v>324</v>
      </c>
      <c r="S10" s="142"/>
      <c r="T10" s="142"/>
      <c r="U10" s="142"/>
      <c r="V10" s="302"/>
      <c r="W10" s="302"/>
      <c r="X10" s="302"/>
      <c r="Y10" s="302"/>
      <c r="Z10" s="302"/>
      <c r="AA10" s="302"/>
      <c r="AB10" s="302"/>
      <c r="AC10" s="302"/>
      <c r="AD10" s="302"/>
      <c r="AE10" s="302"/>
      <c r="AF10" s="436"/>
    </row>
    <row r="11" spans="1:32" s="46" customFormat="1" ht="13.9" customHeight="1" x14ac:dyDescent="0.2">
      <c r="A11"/>
      <c r="B11" s="1264" t="s">
        <v>2</v>
      </c>
      <c r="C11" s="957" t="s">
        <v>299</v>
      </c>
      <c r="D11" s="317" t="s">
        <v>17</v>
      </c>
      <c r="E11" s="879">
        <v>0</v>
      </c>
      <c r="F11" s="303">
        <v>0</v>
      </c>
      <c r="G11" s="897"/>
      <c r="H11" s="303">
        <v>0</v>
      </c>
      <c r="I11" s="880">
        <f>'6. E2 OMSÄTTNING'!F10</f>
        <v>0</v>
      </c>
      <c r="J11" s="303">
        <v>0</v>
      </c>
      <c r="K11" s="880">
        <f>'6. E2 OMSÄTTNING'!G10</f>
        <v>0</v>
      </c>
      <c r="L11" s="303">
        <v>0</v>
      </c>
      <c r="M11" s="880">
        <f>'6. E2 OMSÄTTNING'!H10</f>
        <v>0</v>
      </c>
      <c r="N11" s="303">
        <v>0</v>
      </c>
      <c r="O11" s="880">
        <f>'6. E2 OMSÄTTNING'!I10</f>
        <v>0</v>
      </c>
      <c r="P11" s="1265">
        <v>0</v>
      </c>
      <c r="Q11" s="155"/>
      <c r="R11" s="269">
        <f>I8</f>
        <v>2027</v>
      </c>
      <c r="S11" s="269">
        <f>K8</f>
        <v>2028</v>
      </c>
      <c r="T11" s="269">
        <f>M$8</f>
        <v>2029</v>
      </c>
      <c r="U11" s="269">
        <f>O$8</f>
        <v>2030</v>
      </c>
      <c r="V11" s="358"/>
      <c r="W11" s="302"/>
      <c r="X11" s="302"/>
      <c r="Y11" s="302"/>
      <c r="Z11" s="302"/>
      <c r="AA11" s="302"/>
      <c r="AB11" s="302"/>
      <c r="AC11" s="302"/>
      <c r="AD11" s="302"/>
      <c r="AE11" s="302"/>
      <c r="AF11" s="436"/>
    </row>
    <row r="12" spans="1:32" s="46" customFormat="1" ht="14.1" customHeight="1" x14ac:dyDescent="0.2">
      <c r="A12"/>
      <c r="B12" s="1266" t="s">
        <v>3</v>
      </c>
      <c r="C12" s="304" t="s">
        <v>300</v>
      </c>
      <c r="D12" s="305" t="s">
        <v>17</v>
      </c>
      <c r="E12" s="881">
        <v>0</v>
      </c>
      <c r="F12" s="306">
        <v>0</v>
      </c>
      <c r="G12" s="819">
        <v>0</v>
      </c>
      <c r="H12" s="306">
        <v>0</v>
      </c>
      <c r="I12" s="819">
        <v>0</v>
      </c>
      <c r="J12" s="306"/>
      <c r="K12" s="819">
        <f>I12+I12*S12</f>
        <v>0</v>
      </c>
      <c r="L12" s="306"/>
      <c r="M12" s="819">
        <f>K12+K12*T12</f>
        <v>0</v>
      </c>
      <c r="N12" s="306"/>
      <c r="O12" s="819">
        <f>M12+M12*U12</f>
        <v>0</v>
      </c>
      <c r="P12" s="1267"/>
      <c r="Q12" s="155"/>
      <c r="R12" s="357">
        <v>0</v>
      </c>
      <c r="S12" s="357">
        <f>R12</f>
        <v>0</v>
      </c>
      <c r="T12" s="357">
        <f>S12</f>
        <v>0</v>
      </c>
      <c r="U12" s="357">
        <f>T12</f>
        <v>0</v>
      </c>
      <c r="V12" s="358"/>
      <c r="W12" s="302"/>
      <c r="X12" s="302"/>
      <c r="Y12" s="302"/>
      <c r="Z12" s="302"/>
      <c r="AA12" s="302"/>
      <c r="AB12" s="302"/>
      <c r="AC12" s="302"/>
      <c r="AD12" s="302"/>
      <c r="AE12" s="302"/>
      <c r="AF12" s="436"/>
    </row>
    <row r="13" spans="1:32" s="46" customFormat="1" ht="14.1" customHeight="1" x14ac:dyDescent="0.2">
      <c r="A13"/>
      <c r="B13" s="1266" t="s">
        <v>4</v>
      </c>
      <c r="C13" s="304" t="s">
        <v>301</v>
      </c>
      <c r="D13" s="305" t="s">
        <v>17</v>
      </c>
      <c r="E13" s="881">
        <v>0</v>
      </c>
      <c r="F13" s="306"/>
      <c r="G13" s="819"/>
      <c r="H13" s="306"/>
      <c r="I13" s="819">
        <v>0</v>
      </c>
      <c r="J13" s="306"/>
      <c r="K13" s="819"/>
      <c r="L13" s="306"/>
      <c r="M13" s="819"/>
      <c r="N13" s="306"/>
      <c r="O13" s="819"/>
      <c r="P13" s="1267"/>
      <c r="Q13" s="155"/>
      <c r="R13" s="1194"/>
      <c r="S13" s="467"/>
      <c r="T13" s="467"/>
      <c r="U13" s="467"/>
      <c r="V13" s="302"/>
      <c r="W13" s="302"/>
      <c r="X13" s="302"/>
      <c r="Y13" s="302"/>
      <c r="Z13" s="302"/>
      <c r="AA13" s="302"/>
      <c r="AB13" s="302"/>
      <c r="AC13" s="302"/>
      <c r="AD13" s="302"/>
      <c r="AE13" s="302"/>
      <c r="AF13" s="436"/>
    </row>
    <row r="14" spans="1:32" s="42" customFormat="1" ht="14.1" customHeight="1" x14ac:dyDescent="0.2">
      <c r="A14"/>
      <c r="B14" s="1266" t="s">
        <v>5</v>
      </c>
      <c r="C14" s="307" t="s">
        <v>302</v>
      </c>
      <c r="D14" s="308"/>
      <c r="E14" s="882">
        <f>SUM(E11:E13)</f>
        <v>0</v>
      </c>
      <c r="F14" s="309">
        <v>100</v>
      </c>
      <c r="G14" s="883">
        <f>SUM(G11:G13)</f>
        <v>0</v>
      </c>
      <c r="H14" s="309">
        <v>100</v>
      </c>
      <c r="I14" s="883">
        <f>SUM(I11:I13)</f>
        <v>0</v>
      </c>
      <c r="J14" s="309">
        <v>100</v>
      </c>
      <c r="K14" s="883">
        <f>SUM(K11:K13)</f>
        <v>0</v>
      </c>
      <c r="L14" s="309">
        <v>100</v>
      </c>
      <c r="M14" s="883">
        <f>SUM(M11:M13)</f>
        <v>0</v>
      </c>
      <c r="N14" s="309">
        <v>100</v>
      </c>
      <c r="O14" s="883">
        <f>SUM(O11:O13)</f>
        <v>0</v>
      </c>
      <c r="P14" s="707">
        <v>100</v>
      </c>
      <c r="Q14" s="155"/>
      <c r="R14" s="354"/>
      <c r="S14" s="302"/>
      <c r="T14" s="302"/>
      <c r="U14" s="302"/>
      <c r="V14" s="302"/>
      <c r="W14" s="302"/>
      <c r="X14" s="302"/>
      <c r="Y14" s="302"/>
      <c r="Z14" s="302"/>
      <c r="AA14" s="302"/>
      <c r="AB14" s="302"/>
      <c r="AC14" s="302"/>
      <c r="AD14" s="302"/>
      <c r="AE14" s="302"/>
      <c r="AF14" s="436"/>
    </row>
    <row r="15" spans="1:32" s="46" customFormat="1" ht="14.1" customHeight="1" x14ac:dyDescent="0.2">
      <c r="A15"/>
      <c r="B15" s="1266" t="s">
        <v>6</v>
      </c>
      <c r="C15" s="304" t="s">
        <v>303</v>
      </c>
      <c r="D15" s="305" t="s">
        <v>18</v>
      </c>
      <c r="E15" s="881">
        <v>0</v>
      </c>
      <c r="F15" s="310">
        <f>IF(E$14&gt;0,E15/E$14*100,0)</f>
        <v>0</v>
      </c>
      <c r="G15" s="819"/>
      <c r="H15" s="310">
        <f>-IF(G$14&gt;0,G15/G$14*100,0)</f>
        <v>0</v>
      </c>
      <c r="I15" s="814">
        <f>-'6. E2 OMSÄTTNING'!F11</f>
        <v>0</v>
      </c>
      <c r="J15" s="310">
        <f>-IF(I$14&gt;0,I15/I$14*100,0)</f>
        <v>0</v>
      </c>
      <c r="K15" s="814">
        <f>-'6. E2 OMSÄTTNING'!G11</f>
        <v>0</v>
      </c>
      <c r="L15" s="310">
        <f>-IF(K$14&gt;0,K15/K$14*100,0)</f>
        <v>0</v>
      </c>
      <c r="M15" s="814">
        <f>-'6. E2 OMSÄTTNING'!H11</f>
        <v>0</v>
      </c>
      <c r="N15" s="310">
        <f>-IF(M$14&gt;0,M15/M$14*100,0)</f>
        <v>0</v>
      </c>
      <c r="O15" s="814">
        <f>-'6. E2 OMSÄTTNING'!I11</f>
        <v>0</v>
      </c>
      <c r="P15" s="1268">
        <f>-IF(O$14&gt;0,O15/O$14*100,0)</f>
        <v>0</v>
      </c>
      <c r="Q15" s="155"/>
      <c r="R15" s="354"/>
      <c r="S15" s="302"/>
      <c r="T15" s="302"/>
      <c r="U15" s="302"/>
      <c r="V15" s="302"/>
      <c r="W15" s="302"/>
      <c r="X15" s="302"/>
      <c r="Y15" s="302"/>
      <c r="Z15" s="302"/>
      <c r="AA15" s="302"/>
      <c r="AB15" s="302"/>
      <c r="AC15" s="302"/>
      <c r="AD15" s="302"/>
      <c r="AE15" s="302"/>
      <c r="AF15" s="436"/>
    </row>
    <row r="16" spans="1:32" s="46" customFormat="1" ht="14.1" customHeight="1" x14ac:dyDescent="0.2">
      <c r="A16"/>
      <c r="B16" s="1266" t="s">
        <v>7</v>
      </c>
      <c r="C16" s="304" t="s">
        <v>304</v>
      </c>
      <c r="D16" s="305" t="s">
        <v>18</v>
      </c>
      <c r="E16" s="881">
        <v>0</v>
      </c>
      <c r="F16" s="310">
        <v>0</v>
      </c>
      <c r="G16" s="819"/>
      <c r="H16" s="310">
        <f>-IF(G$14&gt;0,G16/G$14*100,0)</f>
        <v>0</v>
      </c>
      <c r="I16" s="814">
        <f>-J16*I14/100</f>
        <v>0</v>
      </c>
      <c r="J16" s="601">
        <f>H16</f>
        <v>0</v>
      </c>
      <c r="K16" s="814">
        <f>-L16*K14/100</f>
        <v>0</v>
      </c>
      <c r="L16" s="601">
        <f>J16</f>
        <v>0</v>
      </c>
      <c r="M16" s="814">
        <f>-N16*M14/100</f>
        <v>0</v>
      </c>
      <c r="N16" s="601">
        <f>L16</f>
        <v>0</v>
      </c>
      <c r="O16" s="814">
        <f>-P16*O14/100</f>
        <v>0</v>
      </c>
      <c r="P16" s="1269">
        <f>N16</f>
        <v>0</v>
      </c>
      <c r="Q16" s="155"/>
      <c r="R16" s="354"/>
      <c r="S16" s="302"/>
      <c r="T16" s="302"/>
      <c r="U16" s="302"/>
      <c r="V16" s="302"/>
      <c r="W16" s="302"/>
      <c r="X16" s="302"/>
      <c r="Y16" s="302"/>
      <c r="Z16" s="302"/>
      <c r="AA16" s="302"/>
      <c r="AB16" s="302"/>
      <c r="AC16" s="302"/>
      <c r="AD16" s="302"/>
      <c r="AE16" s="302"/>
      <c r="AF16" s="436"/>
    </row>
    <row r="17" spans="1:32" s="46" customFormat="1" ht="14.1" customHeight="1" x14ac:dyDescent="0.2">
      <c r="A17"/>
      <c r="B17" s="1266" t="s">
        <v>8</v>
      </c>
      <c r="C17" s="304" t="s">
        <v>305</v>
      </c>
      <c r="D17" s="305" t="s">
        <v>18</v>
      </c>
      <c r="E17" s="881">
        <v>0</v>
      </c>
      <c r="F17" s="310">
        <v>0</v>
      </c>
      <c r="G17" s="819"/>
      <c r="H17" s="310">
        <f>-IF(G$14&gt;0,G17/G$14*100,0)</f>
        <v>0</v>
      </c>
      <c r="I17" s="814">
        <f>-'5. E1 VERKSAMHETSKOSTN.'!F44-'3. T3 BALANS'!H93+'3. T3 BALANS'!G93-'3. T3 BALANS'!H94+'3. T3 BALANS'!G94</f>
        <v>0</v>
      </c>
      <c r="J17" s="310">
        <f>-IF(I$14&gt;0,I17/I$14*100,0)</f>
        <v>0</v>
      </c>
      <c r="K17" s="814">
        <f>-'5. E1 VERKSAMHETSKOSTN.'!H44-'3. T3 BALANS'!I93+'3. T3 BALANS'!H93-'3. T3 BALANS'!I94+'3. T3 BALANS'!H94</f>
        <v>0</v>
      </c>
      <c r="L17" s="310">
        <f>-IF(K$14&gt;0,K17/K$14*100,0)</f>
        <v>0</v>
      </c>
      <c r="M17" s="814">
        <f>-'5. E1 VERKSAMHETSKOSTN.'!J44-'3. T3 BALANS'!J93+'3. T3 BALANS'!I93-'3. T3 BALANS'!J94+'3. T3 BALANS'!I94</f>
        <v>0</v>
      </c>
      <c r="N17" s="310">
        <f>-IF(M$14&gt;0,M17/M$14*100,0)</f>
        <v>0</v>
      </c>
      <c r="O17" s="814">
        <f>-'5. E1 VERKSAMHETSKOSTN.'!L44-'3. T3 BALANS'!K93+'3. T3 BALANS'!J93-'3. T3 BALANS'!K94+'3. T3 BALANS'!J94</f>
        <v>0</v>
      </c>
      <c r="P17" s="1268">
        <f>-IF(O$14&gt;0,O17/O$14*100,0)</f>
        <v>0</v>
      </c>
      <c r="Q17" s="155"/>
      <c r="R17" s="354"/>
      <c r="S17" s="302"/>
      <c r="T17" s="302"/>
      <c r="U17" s="302"/>
      <c r="V17" s="302"/>
      <c r="W17" s="302"/>
      <c r="X17" s="302"/>
      <c r="Y17" s="302"/>
      <c r="Z17" s="302"/>
      <c r="AA17" s="302"/>
      <c r="AB17" s="302"/>
      <c r="AC17" s="302"/>
      <c r="AD17" s="302"/>
      <c r="AE17" s="302"/>
      <c r="AF17" s="436"/>
    </row>
    <row r="18" spans="1:32" s="46" customFormat="1" ht="14.1" customHeight="1" x14ac:dyDescent="0.2">
      <c r="A18"/>
      <c r="B18" s="1266" t="s">
        <v>9</v>
      </c>
      <c r="C18" s="311" t="s">
        <v>306</v>
      </c>
      <c r="D18" s="305" t="s">
        <v>18</v>
      </c>
      <c r="E18" s="881">
        <v>0</v>
      </c>
      <c r="F18" s="310">
        <v>0</v>
      </c>
      <c r="G18" s="819"/>
      <c r="H18" s="310">
        <f>-IF(G$14&gt;0,G18/G$14*100,0)</f>
        <v>0</v>
      </c>
      <c r="I18" s="814">
        <f>-'5. E1 VERKSAMHETSKOSTN.'!F45</f>
        <v>0</v>
      </c>
      <c r="J18" s="310">
        <f>-IF(I$14&gt;0,I18/I$14*100,0)</f>
        <v>0</v>
      </c>
      <c r="K18" s="814">
        <f>-'5. E1 VERKSAMHETSKOSTN.'!H45</f>
        <v>0</v>
      </c>
      <c r="L18" s="310">
        <f>-IF(K$14&gt;0,K18/K$14*100,0)</f>
        <v>0</v>
      </c>
      <c r="M18" s="814">
        <f>-'5. E1 VERKSAMHETSKOSTN.'!J45</f>
        <v>0</v>
      </c>
      <c r="N18" s="310">
        <f>-IF(M$14&gt;0,M18/M$14*100,0)</f>
        <v>0</v>
      </c>
      <c r="O18" s="814">
        <f>-'5. E1 VERKSAMHETSKOSTN.'!L45</f>
        <v>0</v>
      </c>
      <c r="P18" s="1268">
        <f>-IF(O$14&gt;0,O18/O$14*100,0)</f>
        <v>0</v>
      </c>
      <c r="Q18" s="155"/>
      <c r="R18" s="354"/>
      <c r="S18" s="302"/>
      <c r="T18" s="302"/>
      <c r="U18" s="302"/>
      <c r="V18" s="302"/>
      <c r="W18" s="302"/>
      <c r="X18" s="302"/>
      <c r="Y18" s="302"/>
      <c r="Z18" s="302"/>
      <c r="AA18" s="302"/>
      <c r="AB18" s="302"/>
      <c r="AC18" s="302"/>
      <c r="AD18" s="302"/>
      <c r="AE18" s="302"/>
      <c r="AF18" s="436"/>
    </row>
    <row r="19" spans="1:32" s="46" customFormat="1" ht="14.1" customHeight="1" x14ac:dyDescent="0.2">
      <c r="A19"/>
      <c r="B19" s="1266" t="s">
        <v>10</v>
      </c>
      <c r="C19" s="311" t="s">
        <v>307</v>
      </c>
      <c r="D19" s="312" t="s">
        <v>83</v>
      </c>
      <c r="E19" s="881">
        <v>0</v>
      </c>
      <c r="F19" s="310">
        <f>IF(E$14&gt;0,E19/E$14*100,0)</f>
        <v>0</v>
      </c>
      <c r="G19" s="819"/>
      <c r="H19" s="310">
        <f>IF(G$14&gt;0,G19/G$14*100,0)</f>
        <v>0</v>
      </c>
      <c r="I19" s="814">
        <f>'3. T3 BALANS'!H39-'3. T3 BALANS'!G39</f>
        <v>0</v>
      </c>
      <c r="J19" s="310">
        <f>IF(I$14&gt;0,I19/I$14*100,0)</f>
        <v>0</v>
      </c>
      <c r="K19" s="814">
        <f>'3. T3 BALANS'!I39-'3. T3 BALANS'!H39</f>
        <v>0</v>
      </c>
      <c r="L19" s="310">
        <f>IF(K$14&gt;0,K19/K$14*100,0)</f>
        <v>0</v>
      </c>
      <c r="M19" s="814">
        <f>'3. T3 BALANS'!J39-'3. T3 BALANS'!I39</f>
        <v>0</v>
      </c>
      <c r="N19" s="310">
        <f>IF(M$14&gt;0,M19/M$14*100,0)</f>
        <v>0</v>
      </c>
      <c r="O19" s="814">
        <f>'3. T3 BALANS'!K39-'3. T3 BALANS'!J39</f>
        <v>0</v>
      </c>
      <c r="P19" s="1268">
        <f>IF(O$14&gt;0,O19/O$14*100,0)</f>
        <v>0</v>
      </c>
      <c r="Q19" s="155"/>
      <c r="R19" s="354"/>
      <c r="S19" s="302"/>
      <c r="T19" s="302"/>
      <c r="U19" s="302"/>
      <c r="V19" s="302"/>
      <c r="W19" s="302"/>
      <c r="X19" s="302"/>
      <c r="Y19" s="302"/>
      <c r="Z19" s="302"/>
      <c r="AA19" s="302"/>
      <c r="AB19" s="302"/>
      <c r="AC19" s="302"/>
      <c r="AD19" s="302"/>
      <c r="AE19" s="302"/>
      <c r="AF19" s="436"/>
    </row>
    <row r="20" spans="1:32" s="46" customFormat="1" ht="14.1" customHeight="1" x14ac:dyDescent="0.2">
      <c r="A20"/>
      <c r="B20" s="1266" t="s">
        <v>11</v>
      </c>
      <c r="C20" s="313" t="s">
        <v>308</v>
      </c>
      <c r="D20" s="314"/>
      <c r="E20" s="882">
        <f>SUM(E14:E19)</f>
        <v>0</v>
      </c>
      <c r="F20" s="310">
        <f>IF(E$14&gt;0,E20/E$14*100,0)</f>
        <v>0</v>
      </c>
      <c r="G20" s="883">
        <f>SUM(G14:G19)</f>
        <v>0</v>
      </c>
      <c r="H20" s="310">
        <f>IF(G$14&gt;0,G20/G$14*100,0)</f>
        <v>0</v>
      </c>
      <c r="I20" s="883">
        <f>SUM(I14:I19)</f>
        <v>0</v>
      </c>
      <c r="J20" s="310">
        <f>IF(I$14&gt;0,I20/I$14*100,0)</f>
        <v>0</v>
      </c>
      <c r="K20" s="883">
        <f>SUM(K14:K19)</f>
        <v>0</v>
      </c>
      <c r="L20" s="310">
        <f>IF(K$14&gt;0,K20/K$14*100,0)</f>
        <v>0</v>
      </c>
      <c r="M20" s="883">
        <f>SUM(M14:M19)</f>
        <v>0</v>
      </c>
      <c r="N20" s="310">
        <f>IF(M$14&gt;0,M20/M$14*100,0)</f>
        <v>0</v>
      </c>
      <c r="O20" s="883">
        <f>SUM(O14:O19)</f>
        <v>0</v>
      </c>
      <c r="P20" s="1268">
        <f>IF(O$14&gt;0,O20/O$14*100,0)</f>
        <v>0</v>
      </c>
      <c r="Q20" s="155"/>
      <c r="R20" s="354"/>
      <c r="S20" s="302"/>
      <c r="T20" s="302"/>
      <c r="U20" s="302"/>
      <c r="V20" s="302"/>
      <c r="W20" s="302"/>
      <c r="X20" s="302"/>
      <c r="Y20" s="302"/>
      <c r="Z20" s="302"/>
      <c r="AA20" s="302"/>
      <c r="AB20" s="302"/>
      <c r="AC20" s="302"/>
      <c r="AD20" s="302"/>
      <c r="AE20" s="302"/>
      <c r="AF20" s="436"/>
    </row>
    <row r="21" spans="1:32" s="46" customFormat="1" ht="14.1" customHeight="1" x14ac:dyDescent="0.2">
      <c r="B21" s="1266" t="s">
        <v>43</v>
      </c>
      <c r="C21" s="311" t="s">
        <v>309</v>
      </c>
      <c r="D21" s="305" t="s">
        <v>18</v>
      </c>
      <c r="E21" s="881">
        <v>0</v>
      </c>
      <c r="F21" s="310">
        <f>-IF(E$14&gt;0,E21/E$14*100,0)</f>
        <v>0</v>
      </c>
      <c r="G21" s="819"/>
      <c r="H21" s="310">
        <f>-IF(G$14&gt;0,G21/G$14*100,0)</f>
        <v>0</v>
      </c>
      <c r="I21" s="814">
        <f>-('3. T3 BALANS'!H17+'3. T3 BALANS'!H25+'3. T3 BALANS'!H29+'3. T3 BALANS'!H33)</f>
        <v>0</v>
      </c>
      <c r="J21" s="310">
        <f>-IF(I$11&gt;0,I21/I$14*100,0)</f>
        <v>0</v>
      </c>
      <c r="K21" s="814">
        <f>-('3. T3 BALANS'!I17+'3. T3 BALANS'!I25+'3. T3 BALANS'!I29+'3. T3 BALANS'!I33+'3. T3 BALANS'!I16+'3. T3 BALANS'!I21+'3. T3 BALANS'!I24+'3. T3 BALANS'!I28+'3. T3 BALANS'!I32)</f>
        <v>0</v>
      </c>
      <c r="L21" s="310">
        <f>-IF(K$11&gt;0,K21/K$14*100,0)</f>
        <v>0</v>
      </c>
      <c r="M21" s="814">
        <f>-('3. T3 BALANS'!J17+'3. T3 BALANS'!J25+'3. T3 BALANS'!J29+'3. T3 BALANS'!J33+'3. T3 BALANS'!J16+'3. T3 BALANS'!J21+'3. T3 BALANS'!J24+'3. T3 BALANS'!J28+'3. T3 BALANS'!J32)</f>
        <v>0</v>
      </c>
      <c r="N21" s="310">
        <f>-IF(M$11&gt;0,M21/M$14*100,0)</f>
        <v>0</v>
      </c>
      <c r="O21" s="814">
        <f>-('3. T3 BALANS'!K17+'3. T3 BALANS'!K25+'3. T3 BALANS'!K29+'3. T3 BALANS'!K33+'3. T3 BALANS'!K16+'3. T3 BALANS'!K21+'3. T3 BALANS'!K24+'3. T3 BALANS'!K28+'3. T3 BALANS'!K32)</f>
        <v>0</v>
      </c>
      <c r="P21" s="1268">
        <f>-IF(O$11&gt;0,O21/O$14*100,0)</f>
        <v>0</v>
      </c>
      <c r="Q21" s="155"/>
      <c r="R21" s="354"/>
      <c r="S21" s="302"/>
      <c r="T21" s="302"/>
      <c r="U21" s="302"/>
      <c r="V21" s="302"/>
      <c r="W21" s="302"/>
      <c r="X21" s="302"/>
      <c r="Y21" s="302"/>
      <c r="Z21" s="302"/>
      <c r="AA21" s="302"/>
      <c r="AB21" s="302"/>
      <c r="AC21" s="302"/>
      <c r="AD21" s="302"/>
      <c r="AE21" s="302"/>
      <c r="AF21" s="436"/>
    </row>
    <row r="22" spans="1:32" s="46" customFormat="1" ht="14.1" customHeight="1" x14ac:dyDescent="0.2">
      <c r="A22" s="2"/>
      <c r="B22" s="1266" t="s">
        <v>44</v>
      </c>
      <c r="C22" s="313" t="s">
        <v>310</v>
      </c>
      <c r="D22" s="315"/>
      <c r="E22" s="882">
        <f>SUM(E20:E21)</f>
        <v>0</v>
      </c>
      <c r="F22" s="310">
        <f>IF(E$14&gt;0,E22/E$14*100,0)</f>
        <v>0</v>
      </c>
      <c r="G22" s="883">
        <f>SUM(G20:G21)</f>
        <v>0</v>
      </c>
      <c r="H22" s="310">
        <f>IF(G$14&gt;0,G22/G$14*100,0)</f>
        <v>0</v>
      </c>
      <c r="I22" s="883">
        <f>SUM(I20:I21)</f>
        <v>0</v>
      </c>
      <c r="J22" s="310">
        <f>IF(I$11&gt;0,I22/I$14*100,0)</f>
        <v>0</v>
      </c>
      <c r="K22" s="883">
        <f>SUM(K20:K21)</f>
        <v>0</v>
      </c>
      <c r="L22" s="310">
        <f>IF(K$11&gt;0,K22/K$14*100,0)</f>
        <v>0</v>
      </c>
      <c r="M22" s="883">
        <f>SUM(M20:M21)</f>
        <v>0</v>
      </c>
      <c r="N22" s="310">
        <f>IF(M$11&gt;0,M22/M$14*100,0)</f>
        <v>0</v>
      </c>
      <c r="O22" s="883">
        <f>SUM(O20:O21)</f>
        <v>0</v>
      </c>
      <c r="P22" s="1268">
        <f>IF(O$11&gt;0,O22/O$14*100,0)</f>
        <v>0</v>
      </c>
      <c r="Q22" s="155"/>
      <c r="R22" s="354"/>
      <c r="S22" s="302"/>
      <c r="T22" s="302">
        <v>0</v>
      </c>
      <c r="U22" s="302"/>
      <c r="V22" s="302"/>
      <c r="W22" s="302">
        <v>0</v>
      </c>
      <c r="X22" s="302"/>
      <c r="Y22" s="302"/>
      <c r="Z22" s="302"/>
      <c r="AA22" s="302"/>
      <c r="AB22" s="302"/>
      <c r="AC22" s="302"/>
      <c r="AD22" s="302"/>
      <c r="AE22" s="302"/>
      <c r="AF22" s="436"/>
    </row>
    <row r="23" spans="1:32" s="46" customFormat="1" ht="14.1" customHeight="1" x14ac:dyDescent="0.2">
      <c r="A23"/>
      <c r="B23" s="1266" t="s">
        <v>118</v>
      </c>
      <c r="C23" s="311" t="s">
        <v>311</v>
      </c>
      <c r="D23" s="305" t="s">
        <v>17</v>
      </c>
      <c r="E23" s="881">
        <v>0</v>
      </c>
      <c r="F23" s="310">
        <f>IF(E$14&gt;0,E23/E$14*100,0)</f>
        <v>0</v>
      </c>
      <c r="G23" s="819">
        <v>0</v>
      </c>
      <c r="H23" s="310">
        <f>IF(G$14&gt;0,G23/G$14*100,0)</f>
        <v>0</v>
      </c>
      <c r="I23" s="819">
        <v>0</v>
      </c>
      <c r="J23" s="310">
        <f>IF(I$14&gt;0,I23/I$14*100,0)</f>
        <v>0</v>
      </c>
      <c r="K23" s="819">
        <v>0</v>
      </c>
      <c r="L23" s="310">
        <f>IF(K$14&gt;0,K23/K$14*100,0)</f>
        <v>0</v>
      </c>
      <c r="M23" s="819"/>
      <c r="N23" s="310">
        <f>IF(M$14&gt;0,M23/M$14*100,0)</f>
        <v>0</v>
      </c>
      <c r="O23" s="819"/>
      <c r="P23" s="1268">
        <f>IF(O$14&gt;0,O23/O$14*100,0)</f>
        <v>0</v>
      </c>
      <c r="Q23" s="155"/>
      <c r="R23" s="354"/>
      <c r="S23" s="302"/>
      <c r="T23" s="302"/>
      <c r="U23" s="302"/>
      <c r="V23" s="302"/>
      <c r="W23" s="302"/>
      <c r="X23" s="302"/>
      <c r="Y23" s="302"/>
      <c r="Z23" s="302"/>
      <c r="AA23" s="302"/>
      <c r="AB23" s="302"/>
      <c r="AC23" s="302"/>
      <c r="AD23" s="302"/>
      <c r="AE23" s="302"/>
      <c r="AF23" s="436"/>
    </row>
    <row r="24" spans="1:32" s="46" customFormat="1" ht="14.1" customHeight="1" x14ac:dyDescent="0.2">
      <c r="A24"/>
      <c r="B24" s="1264" t="s">
        <v>45</v>
      </c>
      <c r="C24" s="316" t="s">
        <v>312</v>
      </c>
      <c r="D24" s="317" t="s">
        <v>17</v>
      </c>
      <c r="E24" s="881">
        <v>0</v>
      </c>
      <c r="F24" s="310">
        <f>IF(E$14&gt;0,E24/E$14*100,0)</f>
        <v>0</v>
      </c>
      <c r="G24" s="819"/>
      <c r="H24" s="310">
        <f>IF(G$14&gt;0,G24/G$14*100,0)</f>
        <v>0</v>
      </c>
      <c r="I24" s="819">
        <v>0</v>
      </c>
      <c r="J24" s="310">
        <f>IF(I$14&gt;0,I24/I$14*100,0)</f>
        <v>0</v>
      </c>
      <c r="K24" s="819">
        <v>0</v>
      </c>
      <c r="L24" s="310">
        <f>IF(K$14&gt;0,K24/K$14*100,0)</f>
        <v>0</v>
      </c>
      <c r="M24" s="819">
        <v>0</v>
      </c>
      <c r="N24" s="310">
        <f>IF(M$14&gt;0,M24/M$14*100,0)</f>
        <v>0</v>
      </c>
      <c r="O24" s="819">
        <v>0</v>
      </c>
      <c r="P24" s="1268">
        <f>IF(O$14&gt;0,O24/O$14*100,0)</f>
        <v>0</v>
      </c>
      <c r="Q24" s="155"/>
      <c r="R24" s="354"/>
      <c r="S24" s="302"/>
      <c r="T24" s="302"/>
      <c r="U24" s="302"/>
      <c r="V24" s="302"/>
      <c r="W24" s="302"/>
      <c r="X24" s="302"/>
      <c r="Y24" s="302"/>
      <c r="Z24" s="302"/>
      <c r="AA24" s="302"/>
      <c r="AB24" s="302"/>
      <c r="AC24" s="302"/>
      <c r="AD24" s="302"/>
      <c r="AE24" s="302"/>
      <c r="AF24" s="436"/>
    </row>
    <row r="25" spans="1:32" s="46" customFormat="1" ht="14.1" customHeight="1" x14ac:dyDescent="0.2">
      <c r="A25"/>
      <c r="B25" s="1266" t="s">
        <v>46</v>
      </c>
      <c r="C25" s="304" t="s">
        <v>313</v>
      </c>
      <c r="D25" s="305" t="s">
        <v>18</v>
      </c>
      <c r="E25" s="881">
        <v>0</v>
      </c>
      <c r="F25" s="310">
        <f>-IF(E$14&gt;0,E25/E$14*100,0)</f>
        <v>0</v>
      </c>
      <c r="G25" s="819"/>
      <c r="H25" s="310">
        <f>-IF(G$14&gt;0,G25/G$14*100,0)</f>
        <v>0</v>
      </c>
      <c r="I25" s="814">
        <f>-'4. T7 LÅN '!H50</f>
        <v>0</v>
      </c>
      <c r="J25" s="310">
        <f>-IF(I$14&gt;0,I25/I$14*100,0)</f>
        <v>0</v>
      </c>
      <c r="K25" s="814">
        <f>-'4. T7 LÅN '!K50</f>
        <v>0</v>
      </c>
      <c r="L25" s="310">
        <f>-IF(K$14&gt;0,K25/K$14*100,0)</f>
        <v>0</v>
      </c>
      <c r="M25" s="814">
        <f>-'4. T7 LÅN '!N50</f>
        <v>0</v>
      </c>
      <c r="N25" s="310">
        <f>-IF(M$14&gt;0,M25/M$14*100,0)</f>
        <v>0</v>
      </c>
      <c r="O25" s="814">
        <f>-'4. T7 LÅN '!Q50</f>
        <v>0</v>
      </c>
      <c r="P25" s="1268">
        <f>-IF(O$14&gt;0,O25/O$14*100,0)</f>
        <v>0</v>
      </c>
      <c r="Q25" s="155"/>
      <c r="R25" s="354"/>
      <c r="S25" s="302"/>
      <c r="T25" s="302"/>
      <c r="U25" s="302"/>
      <c r="V25" s="302"/>
      <c r="W25" s="302"/>
      <c r="X25" s="302"/>
      <c r="Y25" s="302"/>
      <c r="Z25" s="302"/>
      <c r="AA25" s="302"/>
      <c r="AB25" s="302"/>
      <c r="AC25" s="302"/>
      <c r="AD25" s="302"/>
      <c r="AE25" s="302"/>
      <c r="AF25" s="436"/>
    </row>
    <row r="26" spans="1:32" s="46" customFormat="1" ht="23.65" customHeight="1" x14ac:dyDescent="0.2">
      <c r="A26"/>
      <c r="B26" s="1266" t="s">
        <v>47</v>
      </c>
      <c r="C26" s="1827" t="s">
        <v>314</v>
      </c>
      <c r="D26" s="1828"/>
      <c r="E26" s="884">
        <f>E22+E23+E24+E25</f>
        <v>0</v>
      </c>
      <c r="F26" s="310">
        <f>IF(E$14&gt;0,E26/E$14*100,0)</f>
        <v>0</v>
      </c>
      <c r="G26" s="885">
        <f>G22+G23+G24+G25</f>
        <v>0</v>
      </c>
      <c r="H26" s="310">
        <f>IF(G$14&gt;0,G26/G$14*100,0)</f>
        <v>0</v>
      </c>
      <c r="I26" s="885">
        <f>I22+I23+I24+I25</f>
        <v>0</v>
      </c>
      <c r="J26" s="310">
        <f>IF(I$11&gt;0,I26/I$14*100,0)</f>
        <v>0</v>
      </c>
      <c r="K26" s="885">
        <f>K22+K23+K24+K25</f>
        <v>0</v>
      </c>
      <c r="L26" s="310">
        <f>IF(K$11&gt;0,K26/K$14*100,0)</f>
        <v>0</v>
      </c>
      <c r="M26" s="885">
        <f>M22+M23+M24+M25</f>
        <v>0</v>
      </c>
      <c r="N26" s="310">
        <f>IF(M$11&gt;0,M26/M$14*100,0)</f>
        <v>0</v>
      </c>
      <c r="O26" s="885">
        <f>O22+O23+O24+O25</f>
        <v>0</v>
      </c>
      <c r="P26" s="1268">
        <f>IF(O$11&gt;0,O26/O$14*100,0)</f>
        <v>0</v>
      </c>
      <c r="Q26" s="155"/>
      <c r="R26" s="354"/>
      <c r="S26" s="302"/>
      <c r="T26" s="302"/>
      <c r="U26" s="1504"/>
      <c r="V26" s="1504"/>
      <c r="W26" s="302"/>
      <c r="X26" s="302"/>
      <c r="Y26" s="302"/>
      <c r="Z26" s="302"/>
      <c r="AA26" s="302"/>
      <c r="AB26" s="302"/>
      <c r="AC26" s="302"/>
      <c r="AD26" s="302"/>
      <c r="AE26" s="302"/>
      <c r="AF26" s="436"/>
    </row>
    <row r="27" spans="1:32" s="46" customFormat="1" ht="14.1" customHeight="1" x14ac:dyDescent="0.2">
      <c r="A27"/>
      <c r="B27" s="1266" t="s">
        <v>48</v>
      </c>
      <c r="C27" s="511" t="s">
        <v>315</v>
      </c>
      <c r="D27" s="512" t="s">
        <v>18</v>
      </c>
      <c r="E27" s="886">
        <v>0</v>
      </c>
      <c r="F27" s="310">
        <f>-IF(E$14&gt;0,E27/E$14*100,0)</f>
        <v>0</v>
      </c>
      <c r="G27" s="887">
        <v>0</v>
      </c>
      <c r="H27" s="310">
        <f>-IF(G$14&gt;0,G27/G$14*100,0)</f>
        <v>0</v>
      </c>
      <c r="I27" s="888">
        <f>-IF(I28*(I26+I29+I30+0.5*'5. E1 VERKSAMHETSKOSTN.'!F86)&lt;0,0,I28*(I26+I29+I30+0.5*'5. E1 VERKSAMHETSKOSTN.'!F86))</f>
        <v>0</v>
      </c>
      <c r="J27" s="310">
        <f>-IF(I$14&gt;0,I27/I$14*100,0)</f>
        <v>0</v>
      </c>
      <c r="K27" s="888">
        <f>-IF(K28*(K26+K29+K30+0.5*'5. E1 VERKSAMHETSKOSTN.'!H86)&lt;0,0,K28*(K26+K29+K30+0.5*'5. E1 VERKSAMHETSKOSTN.'!H86))</f>
        <v>0</v>
      </c>
      <c r="L27" s="310">
        <f>-IF(K$14&gt;0,K27/K$14*100,0)</f>
        <v>0</v>
      </c>
      <c r="M27" s="888">
        <f>-IF(M28*(M26+M29+M30+0.5*'5. E1 VERKSAMHETSKOSTN.'!J86)&lt;0,0,M28*(M26+M29+M30+0.5*'5. E1 VERKSAMHETSKOSTN.'!J86))</f>
        <v>0</v>
      </c>
      <c r="N27" s="310">
        <f>-IF(M$14&gt;0,M27/M$14*100,0)</f>
        <v>0</v>
      </c>
      <c r="O27" s="888">
        <f>-IF(O28*(O26+O29+O30+0.5*'5. E1 VERKSAMHETSKOSTN.'!L86)&lt;0,0,O28*(O26+O29+O30+0.5*'5. E1 VERKSAMHETSKOSTN.'!L86))</f>
        <v>0</v>
      </c>
      <c r="P27" s="1268">
        <f>-IF(O$14&gt;0,O27/O$14*100,0)</f>
        <v>0</v>
      </c>
      <c r="Q27" s="155"/>
      <c r="R27" s="354">
        <v>0</v>
      </c>
      <c r="S27" s="302"/>
      <c r="T27" s="302"/>
      <c r="U27" s="302"/>
      <c r="V27" s="302"/>
      <c r="W27" s="302"/>
      <c r="X27" s="302"/>
      <c r="Y27" s="302"/>
      <c r="Z27" s="302"/>
      <c r="AA27" s="302"/>
      <c r="AB27" s="302"/>
      <c r="AC27" s="302"/>
      <c r="AD27" s="302"/>
      <c r="AE27" s="302"/>
      <c r="AF27" s="436"/>
    </row>
    <row r="28" spans="1:32" s="46" customFormat="1" ht="14.1" customHeight="1" x14ac:dyDescent="0.2">
      <c r="A28"/>
      <c r="B28" s="1266"/>
      <c r="C28" s="1839" t="s">
        <v>316</v>
      </c>
      <c r="D28" s="1840"/>
      <c r="E28" s="889"/>
      <c r="F28" s="310"/>
      <c r="G28" s="898"/>
      <c r="H28" s="310"/>
      <c r="I28" s="890">
        <v>0.2</v>
      </c>
      <c r="J28" s="718"/>
      <c r="K28" s="890">
        <f>I28</f>
        <v>0.2</v>
      </c>
      <c r="L28" s="934"/>
      <c r="M28" s="890">
        <f>K28</f>
        <v>0.2</v>
      </c>
      <c r="N28" s="718"/>
      <c r="O28" s="890">
        <f>M28</f>
        <v>0.2</v>
      </c>
      <c r="P28" s="1268"/>
      <c r="Q28" s="155"/>
      <c r="R28" s="354"/>
      <c r="S28" s="302"/>
      <c r="T28" s="302"/>
      <c r="U28" s="302"/>
      <c r="V28" s="302"/>
      <c r="W28" s="302"/>
      <c r="X28" s="302"/>
      <c r="Y28" s="302"/>
      <c r="Z28" s="302"/>
      <c r="AA28" s="302"/>
      <c r="AB28" s="302"/>
      <c r="AC28" s="302"/>
      <c r="AD28" s="302"/>
      <c r="AE28" s="302"/>
      <c r="AF28" s="436"/>
    </row>
    <row r="29" spans="1:32" s="46" customFormat="1" ht="14.1" customHeight="1" x14ac:dyDescent="0.2">
      <c r="A29"/>
      <c r="B29" s="1266" t="s">
        <v>49</v>
      </c>
      <c r="C29" s="316" t="s">
        <v>317</v>
      </c>
      <c r="D29" s="513" t="s">
        <v>86</v>
      </c>
      <c r="E29" s="886">
        <v>0</v>
      </c>
      <c r="F29" s="310">
        <f>IF(E$14&gt;0,E29/E$14*100,0)</f>
        <v>0</v>
      </c>
      <c r="G29" s="887">
        <v>0</v>
      </c>
      <c r="H29" s="310">
        <f>IF(G$14&gt;0,G29/G$14*100,0)</f>
        <v>0</v>
      </c>
      <c r="I29" s="887">
        <v>0</v>
      </c>
      <c r="J29" s="310">
        <f>IF(I$14&gt;0,I29/I$14*100,0)</f>
        <v>0</v>
      </c>
      <c r="K29" s="891">
        <v>0</v>
      </c>
      <c r="L29" s="935">
        <f>IF(K$14&gt;0,K29/K$14*100,0)</f>
        <v>0</v>
      </c>
      <c r="M29" s="892">
        <v>0</v>
      </c>
      <c r="N29" s="310">
        <f>IF(M$14&gt;0,M29/M$14*100,0)</f>
        <v>0</v>
      </c>
      <c r="O29" s="887">
        <v>0</v>
      </c>
      <c r="P29" s="1268">
        <f>IF(O$14&gt;0,O29/O$14*100,0)</f>
        <v>0</v>
      </c>
      <c r="Q29" s="155"/>
      <c r="R29" s="354"/>
      <c r="S29" s="302"/>
      <c r="T29" s="302"/>
      <c r="U29" s="302"/>
      <c r="V29" s="302"/>
      <c r="W29" s="302"/>
      <c r="X29" s="302"/>
      <c r="Y29" s="302"/>
      <c r="Z29" s="302"/>
      <c r="AA29" s="302"/>
      <c r="AB29" s="302"/>
      <c r="AC29" s="302"/>
      <c r="AD29" s="302"/>
      <c r="AE29" s="302"/>
      <c r="AF29" s="436"/>
    </row>
    <row r="30" spans="1:32" s="46" customFormat="1" ht="14.1" customHeight="1" x14ac:dyDescent="0.2">
      <c r="A30"/>
      <c r="B30" s="1266" t="s">
        <v>50</v>
      </c>
      <c r="C30" s="304" t="s">
        <v>318</v>
      </c>
      <c r="D30" s="312" t="s">
        <v>86</v>
      </c>
      <c r="E30" s="886">
        <v>0</v>
      </c>
      <c r="F30" s="310">
        <f>-IF(E$14&gt;0,E30/E$14*100,0)</f>
        <v>0</v>
      </c>
      <c r="G30" s="887"/>
      <c r="H30" s="310">
        <f>-IF(G$14&gt;0,G30/G$14*100,0)</f>
        <v>0</v>
      </c>
      <c r="I30" s="885">
        <f>-('3. T3 BALANS'!H64-'3. T3 BALANS'!G64)</f>
        <v>0</v>
      </c>
      <c r="J30" s="310">
        <f>-IF(I$14&gt;0,I30/I$14*100,0)</f>
        <v>0</v>
      </c>
      <c r="K30" s="885">
        <f>-('3. T3 BALANS'!I64-'3. T3 BALANS'!H64)</f>
        <v>0</v>
      </c>
      <c r="L30" s="310">
        <f>-IF(K$14&gt;0,K30/K$14*100,0)</f>
        <v>0</v>
      </c>
      <c r="M30" s="885">
        <f>-('3. T3 BALANS'!J64-'3. T3 BALANS'!I64)</f>
        <v>0</v>
      </c>
      <c r="N30" s="310">
        <f>-IF(M$14&gt;0,M30/M$14*100,0)</f>
        <v>0</v>
      </c>
      <c r="O30" s="885">
        <f>-('3. T3 BALANS'!K64-'3. T3 BALANS'!J64)</f>
        <v>0</v>
      </c>
      <c r="P30" s="1268">
        <f>-IF(O$14&gt;0,O30/O$14*100,0)</f>
        <v>0</v>
      </c>
      <c r="Q30" s="155"/>
      <c r="R30" s="354"/>
      <c r="S30" s="302"/>
      <c r="T30" s="302"/>
      <c r="U30" s="302"/>
      <c r="V30" s="302"/>
      <c r="W30" s="302"/>
      <c r="X30" s="302"/>
      <c r="Y30" s="302"/>
      <c r="Z30" s="302"/>
      <c r="AA30" s="302"/>
      <c r="AB30" s="302"/>
      <c r="AC30" s="302"/>
      <c r="AD30" s="302"/>
      <c r="AE30" s="302"/>
      <c r="AF30" s="436"/>
    </row>
    <row r="31" spans="1:32" s="46" customFormat="1" ht="20.100000000000001" customHeight="1" x14ac:dyDescent="0.2">
      <c r="A31"/>
      <c r="B31" s="1270" t="s">
        <v>154</v>
      </c>
      <c r="C31" s="1271" t="s">
        <v>319</v>
      </c>
      <c r="D31" s="1272"/>
      <c r="E31" s="882">
        <f>SUM(E26:E30)</f>
        <v>0</v>
      </c>
      <c r="F31" s="310">
        <f>IF(E$14&gt;0,E31/E$14*100,0)</f>
        <v>0</v>
      </c>
      <c r="G31" s="883">
        <f>SUM(G26:G30)</f>
        <v>0</v>
      </c>
      <c r="H31" s="310">
        <f>IF(G$14&gt;0,G31/G$14*100,0)</f>
        <v>0</v>
      </c>
      <c r="I31" s="883">
        <f>I26+I27+I29+I30</f>
        <v>0</v>
      </c>
      <c r="J31" s="310">
        <f>IF(I$11&gt;0,I31/I$14*100,0)</f>
        <v>0</v>
      </c>
      <c r="K31" s="883">
        <f>K26+K27+K29+K30</f>
        <v>0</v>
      </c>
      <c r="L31" s="310">
        <f>IF(K$11&gt;0,K31/K$14*100,0)</f>
        <v>0</v>
      </c>
      <c r="M31" s="883">
        <f>M26+M27+M29+M30</f>
        <v>0</v>
      </c>
      <c r="N31" s="310">
        <f>IF(M$11&gt;0,M31/M$14*100,0)</f>
        <v>0</v>
      </c>
      <c r="O31" s="883">
        <f>O26+O27+O29+O30</f>
        <v>0</v>
      </c>
      <c r="P31" s="1268">
        <f>IF(O$11&gt;0,O31/O$14*100,0)</f>
        <v>0</v>
      </c>
      <c r="Q31" s="155"/>
      <c r="R31" s="509"/>
      <c r="S31" s="437"/>
      <c r="T31" s="437"/>
      <c r="U31" s="437"/>
      <c r="V31" s="437"/>
      <c r="W31" s="437"/>
      <c r="X31" s="437"/>
      <c r="Y31" s="437"/>
      <c r="Z31" s="437"/>
      <c r="AA31" s="437"/>
      <c r="AB31" s="437"/>
      <c r="AC31" s="437"/>
      <c r="AD31" s="437"/>
      <c r="AE31" s="437"/>
      <c r="AF31" s="439"/>
    </row>
    <row r="32" spans="1:32" ht="3.75" customHeight="1" x14ac:dyDescent="0.2">
      <c r="B32" s="52"/>
      <c r="C32" s="155"/>
      <c r="D32" s="155"/>
      <c r="E32" s="155"/>
      <c r="F32" s="155"/>
      <c r="G32" s="155"/>
      <c r="H32" s="156"/>
      <c r="I32" s="155"/>
      <c r="J32" s="156"/>
      <c r="K32" s="155"/>
      <c r="L32" s="156"/>
      <c r="M32" s="155"/>
      <c r="N32" s="156"/>
      <c r="O32" s="155"/>
      <c r="P32" s="156"/>
    </row>
    <row r="33" spans="2:17" ht="15" customHeight="1" x14ac:dyDescent="0.2">
      <c r="B33" s="1259"/>
      <c r="C33" s="1260" t="s">
        <v>320</v>
      </c>
      <c r="D33" s="1261"/>
      <c r="E33" s="1853">
        <v>1</v>
      </c>
      <c r="F33" s="1853"/>
      <c r="G33" s="1844">
        <f>E33</f>
        <v>1</v>
      </c>
      <c r="H33" s="1856"/>
      <c r="I33" s="1844">
        <f>G33</f>
        <v>1</v>
      </c>
      <c r="J33" s="1856"/>
      <c r="K33" s="1844">
        <f>I33</f>
        <v>1</v>
      </c>
      <c r="L33" s="1856"/>
      <c r="M33" s="1844">
        <f>K33</f>
        <v>1</v>
      </c>
      <c r="N33" s="1856"/>
      <c r="O33" s="1844">
        <f>M33</f>
        <v>1</v>
      </c>
      <c r="P33" s="1845"/>
    </row>
    <row r="34" spans="2:17" ht="12.75" customHeight="1" x14ac:dyDescent="0.2">
      <c r="B34" s="52"/>
      <c r="C34" s="1"/>
      <c r="D34" s="4"/>
      <c r="E34" s="4"/>
      <c r="F34" s="4"/>
      <c r="G34" s="75"/>
      <c r="H34" s="75"/>
      <c r="I34" s="320"/>
      <c r="J34" s="75"/>
      <c r="K34" s="75"/>
      <c r="L34" s="75"/>
      <c r="M34" s="75"/>
      <c r="N34" s="75"/>
      <c r="O34" s="75"/>
      <c r="P34" s="75"/>
    </row>
    <row r="35" spans="2:17" ht="12.75" customHeight="1" x14ac:dyDescent="0.25">
      <c r="B35" s="68">
        <f>'1. T1 INVESTERINGSP.'!B66</f>
        <v>0</v>
      </c>
      <c r="C35" s="1"/>
      <c r="D35" s="4"/>
      <c r="E35" s="4"/>
      <c r="F35" s="4"/>
      <c r="G35" s="75"/>
      <c r="H35" s="986" t="str">
        <f>IF(I18&gt;0,"MUUTA E1 KUSTANNUKSET -TAULUKON LUVUT +MERKKISIKSI!","")</f>
        <v/>
      </c>
      <c r="I35" s="320"/>
      <c r="J35" s="75"/>
      <c r="K35" s="75"/>
      <c r="L35" s="75"/>
      <c r="M35" s="1765">
        <f>STARTSIDAN!I5</f>
        <v>0</v>
      </c>
      <c r="N35" s="1765"/>
      <c r="O35" s="1765"/>
      <c r="P35" s="1765"/>
    </row>
    <row r="36" spans="2:17" ht="14.25" customHeight="1" x14ac:dyDescent="0.2">
      <c r="B36" s="68" t="str">
        <f>'1. T1 INVESTERINGSP.'!B67</f>
        <v>FT22 Det aktiva företagets resultatplan</v>
      </c>
      <c r="C36" s="4"/>
      <c r="D36" s="4"/>
      <c r="E36" s="4"/>
      <c r="F36" s="4"/>
      <c r="G36" s="4"/>
      <c r="H36" s="52"/>
      <c r="I36" s="121"/>
      <c r="J36" s="52"/>
      <c r="K36" s="1803" t="str">
        <f>STARTSIDAN!I21</f>
        <v>FöretagsLojo</v>
      </c>
      <c r="L36" s="1803"/>
      <c r="M36" s="1803"/>
      <c r="N36" s="1803"/>
      <c r="O36" s="1803"/>
      <c r="P36" s="1803"/>
    </row>
    <row r="37" spans="2:17" x14ac:dyDescent="0.2">
      <c r="B37" s="1835"/>
      <c r="C37" s="1835"/>
      <c r="D37" s="1835"/>
      <c r="E37" s="469"/>
      <c r="F37" s="469"/>
      <c r="G37" s="1831"/>
      <c r="H37" s="1831"/>
      <c r="I37" s="1831"/>
      <c r="J37" s="1831"/>
      <c r="K37" s="502"/>
      <c r="L37" s="502"/>
      <c r="M37" s="502"/>
      <c r="N37" s="502"/>
      <c r="O37" s="502"/>
      <c r="P37" s="502"/>
      <c r="Q37" s="119"/>
    </row>
    <row r="38" spans="2:17" x14ac:dyDescent="0.2">
      <c r="B38" s="120"/>
      <c r="C38" s="121"/>
      <c r="D38" s="121"/>
      <c r="E38" s="121"/>
      <c r="F38" s="121"/>
      <c r="G38" s="1826"/>
      <c r="H38" s="1826"/>
      <c r="I38" s="1826"/>
      <c r="J38" s="1826"/>
      <c r="K38" s="1826"/>
      <c r="L38" s="1826"/>
      <c r="M38" s="1826"/>
      <c r="N38" s="1826"/>
      <c r="O38" s="1826"/>
      <c r="P38" s="1826"/>
      <c r="Q38" s="119"/>
    </row>
    <row r="39" spans="2:17" x14ac:dyDescent="0.2">
      <c r="B39" s="120"/>
      <c r="C39" s="370" t="s">
        <v>325</v>
      </c>
      <c r="D39" s="121"/>
      <c r="E39" s="121"/>
      <c r="F39" s="121"/>
      <c r="G39" s="375"/>
      <c r="H39" s="375"/>
      <c r="I39" s="375"/>
      <c r="J39" s="375"/>
      <c r="K39" s="1826"/>
      <c r="L39" s="1826"/>
      <c r="M39" s="1826"/>
      <c r="N39" s="1826"/>
      <c r="O39" s="1826"/>
      <c r="P39" s="1826"/>
      <c r="Q39" s="119"/>
    </row>
    <row r="40" spans="2:17" x14ac:dyDescent="0.2">
      <c r="B40" s="120"/>
      <c r="C40" s="45" t="s">
        <v>326</v>
      </c>
      <c r="D40" s="121"/>
      <c r="E40" s="121"/>
      <c r="F40" s="121"/>
      <c r="G40" s="119"/>
      <c r="H40" s="119"/>
      <c r="I40" s="375"/>
      <c r="J40" s="375"/>
      <c r="K40" s="1826"/>
      <c r="L40" s="1826"/>
      <c r="M40" s="1826"/>
      <c r="N40" s="1826"/>
      <c r="O40" s="1826"/>
      <c r="P40" s="1826"/>
      <c r="Q40" s="119"/>
    </row>
    <row r="41" spans="2:17" x14ac:dyDescent="0.2">
      <c r="B41" s="120"/>
      <c r="C41" s="45" t="s">
        <v>327</v>
      </c>
      <c r="D41" s="121"/>
      <c r="E41" s="121"/>
      <c r="F41" s="121"/>
      <c r="G41" s="375"/>
      <c r="H41" s="375"/>
      <c r="I41" s="375"/>
      <c r="J41" s="375"/>
      <c r="K41" s="1826"/>
      <c r="L41" s="1826"/>
      <c r="M41" s="1826"/>
      <c r="N41" s="1826"/>
      <c r="O41" s="1826"/>
      <c r="P41" s="1826"/>
      <c r="Q41" s="119"/>
    </row>
    <row r="42" spans="2:17" x14ac:dyDescent="0.2">
      <c r="B42" s="120"/>
      <c r="C42" s="121"/>
      <c r="D42" s="121"/>
      <c r="E42" s="121"/>
      <c r="F42" s="121"/>
      <c r="G42" s="1826"/>
      <c r="H42" s="1826"/>
      <c r="I42" s="1826"/>
      <c r="J42" s="1826"/>
      <c r="K42" s="1826"/>
      <c r="L42" s="1826"/>
      <c r="M42" s="1826"/>
      <c r="N42" s="1826"/>
      <c r="O42" s="1826"/>
      <c r="P42" s="1826"/>
      <c r="Q42" s="119"/>
    </row>
    <row r="43" spans="2:17" x14ac:dyDescent="0.2">
      <c r="B43" s="120"/>
      <c r="C43" s="121"/>
      <c r="D43" s="121"/>
      <c r="E43" s="121"/>
      <c r="F43" s="121"/>
      <c r="G43" s="1826"/>
      <c r="H43" s="1826"/>
      <c r="I43" s="1826"/>
      <c r="J43" s="1826"/>
      <c r="K43" s="1826"/>
      <c r="L43" s="1826"/>
      <c r="M43" s="1826"/>
      <c r="N43" s="1826"/>
      <c r="O43" s="1826"/>
      <c r="P43" s="1826"/>
      <c r="Q43" s="119"/>
    </row>
    <row r="44" spans="2:17" x14ac:dyDescent="0.2">
      <c r="B44" s="120"/>
      <c r="C44" s="121"/>
      <c r="D44" s="121"/>
      <c r="E44" s="121"/>
      <c r="F44" s="121"/>
      <c r="G44" s="1826"/>
      <c r="H44" s="1826"/>
      <c r="I44" s="1826"/>
      <c r="J44" s="1826"/>
      <c r="K44" s="1826"/>
      <c r="L44" s="1826"/>
      <c r="M44" s="1826"/>
      <c r="N44" s="1826"/>
      <c r="O44" s="1826"/>
      <c r="P44" s="1826"/>
      <c r="Q44" s="119"/>
    </row>
    <row r="45" spans="2:17" x14ac:dyDescent="0.2">
      <c r="B45" s="120"/>
      <c r="C45" s="121"/>
      <c r="D45" s="121"/>
      <c r="E45" s="121"/>
      <c r="F45" s="121"/>
      <c r="G45" s="1826"/>
      <c r="H45" s="1826"/>
      <c r="I45" s="1826"/>
      <c r="J45" s="1826"/>
      <c r="K45" s="1826"/>
      <c r="L45" s="1826"/>
      <c r="M45" s="1826"/>
      <c r="N45" s="1826"/>
      <c r="O45" s="1826"/>
      <c r="P45" s="1826"/>
      <c r="Q45" s="119"/>
    </row>
    <row r="46" spans="2:17" x14ac:dyDescent="0.2">
      <c r="B46" s="120"/>
      <c r="C46" s="121"/>
      <c r="D46" s="121"/>
      <c r="E46" s="121"/>
      <c r="F46" s="121"/>
      <c r="G46" s="1846"/>
      <c r="H46" s="1846"/>
      <c r="I46" s="1846"/>
      <c r="J46" s="1846"/>
      <c r="K46" s="1846"/>
      <c r="L46" s="1846"/>
      <c r="M46" s="1846"/>
      <c r="N46" s="1846"/>
      <c r="O46" s="1846"/>
      <c r="P46" s="1846"/>
      <c r="Q46" s="119"/>
    </row>
    <row r="47" spans="2:17" x14ac:dyDescent="0.2">
      <c r="B47" s="1824"/>
      <c r="C47" s="1824"/>
      <c r="D47" s="1824"/>
      <c r="E47" s="123"/>
      <c r="F47" s="123"/>
      <c r="G47" s="1826"/>
      <c r="H47" s="1826"/>
      <c r="I47" s="1826"/>
      <c r="J47" s="1826"/>
      <c r="K47" s="1826"/>
      <c r="L47" s="1826"/>
      <c r="M47" s="1826"/>
      <c r="N47" s="1826"/>
      <c r="O47" s="1826"/>
      <c r="P47" s="1826"/>
      <c r="Q47" s="119"/>
    </row>
    <row r="48" spans="2:17" x14ac:dyDescent="0.2">
      <c r="B48" s="120"/>
      <c r="C48" s="121"/>
      <c r="D48" s="121"/>
      <c r="E48" s="121"/>
      <c r="F48" s="121"/>
      <c r="G48" s="1826"/>
      <c r="H48" s="1826"/>
      <c r="I48" s="1826"/>
      <c r="J48" s="1826"/>
      <c r="K48" s="1826"/>
      <c r="L48" s="1826"/>
      <c r="M48" s="1826"/>
      <c r="N48" s="1826"/>
      <c r="O48" s="1826"/>
      <c r="P48" s="1826"/>
      <c r="Q48" s="119"/>
    </row>
    <row r="49" spans="2:21" x14ac:dyDescent="0.2">
      <c r="B49" s="120"/>
      <c r="C49" s="121"/>
      <c r="D49" s="121"/>
      <c r="E49" s="121"/>
      <c r="F49" s="121"/>
      <c r="G49" s="1826"/>
      <c r="H49" s="1826"/>
      <c r="I49" s="1826"/>
      <c r="J49" s="1826"/>
      <c r="K49" s="1826"/>
      <c r="L49" s="1826"/>
      <c r="M49" s="1826"/>
      <c r="N49" s="1826"/>
      <c r="O49" s="1826"/>
      <c r="P49" s="1826"/>
      <c r="Q49" s="119"/>
    </row>
    <row r="50" spans="2:21" x14ac:dyDescent="0.2">
      <c r="B50" s="120"/>
      <c r="C50" s="1837"/>
      <c r="D50" s="1837"/>
      <c r="E50" s="124"/>
      <c r="F50" s="124"/>
      <c r="G50" s="1826"/>
      <c r="H50" s="1826"/>
      <c r="I50" s="1826"/>
      <c r="J50" s="1826"/>
      <c r="K50" s="1826"/>
      <c r="L50" s="1826"/>
      <c r="M50" s="1826"/>
      <c r="N50" s="1826"/>
      <c r="O50" s="1826"/>
      <c r="P50" s="1826"/>
      <c r="Q50" s="119"/>
      <c r="R50" s="1" t="s">
        <v>0</v>
      </c>
    </row>
    <row r="51" spans="2:21" x14ac:dyDescent="0.2">
      <c r="B51" s="120"/>
      <c r="C51" s="121"/>
      <c r="D51" s="121"/>
      <c r="E51" s="121"/>
      <c r="F51" s="121"/>
      <c r="G51" s="1826"/>
      <c r="H51" s="1826"/>
      <c r="I51" s="1826"/>
      <c r="J51" s="1826"/>
      <c r="K51" s="1826"/>
      <c r="L51" s="1826"/>
      <c r="M51" s="1826"/>
      <c r="N51" s="1826"/>
      <c r="O51" s="1826"/>
      <c r="P51" s="1826"/>
      <c r="Q51" s="119"/>
      <c r="R51" s="1" t="s">
        <v>0</v>
      </c>
    </row>
    <row r="52" spans="2:21" x14ac:dyDescent="0.2">
      <c r="B52" s="120"/>
      <c r="C52" s="121"/>
      <c r="D52" s="121"/>
      <c r="E52" s="121"/>
      <c r="F52" s="121"/>
      <c r="G52" s="1826"/>
      <c r="H52" s="1826"/>
      <c r="I52" s="1826"/>
      <c r="J52" s="1826"/>
      <c r="K52" s="1826"/>
      <c r="L52" s="1826"/>
      <c r="M52" s="1826"/>
      <c r="N52" s="1826"/>
      <c r="O52" s="1826"/>
      <c r="P52" s="1826"/>
      <c r="Q52" s="119"/>
    </row>
    <row r="53" spans="2:21" x14ac:dyDescent="0.2">
      <c r="B53" s="1836"/>
      <c r="C53" s="1836"/>
      <c r="D53" s="1836"/>
      <c r="E53" s="469"/>
      <c r="F53" s="469"/>
      <c r="G53" s="1826"/>
      <c r="H53" s="1826"/>
      <c r="I53" s="1826"/>
      <c r="J53" s="1826"/>
      <c r="K53" s="1826"/>
      <c r="L53" s="1826"/>
      <c r="M53" s="1826"/>
      <c r="N53" s="1826"/>
      <c r="O53" s="1826"/>
      <c r="P53" s="1826"/>
      <c r="Q53" s="119"/>
    </row>
    <row r="54" spans="2:21" x14ac:dyDescent="0.2">
      <c r="B54" s="125"/>
      <c r="C54" s="119"/>
      <c r="D54" s="119"/>
      <c r="E54" s="119"/>
      <c r="F54" s="119"/>
      <c r="G54" s="119"/>
      <c r="H54" s="125"/>
      <c r="I54" s="121"/>
      <c r="J54" s="125"/>
      <c r="K54" s="119"/>
      <c r="L54" s="125"/>
      <c r="M54" s="119"/>
      <c r="N54" s="125"/>
      <c r="O54" s="119"/>
      <c r="P54" s="125"/>
      <c r="Q54" s="119"/>
    </row>
    <row r="55" spans="2:21" x14ac:dyDescent="0.2">
      <c r="B55" s="1838"/>
      <c r="C55" s="1838"/>
      <c r="D55" s="1838"/>
      <c r="E55" s="470"/>
      <c r="F55" s="470"/>
      <c r="G55" s="1832"/>
      <c r="H55" s="1833"/>
      <c r="I55" s="1832"/>
      <c r="J55" s="1833"/>
      <c r="K55" s="1832"/>
      <c r="L55" s="1833"/>
      <c r="M55" s="1832"/>
      <c r="N55" s="1833"/>
      <c r="O55" s="1832"/>
      <c r="P55" s="1833"/>
      <c r="Q55" s="119"/>
    </row>
    <row r="56" spans="2:21" x14ac:dyDescent="0.2">
      <c r="B56" s="1815"/>
      <c r="C56" s="1815"/>
      <c r="D56" s="1815"/>
      <c r="E56" s="102"/>
      <c r="F56" s="102"/>
      <c r="G56" s="1826"/>
      <c r="H56" s="1826"/>
      <c r="I56" s="1826"/>
      <c r="J56" s="1826"/>
      <c r="K56" s="1826"/>
      <c r="L56" s="1826"/>
      <c r="M56" s="1826"/>
      <c r="N56" s="1826"/>
      <c r="O56" s="1826"/>
      <c r="P56" s="1826"/>
      <c r="Q56" s="119"/>
    </row>
    <row r="57" spans="2:21" x14ac:dyDescent="0.2">
      <c r="B57" s="1815"/>
      <c r="C57" s="1815"/>
      <c r="D57" s="1815"/>
      <c r="E57" s="102"/>
      <c r="F57" s="102"/>
      <c r="G57" s="1826"/>
      <c r="H57" s="1826"/>
      <c r="I57" s="1826"/>
      <c r="J57" s="1826"/>
      <c r="K57" s="1826"/>
      <c r="L57" s="1826"/>
      <c r="M57" s="1826"/>
      <c r="N57" s="1826"/>
      <c r="O57" s="1826"/>
      <c r="P57" s="1826"/>
      <c r="Q57" s="119"/>
    </row>
    <row r="58" spans="2:21" x14ac:dyDescent="0.2">
      <c r="B58" s="1815"/>
      <c r="C58" s="1815"/>
      <c r="D58" s="1815"/>
      <c r="E58" s="102"/>
      <c r="F58" s="102"/>
      <c r="G58" s="1826"/>
      <c r="H58" s="1826"/>
      <c r="I58" s="1826"/>
      <c r="J58" s="1826"/>
      <c r="K58" s="1826"/>
      <c r="L58" s="1826"/>
      <c r="M58" s="1826"/>
      <c r="N58" s="1826"/>
      <c r="O58" s="1826"/>
      <c r="P58" s="1826"/>
      <c r="Q58" s="119"/>
    </row>
    <row r="59" spans="2:21" x14ac:dyDescent="0.2">
      <c r="B59" s="1815"/>
      <c r="C59" s="1815"/>
      <c r="D59" s="1815"/>
      <c r="E59" s="102"/>
      <c r="F59" s="102"/>
      <c r="G59" s="1826"/>
      <c r="H59" s="1826"/>
      <c r="I59" s="1826"/>
      <c r="J59" s="1826"/>
      <c r="K59" s="1826"/>
      <c r="L59" s="1826"/>
      <c r="M59" s="1826"/>
      <c r="N59" s="1826"/>
      <c r="O59" s="1826"/>
      <c r="P59" s="1826"/>
      <c r="Q59" s="119"/>
    </row>
    <row r="60" spans="2:21" x14ac:dyDescent="0.2">
      <c r="B60" s="102"/>
      <c r="C60" s="102"/>
      <c r="D60" s="102"/>
      <c r="E60" s="102"/>
      <c r="F60" s="102"/>
      <c r="G60" s="1826"/>
      <c r="H60" s="1826"/>
      <c r="I60" s="141"/>
      <c r="J60" s="122"/>
      <c r="K60" s="122"/>
      <c r="L60" s="122"/>
      <c r="M60" s="122"/>
      <c r="N60" s="122"/>
      <c r="O60" s="122"/>
      <c r="P60" s="122"/>
      <c r="Q60" s="119"/>
    </row>
    <row r="61" spans="2:21" x14ac:dyDescent="0.2">
      <c r="B61" s="1815"/>
      <c r="C61" s="1815"/>
      <c r="D61" s="1815"/>
      <c r="E61" s="102"/>
      <c r="F61" s="102"/>
      <c r="G61" s="1826"/>
      <c r="H61" s="1826"/>
      <c r="I61" s="1826"/>
      <c r="J61" s="1826"/>
      <c r="K61" s="1826"/>
      <c r="L61" s="1826"/>
      <c r="M61" s="1826"/>
      <c r="N61" s="1826"/>
      <c r="O61" s="1826"/>
      <c r="P61" s="1826"/>
      <c r="Q61" s="119"/>
      <c r="U61" s="1" t="s">
        <v>19</v>
      </c>
    </row>
    <row r="62" spans="2:21" x14ac:dyDescent="0.2">
      <c r="B62" s="1815"/>
      <c r="C62" s="1815"/>
      <c r="D62" s="1815"/>
      <c r="E62" s="102"/>
      <c r="F62" s="102"/>
      <c r="G62" s="1826"/>
      <c r="H62" s="1826"/>
      <c r="I62" s="1826"/>
      <c r="J62" s="1826"/>
      <c r="K62" s="1826"/>
      <c r="L62" s="1826"/>
      <c r="M62" s="1826"/>
      <c r="N62" s="1826"/>
      <c r="O62" s="1826"/>
      <c r="P62" s="1826"/>
      <c r="Q62" s="119"/>
    </row>
    <row r="63" spans="2:21" x14ac:dyDescent="0.2">
      <c r="B63" s="1815"/>
      <c r="C63" s="1815"/>
      <c r="D63" s="1815"/>
      <c r="E63" s="102"/>
      <c r="F63" s="102"/>
      <c r="G63" s="1830"/>
      <c r="H63" s="1830"/>
      <c r="I63" s="1830"/>
      <c r="J63" s="1830"/>
      <c r="K63" s="1830"/>
      <c r="L63" s="1830"/>
      <c r="M63" s="1830"/>
      <c r="N63" s="1830"/>
      <c r="O63" s="1830"/>
      <c r="P63" s="1830"/>
      <c r="Q63" s="119"/>
    </row>
    <row r="64" spans="2:21" x14ac:dyDescent="0.2">
      <c r="B64" s="102"/>
      <c r="C64" s="102"/>
      <c r="D64" s="102"/>
      <c r="E64" s="102"/>
      <c r="F64" s="102"/>
      <c r="G64" s="127"/>
      <c r="H64" s="127"/>
      <c r="I64" s="321"/>
      <c r="J64" s="127"/>
      <c r="K64" s="127"/>
      <c r="L64" s="127"/>
      <c r="M64" s="127"/>
      <c r="N64" s="127"/>
      <c r="O64" s="127"/>
      <c r="P64" s="127"/>
      <c r="Q64" s="119"/>
    </row>
    <row r="65" spans="2:17" x14ac:dyDescent="0.2">
      <c r="B65" s="102"/>
      <c r="C65" s="102"/>
      <c r="D65" s="102"/>
      <c r="E65" s="102"/>
      <c r="F65" s="102"/>
      <c r="G65" s="127"/>
      <c r="H65" s="127"/>
      <c r="I65" s="321"/>
      <c r="J65" s="127"/>
      <c r="K65" s="127"/>
      <c r="L65" s="127"/>
      <c r="M65" s="127"/>
      <c r="N65" s="127"/>
      <c r="O65" s="127"/>
      <c r="P65" s="127"/>
      <c r="Q65" s="119"/>
    </row>
    <row r="66" spans="2:17" x14ac:dyDescent="0.2">
      <c r="B66" s="102"/>
      <c r="C66" s="102"/>
      <c r="D66" s="102"/>
      <c r="E66" s="102"/>
      <c r="F66" s="102"/>
      <c r="G66" s="127"/>
      <c r="H66" s="127"/>
      <c r="I66" s="321"/>
      <c r="J66" s="127"/>
      <c r="K66" s="127"/>
      <c r="L66" s="127"/>
      <c r="M66" s="127"/>
      <c r="N66" s="127"/>
      <c r="O66" s="127"/>
      <c r="P66" s="127"/>
      <c r="Q66" s="119"/>
    </row>
    <row r="67" spans="2:17" x14ac:dyDescent="0.2">
      <c r="B67" s="102"/>
      <c r="C67" s="102"/>
      <c r="D67" s="102"/>
      <c r="E67" s="102"/>
      <c r="F67" s="102"/>
      <c r="G67" s="127"/>
      <c r="H67" s="127"/>
      <c r="I67" s="321"/>
      <c r="J67" s="127"/>
      <c r="K67" s="127"/>
      <c r="L67" s="127"/>
      <c r="M67" s="127"/>
      <c r="N67" s="127"/>
      <c r="O67" s="127"/>
      <c r="P67" s="127"/>
      <c r="Q67" s="119"/>
    </row>
    <row r="68" spans="2:17" x14ac:dyDescent="0.2">
      <c r="B68" s="102"/>
      <c r="C68" s="102"/>
      <c r="D68" s="102"/>
      <c r="E68" s="102"/>
      <c r="F68" s="102"/>
      <c r="G68" s="127"/>
      <c r="H68" s="127"/>
      <c r="I68" s="321"/>
      <c r="J68" s="127"/>
      <c r="K68" s="127"/>
      <c r="L68" s="127"/>
      <c r="M68" s="127"/>
      <c r="N68" s="127"/>
      <c r="O68" s="127"/>
      <c r="P68" s="127"/>
      <c r="Q68" s="119"/>
    </row>
    <row r="69" spans="2:17" x14ac:dyDescent="0.2">
      <c r="B69" s="102"/>
      <c r="C69" s="102"/>
      <c r="D69" s="102"/>
      <c r="E69" s="102"/>
      <c r="F69" s="102"/>
      <c r="G69" s="127"/>
      <c r="H69" s="127"/>
      <c r="I69" s="321"/>
      <c r="J69" s="127"/>
      <c r="K69" s="127"/>
      <c r="L69" s="127"/>
      <c r="M69" s="127"/>
      <c r="N69" s="127"/>
      <c r="O69" s="127"/>
      <c r="P69" s="127"/>
      <c r="Q69" s="119"/>
    </row>
    <row r="70" spans="2:17" x14ac:dyDescent="0.2">
      <c r="B70" s="102"/>
      <c r="C70" s="102"/>
      <c r="D70" s="102"/>
      <c r="E70" s="102"/>
      <c r="F70" s="102"/>
      <c r="G70" s="127"/>
      <c r="H70" s="127"/>
      <c r="I70" s="321"/>
      <c r="J70" s="127"/>
      <c r="K70" s="127"/>
      <c r="L70" s="127"/>
      <c r="M70" s="127"/>
      <c r="N70" s="127"/>
      <c r="O70" s="127"/>
      <c r="P70" s="127"/>
      <c r="Q70" s="119"/>
    </row>
    <row r="71" spans="2:17" x14ac:dyDescent="0.2">
      <c r="B71" s="102"/>
      <c r="C71" s="102"/>
      <c r="D71" s="102"/>
      <c r="E71" s="102"/>
      <c r="F71" s="102"/>
      <c r="G71" s="127"/>
      <c r="H71" s="127"/>
      <c r="I71" s="321"/>
      <c r="J71" s="127"/>
      <c r="K71" s="127"/>
      <c r="L71" s="127"/>
      <c r="M71" s="127"/>
      <c r="N71" s="127"/>
      <c r="O71" s="127"/>
      <c r="P71" s="127"/>
      <c r="Q71" s="119"/>
    </row>
    <row r="72" spans="2:17" x14ac:dyDescent="0.2">
      <c r="B72" s="102"/>
      <c r="C72" s="102"/>
      <c r="D72" s="102"/>
      <c r="E72" s="102"/>
      <c r="F72" s="102"/>
      <c r="G72" s="127"/>
      <c r="H72" s="127"/>
      <c r="I72" s="321"/>
      <c r="J72" s="127"/>
      <c r="K72" s="127"/>
      <c r="L72" s="127"/>
      <c r="M72" s="127"/>
      <c r="N72" s="127"/>
      <c r="O72" s="127"/>
      <c r="P72" s="127"/>
      <c r="Q72" s="119"/>
    </row>
    <row r="73" spans="2:17" x14ac:dyDescent="0.2">
      <c r="B73" s="102"/>
      <c r="C73" s="102"/>
      <c r="D73" s="102"/>
      <c r="E73" s="102"/>
      <c r="F73" s="102"/>
      <c r="G73" s="127"/>
      <c r="H73" s="127"/>
      <c r="I73" s="321"/>
      <c r="J73" s="127"/>
      <c r="K73" s="127"/>
      <c r="L73" s="127"/>
      <c r="M73" s="127"/>
      <c r="N73" s="127"/>
      <c r="O73" s="127"/>
      <c r="P73" s="127"/>
      <c r="Q73" s="119"/>
    </row>
    <row r="74" spans="2:17" x14ac:dyDescent="0.2">
      <c r="B74" s="102"/>
      <c r="C74" s="102"/>
      <c r="D74" s="102"/>
      <c r="E74" s="102"/>
      <c r="F74" s="102"/>
      <c r="G74" s="127"/>
      <c r="H74" s="127"/>
      <c r="I74" s="321"/>
      <c r="J74" s="127"/>
      <c r="K74" s="127"/>
      <c r="L74" s="127"/>
      <c r="M74" s="127"/>
      <c r="N74" s="127"/>
      <c r="O74" s="127"/>
      <c r="P74" s="127"/>
      <c r="Q74" s="119"/>
    </row>
    <row r="75" spans="2:17" x14ac:dyDescent="0.2">
      <c r="B75" s="102"/>
      <c r="C75" s="102"/>
      <c r="D75" s="102"/>
      <c r="E75" s="102"/>
      <c r="F75" s="102"/>
      <c r="G75" s="127"/>
      <c r="H75" s="127"/>
      <c r="I75" s="321"/>
      <c r="J75" s="127"/>
      <c r="K75" s="127"/>
      <c r="L75" s="127"/>
      <c r="M75" s="127"/>
      <c r="N75" s="127"/>
      <c r="O75" s="127"/>
      <c r="P75" s="127"/>
      <c r="Q75" s="119"/>
    </row>
    <row r="76" spans="2:17" x14ac:dyDescent="0.2">
      <c r="B76" s="125"/>
      <c r="C76" s="128"/>
      <c r="D76" s="119"/>
      <c r="E76" s="119"/>
      <c r="F76" s="119"/>
      <c r="G76" s="126"/>
      <c r="H76" s="129"/>
      <c r="I76" s="121"/>
      <c r="J76" s="129"/>
      <c r="K76" s="126"/>
      <c r="L76" s="129"/>
      <c r="M76" s="126"/>
      <c r="N76" s="129"/>
      <c r="O76" s="126"/>
      <c r="P76" s="129"/>
      <c r="Q76" s="119"/>
    </row>
    <row r="77" spans="2:17" x14ac:dyDescent="0.2">
      <c r="B77" s="125"/>
      <c r="C77" s="128"/>
      <c r="D77" s="119"/>
      <c r="E77" s="119"/>
      <c r="F77" s="119"/>
      <c r="G77" s="119"/>
      <c r="H77" s="125"/>
      <c r="I77" s="121"/>
      <c r="J77" s="125"/>
      <c r="K77" s="119"/>
      <c r="L77" s="125"/>
      <c r="M77" s="119"/>
      <c r="N77" s="125"/>
      <c r="O77" s="119"/>
      <c r="P77" s="125"/>
      <c r="Q77" s="119"/>
    </row>
    <row r="78" spans="2:17" x14ac:dyDescent="0.2">
      <c r="B78" s="125"/>
      <c r="C78" s="128"/>
      <c r="D78" s="119"/>
      <c r="E78" s="119"/>
      <c r="F78" s="119"/>
      <c r="G78" s="119"/>
      <c r="H78" s="125"/>
      <c r="I78" s="121"/>
      <c r="J78" s="125"/>
      <c r="K78" s="119"/>
      <c r="L78" s="125"/>
      <c r="M78" s="119"/>
      <c r="N78" s="125"/>
      <c r="O78" s="119"/>
      <c r="P78" s="125"/>
      <c r="Q78" s="119"/>
    </row>
    <row r="79" spans="2:17" x14ac:dyDescent="0.2">
      <c r="B79" s="130"/>
      <c r="C79" s="128"/>
      <c r="D79" s="128"/>
      <c r="E79" s="128"/>
      <c r="F79" s="128"/>
      <c r="G79" s="128"/>
      <c r="H79" s="130"/>
      <c r="I79" s="322"/>
      <c r="J79" s="130"/>
      <c r="K79" s="128"/>
      <c r="L79" s="130"/>
      <c r="M79" s="128"/>
      <c r="N79" s="130"/>
      <c r="O79" s="128"/>
      <c r="P79" s="130"/>
      <c r="Q79" s="119"/>
    </row>
    <row r="80" spans="2:17" x14ac:dyDescent="0.2">
      <c r="B80" s="1815"/>
      <c r="C80" s="1815"/>
      <c r="D80" s="1815"/>
      <c r="E80" s="102"/>
      <c r="F80" s="102"/>
      <c r="G80" s="1829"/>
      <c r="H80" s="1829"/>
      <c r="I80" s="1829"/>
      <c r="J80" s="1829"/>
      <c r="K80" s="1829"/>
      <c r="L80" s="1834"/>
      <c r="M80" s="1833"/>
      <c r="N80" s="1833"/>
      <c r="O80" s="125"/>
      <c r="P80" s="125"/>
      <c r="Q80" s="119"/>
    </row>
    <row r="81" spans="2:17" x14ac:dyDescent="0.2">
      <c r="B81" s="129"/>
      <c r="C81" s="102"/>
      <c r="D81" s="102"/>
      <c r="E81" s="102"/>
      <c r="F81" s="102"/>
      <c r="G81" s="131"/>
      <c r="H81" s="133"/>
      <c r="I81" s="297"/>
      <c r="J81" s="133"/>
      <c r="K81" s="131"/>
      <c r="L81" s="132"/>
      <c r="M81" s="125"/>
      <c r="N81" s="125"/>
      <c r="O81" s="125"/>
      <c r="P81" s="125"/>
      <c r="Q81" s="119"/>
    </row>
    <row r="82" spans="2:17" x14ac:dyDescent="0.2">
      <c r="B82" s="129"/>
      <c r="C82" s="102"/>
      <c r="D82" s="102"/>
      <c r="E82" s="102"/>
      <c r="F82" s="102"/>
      <c r="G82" s="131"/>
      <c r="H82" s="133"/>
      <c r="I82" s="297"/>
      <c r="J82" s="133"/>
      <c r="K82" s="131"/>
      <c r="L82" s="132"/>
      <c r="M82" s="125"/>
      <c r="N82" s="125"/>
      <c r="O82" s="125"/>
      <c r="P82" s="125"/>
      <c r="Q82" s="119"/>
    </row>
    <row r="83" spans="2:17" x14ac:dyDescent="0.2">
      <c r="B83" s="129"/>
      <c r="C83" s="102"/>
      <c r="D83" s="102"/>
      <c r="E83" s="102"/>
      <c r="F83" s="102"/>
      <c r="G83" s="131"/>
      <c r="H83" s="133"/>
      <c r="I83" s="297"/>
      <c r="J83" s="133"/>
      <c r="K83" s="131"/>
      <c r="L83" s="132"/>
      <c r="M83" s="125"/>
      <c r="N83" s="125"/>
      <c r="O83" s="125"/>
      <c r="P83" s="125"/>
      <c r="Q83" s="119"/>
    </row>
    <row r="84" spans="2:17" ht="18" x14ac:dyDescent="0.2">
      <c r="B84" s="129"/>
      <c r="C84" s="102"/>
      <c r="D84" s="134"/>
      <c r="E84" s="134"/>
      <c r="F84" s="134"/>
      <c r="G84" s="119"/>
      <c r="H84" s="133"/>
      <c r="I84" s="297"/>
      <c r="J84" s="133"/>
      <c r="K84" s="131"/>
      <c r="L84" s="132"/>
      <c r="M84" s="125"/>
      <c r="N84" s="125"/>
      <c r="O84" s="125"/>
      <c r="P84" s="125"/>
      <c r="Q84" s="119"/>
    </row>
    <row r="85" spans="2:17" ht="18" x14ac:dyDescent="0.2">
      <c r="B85" s="129"/>
      <c r="C85" s="102"/>
      <c r="D85" s="134"/>
      <c r="E85" s="134"/>
      <c r="F85" s="134"/>
      <c r="G85" s="119"/>
      <c r="H85" s="133"/>
      <c r="I85" s="297"/>
      <c r="J85" s="133"/>
      <c r="K85" s="131"/>
      <c r="L85" s="132"/>
      <c r="M85" s="125"/>
      <c r="N85" s="125"/>
      <c r="O85" s="125"/>
      <c r="P85" s="125"/>
      <c r="Q85" s="119"/>
    </row>
    <row r="86" spans="2:17" x14ac:dyDescent="0.2">
      <c r="B86" s="125"/>
      <c r="C86" s="119"/>
      <c r="D86" s="119"/>
      <c r="E86" s="119"/>
      <c r="F86" s="119"/>
      <c r="G86" s="119"/>
      <c r="H86" s="125"/>
      <c r="I86" s="121"/>
      <c r="J86" s="125"/>
      <c r="K86" s="119"/>
      <c r="L86" s="125"/>
      <c r="M86" s="119"/>
      <c r="N86" s="125"/>
      <c r="O86" s="119"/>
      <c r="P86" s="125"/>
      <c r="Q86" s="119"/>
    </row>
    <row r="87" spans="2:17" x14ac:dyDescent="0.2">
      <c r="B87" s="125"/>
      <c r="C87" s="119"/>
      <c r="D87" s="119"/>
      <c r="E87" s="119"/>
      <c r="F87" s="119"/>
      <c r="G87" s="119"/>
      <c r="H87" s="125"/>
      <c r="I87" s="121"/>
      <c r="J87" s="125"/>
      <c r="K87" s="119"/>
      <c r="L87" s="125"/>
      <c r="M87" s="119"/>
      <c r="N87" s="125"/>
      <c r="O87" s="119"/>
      <c r="P87" s="125"/>
      <c r="Q87" s="119"/>
    </row>
    <row r="88" spans="2:17" x14ac:dyDescent="0.2">
      <c r="B88" s="125"/>
      <c r="C88" s="119"/>
      <c r="D88" s="119"/>
      <c r="E88" s="119"/>
      <c r="F88" s="119"/>
      <c r="G88" s="119"/>
      <c r="H88" s="125"/>
      <c r="I88" s="121"/>
      <c r="J88" s="125"/>
      <c r="K88" s="119"/>
      <c r="L88" s="125"/>
      <c r="M88" s="119"/>
      <c r="N88" s="125"/>
      <c r="O88" s="119"/>
      <c r="P88" s="125"/>
      <c r="Q88" s="119"/>
    </row>
    <row r="89" spans="2:17" x14ac:dyDescent="0.2">
      <c r="B89" s="125"/>
      <c r="C89" s="119"/>
      <c r="D89" s="119"/>
      <c r="E89" s="119"/>
      <c r="F89" s="119"/>
      <c r="G89" s="119"/>
      <c r="H89" s="125"/>
      <c r="I89" s="121"/>
      <c r="J89" s="125"/>
      <c r="K89" s="119"/>
      <c r="L89" s="125"/>
      <c r="M89" s="119"/>
      <c r="N89" s="125"/>
      <c r="O89" s="119"/>
      <c r="P89" s="125"/>
      <c r="Q89" s="119"/>
    </row>
    <row r="90" spans="2:17" x14ac:dyDescent="0.2">
      <c r="B90" s="125"/>
      <c r="C90" s="119"/>
      <c r="D90" s="119"/>
      <c r="E90" s="119"/>
      <c r="F90" s="119"/>
      <c r="G90" s="119"/>
      <c r="H90" s="125"/>
      <c r="I90" s="121"/>
      <c r="J90" s="125"/>
      <c r="K90" s="119"/>
      <c r="L90" s="125"/>
      <c r="M90" s="119"/>
      <c r="N90" s="125"/>
      <c r="O90" s="119"/>
      <c r="P90" s="125"/>
      <c r="Q90" s="119"/>
    </row>
    <row r="91" spans="2:17" x14ac:dyDescent="0.2">
      <c r="B91" s="125"/>
      <c r="C91" s="119"/>
      <c r="D91" s="119"/>
      <c r="E91" s="119"/>
      <c r="F91" s="119"/>
      <c r="G91" s="119"/>
      <c r="H91" s="125"/>
      <c r="I91" s="121"/>
      <c r="J91" s="125"/>
      <c r="K91" s="119"/>
      <c r="L91" s="125"/>
      <c r="M91" s="119"/>
      <c r="N91" s="125"/>
      <c r="O91" s="119"/>
      <c r="P91" s="125"/>
      <c r="Q91" s="119"/>
    </row>
    <row r="92" spans="2:17" x14ac:dyDescent="0.2">
      <c r="B92" s="125"/>
      <c r="C92" s="119"/>
      <c r="D92" s="119"/>
      <c r="E92" s="119"/>
      <c r="F92" s="119"/>
      <c r="G92" s="119"/>
      <c r="H92" s="125"/>
      <c r="I92" s="121"/>
      <c r="J92" s="125"/>
      <c r="K92" s="119"/>
      <c r="L92" s="125"/>
      <c r="M92" s="119"/>
      <c r="N92" s="125"/>
      <c r="O92" s="119"/>
      <c r="P92" s="125"/>
      <c r="Q92" s="119"/>
    </row>
    <row r="93" spans="2:17" x14ac:dyDescent="0.2">
      <c r="B93" s="125"/>
      <c r="C93" s="119"/>
      <c r="D93" s="119"/>
      <c r="E93" s="119"/>
      <c r="F93" s="119"/>
      <c r="G93" s="119"/>
      <c r="H93" s="125"/>
      <c r="I93" s="121"/>
      <c r="J93" s="125"/>
      <c r="K93" s="119"/>
      <c r="L93" s="125"/>
      <c r="M93" s="119"/>
      <c r="N93" s="125"/>
      <c r="O93" s="119"/>
      <c r="P93" s="125"/>
      <c r="Q93" s="119"/>
    </row>
    <row r="94" spans="2:17" x14ac:dyDescent="0.2">
      <c r="B94" s="125"/>
      <c r="C94" s="119"/>
      <c r="D94" s="119"/>
      <c r="E94" s="119"/>
      <c r="F94" s="119"/>
      <c r="G94" s="119"/>
      <c r="H94" s="125"/>
      <c r="I94" s="121"/>
      <c r="J94" s="125"/>
      <c r="K94" s="119"/>
      <c r="L94" s="125"/>
      <c r="M94" s="119"/>
      <c r="N94" s="125"/>
      <c r="O94" s="119"/>
      <c r="P94" s="125"/>
      <c r="Q94" s="119"/>
    </row>
    <row r="95" spans="2:17" x14ac:dyDescent="0.2">
      <c r="B95" s="125"/>
      <c r="C95" s="119"/>
      <c r="D95" s="119"/>
      <c r="E95" s="119"/>
      <c r="F95" s="119"/>
      <c r="G95" s="119"/>
      <c r="H95" s="125"/>
      <c r="I95" s="121"/>
      <c r="J95" s="125"/>
      <c r="K95" s="119"/>
      <c r="L95" s="125"/>
      <c r="M95" s="119"/>
      <c r="N95" s="125"/>
      <c r="O95" s="119"/>
      <c r="P95" s="125"/>
      <c r="Q95" s="119"/>
    </row>
    <row r="96" spans="2:17" x14ac:dyDescent="0.2">
      <c r="B96" s="125"/>
      <c r="C96" s="119"/>
      <c r="D96" s="119"/>
      <c r="E96" s="119"/>
      <c r="F96" s="119"/>
      <c r="G96" s="119"/>
      <c r="H96" s="125"/>
      <c r="I96" s="121"/>
      <c r="J96" s="125"/>
      <c r="K96" s="119"/>
      <c r="L96" s="125"/>
      <c r="M96" s="119"/>
      <c r="N96" s="125"/>
      <c r="O96" s="119"/>
      <c r="P96" s="125"/>
      <c r="Q96" s="119"/>
    </row>
    <row r="97" spans="2:17" x14ac:dyDescent="0.2">
      <c r="B97" s="125"/>
      <c r="C97" s="119"/>
      <c r="D97" s="119"/>
      <c r="E97" s="119"/>
      <c r="F97" s="119"/>
      <c r="G97" s="119"/>
      <c r="H97" s="125"/>
      <c r="I97" s="121"/>
      <c r="J97" s="125"/>
      <c r="K97" s="119"/>
      <c r="L97" s="125"/>
      <c r="M97" s="119"/>
      <c r="N97" s="125"/>
      <c r="O97" s="119"/>
      <c r="P97" s="125"/>
      <c r="Q97" s="119"/>
    </row>
    <row r="98" spans="2:17" x14ac:dyDescent="0.2">
      <c r="B98" s="125"/>
      <c r="C98" s="119"/>
      <c r="D98" s="119"/>
      <c r="E98" s="119"/>
      <c r="F98" s="119"/>
      <c r="G98" s="119"/>
      <c r="H98" s="125"/>
      <c r="I98" s="121"/>
      <c r="J98" s="125"/>
      <c r="K98" s="119"/>
      <c r="L98" s="125"/>
      <c r="M98" s="119"/>
      <c r="N98" s="125"/>
      <c r="O98" s="119"/>
      <c r="P98" s="125"/>
      <c r="Q98" s="119"/>
    </row>
    <row r="99" spans="2:17" x14ac:dyDescent="0.2">
      <c r="B99" s="125"/>
      <c r="C99" s="119"/>
      <c r="D99" s="119"/>
      <c r="E99" s="119"/>
      <c r="F99" s="119"/>
      <c r="G99" s="119"/>
      <c r="H99" s="125"/>
      <c r="I99" s="121"/>
      <c r="J99" s="125"/>
      <c r="K99" s="119"/>
      <c r="L99" s="125"/>
      <c r="M99" s="119"/>
      <c r="N99" s="125"/>
      <c r="O99" s="119"/>
      <c r="P99" s="125"/>
      <c r="Q99" s="119"/>
    </row>
    <row r="100" spans="2:17" x14ac:dyDescent="0.2">
      <c r="B100" s="125"/>
      <c r="C100" s="119"/>
      <c r="D100" s="119"/>
      <c r="E100" s="119"/>
      <c r="F100" s="119"/>
      <c r="G100" s="119"/>
      <c r="H100" s="125"/>
      <c r="I100" s="121"/>
      <c r="J100" s="125"/>
      <c r="K100" s="119"/>
      <c r="L100" s="125"/>
      <c r="M100" s="119"/>
      <c r="N100" s="125"/>
      <c r="O100" s="119"/>
      <c r="P100" s="125"/>
      <c r="Q100" s="119"/>
    </row>
    <row r="101" spans="2:17" x14ac:dyDescent="0.2">
      <c r="B101" s="125"/>
      <c r="C101" s="119"/>
      <c r="D101" s="119"/>
      <c r="E101" s="119"/>
      <c r="F101" s="119"/>
      <c r="G101" s="119"/>
      <c r="H101" s="125"/>
      <c r="I101" s="121"/>
      <c r="J101" s="125"/>
      <c r="K101" s="119"/>
      <c r="L101" s="125"/>
      <c r="M101" s="119"/>
      <c r="N101" s="125"/>
      <c r="O101" s="119"/>
      <c r="P101" s="125"/>
      <c r="Q101" s="119"/>
    </row>
    <row r="102" spans="2:17" x14ac:dyDescent="0.2">
      <c r="B102" s="125"/>
      <c r="C102" s="119"/>
      <c r="D102" s="119"/>
      <c r="E102" s="119"/>
      <c r="F102" s="119"/>
      <c r="G102" s="119"/>
      <c r="H102" s="125"/>
      <c r="I102" s="121"/>
      <c r="J102" s="125"/>
      <c r="K102" s="119"/>
      <c r="L102" s="125"/>
      <c r="M102" s="119"/>
      <c r="N102" s="125"/>
      <c r="O102" s="119"/>
      <c r="P102" s="125"/>
      <c r="Q102" s="119"/>
    </row>
    <row r="103" spans="2:17" x14ac:dyDescent="0.2">
      <c r="B103" s="125"/>
      <c r="C103" s="119"/>
      <c r="D103" s="119"/>
      <c r="E103" s="119"/>
      <c r="F103" s="119"/>
      <c r="G103" s="119"/>
      <c r="H103" s="125"/>
      <c r="I103" s="121"/>
      <c r="J103" s="125"/>
      <c r="K103" s="119"/>
      <c r="L103" s="125"/>
      <c r="M103" s="119"/>
      <c r="N103" s="125"/>
      <c r="O103" s="119"/>
      <c r="P103" s="125"/>
      <c r="Q103" s="119"/>
    </row>
    <row r="104" spans="2:17" x14ac:dyDescent="0.2">
      <c r="B104" s="125"/>
      <c r="C104" s="119"/>
      <c r="D104" s="119"/>
      <c r="E104" s="119"/>
      <c r="F104" s="119"/>
      <c r="G104" s="119"/>
      <c r="H104" s="125"/>
      <c r="I104" s="121"/>
      <c r="J104" s="125"/>
      <c r="K104" s="119"/>
      <c r="L104" s="125"/>
      <c r="M104" s="119"/>
      <c r="N104" s="125"/>
      <c r="O104" s="119"/>
      <c r="P104" s="125"/>
      <c r="Q104" s="119"/>
    </row>
    <row r="105" spans="2:17" x14ac:dyDescent="0.2">
      <c r="B105" s="125"/>
      <c r="C105" s="119"/>
      <c r="D105" s="119"/>
      <c r="E105" s="119"/>
      <c r="F105" s="119"/>
      <c r="G105" s="119"/>
      <c r="H105" s="125"/>
      <c r="I105" s="121"/>
      <c r="J105" s="125"/>
      <c r="K105" s="119"/>
      <c r="L105" s="125"/>
      <c r="M105" s="119"/>
      <c r="N105" s="125"/>
      <c r="O105" s="119"/>
      <c r="P105" s="125"/>
      <c r="Q105" s="119"/>
    </row>
    <row r="106" spans="2:17" x14ac:dyDescent="0.2">
      <c r="B106" s="125"/>
      <c r="C106" s="119"/>
      <c r="D106" s="119"/>
      <c r="E106" s="119"/>
      <c r="F106" s="119"/>
      <c r="G106" s="119"/>
      <c r="H106" s="125"/>
      <c r="I106" s="121"/>
      <c r="J106" s="125"/>
      <c r="K106" s="119"/>
      <c r="L106" s="125"/>
      <c r="M106" s="119"/>
      <c r="N106" s="125"/>
      <c r="O106" s="119"/>
      <c r="P106" s="125"/>
      <c r="Q106" s="119"/>
    </row>
    <row r="107" spans="2:17" x14ac:dyDescent="0.2">
      <c r="B107" s="125"/>
      <c r="C107" s="119"/>
      <c r="D107" s="119"/>
      <c r="E107" s="119"/>
      <c r="F107" s="119"/>
      <c r="G107" s="119"/>
      <c r="H107" s="125"/>
      <c r="I107" s="121"/>
      <c r="J107" s="125"/>
      <c r="K107" s="119"/>
      <c r="L107" s="125"/>
      <c r="M107" s="119"/>
      <c r="N107" s="125"/>
      <c r="O107" s="119"/>
      <c r="P107" s="125"/>
      <c r="Q107" s="119"/>
    </row>
    <row r="108" spans="2:17" x14ac:dyDescent="0.2">
      <c r="B108" s="125"/>
      <c r="C108" s="119"/>
      <c r="D108" s="119"/>
      <c r="E108" s="119"/>
      <c r="F108" s="119"/>
      <c r="G108" s="119"/>
      <c r="H108" s="125"/>
      <c r="I108" s="121"/>
      <c r="J108" s="125"/>
      <c r="K108" s="119"/>
      <c r="L108" s="125"/>
      <c r="M108" s="119"/>
      <c r="N108" s="125"/>
      <c r="O108" s="119"/>
      <c r="P108" s="125"/>
      <c r="Q108" s="119"/>
    </row>
    <row r="109" spans="2:17" x14ac:dyDescent="0.2">
      <c r="B109" s="125"/>
      <c r="C109" s="119"/>
      <c r="D109" s="119"/>
      <c r="E109" s="119"/>
      <c r="F109" s="119"/>
      <c r="G109" s="119"/>
      <c r="H109" s="125"/>
      <c r="I109" s="121"/>
      <c r="J109" s="125"/>
      <c r="K109" s="119"/>
      <c r="L109" s="125"/>
      <c r="M109" s="119"/>
      <c r="N109" s="125"/>
      <c r="O109" s="119"/>
      <c r="P109" s="125"/>
      <c r="Q109" s="119"/>
    </row>
    <row r="110" spans="2:17" x14ac:dyDescent="0.2">
      <c r="B110" s="125"/>
      <c r="C110" s="119"/>
      <c r="D110" s="119"/>
      <c r="E110" s="119"/>
      <c r="F110" s="119"/>
      <c r="G110" s="119"/>
      <c r="H110" s="125"/>
      <c r="I110" s="121"/>
      <c r="J110" s="125"/>
      <c r="K110" s="119"/>
      <c r="L110" s="125"/>
      <c r="M110" s="119"/>
      <c r="N110" s="125"/>
      <c r="O110" s="119"/>
      <c r="P110" s="125"/>
      <c r="Q110" s="119"/>
    </row>
    <row r="111" spans="2:17" x14ac:dyDescent="0.2">
      <c r="B111" s="125"/>
      <c r="C111" s="119"/>
      <c r="D111" s="119"/>
      <c r="E111" s="119"/>
      <c r="F111" s="119"/>
      <c r="G111" s="119"/>
      <c r="H111" s="125"/>
      <c r="I111" s="121"/>
      <c r="J111" s="125"/>
      <c r="K111" s="119"/>
      <c r="L111" s="125"/>
      <c r="M111" s="119"/>
      <c r="N111" s="125"/>
      <c r="O111" s="119"/>
      <c r="P111" s="125"/>
      <c r="Q111" s="119"/>
    </row>
    <row r="112" spans="2:17" x14ac:dyDescent="0.2">
      <c r="B112" s="125"/>
      <c r="C112" s="119"/>
      <c r="D112" s="119"/>
      <c r="E112" s="119"/>
      <c r="F112" s="119"/>
      <c r="G112" s="119"/>
      <c r="H112" s="125"/>
      <c r="I112" s="121"/>
      <c r="J112" s="125"/>
      <c r="K112" s="119"/>
      <c r="L112" s="125"/>
      <c r="M112" s="119"/>
      <c r="N112" s="125"/>
      <c r="O112" s="119"/>
      <c r="P112" s="125"/>
      <c r="Q112" s="119"/>
    </row>
    <row r="113" spans="2:17" x14ac:dyDescent="0.2">
      <c r="B113" s="125"/>
      <c r="C113" s="119"/>
      <c r="D113" s="119"/>
      <c r="E113" s="119"/>
      <c r="F113" s="119"/>
      <c r="G113" s="119"/>
      <c r="H113" s="125"/>
      <c r="I113" s="121"/>
      <c r="J113" s="125"/>
      <c r="K113" s="119"/>
      <c r="L113" s="125"/>
      <c r="M113" s="119"/>
      <c r="N113" s="125"/>
      <c r="O113" s="119"/>
      <c r="P113" s="125"/>
      <c r="Q113" s="119"/>
    </row>
    <row r="114" spans="2:17" x14ac:dyDescent="0.2">
      <c r="B114" s="125"/>
      <c r="C114" s="1842"/>
      <c r="D114" s="1843"/>
      <c r="E114" s="1843"/>
      <c r="F114" s="1843"/>
      <c r="G114" s="1843"/>
      <c r="H114" s="1824"/>
      <c r="I114" s="1824"/>
      <c r="J114" s="1824"/>
      <c r="K114" s="1824"/>
      <c r="L114" s="1824"/>
      <c r="M114" s="1824"/>
      <c r="N114" s="123"/>
      <c r="O114" s="123"/>
      <c r="P114" s="123"/>
      <c r="Q114" s="123"/>
    </row>
    <row r="115" spans="2:17" x14ac:dyDescent="0.2">
      <c r="B115" s="125"/>
      <c r="C115" s="1843"/>
      <c r="D115" s="1843"/>
      <c r="E115" s="1843"/>
      <c r="F115" s="1843"/>
      <c r="G115" s="1843"/>
      <c r="H115" s="1825"/>
      <c r="I115" s="1825"/>
      <c r="J115" s="1825"/>
      <c r="K115" s="1825"/>
      <c r="L115" s="1825"/>
      <c r="M115" s="1825"/>
      <c r="N115" s="135"/>
      <c r="O115" s="135"/>
      <c r="P115" s="135"/>
      <c r="Q115" s="135"/>
    </row>
    <row r="116" spans="2:17" x14ac:dyDescent="0.2">
      <c r="B116" s="125"/>
      <c r="C116" s="136"/>
      <c r="D116" s="1837"/>
      <c r="E116" s="1837"/>
      <c r="F116" s="1837"/>
      <c r="G116" s="1837"/>
      <c r="H116" s="1822"/>
      <c r="I116" s="1822"/>
      <c r="J116" s="1822"/>
      <c r="K116" s="1822"/>
      <c r="L116" s="1822"/>
      <c r="M116" s="1822"/>
      <c r="N116" s="137"/>
      <c r="O116" s="137"/>
      <c r="P116" s="137"/>
      <c r="Q116" s="137"/>
    </row>
    <row r="117" spans="2:17" x14ac:dyDescent="0.2">
      <c r="B117" s="125"/>
      <c r="C117" s="136"/>
      <c r="D117" s="124"/>
      <c r="E117" s="124"/>
      <c r="F117" s="124"/>
      <c r="G117" s="138"/>
      <c r="H117" s="1822"/>
      <c r="I117" s="1822"/>
      <c r="J117" s="1822"/>
      <c r="K117" s="1823"/>
      <c r="L117" s="1822"/>
      <c r="M117" s="1823"/>
      <c r="N117" s="137"/>
      <c r="O117" s="137"/>
      <c r="P117" s="137"/>
      <c r="Q117" s="139"/>
    </row>
    <row r="118" spans="2:17" x14ac:dyDescent="0.2">
      <c r="B118" s="125"/>
      <c r="C118" s="136"/>
      <c r="D118" s="124"/>
      <c r="E118" s="124"/>
      <c r="F118" s="124"/>
      <c r="G118" s="138"/>
      <c r="H118" s="1822"/>
      <c r="I118" s="1822"/>
      <c r="J118" s="1822"/>
      <c r="K118" s="1823"/>
      <c r="L118" s="1822"/>
      <c r="M118" s="1823"/>
      <c r="N118" s="137"/>
      <c r="O118" s="137"/>
      <c r="P118" s="137"/>
      <c r="Q118" s="139"/>
    </row>
    <row r="119" spans="2:17" x14ac:dyDescent="0.2">
      <c r="B119" s="125"/>
      <c r="C119" s="136"/>
      <c r="D119" s="124"/>
      <c r="E119" s="124"/>
      <c r="F119" s="124"/>
      <c r="G119" s="138"/>
      <c r="H119" s="1822"/>
      <c r="I119" s="1822"/>
      <c r="J119" s="1822"/>
      <c r="K119" s="1823"/>
      <c r="L119" s="1822"/>
      <c r="M119" s="1823"/>
      <c r="N119" s="137"/>
      <c r="O119" s="137"/>
      <c r="P119" s="137"/>
      <c r="Q119" s="139"/>
    </row>
    <row r="120" spans="2:17" x14ac:dyDescent="0.2">
      <c r="B120" s="125"/>
      <c r="C120" s="136"/>
      <c r="D120" s="124"/>
      <c r="E120" s="124"/>
      <c r="F120" s="124"/>
      <c r="G120" s="138"/>
      <c r="H120" s="1822"/>
      <c r="I120" s="1822"/>
      <c r="J120" s="1813"/>
      <c r="K120" s="1813"/>
      <c r="L120" s="1813"/>
      <c r="M120" s="1813"/>
      <c r="N120" s="140"/>
      <c r="O120" s="140"/>
      <c r="P120" s="140"/>
      <c r="Q120" s="140"/>
    </row>
    <row r="121" spans="2:17" x14ac:dyDescent="0.2">
      <c r="B121" s="125"/>
      <c r="C121" s="136"/>
      <c r="D121" s="1837"/>
      <c r="E121" s="1837"/>
      <c r="F121" s="1837"/>
      <c r="G121" s="1837"/>
      <c r="H121" s="1822"/>
      <c r="I121" s="1822"/>
      <c r="J121" s="1841"/>
      <c r="K121" s="1841"/>
      <c r="L121" s="1841"/>
      <c r="M121" s="1841"/>
      <c r="N121" s="141"/>
      <c r="O121" s="141"/>
      <c r="P121" s="141"/>
      <c r="Q121" s="141"/>
    </row>
    <row r="122" spans="2:17" x14ac:dyDescent="0.2">
      <c r="B122" s="125"/>
      <c r="C122" s="136"/>
      <c r="D122" s="1814"/>
      <c r="E122" s="1814"/>
      <c r="F122" s="1814"/>
      <c r="G122" s="1814"/>
      <c r="H122" s="1822"/>
      <c r="I122" s="1823"/>
      <c r="J122" s="1822"/>
      <c r="K122" s="1823"/>
      <c r="L122" s="1822"/>
      <c r="M122" s="1823"/>
      <c r="N122" s="137"/>
      <c r="O122" s="137"/>
      <c r="P122" s="137"/>
      <c r="Q122" s="139"/>
    </row>
    <row r="123" spans="2:17" x14ac:dyDescent="0.2">
      <c r="B123" s="125"/>
      <c r="C123" s="1842"/>
      <c r="D123" s="1843"/>
      <c r="E123" s="1843"/>
      <c r="F123" s="1843"/>
      <c r="G123" s="1843"/>
      <c r="H123" s="1824"/>
      <c r="I123" s="1824"/>
      <c r="J123" s="1824"/>
      <c r="K123" s="1824"/>
      <c r="L123" s="1824"/>
      <c r="M123" s="1824"/>
      <c r="N123" s="123"/>
      <c r="O123" s="123"/>
      <c r="P123" s="123"/>
      <c r="Q123" s="123"/>
    </row>
    <row r="124" spans="2:17" x14ac:dyDescent="0.2">
      <c r="B124" s="125"/>
      <c r="C124" s="1843"/>
      <c r="D124" s="1843"/>
      <c r="E124" s="1843"/>
      <c r="F124" s="1843"/>
      <c r="G124" s="1843"/>
      <c r="H124" s="1825"/>
      <c r="I124" s="1825"/>
      <c r="J124" s="1825"/>
      <c r="K124" s="1825"/>
      <c r="L124" s="1825"/>
      <c r="M124" s="1825"/>
      <c r="N124" s="135"/>
      <c r="O124" s="135"/>
      <c r="P124" s="135"/>
      <c r="Q124" s="135"/>
    </row>
    <row r="125" spans="2:17" x14ac:dyDescent="0.2">
      <c r="B125" s="125"/>
      <c r="C125" s="136"/>
      <c r="D125" s="121"/>
      <c r="E125" s="121"/>
      <c r="F125" s="121"/>
      <c r="G125" s="142"/>
      <c r="H125" s="1822"/>
      <c r="I125" s="1823"/>
      <c r="J125" s="1822"/>
      <c r="K125" s="1823"/>
      <c r="L125" s="1822"/>
      <c r="M125" s="1823"/>
      <c r="N125" s="137"/>
      <c r="O125" s="137"/>
      <c r="P125" s="137"/>
      <c r="Q125" s="139"/>
    </row>
    <row r="126" spans="2:17" x14ac:dyDescent="0.2">
      <c r="B126" s="125"/>
      <c r="C126" s="136"/>
      <c r="D126" s="121"/>
      <c r="E126" s="121"/>
      <c r="F126" s="121"/>
      <c r="G126" s="142"/>
      <c r="H126" s="1822"/>
      <c r="I126" s="1823"/>
      <c r="J126" s="1822"/>
      <c r="K126" s="1823"/>
      <c r="L126" s="1822"/>
      <c r="M126" s="1823"/>
      <c r="N126" s="137"/>
      <c r="O126" s="137"/>
      <c r="P126" s="137"/>
      <c r="Q126" s="139"/>
    </row>
    <row r="127" spans="2:17" x14ac:dyDescent="0.2">
      <c r="B127" s="125"/>
      <c r="C127" s="136"/>
      <c r="D127" s="121"/>
      <c r="E127" s="121"/>
      <c r="F127" s="121"/>
      <c r="G127" s="142"/>
      <c r="H127" s="1841"/>
      <c r="I127" s="1841"/>
      <c r="J127" s="1822"/>
      <c r="K127" s="1823"/>
      <c r="L127" s="1822"/>
      <c r="M127" s="1823"/>
      <c r="N127" s="137"/>
      <c r="O127" s="137"/>
      <c r="P127" s="137"/>
      <c r="Q127" s="139"/>
    </row>
    <row r="128" spans="2:17" x14ac:dyDescent="0.2">
      <c r="B128" s="125"/>
      <c r="C128" s="136"/>
      <c r="D128" s="121"/>
      <c r="E128" s="121"/>
      <c r="F128" s="121"/>
      <c r="G128" s="142"/>
      <c r="H128" s="1822"/>
      <c r="I128" s="1823"/>
      <c r="J128" s="1822"/>
      <c r="K128" s="1823"/>
      <c r="L128" s="1822"/>
      <c r="M128" s="1823"/>
      <c r="N128" s="137"/>
      <c r="O128" s="137"/>
      <c r="P128" s="137"/>
      <c r="Q128" s="139"/>
    </row>
    <row r="129" spans="2:17" x14ac:dyDescent="0.2">
      <c r="B129" s="125"/>
      <c r="C129" s="136"/>
      <c r="D129" s="121"/>
      <c r="E129" s="121"/>
      <c r="F129" s="121"/>
      <c r="G129" s="142"/>
      <c r="H129" s="1822"/>
      <c r="I129" s="1823"/>
      <c r="J129" s="1822"/>
      <c r="K129" s="1823"/>
      <c r="L129" s="1822"/>
      <c r="M129" s="1823"/>
      <c r="N129" s="137"/>
      <c r="O129" s="137"/>
      <c r="P129" s="137"/>
      <c r="Q129" s="139"/>
    </row>
  </sheetData>
  <sheetProtection algorithmName="SHA-512" hashValue="FvyjZsgrjPWBQutQ0audbGz9BMva35Bz2Lqzcw+eQL6oSAKXQNfk47KolnF8QyBhVXQBOvjAHXAUz3HReo4Zmw==" saltValue="/qWIP9BlXXb6TTOiMPC4lQ==" spinCount="100000" sheet="1" objects="1" scenarios="1" selectLockedCells="1"/>
  <mergeCells count="217">
    <mergeCell ref="M35:P35"/>
    <mergeCell ref="O63:P63"/>
    <mergeCell ref="O51:P51"/>
    <mergeCell ref="O52:P52"/>
    <mergeCell ref="O53:P53"/>
    <mergeCell ref="O55:P55"/>
    <mergeCell ref="O62:P62"/>
    <mergeCell ref="O56:P56"/>
    <mergeCell ref="O49:P49"/>
    <mergeCell ref="O50:P50"/>
    <mergeCell ref="O58:P58"/>
    <mergeCell ref="O59:P59"/>
    <mergeCell ref="O61:P61"/>
    <mergeCell ref="O57:P57"/>
    <mergeCell ref="M52:N52"/>
    <mergeCell ref="O10:P10"/>
    <mergeCell ref="I38:J38"/>
    <mergeCell ref="I7:J7"/>
    <mergeCell ref="O47:P47"/>
    <mergeCell ref="O48:P48"/>
    <mergeCell ref="K44:L44"/>
    <mergeCell ref="M39:N39"/>
    <mergeCell ref="M47:N47"/>
    <mergeCell ref="I42:J42"/>
    <mergeCell ref="K42:L42"/>
    <mergeCell ref="I37:J37"/>
    <mergeCell ref="O39:P39"/>
    <mergeCell ref="M38:N38"/>
    <mergeCell ref="I44:J44"/>
    <mergeCell ref="O40:P40"/>
    <mergeCell ref="O41:P41"/>
    <mergeCell ref="O42:P42"/>
    <mergeCell ref="O43:P43"/>
    <mergeCell ref="O44:P44"/>
    <mergeCell ref="O45:P45"/>
    <mergeCell ref="O46:P46"/>
    <mergeCell ref="K36:P36"/>
    <mergeCell ref="O7:P7"/>
    <mergeCell ref="O8:P8"/>
    <mergeCell ref="E7:F7"/>
    <mergeCell ref="E8:F8"/>
    <mergeCell ref="E10:F10"/>
    <mergeCell ref="E33:F33"/>
    <mergeCell ref="G8:H8"/>
    <mergeCell ref="I8:J8"/>
    <mergeCell ref="K8:L8"/>
    <mergeCell ref="M8:N8"/>
    <mergeCell ref="G33:H33"/>
    <mergeCell ref="G7:H7"/>
    <mergeCell ref="K7:L7"/>
    <mergeCell ref="M7:N7"/>
    <mergeCell ref="I33:J33"/>
    <mergeCell ref="K33:L33"/>
    <mergeCell ref="M33:N33"/>
    <mergeCell ref="G10:H10"/>
    <mergeCell ref="I10:J10"/>
    <mergeCell ref="K10:L10"/>
    <mergeCell ref="M10:N10"/>
    <mergeCell ref="I43:J43"/>
    <mergeCell ref="M41:N41"/>
    <mergeCell ref="K48:L48"/>
    <mergeCell ref="I50:J50"/>
    <mergeCell ref="I47:J47"/>
    <mergeCell ref="I48:J48"/>
    <mergeCell ref="M49:N49"/>
    <mergeCell ref="M42:N42"/>
    <mergeCell ref="M44:N44"/>
    <mergeCell ref="M45:N45"/>
    <mergeCell ref="K45:L45"/>
    <mergeCell ref="G53:H53"/>
    <mergeCell ref="I53:J53"/>
    <mergeCell ref="K53:L53"/>
    <mergeCell ref="M53:N53"/>
    <mergeCell ref="K51:L51"/>
    <mergeCell ref="M51:N51"/>
    <mergeCell ref="I49:J49"/>
    <mergeCell ref="K62:L62"/>
    <mergeCell ref="K59:L59"/>
    <mergeCell ref="I61:J61"/>
    <mergeCell ref="I51:J51"/>
    <mergeCell ref="G52:H52"/>
    <mergeCell ref="I52:J52"/>
    <mergeCell ref="K52:L52"/>
    <mergeCell ref="G55:H55"/>
    <mergeCell ref="I55:J55"/>
    <mergeCell ref="O33:P33"/>
    <mergeCell ref="O38:P38"/>
    <mergeCell ref="G46:H46"/>
    <mergeCell ref="M50:N50"/>
    <mergeCell ref="G49:H49"/>
    <mergeCell ref="G48:H48"/>
    <mergeCell ref="K39:L39"/>
    <mergeCell ref="K47:L47"/>
    <mergeCell ref="K38:L38"/>
    <mergeCell ref="I45:J45"/>
    <mergeCell ref="G44:H44"/>
    <mergeCell ref="K43:L43"/>
    <mergeCell ref="M43:N43"/>
    <mergeCell ref="M48:N48"/>
    <mergeCell ref="I46:J46"/>
    <mergeCell ref="K46:L46"/>
    <mergeCell ref="M46:N46"/>
    <mergeCell ref="G38:H38"/>
    <mergeCell ref="K49:L49"/>
    <mergeCell ref="G42:H42"/>
    <mergeCell ref="G50:H50"/>
    <mergeCell ref="K40:L40"/>
    <mergeCell ref="M40:N40"/>
    <mergeCell ref="K41:L41"/>
    <mergeCell ref="H118:I118"/>
    <mergeCell ref="H120:I120"/>
    <mergeCell ref="D116:G116"/>
    <mergeCell ref="J120:K120"/>
    <mergeCell ref="C123:G124"/>
    <mergeCell ref="H123:I123"/>
    <mergeCell ref="K50:L50"/>
    <mergeCell ref="L123:M123"/>
    <mergeCell ref="L121:M121"/>
    <mergeCell ref="J119:K119"/>
    <mergeCell ref="L119:M119"/>
    <mergeCell ref="H124:I124"/>
    <mergeCell ref="L122:M122"/>
    <mergeCell ref="L124:M124"/>
    <mergeCell ref="J118:K118"/>
    <mergeCell ref="L118:M118"/>
    <mergeCell ref="H115:I115"/>
    <mergeCell ref="I56:J56"/>
    <mergeCell ref="K61:L61"/>
    <mergeCell ref="K57:L57"/>
    <mergeCell ref="K56:L56"/>
    <mergeCell ref="C114:G115"/>
    <mergeCell ref="L114:M114"/>
    <mergeCell ref="H114:I114"/>
    <mergeCell ref="J122:K122"/>
    <mergeCell ref="L129:M129"/>
    <mergeCell ref="L128:M128"/>
    <mergeCell ref="H127:I127"/>
    <mergeCell ref="J127:K127"/>
    <mergeCell ref="L127:M127"/>
    <mergeCell ref="J129:K129"/>
    <mergeCell ref="J128:K128"/>
    <mergeCell ref="H128:I128"/>
    <mergeCell ref="H129:I129"/>
    <mergeCell ref="J124:K124"/>
    <mergeCell ref="J123:K123"/>
    <mergeCell ref="C28:D28"/>
    <mergeCell ref="H126:I126"/>
    <mergeCell ref="J126:K126"/>
    <mergeCell ref="L126:M126"/>
    <mergeCell ref="M61:N61"/>
    <mergeCell ref="M58:N58"/>
    <mergeCell ref="M55:N55"/>
    <mergeCell ref="K58:L58"/>
    <mergeCell ref="G57:H57"/>
    <mergeCell ref="G61:H61"/>
    <mergeCell ref="G58:H58"/>
    <mergeCell ref="M57:N57"/>
    <mergeCell ref="I57:J57"/>
    <mergeCell ref="G56:H56"/>
    <mergeCell ref="M56:N56"/>
    <mergeCell ref="D121:G121"/>
    <mergeCell ref="J117:K117"/>
    <mergeCell ref="H125:I125"/>
    <mergeCell ref="H119:I119"/>
    <mergeCell ref="H122:I122"/>
    <mergeCell ref="L125:M125"/>
    <mergeCell ref="J121:K121"/>
    <mergeCell ref="H121:I121"/>
    <mergeCell ref="J125:K125"/>
    <mergeCell ref="B80:D80"/>
    <mergeCell ref="G80:K80"/>
    <mergeCell ref="G60:H60"/>
    <mergeCell ref="G63:H63"/>
    <mergeCell ref="I63:J63"/>
    <mergeCell ref="K63:L63"/>
    <mergeCell ref="G37:H37"/>
    <mergeCell ref="G59:H59"/>
    <mergeCell ref="G62:H62"/>
    <mergeCell ref="K55:L55"/>
    <mergeCell ref="I58:J58"/>
    <mergeCell ref="I59:J59"/>
    <mergeCell ref="L80:N80"/>
    <mergeCell ref="B37:D37"/>
    <mergeCell ref="B47:D47"/>
    <mergeCell ref="B53:D53"/>
    <mergeCell ref="C50:D50"/>
    <mergeCell ref="B55:D55"/>
    <mergeCell ref="B56:D56"/>
    <mergeCell ref="B61:D61"/>
    <mergeCell ref="M63:N63"/>
    <mergeCell ref="M59:N59"/>
    <mergeCell ref="G51:H51"/>
    <mergeCell ref="I62:J62"/>
    <mergeCell ref="G5:L5"/>
    <mergeCell ref="B5:E5"/>
    <mergeCell ref="R6:S6"/>
    <mergeCell ref="L120:M120"/>
    <mergeCell ref="D122:G122"/>
    <mergeCell ref="B59:D59"/>
    <mergeCell ref="B7:D8"/>
    <mergeCell ref="B62:D62"/>
    <mergeCell ref="B58:D58"/>
    <mergeCell ref="B63:D63"/>
    <mergeCell ref="B57:D57"/>
    <mergeCell ref="L116:M116"/>
    <mergeCell ref="L117:M117"/>
    <mergeCell ref="J114:K114"/>
    <mergeCell ref="J115:K115"/>
    <mergeCell ref="J116:K116"/>
    <mergeCell ref="M62:N62"/>
    <mergeCell ref="L115:M115"/>
    <mergeCell ref="H116:I116"/>
    <mergeCell ref="H117:I117"/>
    <mergeCell ref="G43:H43"/>
    <mergeCell ref="G45:H45"/>
    <mergeCell ref="G47:H47"/>
    <mergeCell ref="C26:D26"/>
  </mergeCells>
  <printOptions horizontalCentered="1" verticalCentered="1"/>
  <pageMargins left="0.23622047244094491" right="0.23622047244094491" top="0.74803149606299213" bottom="0.74803149606299213" header="0.31496062992125984" footer="0.31496062992125984"/>
  <pageSetup paperSize="9" scale="95" orientation="landscape" verticalDpi="4" r:id="rId1"/>
  <colBreaks count="1" manualBreakCount="1">
    <brk id="16" max="36" man="1"/>
  </colBreaks>
  <ignoredErrors>
    <ignoredError sqref="B5 G5 O5 I8" unlockedFormula="1"/>
    <ignoredError sqref="G10 K10"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5"/>
  <dimension ref="B1:H54"/>
  <sheetViews>
    <sheetView topLeftCell="A9" zoomScale="130" zoomScaleNormal="130" workbookViewId="0">
      <selection activeCell="K37" sqref="K37"/>
    </sheetView>
  </sheetViews>
  <sheetFormatPr defaultRowHeight="12.75" x14ac:dyDescent="0.2"/>
  <cols>
    <col min="2" max="2" width="26.7109375" customWidth="1"/>
  </cols>
  <sheetData>
    <row r="1" spans="2:8" x14ac:dyDescent="0.2">
      <c r="B1" s="259" t="s">
        <v>90</v>
      </c>
    </row>
    <row r="2" spans="2:8" ht="13.5" thickBot="1" x14ac:dyDescent="0.25">
      <c r="C2" s="258">
        <f>'8. T4 FINANSIERINGSB.'!P11</f>
        <v>2023</v>
      </c>
      <c r="D2" s="258">
        <f>'8. T4 FINANSIERINGSB.'!Q11</f>
        <v>2024</v>
      </c>
      <c r="E2" s="258">
        <f>'8. T4 FINANSIERINGSB.'!R11</f>
        <v>2027</v>
      </c>
      <c r="F2" s="258">
        <f>'8. T4 FINANSIERINGSB.'!S11</f>
        <v>2028</v>
      </c>
      <c r="G2" s="258">
        <f>'8. T4 FINANSIERINGSB.'!T11</f>
        <v>2029</v>
      </c>
      <c r="H2" s="258">
        <f>'8. T4 FINANSIERINGSB.'!U11</f>
        <v>2030</v>
      </c>
    </row>
    <row r="3" spans="2:8" x14ac:dyDescent="0.2">
      <c r="B3" s="471" t="s">
        <v>550</v>
      </c>
      <c r="C3" s="1354">
        <f>'8. T4 FINANSIERINGSB.'!P13/1000</f>
        <v>0</v>
      </c>
      <c r="D3" s="1354">
        <f>'8. T4 FINANSIERINGSB.'!Q13/1000</f>
        <v>0</v>
      </c>
      <c r="E3" s="1354">
        <f>'8. T4 FINANSIERINGSB.'!R13/1000</f>
        <v>0</v>
      </c>
      <c r="F3" s="1354">
        <f>'8. T4 FINANSIERINGSB.'!S13/1000</f>
        <v>0</v>
      </c>
      <c r="G3" s="1354">
        <f>'8. T4 FINANSIERINGSB.'!T13/1000</f>
        <v>0</v>
      </c>
      <c r="H3" s="1354">
        <f>'8. T4 FINANSIERINGSB.'!U13/1000</f>
        <v>0</v>
      </c>
    </row>
    <row r="4" spans="2:8" x14ac:dyDescent="0.2">
      <c r="B4" s="473" t="s">
        <v>779</v>
      </c>
      <c r="C4" s="1354">
        <f>'3. T3 BALANS'!F98/1000</f>
        <v>0</v>
      </c>
      <c r="D4" s="1354">
        <f>'3. T3 BALANS'!G98/1000</f>
        <v>0</v>
      </c>
      <c r="E4" s="1354">
        <f>'3. T3 BALANS'!H98/1000</f>
        <v>0</v>
      </c>
      <c r="F4" s="1354">
        <f>'3. T3 BALANS'!I98/1000</f>
        <v>0</v>
      </c>
      <c r="G4" s="1354">
        <f>'3. T3 BALANS'!J98/1000</f>
        <v>0</v>
      </c>
      <c r="H4" s="1354">
        <f>'3. T3 BALANS'!K98/1000</f>
        <v>0</v>
      </c>
    </row>
    <row r="5" spans="2:8" x14ac:dyDescent="0.2">
      <c r="B5" s="475" t="s">
        <v>771</v>
      </c>
      <c r="C5" s="1354">
        <f>'8. T4 FINANSIERINGSB.'!P16/1000</f>
        <v>0</v>
      </c>
      <c r="D5" s="1354">
        <f>'8. T4 FINANSIERINGSB.'!Q16/1000</f>
        <v>0</v>
      </c>
      <c r="E5" s="1354">
        <f>'8. T4 FINANSIERINGSB.'!R16/1000</f>
        <v>0</v>
      </c>
      <c r="F5" s="1354">
        <f>'8. T4 FINANSIERINGSB.'!S16/1000</f>
        <v>0</v>
      </c>
      <c r="G5" s="1354">
        <f>'8. T4 FINANSIERINGSB.'!T16/1000</f>
        <v>0</v>
      </c>
      <c r="H5" s="1354">
        <f>'8. T4 FINANSIERINGSB.'!U16/1000</f>
        <v>0</v>
      </c>
    </row>
    <row r="25" spans="2:8" x14ac:dyDescent="0.2">
      <c r="B25" s="154" t="s">
        <v>91</v>
      </c>
    </row>
    <row r="26" spans="2:8" x14ac:dyDescent="0.2">
      <c r="C26" s="16">
        <f t="shared" ref="C26:H26" si="0">C2</f>
        <v>2023</v>
      </c>
      <c r="D26" s="16">
        <f t="shared" si="0"/>
        <v>2024</v>
      </c>
      <c r="E26" s="16">
        <f t="shared" si="0"/>
        <v>2027</v>
      </c>
      <c r="F26" s="16">
        <f t="shared" si="0"/>
        <v>2028</v>
      </c>
      <c r="G26" s="16">
        <f t="shared" si="0"/>
        <v>2029</v>
      </c>
      <c r="H26" s="16">
        <f t="shared" si="0"/>
        <v>2030</v>
      </c>
    </row>
    <row r="27" spans="2:8" x14ac:dyDescent="0.2">
      <c r="B27" s="473" t="s">
        <v>772</v>
      </c>
      <c r="C27" s="1355">
        <f>'8. T4 FINANSIERINGSB.'!P19*100</f>
        <v>0</v>
      </c>
      <c r="D27" s="1355">
        <f>'8. T4 FINANSIERINGSB.'!Q19*100</f>
        <v>0</v>
      </c>
      <c r="E27" s="1355">
        <f>'8. T4 FINANSIERINGSB.'!R19*100</f>
        <v>0</v>
      </c>
      <c r="F27" s="1355">
        <f>'8. T4 FINANSIERINGSB.'!S19*100</f>
        <v>0</v>
      </c>
      <c r="G27" s="1355">
        <f>'8. T4 FINANSIERINGSB.'!T19*100</f>
        <v>0</v>
      </c>
      <c r="H27" s="1355">
        <f>'8. T4 FINANSIERINGSB.'!U19*100</f>
        <v>0</v>
      </c>
    </row>
    <row r="28" spans="2:8" x14ac:dyDescent="0.2">
      <c r="B28" s="473" t="s">
        <v>773</v>
      </c>
      <c r="C28" s="1355">
        <f>'8. T4 FINANSIERINGSB.'!P21*100</f>
        <v>0</v>
      </c>
      <c r="D28" s="1355">
        <f>'8. T4 FINANSIERINGSB.'!Q21*100</f>
        <v>0</v>
      </c>
      <c r="E28" s="1355">
        <f>'8. T4 FINANSIERINGSB.'!R21*100</f>
        <v>0</v>
      </c>
      <c r="F28" s="1355">
        <f>'8. T4 FINANSIERINGSB.'!S21*100</f>
        <v>0</v>
      </c>
      <c r="G28" s="1355">
        <f>'8. T4 FINANSIERINGSB.'!T21*100</f>
        <v>0</v>
      </c>
      <c r="H28" s="1355">
        <f>'8. T4 FINANSIERINGSB.'!U21*100</f>
        <v>0</v>
      </c>
    </row>
    <row r="29" spans="2:8" x14ac:dyDescent="0.2">
      <c r="B29" s="473" t="s">
        <v>774</v>
      </c>
      <c r="C29" s="1356">
        <f>'8. T4 FINANSIERINGSB.'!P24*100</f>
        <v>0</v>
      </c>
      <c r="D29" s="1356">
        <f>'8. T4 FINANSIERINGSB.'!Q24*100</f>
        <v>0</v>
      </c>
      <c r="E29" s="1356">
        <f>'8. T4 FINANSIERINGSB.'!R24*100</f>
        <v>0</v>
      </c>
      <c r="F29" s="1356">
        <f>'8. T4 FINANSIERINGSB.'!S24*100</f>
        <v>0</v>
      </c>
      <c r="G29" s="1356">
        <f>'8. T4 FINANSIERINGSB.'!T24*100</f>
        <v>0</v>
      </c>
      <c r="H29" s="1356">
        <f>'8. T4 FINANSIERINGSB.'!U24*100</f>
        <v>0</v>
      </c>
    </row>
    <row r="30" spans="2:8" x14ac:dyDescent="0.2">
      <c r="B30" s="475" t="s">
        <v>775</v>
      </c>
      <c r="C30" s="1356">
        <f>'8. T4 FINANSIERINGSB.'!P25*100</f>
        <v>0</v>
      </c>
      <c r="D30" s="1356">
        <f>'8. T4 FINANSIERINGSB.'!Q25*100</f>
        <v>0</v>
      </c>
      <c r="E30" s="1356">
        <f>'8. T4 FINANSIERINGSB.'!R25*100</f>
        <v>0</v>
      </c>
      <c r="F30" s="1356">
        <f>'8. T4 FINANSIERINGSB.'!S25*100</f>
        <v>0</v>
      </c>
      <c r="G30" s="1356">
        <f>'8. T4 FINANSIERINGSB.'!T25*100</f>
        <v>0</v>
      </c>
      <c r="H30" s="1356">
        <f>'8. T4 FINANSIERINGSB.'!U25*100</f>
        <v>0</v>
      </c>
    </row>
    <row r="31" spans="2:8" x14ac:dyDescent="0.2">
      <c r="B31" s="142"/>
      <c r="C31" s="713"/>
      <c r="D31" s="713"/>
      <c r="E31" s="713"/>
      <c r="F31" s="713"/>
      <c r="G31" s="713"/>
      <c r="H31" s="713"/>
    </row>
    <row r="50" spans="2:8" x14ac:dyDescent="0.2">
      <c r="B50" s="335" t="s">
        <v>102</v>
      </c>
    </row>
    <row r="51" spans="2:8" x14ac:dyDescent="0.2">
      <c r="C51" s="482">
        <f>'8. T4 FINANSIERINGSB.'!P46</f>
        <v>2023</v>
      </c>
      <c r="D51" s="482">
        <f>'8. T4 FINANSIERINGSB.'!Q46</f>
        <v>2024</v>
      </c>
      <c r="E51" s="482">
        <f>'8. T4 FINANSIERINGSB.'!R46</f>
        <v>2027</v>
      </c>
      <c r="F51" s="482">
        <f>'8. T4 FINANSIERINGSB.'!S46</f>
        <v>2028</v>
      </c>
      <c r="G51" s="482">
        <f>'8. T4 FINANSIERINGSB.'!T46</f>
        <v>2029</v>
      </c>
      <c r="H51" s="482">
        <f>'8. T4 FINANSIERINGSB.'!U46</f>
        <v>2030</v>
      </c>
    </row>
    <row r="52" spans="2:8" x14ac:dyDescent="0.2">
      <c r="B52" s="471" t="s">
        <v>776</v>
      </c>
      <c r="C52" s="1354">
        <f>'8. T4 FINANSIERINGSB.'!P47/1000</f>
        <v>0</v>
      </c>
      <c r="D52" s="1354">
        <f>'8. T4 FINANSIERINGSB.'!Q47/1000</f>
        <v>0</v>
      </c>
      <c r="E52" s="1354">
        <f>'8. T4 FINANSIERINGSB.'!R47/1000</f>
        <v>0</v>
      </c>
      <c r="F52" s="1354">
        <f>'8. T4 FINANSIERINGSB.'!S47/1000</f>
        <v>0</v>
      </c>
      <c r="G52" s="1354">
        <f>'8. T4 FINANSIERINGSB.'!T47/1000</f>
        <v>0</v>
      </c>
      <c r="H52" s="1354">
        <f>'8. T4 FINANSIERINGSB.'!U47/1000</f>
        <v>0</v>
      </c>
    </row>
    <row r="53" spans="2:8" x14ac:dyDescent="0.2">
      <c r="B53" s="473" t="s">
        <v>777</v>
      </c>
      <c r="C53" s="1354">
        <f>'8. T4 FINANSIERINGSB.'!P48/1000</f>
        <v>0</v>
      </c>
      <c r="D53" s="1354">
        <f>'8. T4 FINANSIERINGSB.'!Q48/1000</f>
        <v>0</v>
      </c>
      <c r="E53" s="1354">
        <f>'8. T4 FINANSIERINGSB.'!R48/1000</f>
        <v>0</v>
      </c>
      <c r="F53" s="1354">
        <f>'8. T4 FINANSIERINGSB.'!S48/1000</f>
        <v>0</v>
      </c>
      <c r="G53" s="1354">
        <f>'8. T4 FINANSIERINGSB.'!T48/1000</f>
        <v>0</v>
      </c>
      <c r="H53" s="1354">
        <f>'8. T4 FINANSIERINGSB.'!U48/1000</f>
        <v>0</v>
      </c>
    </row>
    <row r="54" spans="2:8" x14ac:dyDescent="0.2">
      <c r="B54" s="473" t="s">
        <v>778</v>
      </c>
      <c r="C54" s="1357">
        <f>'8. T4 FINANSIERINGSB.'!P51/1000</f>
        <v>0</v>
      </c>
      <c r="D54" s="1357">
        <f>'8. T4 FINANSIERINGSB.'!Q51/1000</f>
        <v>0</v>
      </c>
      <c r="E54" s="1357">
        <f>'8. T4 FINANSIERINGSB.'!R51/1000</f>
        <v>0</v>
      </c>
      <c r="F54" s="1357">
        <f>'8. T4 FINANSIERINGSB.'!S51/1000</f>
        <v>0</v>
      </c>
      <c r="G54" s="1357">
        <f>'8. T4 FINANSIERINGSB.'!T51/1000</f>
        <v>0</v>
      </c>
      <c r="H54" s="1357">
        <f>'8. T4 FINANSIERINGSB.'!U51/1000</f>
        <v>0</v>
      </c>
    </row>
  </sheetData>
  <sheetProtection algorithmName="SHA-512" hashValue="RsKBm7dhWgU1gEUN5SHORG/FnsLu5tELP4M4rehCMzIGL84s/3fIh9wI+9PpU+AlGv9LvUXv5atXhBikcOWReg==" saltValue="szL1Z1/U2bh0g66tgT+Iiw==" spinCount="100000"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4">
    <tabColor rgb="FF0152A1"/>
  </sheetPr>
  <dimension ref="A1:W106"/>
  <sheetViews>
    <sheetView showGridLines="0" showZeros="0" zoomScaleNormal="100" workbookViewId="0">
      <selection activeCell="N38" sqref="N38"/>
    </sheetView>
  </sheetViews>
  <sheetFormatPr defaultRowHeight="12.75" x14ac:dyDescent="0.2"/>
  <cols>
    <col min="1" max="1" width="11.42578125" style="33" customWidth="1"/>
    <col min="2" max="2" width="3.28515625" customWidth="1"/>
    <col min="3" max="3" width="18.28515625" customWidth="1"/>
    <col min="4" max="4" width="10" customWidth="1"/>
    <col min="5" max="5" width="7.140625" customWidth="1"/>
    <col min="6" max="11" width="11.28515625" customWidth="1"/>
    <col min="12" max="12" width="5" customWidth="1"/>
    <col min="13" max="17" width="11.28515625" customWidth="1"/>
    <col min="18" max="18" width="12.42578125" customWidth="1"/>
    <col min="19" max="19" width="10.42578125" customWidth="1"/>
    <col min="20" max="21" width="11.28515625" customWidth="1"/>
  </cols>
  <sheetData>
    <row r="1" spans="1:21" x14ac:dyDescent="0.2">
      <c r="A1" s="33" t="s">
        <v>0</v>
      </c>
    </row>
    <row r="2" spans="1:21" ht="15.75" x14ac:dyDescent="0.25">
      <c r="A2" s="1361" t="s">
        <v>297</v>
      </c>
      <c r="C2" s="82" t="s">
        <v>328</v>
      </c>
      <c r="D2" s="19"/>
      <c r="G2" s="41"/>
      <c r="J2" s="53"/>
      <c r="K2" s="53"/>
      <c r="M2" s="82" t="s">
        <v>328</v>
      </c>
      <c r="N2" s="19"/>
    </row>
    <row r="3" spans="1:21" x14ac:dyDescent="0.2">
      <c r="B3" s="45"/>
      <c r="G3" s="516"/>
      <c r="M3" s="1778"/>
      <c r="N3" s="1778"/>
    </row>
    <row r="4" spans="1:21" x14ac:dyDescent="0.2">
      <c r="B4" s="41" t="s">
        <v>255</v>
      </c>
      <c r="H4" s="76">
        <v>0</v>
      </c>
    </row>
    <row r="5" spans="1:21" x14ac:dyDescent="0.2">
      <c r="B5" s="1880">
        <f>'1. T1 INVESTERINGSP.'!B7:D7</f>
        <v>0</v>
      </c>
      <c r="C5" s="1880"/>
      <c r="D5" s="1880"/>
      <c r="E5" s="1880"/>
      <c r="F5" s="1880"/>
      <c r="G5" s="465"/>
      <c r="H5" s="465"/>
      <c r="I5" s="46"/>
      <c r="J5" s="465"/>
      <c r="K5" s="465"/>
      <c r="L5" s="38"/>
      <c r="M5" s="1195"/>
      <c r="N5" s="1196"/>
      <c r="O5" s="1190"/>
      <c r="P5" s="1196"/>
      <c r="Q5" s="1196"/>
      <c r="R5" s="1196"/>
      <c r="S5" s="1196"/>
      <c r="T5" s="1196"/>
      <c r="U5" s="1197"/>
    </row>
    <row r="6" spans="1:21" x14ac:dyDescent="0.2">
      <c r="B6" s="518"/>
      <c r="C6" s="520"/>
      <c r="D6" s="520"/>
      <c r="E6" s="476"/>
      <c r="F6" s="476"/>
      <c r="G6" s="46"/>
      <c r="H6" s="1896"/>
      <c r="I6" s="1896"/>
      <c r="J6" s="1896"/>
      <c r="K6" s="1896"/>
      <c r="M6" s="1567" t="s">
        <v>323</v>
      </c>
      <c r="N6" s="131"/>
      <c r="U6" s="1198"/>
    </row>
    <row r="7" spans="1:21" x14ac:dyDescent="0.2">
      <c r="B7" s="152" t="s">
        <v>256</v>
      </c>
      <c r="C7" s="465"/>
      <c r="D7" s="465"/>
      <c r="E7" s="465"/>
      <c r="F7" s="465"/>
      <c r="G7" s="465"/>
      <c r="H7" s="465" t="s">
        <v>258</v>
      </c>
      <c r="J7" s="465"/>
      <c r="K7" s="465"/>
      <c r="L7" s="38"/>
      <c r="M7" s="1199"/>
      <c r="N7" s="131"/>
      <c r="U7" s="1198"/>
    </row>
    <row r="8" spans="1:21" x14ac:dyDescent="0.2">
      <c r="B8" s="1872">
        <f>'1. T1 INVESTERINGSP.'!B9:D9</f>
        <v>0</v>
      </c>
      <c r="C8" s="1872"/>
      <c r="D8" s="1872"/>
      <c r="E8" s="1872"/>
      <c r="F8" s="1872"/>
      <c r="G8" s="466"/>
      <c r="H8" s="519">
        <f>'1. T1 INVESTERINGSP.'!E4</f>
        <v>0</v>
      </c>
      <c r="I8" s="46"/>
      <c r="J8" s="46"/>
      <c r="K8" s="46"/>
      <c r="M8" s="1199"/>
      <c r="N8" s="131"/>
      <c r="O8" s="362"/>
      <c r="P8" s="131"/>
      <c r="Q8" s="131"/>
      <c r="R8" s="131"/>
      <c r="S8" s="131"/>
      <c r="T8" s="131"/>
      <c r="U8" s="1198"/>
    </row>
    <row r="9" spans="1:21" ht="13.5" thickBot="1" x14ac:dyDescent="0.25">
      <c r="B9" s="33"/>
      <c r="M9" s="1199"/>
      <c r="N9" s="131"/>
      <c r="O9" s="131"/>
      <c r="P9" s="131"/>
      <c r="Q9" s="131"/>
      <c r="R9" s="131"/>
      <c r="S9" s="131"/>
      <c r="T9" s="131"/>
      <c r="U9" s="1198"/>
    </row>
    <row r="10" spans="1:21" ht="12.75" customHeight="1" x14ac:dyDescent="0.2">
      <c r="B10" s="1900" t="s">
        <v>763</v>
      </c>
      <c r="C10" s="1901"/>
      <c r="D10" s="1075"/>
      <c r="E10" s="1076"/>
      <c r="F10" s="1077" t="s">
        <v>321</v>
      </c>
      <c r="G10" s="1077" t="s">
        <v>321</v>
      </c>
      <c r="H10" s="1077" t="s">
        <v>276</v>
      </c>
      <c r="I10" s="1077" t="s">
        <v>277</v>
      </c>
      <c r="J10" s="1078" t="s">
        <v>278</v>
      </c>
      <c r="K10" s="1079" t="s">
        <v>279</v>
      </c>
      <c r="M10" s="1881" t="s">
        <v>763</v>
      </c>
      <c r="N10" s="1882"/>
      <c r="O10" s="1882"/>
      <c r="P10" s="1882"/>
      <c r="Q10" s="1882"/>
      <c r="R10" s="1882"/>
      <c r="S10" s="1882"/>
      <c r="T10" s="1882"/>
      <c r="U10" s="1883"/>
    </row>
    <row r="11" spans="1:21" ht="12.75" customHeight="1" x14ac:dyDescent="0.2">
      <c r="A11"/>
      <c r="B11" s="1902"/>
      <c r="C11" s="1903"/>
      <c r="D11" s="1080"/>
      <c r="E11" s="1080"/>
      <c r="F11" s="1081">
        <f>'2. &amp; 7. T2 RESULTATB.'!E8</f>
        <v>2023</v>
      </c>
      <c r="G11" s="1081">
        <f>'2. &amp; 7. T2 RESULTATB.'!G8</f>
        <v>2024</v>
      </c>
      <c r="H11" s="1081">
        <f>'2. &amp; 7. T2 RESULTATB.'!I8</f>
        <v>2027</v>
      </c>
      <c r="I11" s="1081">
        <f>'2. &amp; 7. T2 RESULTATB.'!K8</f>
        <v>2028</v>
      </c>
      <c r="J11" s="1081">
        <f>'2. &amp; 7. T2 RESULTATB.'!M8</f>
        <v>2029</v>
      </c>
      <c r="K11" s="1082">
        <f>'2. &amp; 7. T2 RESULTATB.'!O8</f>
        <v>2030</v>
      </c>
      <c r="M11" s="1881"/>
      <c r="N11" s="1882"/>
      <c r="O11" s="1882"/>
      <c r="P11" s="1882"/>
      <c r="Q11" s="1882"/>
      <c r="R11" s="1882"/>
      <c r="S11" s="1882"/>
      <c r="T11" s="1882"/>
      <c r="U11" s="1883"/>
    </row>
    <row r="12" spans="1:21" ht="12.75" customHeight="1" thickBot="1" x14ac:dyDescent="0.3">
      <c r="A12" s="46"/>
      <c r="B12" s="1904"/>
      <c r="C12" s="1905"/>
      <c r="D12" s="1897"/>
      <c r="E12" s="1897"/>
      <c r="F12" s="1097" t="s">
        <v>15</v>
      </c>
      <c r="G12" s="1097" t="s">
        <v>15</v>
      </c>
      <c r="H12" s="1097" t="s">
        <v>15</v>
      </c>
      <c r="I12" s="1097" t="s">
        <v>15</v>
      </c>
      <c r="J12" s="1098" t="s">
        <v>15</v>
      </c>
      <c r="K12" s="1099" t="s">
        <v>15</v>
      </c>
      <c r="M12" s="354"/>
      <c r="N12" s="302"/>
      <c r="O12" s="302"/>
      <c r="P12" s="302"/>
      <c r="Q12" s="302"/>
      <c r="R12" s="302"/>
      <c r="S12" s="302"/>
      <c r="T12" s="302"/>
      <c r="U12" s="436"/>
    </row>
    <row r="13" spans="1:21" x14ac:dyDescent="0.2">
      <c r="A13"/>
      <c r="B13" s="912" t="s">
        <v>69</v>
      </c>
      <c r="C13" s="247" t="s">
        <v>329</v>
      </c>
      <c r="D13" s="247"/>
      <c r="E13" s="913"/>
      <c r="F13" s="914">
        <f t="shared" ref="F13:K13" si="0">F14+F18+F34</f>
        <v>0</v>
      </c>
      <c r="G13" s="914">
        <f>G14+G18+G34</f>
        <v>0</v>
      </c>
      <c r="H13" s="914">
        <f t="shared" si="0"/>
        <v>0</v>
      </c>
      <c r="I13" s="914">
        <f t="shared" si="0"/>
        <v>0</v>
      </c>
      <c r="J13" s="915">
        <f t="shared" si="0"/>
        <v>0</v>
      </c>
      <c r="K13" s="926">
        <f t="shared" si="0"/>
        <v>0</v>
      </c>
      <c r="M13" s="354"/>
      <c r="N13" s="302"/>
      <c r="O13" s="302"/>
      <c r="P13" s="302"/>
      <c r="Q13" s="302"/>
      <c r="R13" s="302"/>
      <c r="S13" s="302"/>
      <c r="T13" s="302"/>
      <c r="U13" s="436"/>
    </row>
    <row r="14" spans="1:21" x14ac:dyDescent="0.2">
      <c r="A14" s="46"/>
      <c r="B14" s="181" t="s">
        <v>147</v>
      </c>
      <c r="C14" s="182" t="s">
        <v>330</v>
      </c>
      <c r="D14" s="182"/>
      <c r="E14" s="183"/>
      <c r="F14" s="837">
        <v>0</v>
      </c>
      <c r="G14" s="837"/>
      <c r="H14" s="707">
        <f>G14+H15-H16-H17</f>
        <v>0</v>
      </c>
      <c r="I14" s="707">
        <f>H14+I15-I16-I17</f>
        <v>0</v>
      </c>
      <c r="J14" s="838">
        <f>I14+J15-J16-J17</f>
        <v>0</v>
      </c>
      <c r="K14" s="309">
        <f>J14+K15-K16-K17</f>
        <v>0</v>
      </c>
      <c r="M14" s="354"/>
      <c r="N14" s="302"/>
      <c r="O14" s="302"/>
      <c r="P14" s="302"/>
      <c r="Q14" s="302"/>
      <c r="R14" s="302"/>
      <c r="S14" s="302"/>
      <c r="T14" s="302"/>
      <c r="U14" s="436"/>
    </row>
    <row r="15" spans="1:21" x14ac:dyDescent="0.2">
      <c r="A15" s="2"/>
      <c r="B15" s="184" t="s">
        <v>0</v>
      </c>
      <c r="C15" s="210" t="s">
        <v>331</v>
      </c>
      <c r="D15" s="210"/>
      <c r="E15" s="211" t="s">
        <v>17</v>
      </c>
      <c r="F15" s="907"/>
      <c r="G15" s="907"/>
      <c r="H15" s="609">
        <f>'AT1 Avustus, alv-laskenta '!C47</f>
        <v>0</v>
      </c>
      <c r="I15" s="609">
        <f>'AT1 Avustus, alv-laskenta '!D47</f>
        <v>0</v>
      </c>
      <c r="J15" s="839">
        <f>'AT1 Avustus, alv-laskenta '!E47</f>
        <v>0</v>
      </c>
      <c r="K15" s="610">
        <f>'AT1 Avustus, alv-laskenta '!F47</f>
        <v>0</v>
      </c>
      <c r="M15" s="1876" t="s">
        <v>341</v>
      </c>
      <c r="N15" s="1877"/>
      <c r="O15" s="1877"/>
      <c r="P15" s="1877"/>
      <c r="Q15" s="302"/>
      <c r="R15" s="302"/>
      <c r="S15" s="302"/>
      <c r="T15" s="302"/>
      <c r="U15" s="436"/>
    </row>
    <row r="16" spans="1:21" x14ac:dyDescent="0.2">
      <c r="A16" s="46"/>
      <c r="B16" s="184" t="s">
        <v>0</v>
      </c>
      <c r="C16" s="1866" t="s">
        <v>332</v>
      </c>
      <c r="D16" s="1866"/>
      <c r="E16" s="212" t="s">
        <v>18</v>
      </c>
      <c r="F16" s="907"/>
      <c r="G16" s="907"/>
      <c r="H16" s="622">
        <v>0</v>
      </c>
      <c r="I16" s="622">
        <v>0</v>
      </c>
      <c r="J16" s="840"/>
      <c r="K16" s="623"/>
      <c r="M16" s="385">
        <f>H$11</f>
        <v>2027</v>
      </c>
      <c r="N16" s="385">
        <f>I$11</f>
        <v>2028</v>
      </c>
      <c r="O16" s="385">
        <f>J$11</f>
        <v>2029</v>
      </c>
      <c r="P16" s="385">
        <f>K$11</f>
        <v>2030</v>
      </c>
      <c r="Q16" s="302"/>
      <c r="R16" s="302"/>
      <c r="S16" s="302"/>
      <c r="T16" s="302"/>
      <c r="U16" s="436"/>
    </row>
    <row r="17" spans="1:21" x14ac:dyDescent="0.2">
      <c r="A17"/>
      <c r="B17" s="169"/>
      <c r="C17" s="170" t="s">
        <v>333</v>
      </c>
      <c r="D17" s="185" t="s">
        <v>334</v>
      </c>
      <c r="E17" s="1347">
        <v>0.2</v>
      </c>
      <c r="F17" s="907"/>
      <c r="G17" s="907"/>
      <c r="H17" s="622">
        <f>(G14+H15*M17/12-H16)*$E$17</f>
        <v>0</v>
      </c>
      <c r="I17" s="622">
        <f>(H14+I15*N17/12-I16)*$E$17</f>
        <v>0</v>
      </c>
      <c r="J17" s="622">
        <f>(I14+J15*O17/12-J16)*$E$17</f>
        <v>0</v>
      </c>
      <c r="K17" s="623">
        <f>(J14+K15*P17/12-K16)*$E$17</f>
        <v>0</v>
      </c>
      <c r="M17" s="386">
        <v>12</v>
      </c>
      <c r="N17" s="386">
        <v>12</v>
      </c>
      <c r="O17" s="386">
        <v>12</v>
      </c>
      <c r="P17" s="386">
        <v>12</v>
      </c>
      <c r="Q17" s="302"/>
      <c r="R17" s="302"/>
      <c r="S17" s="302"/>
      <c r="T17" s="302"/>
      <c r="U17" s="436"/>
    </row>
    <row r="18" spans="1:21" x14ac:dyDescent="0.2">
      <c r="A18" s="46"/>
      <c r="B18" s="181" t="s">
        <v>148</v>
      </c>
      <c r="C18" s="419" t="s">
        <v>335</v>
      </c>
      <c r="D18" s="419"/>
      <c r="E18" s="420"/>
      <c r="F18" s="841">
        <f t="shared" ref="F18:K18" si="1">F19+F22+F26+F30</f>
        <v>0</v>
      </c>
      <c r="G18" s="841">
        <f t="shared" si="1"/>
        <v>0</v>
      </c>
      <c r="H18" s="841">
        <f t="shared" si="1"/>
        <v>0</v>
      </c>
      <c r="I18" s="841">
        <f t="shared" si="1"/>
        <v>0</v>
      </c>
      <c r="J18" s="842">
        <f t="shared" si="1"/>
        <v>0</v>
      </c>
      <c r="K18" s="843">
        <f t="shared" si="1"/>
        <v>0</v>
      </c>
      <c r="M18" s="354"/>
      <c r="N18" s="302"/>
      <c r="O18" s="302"/>
      <c r="P18" s="302"/>
      <c r="Q18" s="302"/>
      <c r="R18" s="302"/>
      <c r="S18" s="302"/>
      <c r="T18" s="302"/>
      <c r="U18" s="436"/>
    </row>
    <row r="19" spans="1:21" x14ac:dyDescent="0.2">
      <c r="A19"/>
      <c r="B19" s="184" t="s">
        <v>0</v>
      </c>
      <c r="C19" s="417" t="s">
        <v>336</v>
      </c>
      <c r="D19" s="417"/>
      <c r="E19" s="418"/>
      <c r="F19" s="837">
        <v>0</v>
      </c>
      <c r="G19" s="837"/>
      <c r="H19" s="707">
        <f>G19+H20-H21</f>
        <v>0</v>
      </c>
      <c r="I19" s="707">
        <f>H19+I20-I21</f>
        <v>0</v>
      </c>
      <c r="J19" s="838">
        <f>I19+J20-J21</f>
        <v>0</v>
      </c>
      <c r="K19" s="309">
        <f>J19+K20-K21</f>
        <v>0</v>
      </c>
      <c r="M19" s="354"/>
      <c r="N19" s="302"/>
      <c r="O19" s="302"/>
      <c r="P19" s="302"/>
      <c r="Q19" s="302"/>
      <c r="R19" s="302"/>
      <c r="S19" s="302"/>
      <c r="T19" s="302"/>
      <c r="U19" s="436"/>
    </row>
    <row r="20" spans="1:21" x14ac:dyDescent="0.2">
      <c r="A20" s="46"/>
      <c r="B20" s="184" t="s">
        <v>0</v>
      </c>
      <c r="C20" s="210" t="s">
        <v>331</v>
      </c>
      <c r="D20" s="210"/>
      <c r="E20" s="213" t="s">
        <v>17</v>
      </c>
      <c r="F20" s="907"/>
      <c r="G20" s="907"/>
      <c r="H20" s="609">
        <f>'AT1 Avustus, alv-laskenta '!C7</f>
        <v>0</v>
      </c>
      <c r="I20" s="609">
        <f>'AT1 Avustus, alv-laskenta '!D7</f>
        <v>0</v>
      </c>
      <c r="J20" s="839">
        <f>'AT1 Avustus, alv-laskenta '!E7</f>
        <v>0</v>
      </c>
      <c r="K20" s="610">
        <f>'AT1 Avustus, alv-laskenta '!F7</f>
        <v>0</v>
      </c>
      <c r="M20" s="1200"/>
      <c r="N20" s="302"/>
      <c r="O20" s="302"/>
      <c r="P20" s="302"/>
      <c r="Q20" s="302"/>
      <c r="R20" s="302"/>
      <c r="S20" s="302"/>
      <c r="T20" s="302"/>
      <c r="U20" s="436"/>
    </row>
    <row r="21" spans="1:21" x14ac:dyDescent="0.2">
      <c r="A21" s="2"/>
      <c r="B21" s="184" t="s">
        <v>0</v>
      </c>
      <c r="C21" s="1866" t="s">
        <v>332</v>
      </c>
      <c r="D21" s="1866"/>
      <c r="E21" s="212" t="s">
        <v>18</v>
      </c>
      <c r="F21" s="907"/>
      <c r="G21" s="907"/>
      <c r="H21" s="622">
        <v>0</v>
      </c>
      <c r="I21" s="622">
        <v>0</v>
      </c>
      <c r="J21" s="840"/>
      <c r="K21" s="623"/>
      <c r="M21" s="354"/>
      <c r="N21" s="302"/>
      <c r="O21" s="302"/>
      <c r="P21" s="302"/>
      <c r="Q21" s="302"/>
      <c r="R21" s="302"/>
      <c r="S21" s="302"/>
      <c r="T21" s="302"/>
      <c r="U21" s="436"/>
    </row>
    <row r="22" spans="1:21" x14ac:dyDescent="0.2">
      <c r="A22" s="46"/>
      <c r="B22" s="184"/>
      <c r="C22" s="904" t="s">
        <v>337</v>
      </c>
      <c r="D22" s="904"/>
      <c r="E22" s="214"/>
      <c r="F22" s="837">
        <v>0</v>
      </c>
      <c r="G22" s="837"/>
      <c r="H22" s="707">
        <f>G22+H23-H24-H25</f>
        <v>0</v>
      </c>
      <c r="I22" s="707">
        <f>H22+I23-I24-I25</f>
        <v>0</v>
      </c>
      <c r="J22" s="838">
        <f>I22+J23-J24-J25</f>
        <v>0</v>
      </c>
      <c r="K22" s="309">
        <f>J22+K23-K24-K25</f>
        <v>0</v>
      </c>
      <c r="M22" s="354"/>
      <c r="N22" s="302"/>
      <c r="O22" s="302"/>
      <c r="P22" s="302"/>
      <c r="Q22" s="302"/>
      <c r="R22" s="302"/>
      <c r="S22" s="302"/>
      <c r="T22" s="302"/>
      <c r="U22" s="436"/>
    </row>
    <row r="23" spans="1:21" x14ac:dyDescent="0.2">
      <c r="A23"/>
      <c r="B23" s="184" t="s">
        <v>0</v>
      </c>
      <c r="C23" s="210" t="s">
        <v>331</v>
      </c>
      <c r="D23" s="210"/>
      <c r="E23" s="213" t="s">
        <v>17</v>
      </c>
      <c r="F23" s="907"/>
      <c r="G23" s="907"/>
      <c r="H23" s="609">
        <f>'AT1 Avustus, alv-laskenta '!C14+'AT1 Avustus, alv-laskenta '!C18</f>
        <v>0</v>
      </c>
      <c r="I23" s="609">
        <f>'AT1 Avustus, alv-laskenta '!D14+'AT1 Avustus, alv-laskenta '!D18</f>
        <v>0</v>
      </c>
      <c r="J23" s="839">
        <f>'AT1 Avustus, alv-laskenta '!E14+'AT1 Avustus, alv-laskenta '!E18</f>
        <v>0</v>
      </c>
      <c r="K23" s="610">
        <f>'AT1 Avustus, alv-laskenta '!F14+'AT1 Avustus, alv-laskenta '!F18</f>
        <v>0</v>
      </c>
      <c r="M23" s="1876" t="s">
        <v>341</v>
      </c>
      <c r="N23" s="1877"/>
      <c r="O23" s="1877"/>
      <c r="P23" s="1877"/>
      <c r="Q23" s="302"/>
      <c r="R23" s="302"/>
      <c r="S23" s="302"/>
      <c r="T23" s="302"/>
      <c r="U23" s="436"/>
    </row>
    <row r="24" spans="1:21" x14ac:dyDescent="0.2">
      <c r="A24" s="46"/>
      <c r="B24" s="184" t="s">
        <v>0</v>
      </c>
      <c r="C24" s="1866" t="s">
        <v>332</v>
      </c>
      <c r="D24" s="1866"/>
      <c r="E24" s="212" t="s">
        <v>18</v>
      </c>
      <c r="F24" s="907"/>
      <c r="G24" s="907"/>
      <c r="H24" s="622">
        <v>0</v>
      </c>
      <c r="I24" s="622"/>
      <c r="J24" s="840"/>
      <c r="K24" s="623"/>
      <c r="M24" s="385">
        <f>H$11</f>
        <v>2027</v>
      </c>
      <c r="N24" s="385">
        <f>I$11</f>
        <v>2028</v>
      </c>
      <c r="O24" s="385">
        <f>J$11</f>
        <v>2029</v>
      </c>
      <c r="P24" s="385">
        <f>K$11</f>
        <v>2030</v>
      </c>
      <c r="Q24" s="302"/>
      <c r="R24" s="302"/>
      <c r="S24" s="302"/>
      <c r="T24" s="302"/>
      <c r="U24" s="436"/>
    </row>
    <row r="25" spans="1:21" x14ac:dyDescent="0.2">
      <c r="A25"/>
      <c r="B25" s="184"/>
      <c r="C25" s="210" t="s">
        <v>333</v>
      </c>
      <c r="D25" s="215" t="s">
        <v>334</v>
      </c>
      <c r="E25" s="1348">
        <v>7.0000000000000007E-2</v>
      </c>
      <c r="F25" s="907"/>
      <c r="G25" s="907"/>
      <c r="H25" s="622">
        <f>(G22+H23*M25/12-H24)*$E$25</f>
        <v>0</v>
      </c>
      <c r="I25" s="622">
        <f>(H22+I23*N25/12-I24)*$E$25</f>
        <v>0</v>
      </c>
      <c r="J25" s="622">
        <f>(I22+J23*O25/12-J24)*$E$25</f>
        <v>0</v>
      </c>
      <c r="K25" s="623">
        <f>(J22+K23*P25/12-K24)*$E$25</f>
        <v>0</v>
      </c>
      <c r="M25" s="386">
        <v>12</v>
      </c>
      <c r="N25" s="386">
        <v>12</v>
      </c>
      <c r="O25" s="386">
        <v>12</v>
      </c>
      <c r="P25" s="386">
        <v>12</v>
      </c>
      <c r="Q25" s="302"/>
      <c r="R25" s="302"/>
      <c r="S25" s="302"/>
      <c r="T25" s="302"/>
      <c r="U25" s="436"/>
    </row>
    <row r="26" spans="1:21" x14ac:dyDescent="0.2">
      <c r="A26" s="46"/>
      <c r="B26" s="184"/>
      <c r="C26" s="904" t="s">
        <v>338</v>
      </c>
      <c r="D26" s="904"/>
      <c r="E26" s="214"/>
      <c r="F26" s="844">
        <v>0</v>
      </c>
      <c r="G26" s="844"/>
      <c r="H26" s="707">
        <f>G26+H27-H28-H29</f>
        <v>0</v>
      </c>
      <c r="I26" s="707">
        <f>H26+I27-I28-I29</f>
        <v>0</v>
      </c>
      <c r="J26" s="838">
        <f>I26+J27-J28-J29</f>
        <v>0</v>
      </c>
      <c r="K26" s="309">
        <f>J26+K27-K28-K29</f>
        <v>0</v>
      </c>
      <c r="M26" s="1201"/>
      <c r="N26" s="298"/>
      <c r="O26" s="298"/>
      <c r="P26" s="298"/>
      <c r="Q26" s="302"/>
      <c r="R26" s="302"/>
      <c r="S26" s="302"/>
      <c r="T26" s="302"/>
      <c r="U26" s="436"/>
    </row>
    <row r="27" spans="1:21" x14ac:dyDescent="0.2">
      <c r="A27" s="2"/>
      <c r="B27" s="184" t="s">
        <v>0</v>
      </c>
      <c r="C27" s="210" t="s">
        <v>331</v>
      </c>
      <c r="D27" s="210"/>
      <c r="E27" s="213" t="s">
        <v>17</v>
      </c>
      <c r="F27" s="907"/>
      <c r="G27" s="907"/>
      <c r="H27" s="609">
        <f>'AT1 Avustus, alv-laskenta '!C27+'AT1 Avustus, alv-laskenta '!C33</f>
        <v>0</v>
      </c>
      <c r="I27" s="609">
        <f>'AT1 Avustus, alv-laskenta '!D27+'AT1 Avustus, alv-laskenta '!D33</f>
        <v>0</v>
      </c>
      <c r="J27" s="609">
        <f>'AT1 Avustus, alv-laskenta '!E27+'AT1 Avustus, alv-laskenta '!E33</f>
        <v>0</v>
      </c>
      <c r="K27" s="610">
        <f>'AT1 Avustus, alv-laskenta '!F27+'AT1 Avustus, alv-laskenta '!F33</f>
        <v>0</v>
      </c>
      <c r="M27" s="1876" t="s">
        <v>341</v>
      </c>
      <c r="N27" s="1877"/>
      <c r="O27" s="1877"/>
      <c r="P27" s="1877"/>
      <c r="Q27" s="302"/>
      <c r="R27" s="302"/>
      <c r="S27" s="302"/>
      <c r="T27" s="302"/>
      <c r="U27" s="436"/>
    </row>
    <row r="28" spans="1:21" x14ac:dyDescent="0.2">
      <c r="A28" s="46"/>
      <c r="B28" s="184" t="s">
        <v>0</v>
      </c>
      <c r="C28" s="1866" t="s">
        <v>339</v>
      </c>
      <c r="D28" s="1866"/>
      <c r="E28" s="212" t="s">
        <v>18</v>
      </c>
      <c r="F28" s="907"/>
      <c r="G28" s="907"/>
      <c r="H28" s="622">
        <v>0</v>
      </c>
      <c r="I28" s="622"/>
      <c r="J28" s="840">
        <v>0</v>
      </c>
      <c r="K28" s="623"/>
      <c r="M28" s="385">
        <f>H$11</f>
        <v>2027</v>
      </c>
      <c r="N28" s="385">
        <f>I$11</f>
        <v>2028</v>
      </c>
      <c r="O28" s="385">
        <f>J$11</f>
        <v>2029</v>
      </c>
      <c r="P28" s="385">
        <f>K$11</f>
        <v>2030</v>
      </c>
      <c r="Q28" s="302"/>
      <c r="R28" s="302"/>
      <c r="S28" s="302"/>
      <c r="T28" s="302"/>
      <c r="U28" s="436"/>
    </row>
    <row r="29" spans="1:21" x14ac:dyDescent="0.2">
      <c r="A29"/>
      <c r="B29" s="184"/>
      <c r="C29" s="210" t="s">
        <v>333</v>
      </c>
      <c r="D29" s="215" t="s">
        <v>334</v>
      </c>
      <c r="E29" s="1348">
        <v>0.2</v>
      </c>
      <c r="F29" s="845"/>
      <c r="G29" s="845"/>
      <c r="H29" s="622">
        <f>(G26+H27*M29/12-H28)*$E$29</f>
        <v>0</v>
      </c>
      <c r="I29" s="622">
        <f>(H26+I27*N29/12-I28)*$E$29</f>
        <v>0</v>
      </c>
      <c r="J29" s="622">
        <f>(I26+J27*O29/12-J28)*$E$29</f>
        <v>0</v>
      </c>
      <c r="K29" s="623">
        <f>(J26+K27*P29/12-K28)*$E$29</f>
        <v>0</v>
      </c>
      <c r="M29" s="386">
        <v>12</v>
      </c>
      <c r="N29" s="386">
        <v>12</v>
      </c>
      <c r="O29" s="386">
        <v>12</v>
      </c>
      <c r="P29" s="386">
        <v>12</v>
      </c>
      <c r="Q29" s="302"/>
      <c r="R29" s="302"/>
      <c r="S29" s="302"/>
      <c r="T29" s="302"/>
      <c r="U29" s="436"/>
    </row>
    <row r="30" spans="1:21" x14ac:dyDescent="0.2">
      <c r="A30" s="46"/>
      <c r="B30" s="184"/>
      <c r="C30" s="1878" t="s">
        <v>340</v>
      </c>
      <c r="D30" s="1878"/>
      <c r="E30" s="1879"/>
      <c r="F30" s="837">
        <v>0</v>
      </c>
      <c r="G30" s="837"/>
      <c r="H30" s="707">
        <f>G30+H31-H32-H33</f>
        <v>0</v>
      </c>
      <c r="I30" s="707">
        <f>H30+I31-I32-I33</f>
        <v>0</v>
      </c>
      <c r="J30" s="838">
        <f>I30+J31-J32-J33</f>
        <v>0</v>
      </c>
      <c r="K30" s="309">
        <f>J30+K31-K32-K33</f>
        <v>0</v>
      </c>
      <c r="M30" s="1201"/>
      <c r="N30" s="298"/>
      <c r="O30" s="298"/>
      <c r="P30" s="298"/>
      <c r="Q30" s="302"/>
      <c r="R30" s="302"/>
      <c r="S30" s="302"/>
      <c r="T30" s="302"/>
      <c r="U30" s="436"/>
    </row>
    <row r="31" spans="1:21" x14ac:dyDescent="0.2">
      <c r="A31" s="2"/>
      <c r="B31" s="184" t="s">
        <v>0</v>
      </c>
      <c r="C31" s="210" t="s">
        <v>331</v>
      </c>
      <c r="D31" s="210"/>
      <c r="E31" s="213" t="s">
        <v>17</v>
      </c>
      <c r="F31" s="907"/>
      <c r="G31" s="907"/>
      <c r="H31" s="609">
        <f>'AT1 Avustus, alv-laskenta '!C40</f>
        <v>0</v>
      </c>
      <c r="I31" s="609">
        <f>'AT1 Avustus, alv-laskenta '!D40</f>
        <v>0</v>
      </c>
      <c r="J31" s="839">
        <f>'AT1 Avustus, alv-laskenta '!E40</f>
        <v>0</v>
      </c>
      <c r="K31" s="610">
        <f>'AT1 Avustus, alv-laskenta '!F40</f>
        <v>0</v>
      </c>
      <c r="M31" s="1876" t="s">
        <v>341</v>
      </c>
      <c r="N31" s="1877"/>
      <c r="O31" s="1877"/>
      <c r="P31" s="1877"/>
      <c r="Q31" s="302"/>
      <c r="R31" s="302"/>
      <c r="S31" s="302"/>
      <c r="T31" s="302"/>
      <c r="U31" s="436"/>
    </row>
    <row r="32" spans="1:21" x14ac:dyDescent="0.2">
      <c r="A32" s="46"/>
      <c r="B32" s="184" t="s">
        <v>0</v>
      </c>
      <c r="C32" s="1866" t="s">
        <v>332</v>
      </c>
      <c r="D32" s="1866"/>
      <c r="E32" s="212" t="s">
        <v>18</v>
      </c>
      <c r="F32" s="907"/>
      <c r="G32" s="907"/>
      <c r="H32" s="622">
        <v>0</v>
      </c>
      <c r="I32" s="622">
        <v>0</v>
      </c>
      <c r="J32" s="840"/>
      <c r="K32" s="623"/>
      <c r="M32" s="385">
        <f>H$11</f>
        <v>2027</v>
      </c>
      <c r="N32" s="385">
        <f>I$11</f>
        <v>2028</v>
      </c>
      <c r="O32" s="385">
        <f>J$11</f>
        <v>2029</v>
      </c>
      <c r="P32" s="385">
        <f>K$11</f>
        <v>2030</v>
      </c>
      <c r="Q32" s="302"/>
      <c r="R32" s="302"/>
      <c r="S32" s="302"/>
      <c r="T32" s="302"/>
      <c r="U32" s="436"/>
    </row>
    <row r="33" spans="1:23" x14ac:dyDescent="0.2">
      <c r="B33" s="169"/>
      <c r="C33" s="170" t="s">
        <v>333</v>
      </c>
      <c r="D33" s="185" t="s">
        <v>334</v>
      </c>
      <c r="E33" s="1347">
        <v>0.2</v>
      </c>
      <c r="F33" s="907"/>
      <c r="G33" s="907"/>
      <c r="H33" s="622">
        <f>(G30+H31*M33/12-H32)*$E$33</f>
        <v>0</v>
      </c>
      <c r="I33" s="622">
        <f>(H30+I31*N33/12-I32)*$E$33</f>
        <v>0</v>
      </c>
      <c r="J33" s="622">
        <f>(I30+J31*O33/12-J32)*$E$33</f>
        <v>0</v>
      </c>
      <c r="K33" s="623">
        <f>(J30+K31*P33/12-K32)*$E$33</f>
        <v>0</v>
      </c>
      <c r="M33" s="386">
        <v>12</v>
      </c>
      <c r="N33" s="386">
        <v>12</v>
      </c>
      <c r="O33" s="386">
        <v>12</v>
      </c>
      <c r="P33" s="386">
        <v>12</v>
      </c>
      <c r="Q33" s="302"/>
      <c r="R33" s="302"/>
      <c r="S33" s="302"/>
      <c r="T33" s="302"/>
      <c r="U33" s="436"/>
    </row>
    <row r="34" spans="1:23" x14ac:dyDescent="0.2">
      <c r="B34" s="181" t="s">
        <v>149</v>
      </c>
      <c r="C34" s="419" t="s">
        <v>271</v>
      </c>
      <c r="D34" s="421"/>
      <c r="E34" s="1474"/>
      <c r="F34" s="846">
        <v>0</v>
      </c>
      <c r="G34" s="846">
        <v>0</v>
      </c>
      <c r="H34" s="707">
        <f>G34+H35-H36</f>
        <v>0</v>
      </c>
      <c r="I34" s="707">
        <f>H34+I35-I36</f>
        <v>0</v>
      </c>
      <c r="J34" s="707">
        <f>I34+J35-J36</f>
        <v>0</v>
      </c>
      <c r="K34" s="309">
        <f>J34+K35-K36</f>
        <v>0</v>
      </c>
      <c r="M34" s="354"/>
      <c r="N34" s="302"/>
      <c r="O34" s="302"/>
      <c r="P34" s="302"/>
      <c r="Q34" s="302"/>
      <c r="R34" s="302"/>
      <c r="S34" s="302"/>
      <c r="T34" s="302"/>
      <c r="U34" s="436"/>
    </row>
    <row r="35" spans="1:23" x14ac:dyDescent="0.2">
      <c r="B35" s="186"/>
      <c r="C35" s="415" t="s">
        <v>331</v>
      </c>
      <c r="D35" s="415"/>
      <c r="E35" s="416" t="s">
        <v>17</v>
      </c>
      <c r="F35" s="847"/>
      <c r="G35" s="847"/>
      <c r="H35" s="622">
        <f>'1. T1 INVESTERINGSP.'!D38</f>
        <v>0</v>
      </c>
      <c r="I35" s="622">
        <f>'1. T1 INVESTERINGSP.'!E38</f>
        <v>0</v>
      </c>
      <c r="J35" s="622">
        <f>'1. T1 INVESTERINGSP.'!F38</f>
        <v>0</v>
      </c>
      <c r="K35" s="623">
        <f>'1. T1 INVESTERINGSP.'!G38</f>
        <v>0</v>
      </c>
      <c r="M35" s="354"/>
      <c r="N35" s="302"/>
      <c r="O35" s="302"/>
      <c r="P35" s="302"/>
      <c r="Q35" s="302"/>
      <c r="R35" s="302"/>
      <c r="S35" s="302"/>
      <c r="T35" s="302"/>
      <c r="U35" s="436"/>
    </row>
    <row r="36" spans="1:23" ht="13.5" thickBot="1" x14ac:dyDescent="0.25">
      <c r="B36" s="207"/>
      <c r="C36" s="426" t="s">
        <v>339</v>
      </c>
      <c r="D36" s="426"/>
      <c r="E36" s="427" t="s">
        <v>18</v>
      </c>
      <c r="F36" s="848"/>
      <c r="G36" s="848"/>
      <c r="H36" s="849">
        <v>0</v>
      </c>
      <c r="I36" s="849">
        <v>0</v>
      </c>
      <c r="J36" s="849">
        <v>0</v>
      </c>
      <c r="K36" s="850">
        <v>0</v>
      </c>
      <c r="M36" s="354"/>
      <c r="N36" s="302"/>
      <c r="O36" s="302"/>
      <c r="P36" s="302"/>
      <c r="Q36" s="302"/>
      <c r="R36" s="302"/>
      <c r="S36" s="302"/>
      <c r="T36" s="302"/>
      <c r="U36" s="436"/>
    </row>
    <row r="37" spans="1:23" ht="6" customHeight="1" thickBot="1" x14ac:dyDescent="0.25">
      <c r="B37" s="199"/>
      <c r="C37" s="200"/>
      <c r="D37" s="201"/>
      <c r="E37" s="202"/>
      <c r="F37" s="202"/>
      <c r="G37" s="203"/>
      <c r="H37" s="203" t="s">
        <v>109</v>
      </c>
      <c r="I37" s="203"/>
      <c r="J37" s="203"/>
      <c r="K37" s="203"/>
      <c r="L37" s="119"/>
      <c r="M37" s="391"/>
      <c r="N37" s="155"/>
      <c r="O37" s="155"/>
      <c r="P37" s="155"/>
      <c r="Q37" s="155"/>
      <c r="R37" s="155"/>
      <c r="S37" s="155"/>
      <c r="T37" s="155"/>
      <c r="U37" s="323"/>
    </row>
    <row r="38" spans="1:23" x14ac:dyDescent="0.2">
      <c r="B38" s="644" t="s">
        <v>68</v>
      </c>
      <c r="C38" s="100" t="s">
        <v>343</v>
      </c>
      <c r="D38" s="100"/>
      <c r="E38" s="149"/>
      <c r="F38" s="836">
        <f t="shared" ref="F38:K38" si="2">F39+F41+F48+F49</f>
        <v>0</v>
      </c>
      <c r="G38" s="836">
        <f t="shared" si="2"/>
        <v>0</v>
      </c>
      <c r="H38" s="836">
        <f>H39+H41+H48+H49</f>
        <v>0</v>
      </c>
      <c r="I38" s="836">
        <f t="shared" si="2"/>
        <v>0</v>
      </c>
      <c r="J38" s="851">
        <f t="shared" si="2"/>
        <v>0</v>
      </c>
      <c r="K38" s="852">
        <f t="shared" si="2"/>
        <v>0</v>
      </c>
      <c r="M38" s="354"/>
      <c r="N38" s="302"/>
      <c r="O38" s="302"/>
      <c r="P38" s="302"/>
      <c r="Q38" s="302"/>
      <c r="R38" s="302"/>
      <c r="S38" s="302"/>
      <c r="T38" s="302"/>
      <c r="U38" s="436"/>
    </row>
    <row r="39" spans="1:23" x14ac:dyDescent="0.2">
      <c r="A39"/>
      <c r="B39" s="186" t="s">
        <v>150</v>
      </c>
      <c r="C39" s="216" t="s">
        <v>344</v>
      </c>
      <c r="D39" s="216"/>
      <c r="E39" s="211" t="s">
        <v>17</v>
      </c>
      <c r="F39" s="837">
        <v>0</v>
      </c>
      <c r="G39" s="837"/>
      <c r="H39" s="707">
        <f>'8. T4 FINANSIERINGSB.'!H49</f>
        <v>0</v>
      </c>
      <c r="I39" s="707">
        <f>'8. T4 FINANSIERINGSB.'!I49</f>
        <v>0</v>
      </c>
      <c r="J39" s="838">
        <f>'8. T4 FINANSIERINGSB.'!J49</f>
        <v>0</v>
      </c>
      <c r="K39" s="309">
        <f>'8. T4 FINANSIERINGSB.'!K49</f>
        <v>0</v>
      </c>
      <c r="M39" s="354"/>
      <c r="N39" s="302"/>
      <c r="O39" s="302"/>
      <c r="P39" s="302"/>
      <c r="Q39" s="302"/>
      <c r="R39" s="302"/>
      <c r="S39" s="302"/>
      <c r="T39" s="302"/>
      <c r="U39" s="436"/>
    </row>
    <row r="40" spans="1:23" x14ac:dyDescent="0.2">
      <c r="A40" s="6"/>
      <c r="B40" s="186"/>
      <c r="C40" s="1864" t="s">
        <v>345</v>
      </c>
      <c r="D40" s="1864"/>
      <c r="E40" s="1865"/>
      <c r="F40" s="855">
        <f>'8. T4 FINANSIERINGSB.'!F50</f>
        <v>0</v>
      </c>
      <c r="G40" s="855">
        <f>'8. T4 FINANSIERINGSB.'!G50</f>
        <v>0</v>
      </c>
      <c r="H40" s="855">
        <f>'8. T4 FINANSIERINGSB.'!H50</f>
        <v>0</v>
      </c>
      <c r="I40" s="855">
        <f>'8. T4 FINANSIERINGSB.'!I50</f>
        <v>0</v>
      </c>
      <c r="J40" s="855">
        <f>'8. T4 FINANSIERINGSB.'!J50</f>
        <v>0</v>
      </c>
      <c r="K40" s="856">
        <f>'8. T4 FINANSIERINGSB.'!K50</f>
        <v>0</v>
      </c>
      <c r="M40" s="354"/>
      <c r="N40" s="302"/>
      <c r="O40" s="302"/>
      <c r="P40" s="302"/>
      <c r="Q40" s="302"/>
      <c r="R40" s="302"/>
      <c r="S40" s="302"/>
      <c r="T40" s="302"/>
      <c r="U40" s="436"/>
    </row>
    <row r="41" spans="1:23" x14ac:dyDescent="0.2">
      <c r="B41" s="186" t="s">
        <v>148</v>
      </c>
      <c r="C41" s="1511" t="s">
        <v>346</v>
      </c>
      <c r="D41" s="1511"/>
      <c r="E41" s="1512" t="s">
        <v>17</v>
      </c>
      <c r="F41" s="707">
        <f t="shared" ref="F41:K41" si="3">F42+F46+F47+F44</f>
        <v>0</v>
      </c>
      <c r="G41" s="707">
        <f t="shared" si="3"/>
        <v>0</v>
      </c>
      <c r="H41" s="707">
        <f t="shared" si="3"/>
        <v>0</v>
      </c>
      <c r="I41" s="707">
        <f t="shared" si="3"/>
        <v>0</v>
      </c>
      <c r="J41" s="707">
        <f t="shared" si="3"/>
        <v>0</v>
      </c>
      <c r="K41" s="309">
        <f t="shared" si="3"/>
        <v>0</v>
      </c>
      <c r="M41" s="354"/>
      <c r="N41" s="302"/>
      <c r="O41" s="302"/>
      <c r="P41" s="302"/>
      <c r="Q41" s="302"/>
      <c r="R41" s="302"/>
      <c r="S41" s="302"/>
      <c r="T41" s="302"/>
      <c r="U41" s="436"/>
      <c r="W41">
        <v>0</v>
      </c>
    </row>
    <row r="42" spans="1:23" x14ac:dyDescent="0.2">
      <c r="B42" s="184" t="s">
        <v>0</v>
      </c>
      <c r="C42" s="1513" t="s">
        <v>347</v>
      </c>
      <c r="D42" s="1513"/>
      <c r="E42" s="1514" t="s">
        <v>17</v>
      </c>
      <c r="F42" s="622">
        <v>0</v>
      </c>
      <c r="G42" s="622"/>
      <c r="H42" s="609">
        <f>'8. T4 FINANSIERINGSB.'!H51</f>
        <v>0</v>
      </c>
      <c r="I42" s="609">
        <f>'8. T4 FINANSIERINGSB.'!I51</f>
        <v>0</v>
      </c>
      <c r="J42" s="839">
        <f>'8. T4 FINANSIERINGSB.'!J51</f>
        <v>0</v>
      </c>
      <c r="K42" s="610">
        <f>'8. T4 FINANSIERINGSB.'!K51</f>
        <v>0</v>
      </c>
      <c r="M42" s="354"/>
      <c r="N42" s="302"/>
      <c r="O42" s="302"/>
      <c r="P42" s="302"/>
      <c r="Q42" s="302"/>
      <c r="R42" s="302"/>
      <c r="S42" s="302"/>
      <c r="T42" s="302"/>
      <c r="U42" s="436"/>
    </row>
    <row r="43" spans="1:23" x14ac:dyDescent="0.2">
      <c r="B43" s="184"/>
      <c r="C43" s="1898" t="s">
        <v>348</v>
      </c>
      <c r="D43" s="1898"/>
      <c r="E43" s="1899"/>
      <c r="F43" s="853">
        <f>'8. T4 FINANSIERINGSB.'!F52</f>
        <v>0</v>
      </c>
      <c r="G43" s="853">
        <f>'8. T4 FINANSIERINGSB.'!G52</f>
        <v>0</v>
      </c>
      <c r="H43" s="853">
        <f>'8. T4 FINANSIERINGSB.'!H52</f>
        <v>0</v>
      </c>
      <c r="I43" s="853">
        <f>'8. T4 FINANSIERINGSB.'!I52</f>
        <v>0</v>
      </c>
      <c r="J43" s="853">
        <f>'8. T4 FINANSIERINGSB.'!J52</f>
        <v>0</v>
      </c>
      <c r="K43" s="854">
        <f>'8. T4 FINANSIERINGSB.'!K52</f>
        <v>0</v>
      </c>
      <c r="M43" s="354"/>
      <c r="N43" s="302"/>
      <c r="O43" s="302"/>
      <c r="P43" s="302"/>
      <c r="Q43" s="302"/>
      <c r="R43" s="302"/>
      <c r="S43" s="302"/>
      <c r="T43" s="302"/>
      <c r="U43" s="436"/>
    </row>
    <row r="44" spans="1:23" x14ac:dyDescent="0.2">
      <c r="B44" s="184"/>
      <c r="C44" s="1513" t="s">
        <v>349</v>
      </c>
      <c r="D44" s="1513"/>
      <c r="E44" s="1514" t="s">
        <v>17</v>
      </c>
      <c r="F44" s="622">
        <v>0</v>
      </c>
      <c r="G44" s="622">
        <v>0</v>
      </c>
      <c r="H44" s="609">
        <f>'8. T4 FINANSIERINGSB.'!H54</f>
        <v>0</v>
      </c>
      <c r="I44" s="609">
        <f>'8. T4 FINANSIERINGSB.'!I54</f>
        <v>0</v>
      </c>
      <c r="J44" s="609">
        <f>'8. T4 FINANSIERINGSB.'!J54</f>
        <v>0</v>
      </c>
      <c r="K44" s="610">
        <f>'8. T4 FINANSIERINGSB.'!K54</f>
        <v>0</v>
      </c>
      <c r="M44" s="354"/>
      <c r="N44" s="302"/>
      <c r="O44" s="302"/>
      <c r="P44" s="302"/>
      <c r="Q44" s="302"/>
      <c r="R44" s="302"/>
      <c r="S44" s="302"/>
      <c r="T44" s="302"/>
      <c r="U44" s="436"/>
    </row>
    <row r="45" spans="1:23" x14ac:dyDescent="0.2">
      <c r="A45" s="230"/>
      <c r="B45" s="184"/>
      <c r="C45" s="1864" t="s">
        <v>350</v>
      </c>
      <c r="D45" s="1864"/>
      <c r="E45" s="1865"/>
      <c r="F45" s="855">
        <f>'8. T4 FINANSIERINGSB.'!F55</f>
        <v>0</v>
      </c>
      <c r="G45" s="855">
        <f>'8. T4 FINANSIERINGSB.'!G55</f>
        <v>0</v>
      </c>
      <c r="H45" s="855">
        <f>'8. T4 FINANSIERINGSB.'!H55</f>
        <v>0</v>
      </c>
      <c r="I45" s="855">
        <f>'8. T4 FINANSIERINGSB.'!I55</f>
        <v>0</v>
      </c>
      <c r="J45" s="855">
        <f>'8. T4 FINANSIERINGSB.'!J55</f>
        <v>0</v>
      </c>
      <c r="K45" s="856">
        <f>'8. T4 FINANSIERINGSB.'!K55</f>
        <v>0</v>
      </c>
      <c r="M45" s="354"/>
      <c r="N45" s="302"/>
      <c r="O45" s="302"/>
      <c r="P45" s="302"/>
      <c r="Q45" s="302"/>
      <c r="R45" s="302"/>
      <c r="S45" s="302"/>
      <c r="T45" s="302"/>
      <c r="U45" s="436"/>
    </row>
    <row r="46" spans="1:23" x14ac:dyDescent="0.2">
      <c r="A46" s="230"/>
      <c r="B46" s="184"/>
      <c r="C46" s="1866" t="s">
        <v>351</v>
      </c>
      <c r="D46" s="1866"/>
      <c r="E46" s="213" t="s">
        <v>17</v>
      </c>
      <c r="F46" s="622">
        <v>0</v>
      </c>
      <c r="G46" s="622">
        <v>0</v>
      </c>
      <c r="H46" s="622">
        <v>0</v>
      </c>
      <c r="I46" s="622">
        <v>0</v>
      </c>
      <c r="J46" s="840">
        <v>0</v>
      </c>
      <c r="K46" s="623">
        <v>0</v>
      </c>
      <c r="M46" s="354">
        <v>0</v>
      </c>
      <c r="N46" s="302"/>
      <c r="O46" s="302"/>
      <c r="P46" s="302"/>
      <c r="Q46" s="302"/>
      <c r="R46" s="302"/>
      <c r="S46" s="302"/>
      <c r="T46" s="302"/>
      <c r="U46" s="436"/>
    </row>
    <row r="47" spans="1:23" x14ac:dyDescent="0.2">
      <c r="B47" s="184"/>
      <c r="C47" s="1866" t="s">
        <v>352</v>
      </c>
      <c r="D47" s="1866"/>
      <c r="E47" s="213" t="s">
        <v>17</v>
      </c>
      <c r="F47" s="622">
        <v>0</v>
      </c>
      <c r="G47" s="622"/>
      <c r="H47" s="622">
        <f>$S47*'2. &amp; 7. T2 RESULTATB.'!I11</f>
        <v>0</v>
      </c>
      <c r="I47" s="622">
        <f>$S47*'2. &amp; 7. T2 RESULTATB.'!K11</f>
        <v>0</v>
      </c>
      <c r="J47" s="622">
        <f>$S47*'2. &amp; 7. T2 RESULTATB.'!M11</f>
        <v>0</v>
      </c>
      <c r="K47" s="623">
        <f>$S47*'2. &amp; 7. T2 RESULTATB.'!O11</f>
        <v>0</v>
      </c>
      <c r="M47" s="1762" t="s">
        <v>342</v>
      </c>
      <c r="N47" s="1202"/>
      <c r="O47" s="1202"/>
      <c r="P47" s="1202"/>
      <c r="Q47" s="1202"/>
      <c r="S47" s="1203">
        <f>IF(G47=0,0,G47/'2. &amp; 7. T2 RESULTATB.'!G11)</f>
        <v>0</v>
      </c>
      <c r="T47" s="297"/>
      <c r="U47" s="1204"/>
    </row>
    <row r="48" spans="1:23" x14ac:dyDescent="0.2">
      <c r="A48" s="230"/>
      <c r="B48" s="186" t="s">
        <v>149</v>
      </c>
      <c r="C48" s="1878" t="s">
        <v>353</v>
      </c>
      <c r="D48" s="1878"/>
      <c r="E48" s="211" t="s">
        <v>17</v>
      </c>
      <c r="F48" s="837">
        <v>0</v>
      </c>
      <c r="G48" s="837">
        <v>0</v>
      </c>
      <c r="H48" s="837">
        <f>G48</f>
        <v>0</v>
      </c>
      <c r="I48" s="837">
        <f>H48</f>
        <v>0</v>
      </c>
      <c r="J48" s="837">
        <f>I48</f>
        <v>0</v>
      </c>
      <c r="K48" s="857">
        <f>J48</f>
        <v>0</v>
      </c>
      <c r="M48" s="354"/>
      <c r="N48" s="302"/>
      <c r="O48" s="302"/>
      <c r="P48" s="302"/>
      <c r="Q48" s="302"/>
      <c r="R48" s="302"/>
      <c r="S48" s="302"/>
      <c r="T48" s="302"/>
      <c r="U48" s="436"/>
    </row>
    <row r="49" spans="1:21" ht="13.5" thickBot="1" x14ac:dyDescent="0.25">
      <c r="A49" s="6"/>
      <c r="B49" s="207" t="s">
        <v>151</v>
      </c>
      <c r="C49" s="208" t="s">
        <v>354</v>
      </c>
      <c r="D49" s="208"/>
      <c r="E49" s="209" t="s">
        <v>17</v>
      </c>
      <c r="F49" s="858">
        <v>0</v>
      </c>
      <c r="G49" s="858">
        <v>0</v>
      </c>
      <c r="H49" s="684">
        <f>H98-H13-H39-H41-H48</f>
        <v>0</v>
      </c>
      <c r="I49" s="684">
        <f>I98-I13-I39-I41-I48</f>
        <v>0</v>
      </c>
      <c r="J49" s="859">
        <f>J98-J13-J39-J41-J48</f>
        <v>0</v>
      </c>
      <c r="K49" s="685">
        <f>K98-K13-K39-K41-K48</f>
        <v>0</v>
      </c>
      <c r="M49" s="354"/>
      <c r="N49" s="302"/>
      <c r="O49" s="302"/>
      <c r="P49" s="302"/>
      <c r="Q49" s="302"/>
      <c r="R49" s="302"/>
      <c r="S49" s="302"/>
      <c r="T49" s="302"/>
      <c r="U49" s="436"/>
    </row>
    <row r="50" spans="1:21" ht="6" customHeight="1" thickBot="1" x14ac:dyDescent="0.25">
      <c r="B50" s="916"/>
      <c r="C50" s="917"/>
      <c r="D50" s="917"/>
      <c r="E50" s="918"/>
      <c r="F50" s="916"/>
      <c r="G50" s="919"/>
      <c r="H50" s="920"/>
      <c r="I50" s="920"/>
      <c r="J50" s="920"/>
      <c r="K50" s="920"/>
      <c r="M50" s="391"/>
      <c r="N50" s="155"/>
      <c r="O50" s="155"/>
      <c r="P50" s="155"/>
      <c r="Q50" s="155"/>
      <c r="R50" s="155"/>
      <c r="S50" s="155"/>
      <c r="T50" s="155"/>
      <c r="U50" s="323"/>
    </row>
    <row r="51" spans="1:21" ht="13.5" thickBot="1" x14ac:dyDescent="0.25">
      <c r="B51" s="1886" t="s">
        <v>399</v>
      </c>
      <c r="C51" s="1887"/>
      <c r="D51" s="1887"/>
      <c r="E51" s="1888"/>
      <c r="F51" s="921">
        <f t="shared" ref="F51:K51" si="4">F38+F13</f>
        <v>0</v>
      </c>
      <c r="G51" s="921">
        <f t="shared" si="4"/>
        <v>0</v>
      </c>
      <c r="H51" s="921">
        <f t="shared" si="4"/>
        <v>0</v>
      </c>
      <c r="I51" s="921">
        <f t="shared" si="4"/>
        <v>0</v>
      </c>
      <c r="J51" s="922">
        <f t="shared" si="4"/>
        <v>0</v>
      </c>
      <c r="K51" s="927">
        <f t="shared" si="4"/>
        <v>0</v>
      </c>
      <c r="M51" s="1744"/>
      <c r="N51" s="170"/>
      <c r="O51" s="170"/>
      <c r="P51" s="170"/>
      <c r="Q51" s="170"/>
      <c r="R51" s="170"/>
      <c r="S51" s="170"/>
      <c r="T51" s="170"/>
      <c r="U51" s="1205"/>
    </row>
    <row r="52" spans="1:21" ht="13.5" thickBot="1" x14ac:dyDescent="0.25">
      <c r="B52" s="33"/>
      <c r="C52" s="1" t="s">
        <v>0</v>
      </c>
      <c r="D52" s="1"/>
      <c r="M52" s="299"/>
      <c r="N52" s="299"/>
      <c r="O52" s="299"/>
      <c r="P52" s="299"/>
      <c r="Q52" s="299"/>
      <c r="R52" s="299"/>
      <c r="S52" s="299"/>
      <c r="T52" s="299"/>
      <c r="U52" s="299"/>
    </row>
    <row r="53" spans="1:21" ht="12.75" customHeight="1" thickBot="1" x14ac:dyDescent="0.25">
      <c r="A53" s="230"/>
      <c r="B53" s="1083"/>
      <c r="C53" s="1084"/>
      <c r="D53" s="1084"/>
      <c r="E53" s="1085"/>
      <c r="F53" s="1086" t="str">
        <f t="shared" ref="F53:K54" si="5">F10</f>
        <v>Realiserad</v>
      </c>
      <c r="G53" s="1086" t="str">
        <f t="shared" si="5"/>
        <v>Realiserad</v>
      </c>
      <c r="H53" s="1086" t="str">
        <f t="shared" si="5"/>
        <v>Prognos 1</v>
      </c>
      <c r="I53" s="1086" t="str">
        <f t="shared" si="5"/>
        <v>Prognos 2</v>
      </c>
      <c r="J53" s="1087" t="str">
        <f t="shared" si="5"/>
        <v>Prognos 3</v>
      </c>
      <c r="K53" s="1088" t="str">
        <f t="shared" si="5"/>
        <v>Prognos 4</v>
      </c>
      <c r="M53" s="1873" t="str">
        <f>B54</f>
        <v>PASSIVA</v>
      </c>
      <c r="N53" s="1874"/>
      <c r="O53" s="1874"/>
      <c r="P53" s="1874"/>
      <c r="Q53" s="1874"/>
      <c r="R53" s="1874"/>
      <c r="S53" s="1874"/>
      <c r="T53" s="1874"/>
      <c r="U53" s="1875"/>
    </row>
    <row r="54" spans="1:21" ht="12.75" customHeight="1" x14ac:dyDescent="0.25">
      <c r="A54" s="230"/>
      <c r="B54" s="1889" t="s">
        <v>355</v>
      </c>
      <c r="C54" s="1890"/>
      <c r="D54" s="1089"/>
      <c r="E54" s="1090"/>
      <c r="F54" s="1091">
        <f t="shared" si="5"/>
        <v>2023</v>
      </c>
      <c r="G54" s="1091">
        <f t="shared" si="5"/>
        <v>2024</v>
      </c>
      <c r="H54" s="1091">
        <f t="shared" si="5"/>
        <v>2027</v>
      </c>
      <c r="I54" s="1091">
        <f t="shared" si="5"/>
        <v>2028</v>
      </c>
      <c r="J54" s="1092">
        <f t="shared" si="5"/>
        <v>2029</v>
      </c>
      <c r="K54" s="1093">
        <f t="shared" si="5"/>
        <v>2030</v>
      </c>
      <c r="M54" s="1206"/>
      <c r="N54" s="401"/>
      <c r="O54" s="401"/>
      <c r="P54" s="401"/>
      <c r="Q54" s="401"/>
      <c r="R54" s="401"/>
      <c r="S54" s="401"/>
      <c r="T54" s="401"/>
      <c r="U54" s="1207"/>
    </row>
    <row r="55" spans="1:21" ht="12.75" customHeight="1" thickBot="1" x14ac:dyDescent="0.25">
      <c r="A55" s="6"/>
      <c r="B55" s="1094"/>
      <c r="C55" s="1095"/>
      <c r="D55" s="1095"/>
      <c r="E55" s="1096"/>
      <c r="F55" s="1100" t="s">
        <v>15</v>
      </c>
      <c r="G55" s="1100" t="s">
        <v>15</v>
      </c>
      <c r="H55" s="1100" t="s">
        <v>15</v>
      </c>
      <c r="I55" s="1100" t="s">
        <v>15</v>
      </c>
      <c r="J55" s="1101" t="s">
        <v>15</v>
      </c>
      <c r="K55" s="1102" t="s">
        <v>15</v>
      </c>
      <c r="M55" s="354"/>
      <c r="N55" s="302"/>
      <c r="O55" s="302"/>
      <c r="P55" s="302"/>
      <c r="Q55" s="302"/>
      <c r="R55" s="302"/>
      <c r="S55" s="302"/>
      <c r="T55" s="302"/>
      <c r="U55" s="436"/>
    </row>
    <row r="56" spans="1:21" x14ac:dyDescent="0.2">
      <c r="A56" s="230"/>
      <c r="B56" s="462" t="s">
        <v>356</v>
      </c>
      <c r="C56" s="173" t="s">
        <v>357</v>
      </c>
      <c r="D56" s="173"/>
      <c r="E56" s="485"/>
      <c r="F56" s="860">
        <f t="shared" ref="F56:K56" si="6">F57+F58-F59+F60+F61</f>
        <v>0</v>
      </c>
      <c r="G56" s="860">
        <f t="shared" si="6"/>
        <v>0</v>
      </c>
      <c r="H56" s="860">
        <f t="shared" si="6"/>
        <v>0</v>
      </c>
      <c r="I56" s="860">
        <f t="shared" si="6"/>
        <v>0</v>
      </c>
      <c r="J56" s="860">
        <f t="shared" si="6"/>
        <v>0</v>
      </c>
      <c r="K56" s="861">
        <f t="shared" si="6"/>
        <v>0</v>
      </c>
      <c r="M56" s="354"/>
      <c r="N56" s="302"/>
      <c r="O56" s="302"/>
      <c r="P56" s="302"/>
      <c r="Q56" s="302"/>
      <c r="R56" s="302"/>
      <c r="S56" s="302"/>
      <c r="T56" s="302"/>
      <c r="U56" s="436"/>
    </row>
    <row r="57" spans="1:21" s="1" customFormat="1" x14ac:dyDescent="0.2">
      <c r="A57" s="33"/>
      <c r="B57" s="923"/>
      <c r="C57" s="155" t="s">
        <v>358</v>
      </c>
      <c r="D57" s="155"/>
      <c r="E57" s="323"/>
      <c r="F57" s="653">
        <v>0</v>
      </c>
      <c r="G57" s="653"/>
      <c r="H57" s="609">
        <f>'1. T1 INVESTERINGSP.'!D48+G57+H70</f>
        <v>0</v>
      </c>
      <c r="I57" s="862">
        <f>'1. T1 INVESTERINGSP.'!E48+H57+I70</f>
        <v>0</v>
      </c>
      <c r="J57" s="609">
        <f>'1. T1 INVESTERINGSP.'!F48+I57+J70</f>
        <v>0</v>
      </c>
      <c r="K57" s="863">
        <f>'1. T1 INVESTERINGSP.'!G48+J57+K70</f>
        <v>0</v>
      </c>
      <c r="L57" s="4"/>
      <c r="M57" s="354"/>
      <c r="N57" s="302"/>
      <c r="O57" s="302"/>
      <c r="P57" s="302"/>
      <c r="Q57" s="302"/>
      <c r="R57" s="302"/>
      <c r="S57" s="302"/>
      <c r="T57" s="302"/>
      <c r="U57" s="436"/>
    </row>
    <row r="58" spans="1:21" s="1" customFormat="1" x14ac:dyDescent="0.2">
      <c r="A58" s="230"/>
      <c r="B58" s="923"/>
      <c r="C58" s="155" t="s">
        <v>359</v>
      </c>
      <c r="D58" s="155"/>
      <c r="E58" s="323"/>
      <c r="F58" s="653">
        <v>0</v>
      </c>
      <c r="G58" s="653"/>
      <c r="H58" s="682">
        <f>G58-G59+G60</f>
        <v>0</v>
      </c>
      <c r="I58" s="682">
        <f>H58-H59+H60</f>
        <v>0</v>
      </c>
      <c r="J58" s="864">
        <f>I58-I59+I60</f>
        <v>0</v>
      </c>
      <c r="K58" s="610">
        <f>J58-J59+J60</f>
        <v>0</v>
      </c>
      <c r="L58" s="4"/>
      <c r="M58" s="354"/>
      <c r="N58" s="302"/>
      <c r="O58" s="302"/>
      <c r="P58" s="302"/>
      <c r="Q58" s="302"/>
      <c r="R58" s="302"/>
      <c r="S58" s="302"/>
      <c r="T58" s="302"/>
      <c r="U58" s="436"/>
    </row>
    <row r="59" spans="1:21" s="1" customFormat="1" x14ac:dyDescent="0.2">
      <c r="A59"/>
      <c r="B59" s="923"/>
      <c r="C59" s="1870" t="s">
        <v>360</v>
      </c>
      <c r="D59" s="1870"/>
      <c r="E59" s="1871"/>
      <c r="F59" s="907"/>
      <c r="G59" s="907"/>
      <c r="H59" s="865">
        <f>'8. T4 FINANSIERINGSB.'!H39</f>
        <v>0</v>
      </c>
      <c r="I59" s="865">
        <f>'8. T4 FINANSIERINGSB.'!I39</f>
        <v>0</v>
      </c>
      <c r="J59" s="865">
        <f>'8. T4 FINANSIERINGSB.'!J39</f>
        <v>0</v>
      </c>
      <c r="K59" s="866">
        <f>'8. T4 FINANSIERINGSB.'!K39</f>
        <v>0</v>
      </c>
      <c r="L59" s="4"/>
      <c r="M59" s="1761" t="s">
        <v>400</v>
      </c>
      <c r="N59" s="155"/>
      <c r="O59" s="155"/>
      <c r="P59" s="155"/>
      <c r="Q59" s="155"/>
      <c r="R59" s="155"/>
      <c r="S59" s="155"/>
      <c r="T59" s="155"/>
      <c r="U59" s="323"/>
    </row>
    <row r="60" spans="1:21" s="1" customFormat="1" x14ac:dyDescent="0.2">
      <c r="A60" s="46"/>
      <c r="B60" s="923"/>
      <c r="C60" s="155" t="s">
        <v>361</v>
      </c>
      <c r="D60" s="155"/>
      <c r="E60" s="323"/>
      <c r="F60" s="682">
        <f>'2. &amp; 7. T2 RESULTATB.'!E31</f>
        <v>0</v>
      </c>
      <c r="G60" s="682">
        <f>'2. &amp; 7. T2 RESULTATB.'!G31</f>
        <v>0</v>
      </c>
      <c r="H60" s="682">
        <f>'2. &amp; 7. T2 RESULTATB.'!I31</f>
        <v>0</v>
      </c>
      <c r="I60" s="682">
        <f>'2. &amp; 7. T2 RESULTATB.'!K31</f>
        <v>0</v>
      </c>
      <c r="J60" s="864">
        <f>'2. &amp; 7. T2 RESULTATB.'!M31</f>
        <v>0</v>
      </c>
      <c r="K60" s="610">
        <f>'2. &amp; 7. T2 RESULTATB.'!O31</f>
        <v>0</v>
      </c>
      <c r="L60" s="4"/>
      <c r="M60" s="354"/>
      <c r="N60" s="302"/>
      <c r="O60" s="302"/>
      <c r="P60" s="302"/>
      <c r="Q60" s="302"/>
      <c r="R60" s="302"/>
      <c r="S60" s="302"/>
      <c r="T60" s="302"/>
      <c r="U60" s="436"/>
    </row>
    <row r="61" spans="1:21" s="1" customFormat="1" x14ac:dyDescent="0.2">
      <c r="A61"/>
      <c r="B61" s="923"/>
      <c r="C61" s="1870" t="s">
        <v>362</v>
      </c>
      <c r="D61" s="1870"/>
      <c r="E61" s="1871"/>
      <c r="F61" s="653">
        <v>0</v>
      </c>
      <c r="G61" s="653">
        <v>0</v>
      </c>
      <c r="H61" s="622">
        <f>G61+'1. T1 INVESTERINGSP.'!D49</f>
        <v>0</v>
      </c>
      <c r="I61" s="622">
        <f>H61+'1. T1 INVESTERINGSP.'!E49</f>
        <v>0</v>
      </c>
      <c r="J61" s="622">
        <f>I61+'1. T1 INVESTERINGSP.'!F49</f>
        <v>0</v>
      </c>
      <c r="K61" s="623">
        <f>J61+'1. T1 INVESTERINGSP.'!G49</f>
        <v>0</v>
      </c>
      <c r="L61" s="4"/>
      <c r="M61" s="354"/>
      <c r="N61" s="302"/>
      <c r="O61" s="302"/>
      <c r="P61" s="302"/>
      <c r="Q61" s="302"/>
      <c r="R61" s="302"/>
      <c r="S61" s="302"/>
      <c r="T61" s="302"/>
      <c r="U61" s="436"/>
    </row>
    <row r="62" spans="1:21" x14ac:dyDescent="0.2">
      <c r="A62" s="46"/>
      <c r="B62" s="462" t="s">
        <v>363</v>
      </c>
      <c r="C62" s="173" t="s">
        <v>364</v>
      </c>
      <c r="D62" s="173"/>
      <c r="E62" s="175"/>
      <c r="F62" s="506">
        <f t="shared" ref="F62:K62" si="7">F63+F64</f>
        <v>0</v>
      </c>
      <c r="G62" s="506">
        <f>G63+G64</f>
        <v>0</v>
      </c>
      <c r="H62" s="506">
        <f t="shared" si="7"/>
        <v>0</v>
      </c>
      <c r="I62" s="506">
        <f t="shared" si="7"/>
        <v>0</v>
      </c>
      <c r="J62" s="867">
        <f t="shared" si="7"/>
        <v>0</v>
      </c>
      <c r="K62" s="652">
        <f t="shared" si="7"/>
        <v>0</v>
      </c>
      <c r="M62" s="354"/>
      <c r="N62" s="302"/>
      <c r="O62" s="302"/>
      <c r="P62" s="302"/>
      <c r="Q62" s="302"/>
      <c r="R62" s="302"/>
      <c r="S62" s="302"/>
      <c r="T62" s="302"/>
      <c r="U62" s="436"/>
    </row>
    <row r="63" spans="1:21" x14ac:dyDescent="0.2">
      <c r="A63"/>
      <c r="B63" s="924" t="s">
        <v>0</v>
      </c>
      <c r="C63" s="905" t="s">
        <v>365</v>
      </c>
      <c r="D63" s="905"/>
      <c r="E63" s="324"/>
      <c r="F63" s="622"/>
      <c r="G63" s="622"/>
      <c r="H63" s="609">
        <f>G63-'2. &amp; 7. T2 RESULTATB.'!I29</f>
        <v>0</v>
      </c>
      <c r="I63" s="609">
        <f>H63-'2. &amp; 7. T2 RESULTATB.'!K29</f>
        <v>0</v>
      </c>
      <c r="J63" s="609">
        <f>I63-'2. &amp; 7. T2 RESULTATB.'!M29</f>
        <v>0</v>
      </c>
      <c r="K63" s="610">
        <f>J63-'2. &amp; 7. T2 RESULTATB.'!O29</f>
        <v>0</v>
      </c>
      <c r="M63" s="354"/>
      <c r="N63" s="302"/>
      <c r="O63" s="302"/>
      <c r="P63" s="302"/>
      <c r="Q63" s="302"/>
      <c r="R63" s="302"/>
      <c r="S63" s="302"/>
      <c r="T63" s="302"/>
      <c r="U63" s="436"/>
    </row>
    <row r="64" spans="1:21" x14ac:dyDescent="0.2">
      <c r="A64" s="46"/>
      <c r="B64" s="924" t="s">
        <v>0</v>
      </c>
      <c r="C64" s="1866" t="s">
        <v>366</v>
      </c>
      <c r="D64" s="1866"/>
      <c r="E64" s="1867"/>
      <c r="F64" s="622">
        <v>0</v>
      </c>
      <c r="G64" s="622"/>
      <c r="H64" s="609">
        <f>H65*('5. E1 VERKSAMHETSKOSTN.'!F13*'5. E1 VERKSAMHETSKOSTN.'!F15+'5. E1 VERKSAMHETSKOSTN.'!F17+'5. E1 VERKSAMHETSKOSTN.'!F24)</f>
        <v>0</v>
      </c>
      <c r="I64" s="609">
        <f>I65*('5. E1 VERKSAMHETSKOSTN.'!H13*'5. E1 VERKSAMHETSKOSTN.'!H15+'5. E1 VERKSAMHETSKOSTN.'!H17+'5. E1 VERKSAMHETSKOSTN.'!H24)</f>
        <v>0</v>
      </c>
      <c r="J64" s="609">
        <f>J65*('5. E1 VERKSAMHETSKOSTN.'!J13*'5. E1 VERKSAMHETSKOSTN.'!J15+'5. E1 VERKSAMHETSKOSTN.'!J17+'5. E1 VERKSAMHETSKOSTN.'!J24)</f>
        <v>0</v>
      </c>
      <c r="K64" s="610">
        <f>K65*('5. E1 VERKSAMHETSKOSTN.'!L13*'5. E1 VERKSAMHETSKOSTN.'!L15+'5. E1 VERKSAMHETSKOSTN.'!L17+'5. E1 VERKSAMHETSKOSTN.'!L24)</f>
        <v>0</v>
      </c>
      <c r="M64" s="354"/>
      <c r="N64" s="302"/>
      <c r="O64" s="302"/>
      <c r="P64" s="302"/>
      <c r="Q64" s="302"/>
      <c r="R64" s="302"/>
      <c r="S64" s="302"/>
      <c r="T64" s="302"/>
      <c r="U64" s="436"/>
    </row>
    <row r="65" spans="1:21" x14ac:dyDescent="0.2">
      <c r="A65" s="2"/>
      <c r="B65" s="924"/>
      <c r="C65" s="1906" t="s">
        <v>367</v>
      </c>
      <c r="D65" s="1906"/>
      <c r="E65" s="1907"/>
      <c r="F65" s="868"/>
      <c r="G65" s="868"/>
      <c r="H65" s="936">
        <f>G65</f>
        <v>0</v>
      </c>
      <c r="I65" s="936">
        <f>H65</f>
        <v>0</v>
      </c>
      <c r="J65" s="937">
        <f>I65</f>
        <v>0</v>
      </c>
      <c r="K65" s="938">
        <f>J65</f>
        <v>0</v>
      </c>
      <c r="M65" s="354"/>
      <c r="N65" s="302"/>
      <c r="O65" s="302"/>
      <c r="P65" s="302"/>
      <c r="Q65" s="302"/>
      <c r="R65" s="302"/>
      <c r="S65" s="302"/>
      <c r="T65" s="302"/>
      <c r="U65" s="436"/>
    </row>
    <row r="66" spans="1:21" x14ac:dyDescent="0.2">
      <c r="A66" s="46"/>
      <c r="B66" s="462" t="s">
        <v>78</v>
      </c>
      <c r="C66" s="1802" t="s">
        <v>368</v>
      </c>
      <c r="D66" s="1802"/>
      <c r="E66" s="1885"/>
      <c r="F66" s="869">
        <v>0</v>
      </c>
      <c r="G66" s="869">
        <v>0</v>
      </c>
      <c r="H66" s="869"/>
      <c r="I66" s="869"/>
      <c r="J66" s="870"/>
      <c r="K66" s="871"/>
      <c r="M66" s="354"/>
      <c r="N66" s="302"/>
      <c r="O66" s="302"/>
      <c r="P66" s="302"/>
      <c r="Q66" s="302"/>
      <c r="R66" s="302"/>
      <c r="S66" s="302"/>
      <c r="T66" s="302"/>
      <c r="U66" s="436"/>
    </row>
    <row r="67" spans="1:21" x14ac:dyDescent="0.2">
      <c r="A67"/>
      <c r="B67" s="462" t="s">
        <v>107</v>
      </c>
      <c r="C67" s="1802" t="s">
        <v>369</v>
      </c>
      <c r="D67" s="1802"/>
      <c r="E67" s="1885"/>
      <c r="F67" s="506">
        <f t="shared" ref="F67:K67" si="8">F68+F69+F71+F74</f>
        <v>0</v>
      </c>
      <c r="G67" s="506">
        <f>G68+G69+G71+G74</f>
        <v>0</v>
      </c>
      <c r="H67" s="506">
        <f>H68+H69+H71+H74</f>
        <v>0</v>
      </c>
      <c r="I67" s="506">
        <f t="shared" si="8"/>
        <v>0</v>
      </c>
      <c r="J67" s="867">
        <f t="shared" si="8"/>
        <v>0</v>
      </c>
      <c r="K67" s="652">
        <f t="shared" si="8"/>
        <v>0</v>
      </c>
      <c r="M67" s="354"/>
      <c r="N67" s="302"/>
      <c r="O67" s="302"/>
      <c r="P67" s="302"/>
      <c r="Q67" s="302"/>
      <c r="R67" s="302"/>
      <c r="S67" s="302"/>
      <c r="T67" s="302"/>
      <c r="U67" s="436"/>
    </row>
    <row r="68" spans="1:21" x14ac:dyDescent="0.2">
      <c r="A68" s="46"/>
      <c r="B68" s="341" t="s">
        <v>0</v>
      </c>
      <c r="C68" s="1891" t="s">
        <v>370</v>
      </c>
      <c r="D68" s="1891"/>
      <c r="E68" s="1892"/>
      <c r="F68" s="622">
        <v>0</v>
      </c>
      <c r="G68" s="622">
        <v>0</v>
      </c>
      <c r="H68" s="609">
        <f>'AT2 Lainat,sotum., alv-osto'!U14+'AT2 Lainat,sotum., alv-osto'!U16+'AT2 Lainat,sotum., alv-osto'!U17+'AT2 Lainat,sotum., alv-osto'!U18-'8. T4 FINANSIERINGSB.'!H35</f>
        <v>0</v>
      </c>
      <c r="I68" s="609">
        <f>'AT2 Lainat,sotum., alv-osto'!AA14+'AT2 Lainat,sotum., alv-osto'!AA16+'AT2 Lainat,sotum., alv-osto'!AA17+'AT2 Lainat,sotum., alv-osto'!AA18+'AT2 Lainat,sotum., alv-osto'!AA19+'AT2 Lainat,sotum., alv-osto'!AA20+'AT2 Lainat,sotum., alv-osto'!AA21-'8. T4 FINANSIERINGSB.'!H35-'8. T4 FINANSIERINGSB.'!I35</f>
        <v>0</v>
      </c>
      <c r="J68" s="609">
        <f>'AT2 Lainat,sotum., alv-osto'!AG14+'AT2 Lainat,sotum., alv-osto'!AG16+'AT2 Lainat,sotum., alv-osto'!AG17+'AT2 Lainat,sotum., alv-osto'!AG18+'AT2 Lainat,sotum., alv-osto'!AG21+'AT2 Lainat,sotum., alv-osto'!AG19+'AT2 Lainat,sotum., alv-osto'!AG20+'AT2 Lainat,sotum., alv-osto'!AG23+'AT2 Lainat,sotum., alv-osto'!AG22+'AT2 Lainat,sotum., alv-osto'!AG24-'8. T4 FINANSIERINGSB.'!H35-'8. T4 FINANSIERINGSB.'!I35-'8. T4 FINANSIERINGSB.'!J35</f>
        <v>0</v>
      </c>
      <c r="K68" s="610">
        <f>'AT2 Lainat,sotum., alv-osto'!AM14+'AT2 Lainat,sotum., alv-osto'!AM28-'8. T4 FINANSIERINGSB.'!H35-'8. T4 FINANSIERINGSB.'!I35-'8. T4 FINANSIERINGSB.'!J35-'8. T4 FINANSIERINGSB.'!K35</f>
        <v>0</v>
      </c>
      <c r="M68" s="354"/>
      <c r="N68" s="302"/>
      <c r="O68" s="302"/>
      <c r="P68" s="302"/>
      <c r="Q68" s="302"/>
      <c r="R68" s="302"/>
      <c r="S68" s="302"/>
      <c r="T68" s="302"/>
      <c r="U68" s="436"/>
    </row>
    <row r="69" spans="1:21" x14ac:dyDescent="0.2">
      <c r="A69"/>
      <c r="B69" s="341" t="s">
        <v>0</v>
      </c>
      <c r="C69" s="1866" t="s">
        <v>371</v>
      </c>
      <c r="D69" s="1866"/>
      <c r="E69" s="1867"/>
      <c r="F69" s="622">
        <v>0</v>
      </c>
      <c r="G69" s="622">
        <v>0</v>
      </c>
      <c r="H69" s="719">
        <f>G69+'1. T1 INVESTERINGSP.'!D51</f>
        <v>0</v>
      </c>
      <c r="I69" s="719">
        <f>H69+'1. T1 INVESTERINGSP.'!E51</f>
        <v>0</v>
      </c>
      <c r="J69" s="719">
        <f>I69+'1. T1 INVESTERINGSP.'!F51</f>
        <v>0</v>
      </c>
      <c r="K69" s="720">
        <f>J69+'1. T1 INVESTERINGSP.'!G51</f>
        <v>0</v>
      </c>
      <c r="M69" s="354"/>
      <c r="N69" s="302"/>
      <c r="O69" s="302"/>
      <c r="P69" s="302"/>
      <c r="Q69" s="302"/>
      <c r="R69" s="302"/>
      <c r="S69" s="302"/>
      <c r="T69" s="302"/>
      <c r="U69" s="436"/>
    </row>
    <row r="70" spans="1:21" x14ac:dyDescent="0.2">
      <c r="A70" s="46"/>
      <c r="B70" s="341"/>
      <c r="C70" s="902" t="s">
        <v>372</v>
      </c>
      <c r="D70" s="902"/>
      <c r="E70" s="903"/>
      <c r="F70" s="872"/>
      <c r="G70" s="872"/>
      <c r="H70" s="719">
        <v>0</v>
      </c>
      <c r="I70" s="719">
        <v>0</v>
      </c>
      <c r="J70" s="983">
        <v>0</v>
      </c>
      <c r="K70" s="720"/>
      <c r="M70" s="1187" t="str">
        <f>IF(H70&gt;0,"VÄHENNÄ AKORDI PÄÄOMALAINAN SALDOSTA!",IF(I70&gt;0,"VÄHENNÄ AKORDI PÄÄOMALAINAN SALDOSTA!",IF(J70&gt;0,"VÄHENNÄ AKORDI PÄÄOMALAINAN SALDOSTA!",IF(K70&gt;0,"VÄHENNÄ AKORDI PÄÄOMALAINAN SALDOSTA!",""))))</f>
        <v/>
      </c>
      <c r="N70" s="142"/>
      <c r="O70" s="142"/>
      <c r="P70" s="142"/>
      <c r="Q70" s="142"/>
      <c r="R70" s="142"/>
      <c r="S70" s="142"/>
      <c r="T70" s="142"/>
      <c r="U70" s="480"/>
    </row>
    <row r="71" spans="1:21" x14ac:dyDescent="0.2">
      <c r="A71" s="2"/>
      <c r="B71" s="341" t="s">
        <v>0</v>
      </c>
      <c r="C71" s="210" t="s">
        <v>373</v>
      </c>
      <c r="D71" s="210"/>
      <c r="E71" s="213"/>
      <c r="F71" s="609">
        <f t="shared" ref="F71:K71" si="9">F72+F73</f>
        <v>0</v>
      </c>
      <c r="G71" s="609">
        <f t="shared" si="9"/>
        <v>0</v>
      </c>
      <c r="H71" s="609">
        <f t="shared" si="9"/>
        <v>0</v>
      </c>
      <c r="I71" s="609">
        <f t="shared" si="9"/>
        <v>0</v>
      </c>
      <c r="J71" s="839">
        <f t="shared" si="9"/>
        <v>0</v>
      </c>
      <c r="K71" s="610">
        <f t="shared" si="9"/>
        <v>0</v>
      </c>
      <c r="M71" s="354"/>
      <c r="N71" s="302"/>
      <c r="O71" s="302"/>
      <c r="P71" s="302"/>
      <c r="Q71" s="302"/>
      <c r="R71" s="302"/>
      <c r="S71" s="302"/>
      <c r="T71" s="302"/>
      <c r="U71" s="436"/>
    </row>
    <row r="72" spans="1:21" x14ac:dyDescent="0.2">
      <c r="A72" s="46"/>
      <c r="B72" s="341"/>
      <c r="C72" s="210" t="s">
        <v>374</v>
      </c>
      <c r="D72" s="210"/>
      <c r="E72" s="213"/>
      <c r="F72" s="622">
        <v>0</v>
      </c>
      <c r="G72" s="622">
        <v>0</v>
      </c>
      <c r="H72" s="622">
        <f>G72</f>
        <v>0</v>
      </c>
      <c r="I72" s="622">
        <f>H72</f>
        <v>0</v>
      </c>
      <c r="J72" s="622">
        <f>I72</f>
        <v>0</v>
      </c>
      <c r="K72" s="623">
        <f>J72</f>
        <v>0</v>
      </c>
      <c r="M72" s="1187">
        <f>IF(H72&gt;0,"LISÄÄ OSTOVELAN KORKO T7 LAINAT-LOMAKKEEN KOHTAAN 'Korot pitkäaikaisista veloista, ei velkakirjaa'!",IF(I72&gt;0,"LISÄÄ OSTOVELAN KORKO T7 LAINAT-LOMAKKEEN KOHTAAN 'Korot pitkäaikaisista veloista, ei velkakirjaa'!",IF(J72&gt;0,"LISÄÄ OSTOVELAN KORKO T7 LAINAT-LOMAKKEEN KOHTAAN 'Korot pitkäaikaisista veloista, ei velkakirjaa'!",IF(K72&gt;0,"LISÄÄ OSTOVELAN KORKO T7 LAINAT-LOMAKKEEN KOHTAAN 'Korot pitkäaikaisista veloista, ei velkakirjaa'!",0))))</f>
        <v>0</v>
      </c>
      <c r="N72" s="302"/>
      <c r="O72" s="302"/>
      <c r="P72" s="302"/>
      <c r="Q72" s="302"/>
      <c r="R72" s="302"/>
      <c r="S72" s="302"/>
      <c r="T72" s="302"/>
      <c r="U72" s="436"/>
    </row>
    <row r="73" spans="1:21" x14ac:dyDescent="0.2">
      <c r="A73"/>
      <c r="B73" s="341"/>
      <c r="C73" s="210" t="s">
        <v>375</v>
      </c>
      <c r="D73" s="210"/>
      <c r="E73" s="213"/>
      <c r="F73" s="928">
        <v>0</v>
      </c>
      <c r="G73" s="622">
        <v>0</v>
      </c>
      <c r="H73" s="609">
        <f>'AT2 Lainat,sotum., alv-osto'!U40+'AT2 Lainat,sotum., alv-osto'!U44</f>
        <v>0</v>
      </c>
      <c r="I73" s="609">
        <f>'AT2 Lainat,sotum., alv-osto'!AA40+'AT2 Lainat,sotum., alv-osto'!AA44+'AT2 Lainat,sotum., alv-osto'!AA47</f>
        <v>0</v>
      </c>
      <c r="J73" s="609">
        <f>'AT2 Lainat,sotum., alv-osto'!AG40+'AT2 Lainat,sotum., alv-osto'!AG44+'AT2 Lainat,sotum., alv-osto'!AG47+'AT2 Lainat,sotum., alv-osto'!AG50</f>
        <v>0</v>
      </c>
      <c r="K73" s="610">
        <f>IF('4. T7 LÅN '!O45=0,'AT2 Lainat,sotum., alv-osto'!AM40+'AT2 Lainat,sotum., alv-osto'!AM44+'AT2 Lainat,sotum., alv-osto'!AM47+'AT2 Lainat,sotum., alv-osto'!AM50,'AT2 Lainat,sotum., alv-osto'!AM43+'AT2 Lainat,sotum., alv-osto'!AM56)</f>
        <v>0</v>
      </c>
      <c r="M73" s="354"/>
      <c r="N73" s="302"/>
      <c r="O73" s="302"/>
      <c r="P73" s="302"/>
      <c r="Q73" s="302"/>
      <c r="R73" s="302"/>
      <c r="S73" s="302"/>
      <c r="T73" s="302"/>
      <c r="U73" s="436"/>
    </row>
    <row r="74" spans="1:21" x14ac:dyDescent="0.2">
      <c r="A74" s="46"/>
      <c r="B74" s="341"/>
      <c r="C74" s="1866" t="s">
        <v>376</v>
      </c>
      <c r="D74" s="1866"/>
      <c r="E74" s="1867"/>
      <c r="F74" s="622">
        <v>0</v>
      </c>
      <c r="G74" s="622">
        <v>0</v>
      </c>
      <c r="H74" s="622">
        <f>G74</f>
        <v>0</v>
      </c>
      <c r="I74" s="622">
        <f>H74</f>
        <v>0</v>
      </c>
      <c r="J74" s="622">
        <f>I74</f>
        <v>0</v>
      </c>
      <c r="K74" s="623">
        <f>J74</f>
        <v>0</v>
      </c>
      <c r="M74" s="1187">
        <f>IF(H74&gt;0,"SAADUT VELKAKIRJALAINAT MERKITÄÄN TAULUKKOON 4. T7 LAINAT, MUUT TÄHÄN!",IF(I74&gt;0,"SAADUT VELKAKIRJALAINAT MERKITÄÄN TAULUKKOON 4. T7 LAINAT, MUUT TÄHÄN!",IF(J74&gt;0,"SAADUT VELKAKIRJALAINAT MERKITÄÄN TAULUKKOON 4. T7 LAINAT, MUUT TÄHÄN!",IF(K74&gt;0,"SAADUT VELKAKIRJALAINAT MERKITÄÄN TAULUKKOON 4. T7 LAINAT, MUUT TÄHÄN!",0))))</f>
        <v>0</v>
      </c>
      <c r="N74" s="422"/>
      <c r="O74" s="422"/>
      <c r="P74" s="422"/>
      <c r="Q74" s="422"/>
      <c r="R74" s="422"/>
      <c r="S74" s="422"/>
      <c r="T74" s="422"/>
      <c r="U74" s="1208"/>
    </row>
    <row r="75" spans="1:21" x14ac:dyDescent="0.2">
      <c r="A75"/>
      <c r="B75" s="462" t="s">
        <v>108</v>
      </c>
      <c r="C75" s="1802" t="s">
        <v>377</v>
      </c>
      <c r="D75" s="1802"/>
      <c r="E75" s="1885"/>
      <c r="F75" s="506">
        <f t="shared" ref="F75:K75" si="10">F76+F79+F80+F84+F91+F96</f>
        <v>0</v>
      </c>
      <c r="G75" s="506">
        <f>G76+G79+G80+G84+G91+G96</f>
        <v>0</v>
      </c>
      <c r="H75" s="506">
        <f t="shared" si="10"/>
        <v>0</v>
      </c>
      <c r="I75" s="506">
        <f t="shared" si="10"/>
        <v>0</v>
      </c>
      <c r="J75" s="506">
        <f t="shared" si="10"/>
        <v>0</v>
      </c>
      <c r="K75" s="652">
        <f t="shared" si="10"/>
        <v>0</v>
      </c>
      <c r="M75" s="354"/>
      <c r="N75" s="302"/>
      <c r="O75" s="302"/>
      <c r="P75" s="302"/>
      <c r="Q75" s="302"/>
      <c r="R75" s="302"/>
      <c r="S75" s="302"/>
      <c r="T75" s="302"/>
      <c r="U75" s="480"/>
    </row>
    <row r="76" spans="1:21" x14ac:dyDescent="0.2">
      <c r="A76" s="46"/>
      <c r="B76" s="341" t="s">
        <v>0</v>
      </c>
      <c r="C76" s="1891" t="s">
        <v>378</v>
      </c>
      <c r="D76" s="1891"/>
      <c r="E76" s="1892"/>
      <c r="F76" s="872">
        <f t="shared" ref="F76:K76" si="11">F77+F78</f>
        <v>0</v>
      </c>
      <c r="G76" s="872">
        <f t="shared" si="11"/>
        <v>0</v>
      </c>
      <c r="H76" s="872">
        <f t="shared" si="11"/>
        <v>0</v>
      </c>
      <c r="I76" s="872">
        <f t="shared" si="11"/>
        <v>0</v>
      </c>
      <c r="J76" s="872">
        <f t="shared" si="11"/>
        <v>0</v>
      </c>
      <c r="K76" s="929">
        <f t="shared" si="11"/>
        <v>0</v>
      </c>
      <c r="M76" s="354"/>
      <c r="N76" s="302"/>
      <c r="O76" s="302"/>
      <c r="P76" s="302"/>
      <c r="Q76" s="302"/>
      <c r="R76" s="302"/>
      <c r="S76" s="302"/>
      <c r="T76" s="302"/>
      <c r="U76" s="436"/>
    </row>
    <row r="77" spans="1:21" x14ac:dyDescent="0.2">
      <c r="A77" s="2"/>
      <c r="B77" s="341"/>
      <c r="C77" s="905" t="s">
        <v>379</v>
      </c>
      <c r="D77" s="905"/>
      <c r="E77" s="906"/>
      <c r="F77" s="622">
        <v>0</v>
      </c>
      <c r="G77" s="622"/>
      <c r="H77" s="609">
        <f>'4. T7 LÅN '!I18+'4. T7 LÅN '!J24+'4. T7 LÅN '!J25+'4. T7 LÅN '!J26</f>
        <v>0</v>
      </c>
      <c r="I77" s="609">
        <f>'4. T7 LÅN '!L18+'4. T7 LÅN '!M24+'4. T7 LÅN '!M25+'4. T7 LÅN '!M26+'4. T7 LÅN '!M28+'4. T7 LÅN '!M29+'4. T7 LÅN '!M30</f>
        <v>0</v>
      </c>
      <c r="J77" s="609">
        <f>'4. T7 LÅN '!O18+'4. T7 LÅN '!P24+'4. T7 LÅN '!P25+'4. T7 LÅN '!P26+'4. T7 LÅN '!P28+'4. T7 LÅN '!P29+'4. T7 LÅN '!P30+'4. T7 LÅN '!P32+'4. T7 LÅN '!P33+'4. T7 LÅN '!P34</f>
        <v>0</v>
      </c>
      <c r="K77" s="610">
        <f>'AT2 Lainat,sotum., alv-osto'!AK14+'AT2 Lainat,sotum., alv-osto'!AK28</f>
        <v>0</v>
      </c>
      <c r="M77" s="354"/>
      <c r="N77" s="302"/>
      <c r="O77" s="302"/>
      <c r="P77" s="302"/>
      <c r="Q77" s="302"/>
      <c r="R77" s="302"/>
      <c r="S77" s="302"/>
      <c r="T77" s="302"/>
      <c r="U77" s="436"/>
    </row>
    <row r="78" spans="1:21" x14ac:dyDescent="0.2">
      <c r="A78" s="46"/>
      <c r="B78" s="341"/>
      <c r="C78" s="1866" t="s">
        <v>380</v>
      </c>
      <c r="D78" s="1866"/>
      <c r="E78" s="1867"/>
      <c r="F78" s="622">
        <v>0</v>
      </c>
      <c r="G78" s="622"/>
      <c r="H78" s="622">
        <v>0</v>
      </c>
      <c r="I78" s="622">
        <f t="shared" ref="I78:K79" si="12">H78</f>
        <v>0</v>
      </c>
      <c r="J78" s="622">
        <f t="shared" si="12"/>
        <v>0</v>
      </c>
      <c r="K78" s="623">
        <f t="shared" si="12"/>
        <v>0</v>
      </c>
      <c r="M78" s="1187">
        <f>IF(H78&gt;0,"MERKITSE KORKO 4. T7 LAINAT-LOMAKKEEN KOHTAAN 'Lyhytaikaisten lainojen korot'!",IF(I78&gt;0,"MERKITSE KORKO 4. T7 LAINAT-LOMAKKEEN KOHTAAN 'Lyhytaikaisten lainojen korot'!",IF(J78&gt;0,"MERKITSE KORKO 4. T7 LAINAT-LOMAKKEEN KOHTAAN 'Lyhytaikaisten lainojen korot'!",IF(K78&gt;0,"MERKITSE KORKO 4. T7 LAINAT-LOMAKKEEN KOHTAAN 'Lyhytaikaisten lainojen korot'!",0))))</f>
        <v>0</v>
      </c>
      <c r="N78" s="422"/>
      <c r="O78" s="422"/>
      <c r="P78" s="422"/>
      <c r="Q78" s="422"/>
      <c r="R78" s="422"/>
      <c r="S78" s="422"/>
      <c r="T78" s="422"/>
      <c r="U78" s="1208"/>
    </row>
    <row r="79" spans="1:21" x14ac:dyDescent="0.2">
      <c r="A79"/>
      <c r="B79" s="341" t="s">
        <v>0</v>
      </c>
      <c r="C79" s="1866" t="s">
        <v>371</v>
      </c>
      <c r="D79" s="1866"/>
      <c r="E79" s="1867"/>
      <c r="F79" s="622">
        <v>0</v>
      </c>
      <c r="G79" s="622">
        <v>0</v>
      </c>
      <c r="H79" s="622">
        <f>G79</f>
        <v>0</v>
      </c>
      <c r="I79" s="622">
        <f t="shared" si="12"/>
        <v>0</v>
      </c>
      <c r="J79" s="622">
        <f t="shared" si="12"/>
        <v>0</v>
      </c>
      <c r="K79" s="623">
        <f t="shared" si="12"/>
        <v>0</v>
      </c>
      <c r="M79" s="354"/>
      <c r="N79" s="302"/>
      <c r="O79" s="302"/>
      <c r="P79" s="302"/>
      <c r="Q79" s="302"/>
      <c r="R79" s="302"/>
      <c r="S79" s="302"/>
      <c r="T79" s="302"/>
      <c r="U79" s="436"/>
    </row>
    <row r="80" spans="1:21" x14ac:dyDescent="0.2">
      <c r="A80" s="46"/>
      <c r="B80" s="341" t="s">
        <v>0</v>
      </c>
      <c r="C80" s="210" t="s">
        <v>381</v>
      </c>
      <c r="D80" s="210"/>
      <c r="E80" s="213"/>
      <c r="F80" s="609">
        <f t="shared" ref="F80:K80" si="13">F81+F83</f>
        <v>0</v>
      </c>
      <c r="G80" s="609">
        <f t="shared" si="13"/>
        <v>0</v>
      </c>
      <c r="H80" s="609">
        <f t="shared" si="13"/>
        <v>0</v>
      </c>
      <c r="I80" s="609">
        <f t="shared" si="13"/>
        <v>0</v>
      </c>
      <c r="J80" s="839">
        <f t="shared" si="13"/>
        <v>0</v>
      </c>
      <c r="K80" s="610">
        <f t="shared" si="13"/>
        <v>0</v>
      </c>
      <c r="M80" s="354"/>
      <c r="N80" s="302"/>
      <c r="O80" s="302"/>
      <c r="P80" s="302"/>
      <c r="Q80" s="302"/>
      <c r="R80" s="302"/>
      <c r="S80" s="302"/>
      <c r="T80" s="302"/>
      <c r="U80" s="436"/>
    </row>
    <row r="81" spans="1:21" x14ac:dyDescent="0.2">
      <c r="A81" s="2"/>
      <c r="B81" s="341"/>
      <c r="C81" s="210" t="s">
        <v>382</v>
      </c>
      <c r="D81" s="210"/>
      <c r="E81" s="213"/>
      <c r="F81" s="622">
        <v>0</v>
      </c>
      <c r="G81" s="622"/>
      <c r="H81" s="609">
        <f>'8. T4 FINANSIERINGSB.'!H56</f>
        <v>0</v>
      </c>
      <c r="I81" s="609">
        <f>'8. T4 FINANSIERINGSB.'!I56</f>
        <v>0</v>
      </c>
      <c r="J81" s="609">
        <f>'8. T4 FINANSIERINGSB.'!J56</f>
        <v>0</v>
      </c>
      <c r="K81" s="610">
        <f>'8. T4 FINANSIERINGSB.'!K56</f>
        <v>0</v>
      </c>
      <c r="M81" s="354"/>
      <c r="N81" s="302"/>
      <c r="O81" s="302"/>
      <c r="P81" s="302"/>
      <c r="Q81" s="302"/>
      <c r="R81" s="302"/>
      <c r="S81" s="302"/>
      <c r="T81" s="302"/>
      <c r="U81" s="436"/>
    </row>
    <row r="82" spans="1:21" x14ac:dyDescent="0.2">
      <c r="A82" s="46"/>
      <c r="B82" s="341"/>
      <c r="C82" s="1862" t="s">
        <v>383</v>
      </c>
      <c r="D82" s="1862"/>
      <c r="E82" s="1863"/>
      <c r="F82" s="853">
        <f>'8. T4 FINANSIERINGSB.'!F57</f>
        <v>0</v>
      </c>
      <c r="G82" s="853">
        <f>'8. T4 FINANSIERINGSB.'!G57</f>
        <v>0</v>
      </c>
      <c r="H82" s="853">
        <f>'8. T4 FINANSIERINGSB.'!H57</f>
        <v>0</v>
      </c>
      <c r="I82" s="853">
        <f>'8. T4 FINANSIERINGSB.'!I57</f>
        <v>0</v>
      </c>
      <c r="J82" s="853">
        <f>'8. T4 FINANSIERINGSB.'!J57</f>
        <v>0</v>
      </c>
      <c r="K82" s="854">
        <f>'8. T4 FINANSIERINGSB.'!K57</f>
        <v>0</v>
      </c>
      <c r="M82" s="354"/>
      <c r="N82" s="302"/>
      <c r="O82" s="302"/>
      <c r="P82" s="302"/>
      <c r="Q82" s="302"/>
      <c r="R82" s="302"/>
      <c r="S82" s="302"/>
      <c r="T82" s="302"/>
      <c r="U82" s="436"/>
    </row>
    <row r="83" spans="1:21" x14ac:dyDescent="0.2">
      <c r="B83" s="341"/>
      <c r="C83" s="210" t="s">
        <v>384</v>
      </c>
      <c r="D83" s="210"/>
      <c r="E83" s="213"/>
      <c r="F83" s="622">
        <v>0</v>
      </c>
      <c r="G83" s="622">
        <v>0</v>
      </c>
      <c r="H83" s="609">
        <f>'AT2 Lainat,sotum., alv-osto'!S43+'AT2 Lainat,sotum., alv-osto'!S44</f>
        <v>0</v>
      </c>
      <c r="I83" s="609">
        <f>'AT2 Lainat,sotum., alv-osto'!Y40+'AT2 Lainat,sotum., alv-osto'!Y44+'AT2 Lainat,sotum., alv-osto'!Y47</f>
        <v>0</v>
      </c>
      <c r="J83" s="609">
        <f>'AT2 Lainat,sotum., alv-osto'!AE40+'AT2 Lainat,sotum., alv-osto'!AE44+'AT2 Lainat,sotum., alv-osto'!AE47+'AT2 Lainat,sotum., alv-osto'!AE50</f>
        <v>0</v>
      </c>
      <c r="K83" s="610">
        <f>'AT2 Lainat,sotum., alv-osto'!AK40+'AT2 Lainat,sotum., alv-osto'!AK44+'AT2 Lainat,sotum., alv-osto'!AK47+'AT2 Lainat,sotum., alv-osto'!AK50+'AT2 Lainat,sotum., alv-osto'!AK53</f>
        <v>0</v>
      </c>
      <c r="M83" s="354"/>
      <c r="N83" s="302"/>
      <c r="O83" s="302"/>
      <c r="P83" s="302"/>
      <c r="Q83" s="302"/>
      <c r="R83" s="302"/>
      <c r="S83" s="302"/>
      <c r="T83" s="302"/>
      <c r="U83" s="436"/>
    </row>
    <row r="84" spans="1:21" x14ac:dyDescent="0.2">
      <c r="B84" s="341"/>
      <c r="C84" s="1866" t="s">
        <v>385</v>
      </c>
      <c r="D84" s="1866"/>
      <c r="E84" s="1867"/>
      <c r="F84" s="609">
        <f t="shared" ref="F84:K84" si="14">F85+F87+F88+F90</f>
        <v>0</v>
      </c>
      <c r="G84" s="609">
        <f t="shared" si="14"/>
        <v>0</v>
      </c>
      <c r="H84" s="609">
        <f t="shared" si="14"/>
        <v>0</v>
      </c>
      <c r="I84" s="609">
        <f t="shared" si="14"/>
        <v>0</v>
      </c>
      <c r="J84" s="839">
        <f t="shared" si="14"/>
        <v>0</v>
      </c>
      <c r="K84" s="610">
        <f t="shared" si="14"/>
        <v>0</v>
      </c>
      <c r="M84" s="354"/>
      <c r="N84" s="302"/>
      <c r="O84" s="302"/>
      <c r="P84" s="302"/>
      <c r="Q84" s="302"/>
      <c r="R84" s="302"/>
      <c r="S84" s="302"/>
      <c r="T84" s="302"/>
      <c r="U84" s="436"/>
    </row>
    <row r="85" spans="1:21" ht="37.35" customHeight="1" x14ac:dyDescent="0.2">
      <c r="B85" s="341"/>
      <c r="C85" s="1868" t="s">
        <v>386</v>
      </c>
      <c r="D85" s="1868"/>
      <c r="E85" s="1869"/>
      <c r="F85" s="653">
        <v>0</v>
      </c>
      <c r="G85" s="653"/>
      <c r="H85" s="682">
        <f>H86*('5. E1 VERKSAMHETSKOSTN.'!F13+'5. E1 VERKSAMHETSKOSTN.'!F14+'5. E1 VERKSAMHETSKOSTN.'!F22/12+'5. E1 VERKSAMHETSKOSTN.'!F17/12+'5. E1 VERKSAMHETSKOSTN.'!F24/12+'5. E1 VERKSAMHETSKOSTN.'!F28/12)</f>
        <v>0</v>
      </c>
      <c r="I85" s="682">
        <f>I86*('5. E1 VERKSAMHETSKOSTN.'!H13+'5. E1 VERKSAMHETSKOSTN.'!H14+'5. E1 VERKSAMHETSKOSTN.'!H22/12+'5. E1 VERKSAMHETSKOSTN.'!H17/12+'5. E1 VERKSAMHETSKOSTN.'!H24/12+'5. E1 VERKSAMHETSKOSTN.'!H28/12)</f>
        <v>0</v>
      </c>
      <c r="J85" s="682">
        <f>J86*('5. E1 VERKSAMHETSKOSTN.'!J13+'5. E1 VERKSAMHETSKOSTN.'!J14+'5. E1 VERKSAMHETSKOSTN.'!J22/12+'5. E1 VERKSAMHETSKOSTN.'!J17/12+'5. E1 VERKSAMHETSKOSTN.'!J24/12+'5. E1 VERKSAMHETSKOSTN.'!J28/12)</f>
        <v>0</v>
      </c>
      <c r="K85" s="610">
        <f>K86*('5. E1 VERKSAMHETSKOSTN.'!L13+'5. E1 VERKSAMHETSKOSTN.'!L14+'5. E1 VERKSAMHETSKOSTN.'!L22/12+'5. E1 VERKSAMHETSKOSTN.'!L17/12+'5. E1 VERKSAMHETSKOSTN.'!L24/12+'5. E1 VERKSAMHETSKOSTN.'!L28/12)</f>
        <v>0</v>
      </c>
      <c r="M85" s="354"/>
      <c r="N85" s="302"/>
      <c r="O85" s="302"/>
      <c r="P85" s="302"/>
      <c r="Q85" s="302"/>
      <c r="R85" s="302"/>
      <c r="S85" s="302"/>
      <c r="T85" s="302"/>
      <c r="U85" s="436"/>
    </row>
    <row r="86" spans="1:21" x14ac:dyDescent="0.2">
      <c r="B86" s="341"/>
      <c r="C86" s="1860" t="s">
        <v>387</v>
      </c>
      <c r="D86" s="1860"/>
      <c r="E86" s="1861"/>
      <c r="F86" s="855"/>
      <c r="G86" s="855"/>
      <c r="H86" s="939">
        <v>0.25</v>
      </c>
      <c r="I86" s="939">
        <f>H86</f>
        <v>0.25</v>
      </c>
      <c r="J86" s="939">
        <f>I86</f>
        <v>0.25</v>
      </c>
      <c r="K86" s="940">
        <f>J86</f>
        <v>0.25</v>
      </c>
      <c r="M86" s="354"/>
      <c r="N86" s="302"/>
      <c r="O86" s="302"/>
      <c r="P86" s="302"/>
      <c r="Q86" s="302" t="s">
        <v>0</v>
      </c>
      <c r="R86" s="302"/>
      <c r="S86" s="302"/>
      <c r="T86" s="302"/>
      <c r="U86" s="436"/>
    </row>
    <row r="87" spans="1:21" x14ac:dyDescent="0.2">
      <c r="B87" s="341"/>
      <c r="C87" s="902" t="s">
        <v>388</v>
      </c>
      <c r="D87" s="902"/>
      <c r="E87" s="902"/>
      <c r="F87" s="653">
        <v>0</v>
      </c>
      <c r="G87" s="653">
        <v>0</v>
      </c>
      <c r="H87" s="682">
        <f>'9. T5 KASSABUDGET'!AV25*('5. E1 VERKSAMHETSKOSTN.'!F13+'5. E1 VERKSAMHETSKOSTN.'!F14+'5. E1 VERKSAMHETSKOSTN.'!F17/12+'5. E1 VERKSAMHETSKOSTN.'!F22/12+'5. E1 VERKSAMHETSKOSTN.'!F24/12+'5. E1 VERKSAMHETSKOSTN.'!F28/12)</f>
        <v>0</v>
      </c>
      <c r="I87" s="682">
        <f>'9. T5 KASSABUDGET'!AV25*('5. E1 VERKSAMHETSKOSTN.'!H13+'5. E1 VERKSAMHETSKOSTN.'!H14+'5. E1 VERKSAMHETSKOSTN.'!H17/12+'5. E1 VERKSAMHETSKOSTN.'!H22/12+'5. E1 VERKSAMHETSKOSTN.'!H24/12+'5. E1 VERKSAMHETSKOSTN.'!H28/12)</f>
        <v>0</v>
      </c>
      <c r="J87" s="682">
        <f>'9. T5 KASSABUDGET'!AV25*('5. E1 VERKSAMHETSKOSTN.'!J13+'5. E1 VERKSAMHETSKOSTN.'!J14+'5. E1 VERKSAMHETSKOSTN.'!J17/12+'5. E1 VERKSAMHETSKOSTN.'!J22/12+'5. E1 VERKSAMHETSKOSTN.'!J24/12+'5. E1 VERKSAMHETSKOSTN.'!J28/12)</f>
        <v>0</v>
      </c>
      <c r="K87" s="610">
        <f>'9. T5 KASSABUDGET'!AV25*('5. E1 VERKSAMHETSKOSTN.'!L13+'5. E1 VERKSAMHETSKOSTN.'!L14+'5. E1 VERKSAMHETSKOSTN.'!L17/12+'5. E1 VERKSAMHETSKOSTN.'!L22/12+'5. E1 VERKSAMHETSKOSTN.'!L24/12+'5. E1 VERKSAMHETSKOSTN.'!L28/12)</f>
        <v>0</v>
      </c>
      <c r="M87" s="354"/>
      <c r="N87" s="302"/>
      <c r="O87" s="302"/>
      <c r="P87" s="302"/>
      <c r="Q87" s="302"/>
      <c r="R87" s="302"/>
      <c r="S87" s="302"/>
      <c r="T87" s="302"/>
      <c r="U87" s="436"/>
    </row>
    <row r="88" spans="1:21" x14ac:dyDescent="0.2">
      <c r="B88" s="341"/>
      <c r="C88" s="1866" t="s">
        <v>389</v>
      </c>
      <c r="D88" s="1866"/>
      <c r="E88" s="1866"/>
      <c r="F88" s="653">
        <v>0</v>
      </c>
      <c r="G88" s="653"/>
      <c r="H88" s="682">
        <f>IF('2. &amp; 7. T2 RESULTATB.'!I11=0,0,'2. &amp; 7. T2 RESULTATB.'!I11*'3. T3 BALANS'!H89)</f>
        <v>0</v>
      </c>
      <c r="I88" s="682">
        <f>IF('2. &amp; 7. T2 RESULTATB.'!K11=0,0,'2. &amp; 7. T2 RESULTATB.'!K11*'3. T3 BALANS'!I89)</f>
        <v>0</v>
      </c>
      <c r="J88" s="682">
        <f>IF('2. &amp; 7. T2 RESULTATB.'!M11=0,0,'2. &amp; 7. T2 RESULTATB.'!M11*'3. T3 BALANS'!J89)</f>
        <v>0</v>
      </c>
      <c r="K88" s="610">
        <f>IF('2. &amp; 7. T2 RESULTATB.'!O11=0,0,'2. &amp; 7. T2 RESULTATB.'!O11*'3. T3 BALANS'!K89)</f>
        <v>0</v>
      </c>
      <c r="M88" s="354"/>
      <c r="N88" s="302"/>
      <c r="O88" s="302"/>
      <c r="P88" s="302"/>
      <c r="Q88" s="302"/>
      <c r="R88" s="302"/>
      <c r="S88" s="302"/>
      <c r="T88" s="302"/>
      <c r="U88" s="436"/>
    </row>
    <row r="89" spans="1:21" x14ac:dyDescent="0.2">
      <c r="A89"/>
      <c r="B89" s="341"/>
      <c r="C89" s="1860" t="s">
        <v>390</v>
      </c>
      <c r="D89" s="1860"/>
      <c r="E89" s="1861"/>
      <c r="F89" s="873">
        <f>IF('2. &amp; 7. T2 RESULTATB.'!E11=0,0,F88/'2. &amp; 7. T2 RESULTATB.'!E11)</f>
        <v>0</v>
      </c>
      <c r="G89" s="873">
        <f>IF('2. &amp; 7. T2 RESULTATB.'!G11=0,0,G88/'2. &amp; 7. T2 RESULTATB.'!G11)</f>
        <v>0</v>
      </c>
      <c r="H89" s="936">
        <f>G89</f>
        <v>0</v>
      </c>
      <c r="I89" s="936">
        <f t="shared" ref="H89:K90" si="15">H89</f>
        <v>0</v>
      </c>
      <c r="J89" s="936">
        <f t="shared" si="15"/>
        <v>0</v>
      </c>
      <c r="K89" s="938">
        <f t="shared" si="15"/>
        <v>0</v>
      </c>
      <c r="M89" s="354"/>
      <c r="N89" s="302"/>
      <c r="O89" s="302"/>
      <c r="P89" s="302"/>
      <c r="Q89" s="302"/>
      <c r="R89" s="302"/>
      <c r="S89" s="302"/>
      <c r="T89" s="302"/>
      <c r="U89" s="436"/>
    </row>
    <row r="90" spans="1:21" x14ac:dyDescent="0.2">
      <c r="A90" s="6"/>
      <c r="B90" s="341"/>
      <c r="C90" s="1866" t="s">
        <v>391</v>
      </c>
      <c r="D90" s="1866"/>
      <c r="E90" s="1866"/>
      <c r="F90" s="653">
        <v>0</v>
      </c>
      <c r="G90" s="653">
        <v>0</v>
      </c>
      <c r="H90" s="653">
        <f t="shared" si="15"/>
        <v>0</v>
      </c>
      <c r="I90" s="653">
        <f t="shared" si="15"/>
        <v>0</v>
      </c>
      <c r="J90" s="653">
        <f t="shared" si="15"/>
        <v>0</v>
      </c>
      <c r="K90" s="623">
        <f t="shared" si="15"/>
        <v>0</v>
      </c>
      <c r="M90" s="354"/>
      <c r="N90" s="302"/>
      <c r="O90" s="302"/>
      <c r="P90" s="302"/>
      <c r="Q90" s="302"/>
      <c r="R90" s="302"/>
      <c r="S90" s="302"/>
      <c r="T90" s="302"/>
      <c r="U90" s="436"/>
    </row>
    <row r="91" spans="1:21" s="1" customFormat="1" x14ac:dyDescent="0.2">
      <c r="B91" s="341" t="s">
        <v>0</v>
      </c>
      <c r="C91" s="210" t="s">
        <v>392</v>
      </c>
      <c r="D91" s="215"/>
      <c r="E91" s="1472"/>
      <c r="F91" s="874">
        <f t="shared" ref="F91:K91" si="16">F93+F92+F94</f>
        <v>0</v>
      </c>
      <c r="G91" s="874">
        <f t="shared" si="16"/>
        <v>0</v>
      </c>
      <c r="H91" s="874">
        <f t="shared" si="16"/>
        <v>0</v>
      </c>
      <c r="I91" s="874">
        <f t="shared" si="16"/>
        <v>0</v>
      </c>
      <c r="J91" s="874">
        <f t="shared" si="16"/>
        <v>0</v>
      </c>
      <c r="K91" s="875">
        <f t="shared" si="16"/>
        <v>0</v>
      </c>
      <c r="M91" s="354"/>
      <c r="N91" s="302"/>
      <c r="O91" s="302"/>
      <c r="P91" s="302"/>
      <c r="Q91" s="302"/>
      <c r="R91" s="302"/>
      <c r="S91" s="302"/>
      <c r="T91" s="302"/>
      <c r="U91" s="436"/>
    </row>
    <row r="92" spans="1:21" s="1" customFormat="1" x14ac:dyDescent="0.2">
      <c r="B92" s="341"/>
      <c r="C92" s="1866" t="s">
        <v>393</v>
      </c>
      <c r="D92" s="1866"/>
      <c r="E92" s="1866"/>
      <c r="F92" s="622">
        <v>0</v>
      </c>
      <c r="G92" s="622"/>
      <c r="H92" s="653">
        <v>0</v>
      </c>
      <c r="I92" s="653">
        <v>0</v>
      </c>
      <c r="J92" s="653">
        <v>0</v>
      </c>
      <c r="K92" s="623">
        <v>0</v>
      </c>
      <c r="M92" s="1209" t="s">
        <v>0</v>
      </c>
      <c r="N92" s="1210"/>
      <c r="O92" s="1210"/>
      <c r="P92" s="1210"/>
      <c r="Q92" s="1210"/>
      <c r="R92" s="1211"/>
      <c r="S92" s="1210"/>
      <c r="T92" s="1210"/>
      <c r="U92" s="1212"/>
    </row>
    <row r="93" spans="1:21" s="1" customFormat="1" x14ac:dyDescent="0.2">
      <c r="B93" s="341"/>
      <c r="C93" s="1891" t="s">
        <v>394</v>
      </c>
      <c r="D93" s="1891"/>
      <c r="E93" s="1891"/>
      <c r="F93" s="622">
        <v>0</v>
      </c>
      <c r="G93" s="622">
        <v>0</v>
      </c>
      <c r="H93" s="622">
        <f>IF('5. E1 VERKSAMHETSKOSTN.'!F15&lt;12.5,'5. E1 VERKSAMHETSKOSTN.'!F12*10%,'5. E1 VERKSAMHETSKOSTN.'!F12*14.4%)+IF('5. E1 VERKSAMHETSKOSTN.'!F21&lt;12.5,'5. E1 VERKSAMHETSKOSTN.'!F17*10%,'5. E1 VERKSAMHETSKOSTN.'!F17*14.4%)+IF('5. E1 VERKSAMHETSKOSTN.'!F27&lt;12.5,'5. E1 VERKSAMHETSKOSTN.'!F24*10%,'5. E1 VERKSAMHETSKOSTN.'!F24*14.4%)</f>
        <v>0</v>
      </c>
      <c r="I93" s="622">
        <f>IF('5. E1 VERKSAMHETSKOSTN.'!H15&lt;12.5,'5. E1 VERKSAMHETSKOSTN.'!H12*10%,'5. E1 VERKSAMHETSKOSTN.'!H12*14.4%)+IF('5. E1 VERKSAMHETSKOSTN.'!H21&lt;12.5,'5. E1 VERKSAMHETSKOSTN.'!H17*10%,'5. E1 VERKSAMHETSKOSTN.'!H17*14.4%)+IF('5. E1 VERKSAMHETSKOSTN.'!H27&lt;12.5,'5. E1 VERKSAMHETSKOSTN.'!H24*10%,'5. E1 VERKSAMHETSKOSTN.'!H24*14.4%)</f>
        <v>0</v>
      </c>
      <c r="J93" s="622">
        <f>IF('5. E1 VERKSAMHETSKOSTN.'!J15&lt;12.5,'5. E1 VERKSAMHETSKOSTN.'!J12*10%,'5. E1 VERKSAMHETSKOSTN.'!J12*14.4%)+IF('5. E1 VERKSAMHETSKOSTN.'!J21&lt;12.5,'5. E1 VERKSAMHETSKOSTN.'!J17*10%,'5. E1 VERKSAMHETSKOSTN.'!J17*14.4%)+IF('5. E1 VERKSAMHETSKOSTN.'!J27&lt;12.5,'5. E1 VERKSAMHETSKOSTN.'!J24*10%,'5. E1 VERKSAMHETSKOSTN.'!J24*14.4%)</f>
        <v>0</v>
      </c>
      <c r="K93" s="623">
        <f>IF('5. E1 VERKSAMHETSKOSTN.'!L15&lt;12.5,'5. E1 VERKSAMHETSKOSTN.'!L12*10%,'5. E1 VERKSAMHETSKOSTN.'!L12*14.4%)+IF('5. E1 VERKSAMHETSKOSTN.'!L21&lt;12.5,'5. E1 VERKSAMHETSKOSTN.'!L17*10%,'5. E1 VERKSAMHETSKOSTN.'!L17*14.4%)+IF('5. E1 VERKSAMHETSKOSTN.'!L27&lt;12.5,'5. E1 VERKSAMHETSKOSTN.'!L24*10%,'5. E1 VERKSAMHETSKOSTN.'!L24*14.4%)</f>
        <v>0</v>
      </c>
      <c r="M93" s="354"/>
      <c r="N93" s="302"/>
      <c r="O93" s="302"/>
      <c r="P93" s="302"/>
      <c r="Q93" s="302"/>
      <c r="R93" s="302"/>
      <c r="S93" s="302"/>
      <c r="T93" s="302"/>
      <c r="U93" s="436"/>
    </row>
    <row r="94" spans="1:21" s="1" customFormat="1" x14ac:dyDescent="0.2">
      <c r="B94" s="341"/>
      <c r="C94" s="210" t="s">
        <v>395</v>
      </c>
      <c r="D94" s="215"/>
      <c r="E94" s="1473"/>
      <c r="F94" s="622">
        <v>0</v>
      </c>
      <c r="G94" s="622">
        <v>0</v>
      </c>
      <c r="H94" s="682">
        <f>H93*H95</f>
        <v>0</v>
      </c>
      <c r="I94" s="682">
        <f>I93*I95</f>
        <v>0</v>
      </c>
      <c r="J94" s="682">
        <f>J93*J95</f>
        <v>0</v>
      </c>
      <c r="K94" s="610">
        <f>K93*K95</f>
        <v>0</v>
      </c>
      <c r="M94" s="354"/>
      <c r="N94" s="302"/>
      <c r="O94" s="302"/>
      <c r="P94" s="302"/>
      <c r="Q94" s="302"/>
      <c r="R94" s="302"/>
      <c r="S94" s="302"/>
      <c r="T94" s="302"/>
      <c r="U94" s="436"/>
    </row>
    <row r="95" spans="1:21" s="1" customFormat="1" x14ac:dyDescent="0.2">
      <c r="B95" s="341"/>
      <c r="C95" s="1908" t="s">
        <v>396</v>
      </c>
      <c r="D95" s="1908"/>
      <c r="E95" s="1909"/>
      <c r="F95" s="855">
        <f>IF(F93=0,0,F94/F93)</f>
        <v>0</v>
      </c>
      <c r="G95" s="855">
        <f>IF(G93=0,0,G94/G93)</f>
        <v>0</v>
      </c>
      <c r="H95" s="1515">
        <v>0.20469999999999999</v>
      </c>
      <c r="I95" s="1515">
        <f>H95</f>
        <v>0.20469999999999999</v>
      </c>
      <c r="J95" s="1515">
        <f>I95</f>
        <v>0.20469999999999999</v>
      </c>
      <c r="K95" s="1516">
        <f>J95</f>
        <v>0.20469999999999999</v>
      </c>
      <c r="M95" s="354"/>
      <c r="N95" s="302"/>
      <c r="O95" s="302"/>
      <c r="P95" s="302"/>
      <c r="Q95" s="302"/>
      <c r="R95" s="302"/>
      <c r="S95" s="302"/>
      <c r="T95" s="302"/>
      <c r="U95" s="436"/>
    </row>
    <row r="96" spans="1:21" ht="13.5" thickBot="1" x14ac:dyDescent="0.25">
      <c r="B96" s="925"/>
      <c r="C96" s="1893" t="s">
        <v>397</v>
      </c>
      <c r="D96" s="1893"/>
      <c r="E96" s="1894"/>
      <c r="F96" s="849">
        <v>0</v>
      </c>
      <c r="G96" s="849">
        <v>0</v>
      </c>
      <c r="H96" s="849">
        <f>'8. T4 FINANSIERINGSB.'!H58</f>
        <v>0</v>
      </c>
      <c r="I96" s="849">
        <f>'8. T4 FINANSIERINGSB.'!I58</f>
        <v>0</v>
      </c>
      <c r="J96" s="984">
        <f>'8. T4 FINANSIERINGSB.'!J58</f>
        <v>0</v>
      </c>
      <c r="K96" s="850">
        <f>'8. T4 FINANSIERINGSB.'!K58</f>
        <v>0</v>
      </c>
      <c r="M96" s="509"/>
      <c r="N96" s="437"/>
      <c r="O96" s="437"/>
      <c r="P96" s="437"/>
      <c r="Q96" s="437"/>
      <c r="R96" s="437"/>
      <c r="S96" s="437"/>
      <c r="T96" s="437"/>
      <c r="U96" s="439"/>
    </row>
    <row r="97" spans="1:21" ht="6" customHeight="1" thickBot="1" x14ac:dyDescent="0.25">
      <c r="A97" s="6"/>
      <c r="B97" s="234"/>
      <c r="C97" s="235"/>
      <c r="D97" s="236"/>
      <c r="E97" s="237"/>
      <c r="F97" s="876"/>
      <c r="G97" s="876"/>
      <c r="H97" s="876"/>
      <c r="I97" s="876"/>
      <c r="J97" s="876"/>
      <c r="K97" s="876"/>
      <c r="L97" s="119"/>
      <c r="M97" s="119"/>
      <c r="N97" s="119"/>
      <c r="O97" s="119"/>
      <c r="P97" s="119"/>
      <c r="Q97" s="119"/>
      <c r="R97" s="119"/>
      <c r="S97" s="119"/>
      <c r="T97" s="119"/>
      <c r="U97" s="119"/>
    </row>
    <row r="98" spans="1:21" ht="13.5" thickBot="1" x14ac:dyDescent="0.25">
      <c r="B98" s="238"/>
      <c r="C98" s="1884" t="s">
        <v>398</v>
      </c>
      <c r="D98" s="1884"/>
      <c r="E98" s="1884"/>
      <c r="F98" s="877">
        <f t="shared" ref="F98:K98" si="17">F56+F62+F66+F67+F75</f>
        <v>0</v>
      </c>
      <c r="G98" s="877">
        <f t="shared" si="17"/>
        <v>0</v>
      </c>
      <c r="H98" s="877">
        <f t="shared" si="17"/>
        <v>0</v>
      </c>
      <c r="I98" s="877">
        <f t="shared" si="17"/>
        <v>0</v>
      </c>
      <c r="J98" s="877">
        <f t="shared" si="17"/>
        <v>0</v>
      </c>
      <c r="K98" s="878">
        <f t="shared" si="17"/>
        <v>0</v>
      </c>
      <c r="L98" s="119"/>
      <c r="M98" s="1760" t="s">
        <v>797</v>
      </c>
      <c r="N98" s="119"/>
      <c r="O98" s="119"/>
      <c r="P98" s="119"/>
      <c r="Q98" s="119"/>
      <c r="R98" s="119"/>
      <c r="S98" s="119"/>
      <c r="T98" s="119"/>
      <c r="U98" s="119"/>
    </row>
    <row r="99" spans="1:21" x14ac:dyDescent="0.2">
      <c r="B99" s="239"/>
      <c r="C99" s="240"/>
      <c r="D99" s="481"/>
      <c r="E99" s="241"/>
      <c r="F99" s="241"/>
      <c r="G99" s="242"/>
      <c r="H99" s="242"/>
      <c r="I99" s="242"/>
      <c r="J99" s="242"/>
      <c r="K99" s="242"/>
      <c r="L99" s="119"/>
      <c r="N99" s="119"/>
      <c r="O99" s="119"/>
      <c r="P99" s="119"/>
      <c r="Q99" s="119"/>
      <c r="R99" s="119"/>
      <c r="S99" s="119"/>
      <c r="T99" s="119"/>
      <c r="U99" s="119"/>
    </row>
    <row r="100" spans="1:21" x14ac:dyDescent="0.2">
      <c r="B100" s="243">
        <f>'1. T1 INVESTERINGSP.'!B66</f>
        <v>0</v>
      </c>
      <c r="C100" s="119"/>
      <c r="D100" s="119"/>
      <c r="E100" s="119"/>
      <c r="F100" s="119"/>
      <c r="G100" s="119"/>
      <c r="H100" s="119"/>
      <c r="I100" s="1895">
        <f>STARTSIDAN!I5</f>
        <v>0</v>
      </c>
      <c r="J100" s="1895"/>
      <c r="K100" s="1895"/>
      <c r="L100" s="119"/>
      <c r="M100" s="119"/>
      <c r="N100" s="119"/>
      <c r="O100" s="119"/>
      <c r="P100" s="119"/>
      <c r="Q100" s="119"/>
      <c r="R100" s="119"/>
      <c r="S100" s="119"/>
      <c r="T100" s="119"/>
      <c r="U100" s="119"/>
    </row>
    <row r="101" spans="1:21" x14ac:dyDescent="0.2">
      <c r="B101" s="68" t="str">
        <f>'1. T1 INVESTERINGSP.'!B67</f>
        <v>FT22 Det aktiva företagets resultatplan</v>
      </c>
      <c r="G101" s="1803" t="str">
        <f>STARTSIDAN!I21</f>
        <v>FöretagsLojo</v>
      </c>
      <c r="H101" s="1803"/>
      <c r="I101" s="1803"/>
      <c r="J101" s="1803"/>
      <c r="K101" s="1803"/>
    </row>
    <row r="102" spans="1:21" x14ac:dyDescent="0.2">
      <c r="B102" s="1798"/>
      <c r="C102" s="1798"/>
      <c r="D102" s="1798"/>
      <c r="E102" s="1798"/>
      <c r="G102" s="502"/>
      <c r="H102" s="502"/>
      <c r="I102" s="502"/>
      <c r="J102" s="502"/>
      <c r="K102" s="502"/>
    </row>
    <row r="104" spans="1:21" x14ac:dyDescent="0.2">
      <c r="B104" s="370" t="s">
        <v>104</v>
      </c>
    </row>
    <row r="105" spans="1:21" x14ac:dyDescent="0.2">
      <c r="B105" s="45" t="s">
        <v>105</v>
      </c>
    </row>
    <row r="106" spans="1:21" x14ac:dyDescent="0.2">
      <c r="B106" s="45" t="s">
        <v>106</v>
      </c>
    </row>
  </sheetData>
  <sheetProtection algorithmName="SHA-512" hashValue="KZ3oCHQqW50UHakYj/nlEq+Fb1GrbkWeM8OBKW3i62DMwq1j3OZlJIl/0NSSMpufLX5ldEP7fmJGgJqDPfJ2Kw==" saltValue="Fhlq0XXwc9VlLik4sgCA9A==" spinCount="100000" sheet="1" objects="1" scenarios="1"/>
  <mergeCells count="54">
    <mergeCell ref="I100:K100"/>
    <mergeCell ref="G101:K101"/>
    <mergeCell ref="B102:E102"/>
    <mergeCell ref="H6:K6"/>
    <mergeCell ref="C47:D47"/>
    <mergeCell ref="C46:D46"/>
    <mergeCell ref="D12:E12"/>
    <mergeCell ref="C43:E43"/>
    <mergeCell ref="C40:E40"/>
    <mergeCell ref="B10:C12"/>
    <mergeCell ref="C65:E65"/>
    <mergeCell ref="C84:E84"/>
    <mergeCell ref="C93:E93"/>
    <mergeCell ref="C92:E92"/>
    <mergeCell ref="C95:E95"/>
    <mergeCell ref="C89:E89"/>
    <mergeCell ref="C98:E98"/>
    <mergeCell ref="C75:E75"/>
    <mergeCell ref="B51:E51"/>
    <mergeCell ref="C79:E79"/>
    <mergeCell ref="C88:E88"/>
    <mergeCell ref="C90:E90"/>
    <mergeCell ref="B54:C54"/>
    <mergeCell ref="C66:E66"/>
    <mergeCell ref="C76:E76"/>
    <mergeCell ref="C68:E68"/>
    <mergeCell ref="C69:E69"/>
    <mergeCell ref="C74:E74"/>
    <mergeCell ref="C67:E67"/>
    <mergeCell ref="C59:E59"/>
    <mergeCell ref="C64:E64"/>
    <mergeCell ref="C96:E96"/>
    <mergeCell ref="B8:F8"/>
    <mergeCell ref="M3:N3"/>
    <mergeCell ref="M53:U53"/>
    <mergeCell ref="M15:P15"/>
    <mergeCell ref="C48:D48"/>
    <mergeCell ref="M31:P31"/>
    <mergeCell ref="M27:P27"/>
    <mergeCell ref="M23:P23"/>
    <mergeCell ref="C30:E30"/>
    <mergeCell ref="B5:F5"/>
    <mergeCell ref="M10:U11"/>
    <mergeCell ref="C16:D16"/>
    <mergeCell ref="C21:D21"/>
    <mergeCell ref="C28:D28"/>
    <mergeCell ref="C32:D32"/>
    <mergeCell ref="C24:D24"/>
    <mergeCell ref="C86:E86"/>
    <mergeCell ref="C82:E82"/>
    <mergeCell ref="C45:E45"/>
    <mergeCell ref="C78:E78"/>
    <mergeCell ref="C85:E85"/>
    <mergeCell ref="C61:E61"/>
  </mergeCells>
  <printOptions horizontalCentered="1"/>
  <pageMargins left="0.23622047244094491" right="0.23622047244094491" top="0.74803149606299213" bottom="0.74803149606299213" header="0.31496062992125984" footer="0.31496062992125984"/>
  <pageSetup paperSize="9" scale="90" orientation="portrait" verticalDpi="4" r:id="rId1"/>
  <rowBreaks count="1" manualBreakCount="1">
    <brk id="52" min="1" max="19" man="1"/>
  </rowBreaks>
  <colBreaks count="1" manualBreakCount="1">
    <brk id="11" min="1" max="101" man="1"/>
  </colBreaks>
  <ignoredErrors>
    <ignoredError sqref="H17:K17 H25:I25"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71">
    <tabColor rgb="FF0152A1"/>
  </sheetPr>
  <dimension ref="A1:S57"/>
  <sheetViews>
    <sheetView showGridLines="0" showZeros="0" zoomScale="115" zoomScaleNormal="115" workbookViewId="0">
      <selection activeCell="D24" sqref="D24"/>
    </sheetView>
  </sheetViews>
  <sheetFormatPr defaultRowHeight="12.75" x14ac:dyDescent="0.2"/>
  <cols>
    <col min="1" max="1" width="8.28515625" customWidth="1"/>
    <col min="2" max="2" width="27.42578125" customWidth="1"/>
    <col min="3" max="3" width="10.5703125" customWidth="1"/>
    <col min="4" max="4" width="6.140625" customWidth="1"/>
    <col min="5" max="5" width="7.5703125" customWidth="1"/>
    <col min="6" max="17" width="8.85546875" customWidth="1"/>
    <col min="18" max="18" width="6.28515625" customWidth="1"/>
  </cols>
  <sheetData>
    <row r="1" spans="1:17" ht="13.35" customHeight="1" x14ac:dyDescent="0.2">
      <c r="A1" s="363"/>
    </row>
    <row r="2" spans="1:17" ht="15" x14ac:dyDescent="0.2">
      <c r="A2" s="364"/>
      <c r="B2" s="961" t="s">
        <v>401</v>
      </c>
      <c r="C2" s="1"/>
      <c r="D2" s="1"/>
      <c r="E2" s="51"/>
      <c r="F2" s="1"/>
      <c r="G2" s="1"/>
      <c r="H2" s="1"/>
      <c r="I2" s="1"/>
      <c r="J2" s="1"/>
      <c r="K2" s="1"/>
      <c r="L2" s="1"/>
      <c r="M2" s="1"/>
      <c r="N2" s="1"/>
      <c r="O2" s="1"/>
      <c r="P2" s="1"/>
      <c r="Q2" s="1"/>
    </row>
    <row r="3" spans="1:17" ht="6.95" customHeight="1" x14ac:dyDescent="0.2">
      <c r="A3" s="365"/>
      <c r="B3" s="1"/>
      <c r="C3" s="1"/>
      <c r="D3" s="1"/>
      <c r="E3" s="646"/>
      <c r="F3" s="1"/>
      <c r="G3" s="1"/>
      <c r="H3" s="1"/>
      <c r="I3" s="1"/>
      <c r="J3" s="1"/>
      <c r="K3" s="1"/>
      <c r="L3" s="1"/>
      <c r="M3" s="1"/>
      <c r="N3" s="1"/>
      <c r="O3" s="1"/>
      <c r="P3" s="1"/>
      <c r="Q3" s="1"/>
    </row>
    <row r="4" spans="1:17" s="45" customFormat="1" ht="16.5" customHeight="1" x14ac:dyDescent="0.2">
      <c r="A4" s="1362" t="s">
        <v>297</v>
      </c>
      <c r="B4" s="38" t="s">
        <v>255</v>
      </c>
      <c r="C4" s="38"/>
      <c r="D4" s="38"/>
      <c r="E4" s="38"/>
      <c r="F4" s="38"/>
      <c r="G4" s="38"/>
      <c r="H4" s="38" t="s">
        <v>0</v>
      </c>
      <c r="J4" s="38" t="s">
        <v>256</v>
      </c>
      <c r="K4" s="38"/>
      <c r="L4" s="38" t="s">
        <v>0</v>
      </c>
      <c r="M4" s="38"/>
      <c r="N4" s="38"/>
      <c r="O4" s="38"/>
      <c r="P4" s="38"/>
      <c r="Q4" s="38"/>
    </row>
    <row r="5" spans="1:17" x14ac:dyDescent="0.2">
      <c r="B5" s="1880">
        <f>'2. &amp; 7. T2 RESULTATB.'!B5</f>
        <v>0</v>
      </c>
      <c r="C5" s="1880"/>
      <c r="D5" s="1880"/>
      <c r="E5" s="37"/>
      <c r="F5" s="515"/>
      <c r="G5" s="514"/>
      <c r="H5" s="514"/>
      <c r="J5" s="515">
        <f>'1. T1 INVESTERINGSP.'!B9</f>
        <v>0</v>
      </c>
      <c r="K5" s="514"/>
      <c r="L5" s="514"/>
      <c r="M5" s="514"/>
      <c r="N5" s="521"/>
      <c r="O5" s="1910"/>
      <c r="P5" s="1910"/>
      <c r="Q5" s="645"/>
    </row>
    <row r="6" spans="1:17" ht="9" customHeight="1" x14ac:dyDescent="0.2">
      <c r="B6" s="1"/>
      <c r="C6" s="1"/>
      <c r="D6" s="1"/>
      <c r="E6" s="1"/>
      <c r="F6" s="1"/>
      <c r="G6" s="1"/>
      <c r="H6" s="1"/>
      <c r="I6" s="1"/>
      <c r="J6" s="1"/>
      <c r="K6" s="1"/>
      <c r="L6" s="1"/>
      <c r="M6" s="1"/>
      <c r="N6" s="1"/>
      <c r="O6" s="1"/>
      <c r="P6" s="1"/>
      <c r="Q6" s="1"/>
    </row>
    <row r="7" spans="1:17" ht="14.65" customHeight="1" thickBot="1" x14ac:dyDescent="0.25">
      <c r="B7" s="1921" t="s">
        <v>403</v>
      </c>
      <c r="C7" s="1941" t="s">
        <v>765</v>
      </c>
      <c r="D7" s="1941" t="s">
        <v>405</v>
      </c>
      <c r="E7" s="1942" t="s">
        <v>406</v>
      </c>
      <c r="F7" s="1919" t="s">
        <v>402</v>
      </c>
      <c r="G7" s="1920"/>
      <c r="H7" s="1920"/>
      <c r="I7" s="1920"/>
      <c r="J7" s="1920"/>
      <c r="K7" s="1920"/>
      <c r="L7" s="1920"/>
      <c r="M7" s="1920"/>
      <c r="N7" s="1920"/>
      <c r="O7" s="1920"/>
      <c r="P7" s="1920"/>
      <c r="Q7" s="1920"/>
    </row>
    <row r="8" spans="1:17" ht="10.9" customHeight="1" x14ac:dyDescent="0.2">
      <c r="A8" s="46"/>
      <c r="B8" s="1922"/>
      <c r="C8" s="1924"/>
      <c r="D8" s="1924"/>
      <c r="E8" s="1927"/>
      <c r="F8" s="1911" t="s">
        <v>276</v>
      </c>
      <c r="G8" s="1912"/>
      <c r="H8" s="1913"/>
      <c r="I8" s="1911" t="s">
        <v>277</v>
      </c>
      <c r="J8" s="1912"/>
      <c r="K8" s="1913"/>
      <c r="L8" s="1911" t="s">
        <v>278</v>
      </c>
      <c r="M8" s="1912"/>
      <c r="N8" s="1913"/>
      <c r="O8" s="1911" t="s">
        <v>279</v>
      </c>
      <c r="P8" s="1912"/>
      <c r="Q8" s="1955"/>
    </row>
    <row r="9" spans="1:17" ht="10.9" customHeight="1" x14ac:dyDescent="0.2">
      <c r="B9" s="1922" t="s">
        <v>407</v>
      </c>
      <c r="C9" s="1924"/>
      <c r="D9" s="1924"/>
      <c r="E9" s="1927"/>
      <c r="F9" s="1916">
        <f>'2. &amp; 7. T2 RESULTATB.'!I8</f>
        <v>2027</v>
      </c>
      <c r="G9" s="1917"/>
      <c r="H9" s="1918"/>
      <c r="I9" s="1916">
        <f>'2. &amp; 7. T2 RESULTATB.'!K8</f>
        <v>2028</v>
      </c>
      <c r="J9" s="1917"/>
      <c r="K9" s="1918"/>
      <c r="L9" s="1916">
        <f>'2. &amp; 7. T2 RESULTATB.'!M8</f>
        <v>2029</v>
      </c>
      <c r="M9" s="1917"/>
      <c r="N9" s="1918"/>
      <c r="O9" s="1956">
        <f>'2. &amp; 7. T2 RESULTATB.'!O8</f>
        <v>2030</v>
      </c>
      <c r="P9" s="1917"/>
      <c r="Q9" s="1957"/>
    </row>
    <row r="10" spans="1:17" ht="18" customHeight="1" thickBot="1" x14ac:dyDescent="0.25">
      <c r="A10" s="46"/>
      <c r="B10" s="1273" t="s">
        <v>289</v>
      </c>
      <c r="C10" s="1925"/>
      <c r="D10" s="1925"/>
      <c r="E10" s="1928"/>
      <c r="F10" s="1914" t="s">
        <v>761</v>
      </c>
      <c r="G10" s="1915"/>
      <c r="H10" s="955" t="s">
        <v>416</v>
      </c>
      <c r="I10" s="1914" t="str">
        <f>F10</f>
        <v>Amort</v>
      </c>
      <c r="J10" s="1915"/>
      <c r="K10" s="955" t="str">
        <f>H10</f>
        <v>Ränta</v>
      </c>
      <c r="L10" s="1914" t="str">
        <f>F10</f>
        <v>Amort</v>
      </c>
      <c r="M10" s="1915"/>
      <c r="N10" s="955" t="str">
        <f>H10</f>
        <v>Ränta</v>
      </c>
      <c r="O10" s="1914" t="str">
        <f>F10</f>
        <v>Amort</v>
      </c>
      <c r="P10" s="1915"/>
      <c r="Q10" s="1273" t="str">
        <f>H10</f>
        <v>Ränta</v>
      </c>
    </row>
    <row r="11" spans="1:17" s="46" customFormat="1" ht="11.65" customHeight="1" x14ac:dyDescent="0.2">
      <c r="A11" s="2"/>
      <c r="B11" s="1274" t="s">
        <v>0</v>
      </c>
      <c r="C11" s="533">
        <v>0</v>
      </c>
      <c r="D11" s="392">
        <v>0</v>
      </c>
      <c r="E11" s="534">
        <v>0</v>
      </c>
      <c r="F11" s="1939">
        <v>0</v>
      </c>
      <c r="G11" s="1940"/>
      <c r="H11" s="528">
        <f t="shared" ref="H11:H17" si="0">IF(C11=0,0,($C11+F11-F11/4)*$E11)</f>
        <v>0</v>
      </c>
      <c r="I11" s="1947">
        <f t="shared" ref="I11:I17" si="1">IF(D11=0,0,IF(D11&lt;2,C11,(C11)/(D11-1)))</f>
        <v>0</v>
      </c>
      <c r="J11" s="1948"/>
      <c r="K11" s="529">
        <f t="shared" ref="K11:K17" si="2">IF(I11=0,0,($C11-I11/4)*$E11)</f>
        <v>0</v>
      </c>
      <c r="L11" s="1947">
        <f t="shared" ref="L11:L17" si="3">IF(D11=0,0,IF($C11-$I11&gt;I11,I11,$C11-$I11))</f>
        <v>0</v>
      </c>
      <c r="M11" s="1948"/>
      <c r="N11" s="529">
        <f t="shared" ref="N11:N17" si="4">IF(L11=0,0,($C11-I11-L11/4)*$E11)</f>
        <v>0</v>
      </c>
      <c r="O11" s="1947">
        <f t="shared" ref="O11:O17" si="5">IF(D11=0,0,IF($C11-$I11-L11&gt;L11,L11,$C11-$I11-L11))</f>
        <v>0</v>
      </c>
      <c r="P11" s="1948"/>
      <c r="Q11" s="1275">
        <f t="shared" ref="Q11:Q17" si="6">IF(O11=0,0,($C11-I11-L11-O11/4)*$E11)</f>
        <v>0</v>
      </c>
    </row>
    <row r="12" spans="1:17" s="46" customFormat="1" ht="11.65" customHeight="1" x14ac:dyDescent="0.2">
      <c r="B12" s="1276"/>
      <c r="C12" s="535"/>
      <c r="D12" s="393"/>
      <c r="E12" s="536"/>
      <c r="F12" s="1929"/>
      <c r="G12" s="1930"/>
      <c r="H12" s="530">
        <f t="shared" si="0"/>
        <v>0</v>
      </c>
      <c r="I12" s="1945">
        <f t="shared" si="1"/>
        <v>0</v>
      </c>
      <c r="J12" s="1946"/>
      <c r="K12" s="530">
        <f t="shared" si="2"/>
        <v>0</v>
      </c>
      <c r="L12" s="1945">
        <f t="shared" si="3"/>
        <v>0</v>
      </c>
      <c r="M12" s="1946"/>
      <c r="N12" s="530">
        <f t="shared" si="4"/>
        <v>0</v>
      </c>
      <c r="O12" s="1945">
        <f t="shared" si="5"/>
        <v>0</v>
      </c>
      <c r="P12" s="1946"/>
      <c r="Q12" s="1053">
        <f t="shared" si="6"/>
        <v>0</v>
      </c>
    </row>
    <row r="13" spans="1:17" s="46" customFormat="1" ht="11.65" customHeight="1" x14ac:dyDescent="0.2">
      <c r="A13"/>
      <c r="B13" s="1276">
        <v>0</v>
      </c>
      <c r="C13" s="535">
        <v>0</v>
      </c>
      <c r="D13" s="393">
        <v>0</v>
      </c>
      <c r="E13" s="536">
        <v>0</v>
      </c>
      <c r="F13" s="1929">
        <v>0</v>
      </c>
      <c r="G13" s="1930"/>
      <c r="H13" s="530">
        <f t="shared" si="0"/>
        <v>0</v>
      </c>
      <c r="I13" s="1945">
        <f t="shared" si="1"/>
        <v>0</v>
      </c>
      <c r="J13" s="1946"/>
      <c r="K13" s="530">
        <f t="shared" si="2"/>
        <v>0</v>
      </c>
      <c r="L13" s="1945">
        <f t="shared" si="3"/>
        <v>0</v>
      </c>
      <c r="M13" s="1946"/>
      <c r="N13" s="530">
        <f t="shared" si="4"/>
        <v>0</v>
      </c>
      <c r="O13" s="1953">
        <f t="shared" si="5"/>
        <v>0</v>
      </c>
      <c r="P13" s="1954"/>
      <c r="Q13" s="1277">
        <f t="shared" si="6"/>
        <v>0</v>
      </c>
    </row>
    <row r="14" spans="1:17" s="46" customFormat="1" ht="11.65" customHeight="1" x14ac:dyDescent="0.2">
      <c r="B14" s="1276">
        <v>0</v>
      </c>
      <c r="C14" s="535">
        <v>0</v>
      </c>
      <c r="D14" s="393">
        <v>0</v>
      </c>
      <c r="E14" s="536">
        <v>0</v>
      </c>
      <c r="F14" s="1929">
        <v>0</v>
      </c>
      <c r="G14" s="1930"/>
      <c r="H14" s="530">
        <f t="shared" si="0"/>
        <v>0</v>
      </c>
      <c r="I14" s="1945">
        <f t="shared" si="1"/>
        <v>0</v>
      </c>
      <c r="J14" s="1946"/>
      <c r="K14" s="530">
        <f t="shared" si="2"/>
        <v>0</v>
      </c>
      <c r="L14" s="1945">
        <f t="shared" si="3"/>
        <v>0</v>
      </c>
      <c r="M14" s="1946"/>
      <c r="N14" s="530">
        <f t="shared" si="4"/>
        <v>0</v>
      </c>
      <c r="O14" s="1953">
        <f t="shared" si="5"/>
        <v>0</v>
      </c>
      <c r="P14" s="1954"/>
      <c r="Q14" s="1277">
        <f t="shared" si="6"/>
        <v>0</v>
      </c>
    </row>
    <row r="15" spans="1:17" s="46" customFormat="1" ht="11.65" customHeight="1" x14ac:dyDescent="0.2">
      <c r="A15"/>
      <c r="B15" s="1276">
        <v>0</v>
      </c>
      <c r="C15" s="535">
        <v>0</v>
      </c>
      <c r="D15" s="393">
        <v>0</v>
      </c>
      <c r="E15" s="536">
        <v>0</v>
      </c>
      <c r="F15" s="1929">
        <v>0</v>
      </c>
      <c r="G15" s="1930"/>
      <c r="H15" s="530">
        <f t="shared" si="0"/>
        <v>0</v>
      </c>
      <c r="I15" s="1945">
        <f t="shared" si="1"/>
        <v>0</v>
      </c>
      <c r="J15" s="1946"/>
      <c r="K15" s="530">
        <f t="shared" si="2"/>
        <v>0</v>
      </c>
      <c r="L15" s="1945">
        <f t="shared" si="3"/>
        <v>0</v>
      </c>
      <c r="M15" s="1946"/>
      <c r="N15" s="530">
        <f t="shared" si="4"/>
        <v>0</v>
      </c>
      <c r="O15" s="1945">
        <f t="shared" si="5"/>
        <v>0</v>
      </c>
      <c r="P15" s="1946"/>
      <c r="Q15" s="1053">
        <f t="shared" si="6"/>
        <v>0</v>
      </c>
    </row>
    <row r="16" spans="1:17" s="46" customFormat="1" ht="11.65" customHeight="1" x14ac:dyDescent="0.2">
      <c r="B16" s="1276">
        <v>0</v>
      </c>
      <c r="C16" s="535">
        <v>0</v>
      </c>
      <c r="D16" s="393">
        <v>0</v>
      </c>
      <c r="E16" s="536">
        <v>0</v>
      </c>
      <c r="F16" s="1929">
        <v>0</v>
      </c>
      <c r="G16" s="1930"/>
      <c r="H16" s="530">
        <f t="shared" si="0"/>
        <v>0</v>
      </c>
      <c r="I16" s="1945">
        <f t="shared" si="1"/>
        <v>0</v>
      </c>
      <c r="J16" s="1946"/>
      <c r="K16" s="530">
        <f t="shared" si="2"/>
        <v>0</v>
      </c>
      <c r="L16" s="1945">
        <f t="shared" si="3"/>
        <v>0</v>
      </c>
      <c r="M16" s="1946"/>
      <c r="N16" s="530">
        <f t="shared" si="4"/>
        <v>0</v>
      </c>
      <c r="O16" s="1945">
        <f t="shared" si="5"/>
        <v>0</v>
      </c>
      <c r="P16" s="1946"/>
      <c r="Q16" s="1053">
        <f t="shared" si="6"/>
        <v>0</v>
      </c>
    </row>
    <row r="17" spans="1:19" s="46" customFormat="1" ht="10.9" customHeight="1" thickBot="1" x14ac:dyDescent="0.25">
      <c r="A17" s="2"/>
      <c r="B17" s="1278" t="s">
        <v>408</v>
      </c>
      <c r="C17" s="537">
        <v>0</v>
      </c>
      <c r="D17" s="394">
        <v>0</v>
      </c>
      <c r="E17" s="538">
        <v>0</v>
      </c>
      <c r="F17" s="1937">
        <v>0</v>
      </c>
      <c r="G17" s="1938"/>
      <c r="H17" s="530">
        <f t="shared" si="0"/>
        <v>0</v>
      </c>
      <c r="I17" s="1949">
        <f t="shared" si="1"/>
        <v>0</v>
      </c>
      <c r="J17" s="1950"/>
      <c r="K17" s="531">
        <f t="shared" si="2"/>
        <v>0</v>
      </c>
      <c r="L17" s="1949">
        <f t="shared" si="3"/>
        <v>0</v>
      </c>
      <c r="M17" s="1950"/>
      <c r="N17" s="531">
        <f t="shared" si="4"/>
        <v>0</v>
      </c>
      <c r="O17" s="1949">
        <f t="shared" si="5"/>
        <v>0</v>
      </c>
      <c r="P17" s="1950"/>
      <c r="Q17" s="1279">
        <f t="shared" si="6"/>
        <v>0</v>
      </c>
      <c r="R17" s="499" t="str">
        <f>IF(C18='3. T3 BALANS'!G68,"","TARKISTA, ETTÄ SOLU C18 = 'T3 TASE'!G68!")</f>
        <v/>
      </c>
    </row>
    <row r="18" spans="1:19" s="46" customFormat="1" ht="13.15" customHeight="1" thickTop="1" thickBot="1" x14ac:dyDescent="0.25">
      <c r="A18"/>
      <c r="B18" s="1530" t="s">
        <v>409</v>
      </c>
      <c r="C18" s="1233">
        <f>SUM(C11:C17)</f>
        <v>0</v>
      </c>
      <c r="D18" s="539"/>
      <c r="E18" s="540"/>
      <c r="F18" s="1933">
        <f>SUM(F11:F17)</f>
        <v>0</v>
      </c>
      <c r="G18" s="1934"/>
      <c r="H18" s="532">
        <f>SUM(H11:H17)</f>
        <v>0</v>
      </c>
      <c r="I18" s="1933">
        <f>SUM(I11:I17)</f>
        <v>0</v>
      </c>
      <c r="J18" s="1934"/>
      <c r="K18" s="532">
        <f>SUM(K11:K17)</f>
        <v>0</v>
      </c>
      <c r="L18" s="1933">
        <f>SUM(L11:L17)</f>
        <v>0</v>
      </c>
      <c r="M18" s="1934"/>
      <c r="N18" s="532">
        <f>SUM(N11:N17)</f>
        <v>0</v>
      </c>
      <c r="O18" s="1933">
        <f>SUM(O11:O17)</f>
        <v>0</v>
      </c>
      <c r="P18" s="1934"/>
      <c r="Q18" s="1233">
        <f>SUM(Q11:Q17)</f>
        <v>0</v>
      </c>
      <c r="R18" s="499" t="str">
        <f>IF(F18='3. T3 BALANS'!G77,"","TARKISTA, ETTÄ SOLU F18 = 'T3 TASE'!G77!")</f>
        <v/>
      </c>
    </row>
    <row r="19" spans="1:19" s="46" customFormat="1" ht="13.15" customHeight="1" thickBot="1" x14ac:dyDescent="0.25">
      <c r="A19"/>
      <c r="B19" s="1531" t="s">
        <v>410</v>
      </c>
      <c r="C19" s="669">
        <f>'3. T3 BALANS'!G73</f>
        <v>0</v>
      </c>
      <c r="D19" s="503">
        <v>0</v>
      </c>
      <c r="E19" s="650">
        <v>0</v>
      </c>
      <c r="F19" s="1935">
        <f>'3. T3 BALANS'!G83</f>
        <v>0</v>
      </c>
      <c r="G19" s="1936"/>
      <c r="H19" s="600">
        <f>'AT2 Lainat,sotum., alv-osto'!P40</f>
        <v>0</v>
      </c>
      <c r="I19" s="1952">
        <f>'AT2 Lainat,sotum., alv-osto'!S40</f>
        <v>0</v>
      </c>
      <c r="J19" s="1936"/>
      <c r="K19" s="600">
        <f>'AT2 Lainat,sotum., alv-osto'!V40</f>
        <v>0</v>
      </c>
      <c r="L19" s="1952">
        <f>'AT2 Lainat,sotum., alv-osto'!Y40</f>
        <v>0</v>
      </c>
      <c r="M19" s="1936"/>
      <c r="N19" s="600">
        <f>'AT2 Lainat,sotum., alv-osto'!AB40</f>
        <v>0</v>
      </c>
      <c r="O19" s="1952">
        <f>'AT2 Lainat,sotum., alv-osto'!AE40</f>
        <v>0</v>
      </c>
      <c r="P19" s="1936"/>
      <c r="Q19" s="669">
        <f>'AT2 Lainat,sotum., alv-osto'!AH40</f>
        <v>0</v>
      </c>
      <c r="R19" s="499" t="s">
        <v>0</v>
      </c>
    </row>
    <row r="20" spans="1:19" s="46" customFormat="1" ht="15" customHeight="1" x14ac:dyDescent="0.2">
      <c r="A20"/>
      <c r="B20" s="1943" t="s">
        <v>411</v>
      </c>
      <c r="C20" s="1923" t="s">
        <v>412</v>
      </c>
      <c r="D20" s="1923" t="s">
        <v>413</v>
      </c>
      <c r="E20" s="1926" t="s">
        <v>406</v>
      </c>
      <c r="F20" s="1931" t="str">
        <f>'1. T1 INVESTERINGSP.'!D15</f>
        <v>Prognos 1</v>
      </c>
      <c r="G20" s="1932"/>
      <c r="H20" s="1932"/>
      <c r="I20" s="1931" t="str">
        <f>I8</f>
        <v>Prognos 2</v>
      </c>
      <c r="J20" s="1932"/>
      <c r="K20" s="1932"/>
      <c r="L20" s="1931" t="str">
        <f>L8</f>
        <v>Prognos 3</v>
      </c>
      <c r="M20" s="1932"/>
      <c r="N20" s="1951"/>
      <c r="O20" s="1931" t="str">
        <f>O8</f>
        <v>Prognos 4</v>
      </c>
      <c r="P20" s="1932"/>
      <c r="Q20" s="1951"/>
    </row>
    <row r="21" spans="1:19" s="46" customFormat="1" ht="11.65" customHeight="1" x14ac:dyDescent="0.2">
      <c r="B21" s="1944"/>
      <c r="C21" s="1924"/>
      <c r="D21" s="1924"/>
      <c r="E21" s="1927"/>
      <c r="F21" s="1916">
        <f>F9</f>
        <v>2027</v>
      </c>
      <c r="G21" s="1917"/>
      <c r="H21" s="1917"/>
      <c r="I21" s="1916">
        <f>I9</f>
        <v>2028</v>
      </c>
      <c r="J21" s="1917"/>
      <c r="K21" s="1917"/>
      <c r="L21" s="1916">
        <f>L9</f>
        <v>2029</v>
      </c>
      <c r="M21" s="1917"/>
      <c r="N21" s="1918"/>
      <c r="O21" s="1917">
        <f>O9</f>
        <v>2030</v>
      </c>
      <c r="P21" s="1917"/>
      <c r="Q21" s="1957"/>
    </row>
    <row r="22" spans="1:19" s="46" customFormat="1" ht="18" customHeight="1" thickBot="1" x14ac:dyDescent="0.25">
      <c r="A22"/>
      <c r="B22" s="1273" t="s">
        <v>289</v>
      </c>
      <c r="C22" s="1925"/>
      <c r="D22" s="1925"/>
      <c r="E22" s="1928"/>
      <c r="F22" s="491" t="s">
        <v>414</v>
      </c>
      <c r="G22" s="956" t="s">
        <v>415</v>
      </c>
      <c r="H22" s="955" t="s">
        <v>416</v>
      </c>
      <c r="I22" s="491" t="s">
        <v>414</v>
      </c>
      <c r="J22" s="956" t="s">
        <v>415</v>
      </c>
      <c r="K22" s="955" t="s">
        <v>416</v>
      </c>
      <c r="L22" s="491" t="s">
        <v>414</v>
      </c>
      <c r="M22" s="956" t="s">
        <v>415</v>
      </c>
      <c r="N22" s="955" t="s">
        <v>416</v>
      </c>
      <c r="O22" s="491" t="s">
        <v>414</v>
      </c>
      <c r="P22" s="956" t="s">
        <v>415</v>
      </c>
      <c r="Q22" s="1273" t="s">
        <v>416</v>
      </c>
    </row>
    <row r="23" spans="1:19" s="46" customFormat="1" ht="12.6" customHeight="1" x14ac:dyDescent="0.2">
      <c r="B23" s="1280" t="s">
        <v>417</v>
      </c>
      <c r="C23" s="1103"/>
      <c r="D23" s="1104"/>
      <c r="E23" s="1104"/>
      <c r="F23" s="1105"/>
      <c r="G23" s="1105"/>
      <c r="H23" s="1105"/>
      <c r="I23" s="1105"/>
      <c r="J23" s="1105"/>
      <c r="K23" s="1105"/>
      <c r="L23" s="1105"/>
      <c r="M23" s="1105"/>
      <c r="N23" s="1105"/>
      <c r="O23" s="1105"/>
      <c r="P23" s="1105"/>
      <c r="Q23" s="1281"/>
    </row>
    <row r="24" spans="1:19" s="46" customFormat="1" ht="11.65" customHeight="1" x14ac:dyDescent="0.2">
      <c r="B24" s="1274" t="s">
        <v>421</v>
      </c>
      <c r="C24" s="533">
        <v>0</v>
      </c>
      <c r="D24" s="395">
        <v>0</v>
      </c>
      <c r="E24" s="602">
        <v>0</v>
      </c>
      <c r="F24" s="541">
        <f>C24</f>
        <v>0</v>
      </c>
      <c r="G24" s="542">
        <f>IF($D24=0,0,$C24/$D24)</f>
        <v>0</v>
      </c>
      <c r="H24" s="543">
        <f>'AT2 Lainat,sotum., alv-osto'!P16</f>
        <v>0</v>
      </c>
      <c r="I24" s="544">
        <v>0</v>
      </c>
      <c r="J24" s="542">
        <f>G24</f>
        <v>0</v>
      </c>
      <c r="K24" s="543">
        <f>'AT2 Lainat,sotum., alv-osto'!V16</f>
        <v>0</v>
      </c>
      <c r="L24" s="544">
        <v>0</v>
      </c>
      <c r="M24" s="542">
        <f>IF($D24&lt;3,0,J24)</f>
        <v>0</v>
      </c>
      <c r="N24" s="545">
        <f>'AT2 Lainat,sotum., alv-osto'!AB16</f>
        <v>0</v>
      </c>
      <c r="O24" s="544">
        <v>0</v>
      </c>
      <c r="P24" s="542">
        <f>IF($D24&lt;4,0,M24)</f>
        <v>0</v>
      </c>
      <c r="Q24" s="698">
        <f>'AT2 Lainat,sotum., alv-osto'!AH16</f>
        <v>0</v>
      </c>
      <c r="S24" s="89"/>
    </row>
    <row r="25" spans="1:19" s="46" customFormat="1" ht="11.65" customHeight="1" x14ac:dyDescent="0.2">
      <c r="A25" s="2"/>
      <c r="B25" s="1274">
        <v>0</v>
      </c>
      <c r="C25" s="533">
        <v>0</v>
      </c>
      <c r="D25" s="395">
        <v>0</v>
      </c>
      <c r="E25" s="602">
        <v>0</v>
      </c>
      <c r="F25" s="541">
        <f>C25</f>
        <v>0</v>
      </c>
      <c r="G25" s="542">
        <f>IF($D25=0,0,$C25/$D25)</f>
        <v>0</v>
      </c>
      <c r="H25" s="543">
        <f>'AT2 Lainat,sotum., alv-osto'!P17</f>
        <v>0</v>
      </c>
      <c r="I25" s="544"/>
      <c r="J25" s="542">
        <f>G25</f>
        <v>0</v>
      </c>
      <c r="K25" s="543">
        <f>'AT2 Lainat,sotum., alv-osto'!V17</f>
        <v>0</v>
      </c>
      <c r="L25" s="544"/>
      <c r="M25" s="542">
        <f>IF($D25&lt;3,0,J25)</f>
        <v>0</v>
      </c>
      <c r="N25" s="545">
        <f>'AT2 Lainat,sotum., alv-osto'!AB17</f>
        <v>0</v>
      </c>
      <c r="O25" s="544"/>
      <c r="P25" s="542">
        <f>IF($D25&lt;4,0,M25)</f>
        <v>0</v>
      </c>
      <c r="Q25" s="698">
        <f>'AT2 Lainat,sotum., alv-osto'!AH17</f>
        <v>0</v>
      </c>
      <c r="S25" s="89"/>
    </row>
    <row r="26" spans="1:19" s="46" customFormat="1" ht="11.65" customHeight="1" thickBot="1" x14ac:dyDescent="0.25">
      <c r="B26" s="1282">
        <v>0</v>
      </c>
      <c r="C26" s="603">
        <v>0</v>
      </c>
      <c r="D26" s="501">
        <v>0</v>
      </c>
      <c r="E26" s="604">
        <v>0</v>
      </c>
      <c r="F26" s="546">
        <f>C26</f>
        <v>0</v>
      </c>
      <c r="G26" s="1283">
        <f>IF($D26=0,0,$C26/$D26)</f>
        <v>0</v>
      </c>
      <c r="H26" s="547">
        <f>'AT2 Lainat,sotum., alv-osto'!P18</f>
        <v>0</v>
      </c>
      <c r="I26" s="548"/>
      <c r="J26" s="1283">
        <f>G26</f>
        <v>0</v>
      </c>
      <c r="K26" s="547">
        <f>'AT2 Lainat,sotum., alv-osto'!V18</f>
        <v>0</v>
      </c>
      <c r="L26" s="548"/>
      <c r="M26" s="1283">
        <f>IF($D26&lt;3,0,J26)</f>
        <v>0</v>
      </c>
      <c r="N26" s="529">
        <f>'AT2 Lainat,sotum., alv-osto'!AB18</f>
        <v>0</v>
      </c>
      <c r="O26" s="548"/>
      <c r="P26" s="1283">
        <f>IF($D26&lt;4,0,M26)</f>
        <v>0</v>
      </c>
      <c r="Q26" s="1284">
        <f>'AT2 Lainat,sotum., alv-osto'!AH18</f>
        <v>0</v>
      </c>
      <c r="S26" s="89"/>
    </row>
    <row r="27" spans="1:19" s="46" customFormat="1" ht="11.65" customHeight="1" x14ac:dyDescent="0.2">
      <c r="A27"/>
      <c r="B27" s="1280" t="s">
        <v>418</v>
      </c>
      <c r="C27" s="1106"/>
      <c r="D27" s="1107"/>
      <c r="E27" s="1108"/>
      <c r="F27" s="1106"/>
      <c r="G27" s="1106"/>
      <c r="H27" s="1109"/>
      <c r="I27" s="1109"/>
      <c r="J27" s="1106"/>
      <c r="K27" s="1109"/>
      <c r="L27" s="1109"/>
      <c r="M27" s="1106"/>
      <c r="N27" s="1109"/>
      <c r="O27" s="1109"/>
      <c r="P27" s="1106"/>
      <c r="Q27" s="1285"/>
      <c r="S27" s="89"/>
    </row>
    <row r="28" spans="1:19" s="46" customFormat="1" ht="11.65" customHeight="1" x14ac:dyDescent="0.2">
      <c r="B28" s="1286" t="s">
        <v>421</v>
      </c>
      <c r="C28" s="533">
        <v>0</v>
      </c>
      <c r="D28" s="395">
        <v>0</v>
      </c>
      <c r="E28" s="602">
        <v>0</v>
      </c>
      <c r="F28" s="544"/>
      <c r="G28" s="549"/>
      <c r="H28" s="543"/>
      <c r="I28" s="541">
        <f>C28</f>
        <v>0</v>
      </c>
      <c r="J28" s="542">
        <f>IF($D28=0,0,$C28/$D28)</f>
        <v>0</v>
      </c>
      <c r="K28" s="543">
        <f>'AT2 Lainat,sotum., alv-osto'!V19</f>
        <v>0</v>
      </c>
      <c r="L28" s="544"/>
      <c r="M28" s="542">
        <f t="shared" ref="M28:M30" si="7">J28</f>
        <v>0</v>
      </c>
      <c r="N28" s="545">
        <f>'AT2 Lainat,sotum., alv-osto'!AB19</f>
        <v>0</v>
      </c>
      <c r="O28" s="544"/>
      <c r="P28" s="542">
        <f>IF($D28&lt;3,0,M28)</f>
        <v>0</v>
      </c>
      <c r="Q28" s="698">
        <f>'AT2 Lainat,sotum., alv-osto'!AH19</f>
        <v>0</v>
      </c>
      <c r="S28" s="89"/>
    </row>
    <row r="29" spans="1:19" s="46" customFormat="1" ht="11.65" customHeight="1" x14ac:dyDescent="0.2">
      <c r="A29"/>
      <c r="B29" s="1286">
        <v>0</v>
      </c>
      <c r="C29" s="533">
        <v>0</v>
      </c>
      <c r="D29" s="395">
        <v>0</v>
      </c>
      <c r="E29" s="602">
        <v>0</v>
      </c>
      <c r="F29" s="544"/>
      <c r="G29" s="549"/>
      <c r="H29" s="543"/>
      <c r="I29" s="541">
        <f>C29</f>
        <v>0</v>
      </c>
      <c r="J29" s="542">
        <f>IF($D29=0,0,$C29/$D29)</f>
        <v>0</v>
      </c>
      <c r="K29" s="543">
        <f>'AT2 Lainat,sotum., alv-osto'!V20</f>
        <v>0</v>
      </c>
      <c r="L29" s="544"/>
      <c r="M29" s="542">
        <f t="shared" si="7"/>
        <v>0</v>
      </c>
      <c r="N29" s="545">
        <f>'AT2 Lainat,sotum., alv-osto'!AB20</f>
        <v>0</v>
      </c>
      <c r="O29" s="544"/>
      <c r="P29" s="542">
        <f>IF($D29&lt;3,0,M29)</f>
        <v>0</v>
      </c>
      <c r="Q29" s="698">
        <f>'AT2 Lainat,sotum., alv-osto'!AH20</f>
        <v>0</v>
      </c>
      <c r="S29" s="89"/>
    </row>
    <row r="30" spans="1:19" s="46" customFormat="1" ht="11.65" customHeight="1" thickBot="1" x14ac:dyDescent="0.25">
      <c r="B30" s="1287">
        <v>0</v>
      </c>
      <c r="C30" s="603">
        <v>0</v>
      </c>
      <c r="D30" s="501">
        <v>0</v>
      </c>
      <c r="E30" s="604">
        <v>0</v>
      </c>
      <c r="F30" s="548"/>
      <c r="G30" s="1288"/>
      <c r="H30" s="547"/>
      <c r="I30" s="546">
        <f>C30</f>
        <v>0</v>
      </c>
      <c r="J30" s="1283">
        <f>IF($D30=0,0,$C30/$D30)</f>
        <v>0</v>
      </c>
      <c r="K30" s="547">
        <f>'AT2 Lainat,sotum., alv-osto'!V21</f>
        <v>0</v>
      </c>
      <c r="L30" s="548"/>
      <c r="M30" s="1283">
        <f t="shared" si="7"/>
        <v>0</v>
      </c>
      <c r="N30" s="529">
        <f>'AT2 Lainat,sotum., alv-osto'!AB21</f>
        <v>0</v>
      </c>
      <c r="O30" s="548"/>
      <c r="P30" s="1283">
        <f>IF($D30&lt;3,0,M30)</f>
        <v>0</v>
      </c>
      <c r="Q30" s="1284">
        <f>'AT2 Lainat,sotum., alv-osto'!AH21</f>
        <v>0</v>
      </c>
      <c r="S30" s="89"/>
    </row>
    <row r="31" spans="1:19" s="46" customFormat="1" ht="11.65" customHeight="1" x14ac:dyDescent="0.2">
      <c r="A31" s="2"/>
      <c r="B31" s="1475" t="s">
        <v>419</v>
      </c>
      <c r="C31" s="1106"/>
      <c r="D31" s="1107"/>
      <c r="E31" s="1108"/>
      <c r="F31" s="1109"/>
      <c r="G31" s="1109"/>
      <c r="H31" s="1109"/>
      <c r="I31" s="1106">
        <v>0</v>
      </c>
      <c r="J31" s="1106"/>
      <c r="K31" s="1109"/>
      <c r="L31" s="1109"/>
      <c r="M31" s="1106"/>
      <c r="N31" s="1109"/>
      <c r="O31" s="1109"/>
      <c r="P31" s="1106"/>
      <c r="Q31" s="1285"/>
      <c r="S31" s="89"/>
    </row>
    <row r="32" spans="1:19" s="46" customFormat="1" ht="11.65" customHeight="1" x14ac:dyDescent="0.2">
      <c r="B32" s="1286" t="s">
        <v>421</v>
      </c>
      <c r="C32" s="533">
        <v>0</v>
      </c>
      <c r="D32" s="395">
        <v>0</v>
      </c>
      <c r="E32" s="602">
        <v>0</v>
      </c>
      <c r="F32" s="544"/>
      <c r="G32" s="549"/>
      <c r="H32" s="543"/>
      <c r="I32" s="544"/>
      <c r="J32" s="549"/>
      <c r="K32" s="543"/>
      <c r="L32" s="541">
        <f>C32</f>
        <v>0</v>
      </c>
      <c r="M32" s="542">
        <f>IF($D32=0,0,$C32/$D32)</f>
        <v>0</v>
      </c>
      <c r="N32" s="545">
        <f>'AT2 Lainat,sotum., alv-osto'!AB22</f>
        <v>0</v>
      </c>
      <c r="O32" s="544"/>
      <c r="P32" s="542">
        <f t="shared" ref="P32:P34" si="8">M32</f>
        <v>0</v>
      </c>
      <c r="Q32" s="698">
        <f>'AT2 Lainat,sotum., alv-osto'!AH22</f>
        <v>0</v>
      </c>
      <c r="S32" s="89"/>
    </row>
    <row r="33" spans="1:19" s="46" customFormat="1" ht="11.65" customHeight="1" x14ac:dyDescent="0.2">
      <c r="A33"/>
      <c r="B33" s="1274">
        <v>0</v>
      </c>
      <c r="C33" s="533">
        <v>0</v>
      </c>
      <c r="D33" s="395">
        <v>0</v>
      </c>
      <c r="E33" s="602">
        <v>0</v>
      </c>
      <c r="F33" s="544"/>
      <c r="G33" s="549"/>
      <c r="H33" s="543"/>
      <c r="I33" s="544"/>
      <c r="J33" s="549"/>
      <c r="K33" s="543"/>
      <c r="L33" s="541">
        <f>C33</f>
        <v>0</v>
      </c>
      <c r="M33" s="542">
        <f>IF($D33=0,0,$C33/$D33)</f>
        <v>0</v>
      </c>
      <c r="N33" s="545">
        <f>'AT2 Lainat,sotum., alv-osto'!AB23</f>
        <v>0</v>
      </c>
      <c r="O33" s="544"/>
      <c r="P33" s="542">
        <f t="shared" si="8"/>
        <v>0</v>
      </c>
      <c r="Q33" s="698">
        <f>'AT2 Lainat,sotum., alv-osto'!AH23</f>
        <v>0</v>
      </c>
      <c r="S33" s="89"/>
    </row>
    <row r="34" spans="1:19" s="46" customFormat="1" ht="11.65" customHeight="1" thickBot="1" x14ac:dyDescent="0.25">
      <c r="B34" s="1289">
        <v>0</v>
      </c>
      <c r="C34" s="605">
        <v>0</v>
      </c>
      <c r="D34" s="504">
        <v>0</v>
      </c>
      <c r="E34" s="606">
        <v>0</v>
      </c>
      <c r="F34" s="550">
        <v>0</v>
      </c>
      <c r="G34" s="551"/>
      <c r="H34" s="552"/>
      <c r="I34" s="550"/>
      <c r="J34" s="553"/>
      <c r="K34" s="554"/>
      <c r="L34" s="555">
        <f>C34</f>
        <v>0</v>
      </c>
      <c r="M34" s="556">
        <f>IF($D34=0,0,$C34/$D34)</f>
        <v>0</v>
      </c>
      <c r="N34" s="557">
        <f>'AT2 Lainat,sotum., alv-osto'!AB24</f>
        <v>0</v>
      </c>
      <c r="O34" s="550">
        <v>0</v>
      </c>
      <c r="P34" s="556">
        <f t="shared" si="8"/>
        <v>0</v>
      </c>
      <c r="Q34" s="703">
        <f>'AT2 Lainat,sotum., alv-osto'!AH24</f>
        <v>0</v>
      </c>
      <c r="S34" s="89"/>
    </row>
    <row r="35" spans="1:19" s="46" customFormat="1" ht="11.65" customHeight="1" x14ac:dyDescent="0.2">
      <c r="A35"/>
      <c r="B35" s="1476" t="s">
        <v>420</v>
      </c>
      <c r="C35" s="1110"/>
      <c r="D35" s="1111"/>
      <c r="E35" s="1112"/>
      <c r="F35" s="1113"/>
      <c r="G35" s="1114"/>
      <c r="H35" s="1115"/>
      <c r="I35" s="1113"/>
      <c r="J35" s="1116"/>
      <c r="K35" s="1117"/>
      <c r="L35" s="1118"/>
      <c r="M35" s="1119"/>
      <c r="N35" s="1120"/>
      <c r="O35" s="1113"/>
      <c r="P35" s="1119"/>
      <c r="Q35" s="1290"/>
      <c r="S35" s="89"/>
    </row>
    <row r="36" spans="1:19" s="46" customFormat="1" ht="11.65" customHeight="1" x14ac:dyDescent="0.2">
      <c r="B36" s="1286" t="s">
        <v>421</v>
      </c>
      <c r="C36" s="535">
        <v>0</v>
      </c>
      <c r="D36" s="396">
        <v>0</v>
      </c>
      <c r="E36" s="607">
        <v>0</v>
      </c>
      <c r="F36" s="544">
        <v>0</v>
      </c>
      <c r="G36" s="559"/>
      <c r="H36" s="560"/>
      <c r="I36" s="544">
        <v>0</v>
      </c>
      <c r="J36" s="559">
        <v>0</v>
      </c>
      <c r="K36" s="543"/>
      <c r="L36" s="544">
        <v>0</v>
      </c>
      <c r="M36" s="549"/>
      <c r="N36" s="545">
        <v>0</v>
      </c>
      <c r="O36" s="561">
        <f>C36</f>
        <v>0</v>
      </c>
      <c r="P36" s="542">
        <f>IF($D36=0,0,$C36/$D36)</f>
        <v>0</v>
      </c>
      <c r="Q36" s="698">
        <f>'AT2 Lainat,sotum., alv-osto'!AH25</f>
        <v>0</v>
      </c>
      <c r="S36" s="89"/>
    </row>
    <row r="37" spans="1:19" s="46" customFormat="1" ht="11.65" customHeight="1" x14ac:dyDescent="0.2">
      <c r="A37" s="2"/>
      <c r="B37" s="1286">
        <v>0</v>
      </c>
      <c r="C37" s="533">
        <v>0</v>
      </c>
      <c r="D37" s="395">
        <v>0</v>
      </c>
      <c r="E37" s="602">
        <v>0</v>
      </c>
      <c r="F37" s="548"/>
      <c r="G37" s="1291"/>
      <c r="H37" s="562"/>
      <c r="I37" s="548"/>
      <c r="J37" s="1291"/>
      <c r="K37" s="547"/>
      <c r="L37" s="548"/>
      <c r="M37" s="1288"/>
      <c r="N37" s="529"/>
      <c r="O37" s="561">
        <f>C37</f>
        <v>0</v>
      </c>
      <c r="P37" s="542">
        <f>IF($D37=0,0,$C37/$D37)</f>
        <v>0</v>
      </c>
      <c r="Q37" s="698">
        <f>'AT2 Lainat,sotum., alv-osto'!AH26</f>
        <v>0</v>
      </c>
      <c r="S37" s="89"/>
    </row>
    <row r="38" spans="1:19" s="46" customFormat="1" ht="11.65" customHeight="1" thickBot="1" x14ac:dyDescent="0.25">
      <c r="B38" s="1292">
        <v>0</v>
      </c>
      <c r="C38" s="537">
        <v>0</v>
      </c>
      <c r="D38" s="397">
        <v>0</v>
      </c>
      <c r="E38" s="608">
        <v>0</v>
      </c>
      <c r="F38" s="565">
        <v>0</v>
      </c>
      <c r="G38" s="566"/>
      <c r="H38" s="567"/>
      <c r="I38" s="565">
        <v>0</v>
      </c>
      <c r="J38" s="566"/>
      <c r="K38" s="568"/>
      <c r="L38" s="565">
        <v>0</v>
      </c>
      <c r="M38" s="566"/>
      <c r="N38" s="531"/>
      <c r="O38" s="569">
        <f>C38</f>
        <v>0</v>
      </c>
      <c r="P38" s="537">
        <f>IF($D38=0,0,$C38/$D38)</f>
        <v>0</v>
      </c>
      <c r="Q38" s="1279">
        <f>'AT2 Lainat,sotum., alv-osto'!AH27</f>
        <v>0</v>
      </c>
      <c r="S38" s="89"/>
    </row>
    <row r="39" spans="1:19" s="46" customFormat="1" ht="15" customHeight="1" thickTop="1" thickBot="1" x14ac:dyDescent="0.25">
      <c r="A39"/>
      <c r="B39" s="1293" t="s">
        <v>423</v>
      </c>
      <c r="C39" s="571">
        <f>SUM(C24:C38)</f>
        <v>0</v>
      </c>
      <c r="D39" s="505"/>
      <c r="E39" s="1012">
        <v>0</v>
      </c>
      <c r="F39" s="570">
        <f t="shared" ref="F39:N39" si="9">SUM(F24:F38)</f>
        <v>0</v>
      </c>
      <c r="G39" s="571">
        <f t="shared" si="9"/>
        <v>0</v>
      </c>
      <c r="H39" s="573">
        <f t="shared" si="9"/>
        <v>0</v>
      </c>
      <c r="I39" s="570">
        <f t="shared" si="9"/>
        <v>0</v>
      </c>
      <c r="J39" s="573">
        <f t="shared" si="9"/>
        <v>0</v>
      </c>
      <c r="K39" s="572">
        <f>SUM(K24:K38)</f>
        <v>0</v>
      </c>
      <c r="L39" s="570">
        <f t="shared" si="9"/>
        <v>0</v>
      </c>
      <c r="M39" s="571">
        <f t="shared" si="9"/>
        <v>0</v>
      </c>
      <c r="N39" s="572">
        <f t="shared" si="9"/>
        <v>0</v>
      </c>
      <c r="O39" s="574">
        <f>SUM(O24:O38)</f>
        <v>0</v>
      </c>
      <c r="P39" s="571">
        <f>SUM(P24:P38)</f>
        <v>0</v>
      </c>
      <c r="Q39" s="571">
        <f>SUM(Q24:Q38)</f>
        <v>0</v>
      </c>
    </row>
    <row r="40" spans="1:19" s="46" customFormat="1" ht="18" customHeight="1" thickBot="1" x14ac:dyDescent="0.25">
      <c r="B40" s="1294" t="s">
        <v>422</v>
      </c>
      <c r="C40" s="1121"/>
      <c r="D40" s="1122"/>
      <c r="E40" s="1123"/>
      <c r="F40" s="1124" t="s">
        <v>414</v>
      </c>
      <c r="G40" s="1125" t="s">
        <v>415</v>
      </c>
      <c r="H40" s="1126" t="s">
        <v>416</v>
      </c>
      <c r="I40" s="1124" t="s">
        <v>414</v>
      </c>
      <c r="J40" s="1125" t="s">
        <v>415</v>
      </c>
      <c r="K40" s="1126" t="s">
        <v>416</v>
      </c>
      <c r="L40" s="1124" t="s">
        <v>414</v>
      </c>
      <c r="M40" s="1125" t="s">
        <v>415</v>
      </c>
      <c r="N40" s="1126" t="s">
        <v>416</v>
      </c>
      <c r="O40" s="1124" t="s">
        <v>414</v>
      </c>
      <c r="P40" s="1125" t="s">
        <v>415</v>
      </c>
      <c r="Q40" s="1295" t="s">
        <v>416</v>
      </c>
    </row>
    <row r="41" spans="1:19" s="46" customFormat="1" ht="11.65" customHeight="1" x14ac:dyDescent="0.2">
      <c r="A41"/>
      <c r="B41" s="1274" t="s">
        <v>792</v>
      </c>
      <c r="C41" s="533">
        <v>0</v>
      </c>
      <c r="D41" s="395">
        <v>0</v>
      </c>
      <c r="E41" s="602">
        <v>0</v>
      </c>
      <c r="F41" s="541">
        <f>C41</f>
        <v>0</v>
      </c>
      <c r="G41" s="575">
        <f>'AT2 Lainat,sotum., alv-osto'!M44</f>
        <v>0</v>
      </c>
      <c r="H41" s="543">
        <f>'AT2 Lainat,sotum., alv-osto'!P44</f>
        <v>0</v>
      </c>
      <c r="I41" s="1477"/>
      <c r="J41" s="575">
        <f>'AT2 Lainat,sotum., alv-osto'!S44</f>
        <v>0</v>
      </c>
      <c r="K41" s="576">
        <f>'AT2 Lainat,sotum., alv-osto'!V44</f>
        <v>0</v>
      </c>
      <c r="L41" s="577"/>
      <c r="M41" s="575">
        <f>'AT2 Lainat,sotum., alv-osto'!Y44</f>
        <v>0</v>
      </c>
      <c r="N41" s="545">
        <f>'AT2 Lainat,sotum., alv-osto'!AB44</f>
        <v>0</v>
      </c>
      <c r="O41" s="578"/>
      <c r="P41" s="575">
        <f>'AT2 Lainat,sotum., alv-osto'!AE44</f>
        <v>0</v>
      </c>
      <c r="Q41" s="698">
        <f>'AT2 Lainat,sotum., alv-osto'!AH44</f>
        <v>0</v>
      </c>
      <c r="S41" s="89"/>
    </row>
    <row r="42" spans="1:19" s="46" customFormat="1" ht="11.65" customHeight="1" x14ac:dyDescent="0.2">
      <c r="B42" s="1276" t="s">
        <v>793</v>
      </c>
      <c r="C42" s="535">
        <v>0</v>
      </c>
      <c r="D42" s="396">
        <v>0</v>
      </c>
      <c r="E42" s="607">
        <v>0</v>
      </c>
      <c r="F42" s="579"/>
      <c r="G42" s="580"/>
      <c r="H42" s="581"/>
      <c r="I42" s="541">
        <f>C42</f>
        <v>0</v>
      </c>
      <c r="J42" s="575">
        <f>'AT2 Lainat,sotum., alv-osto'!S47</f>
        <v>0</v>
      </c>
      <c r="K42" s="545">
        <f>'AT2 Lainat,sotum., alv-osto'!V47</f>
        <v>0</v>
      </c>
      <c r="L42" s="577">
        <v>0</v>
      </c>
      <c r="M42" s="575">
        <f>'AT2 Lainat,sotum., alv-osto'!Y47</f>
        <v>0</v>
      </c>
      <c r="N42" s="545">
        <f>'AT2 Lainat,sotum., alv-osto'!AB47</f>
        <v>0</v>
      </c>
      <c r="O42" s="578">
        <v>0</v>
      </c>
      <c r="P42" s="575">
        <f>IF(I42=0,0,'AT2 Lainat,sotum., alv-osto'!AE47)</f>
        <v>0</v>
      </c>
      <c r="Q42" s="698">
        <f>'AT2 Lainat,sotum., alv-osto'!AH47</f>
        <v>0</v>
      </c>
      <c r="S42" s="89"/>
    </row>
    <row r="43" spans="1:19" s="46" customFormat="1" ht="11.65" customHeight="1" x14ac:dyDescent="0.2">
      <c r="A43" s="2"/>
      <c r="B43" s="1276" t="s">
        <v>794</v>
      </c>
      <c r="C43" s="535">
        <v>0</v>
      </c>
      <c r="D43" s="396">
        <v>0</v>
      </c>
      <c r="E43" s="607">
        <v>0</v>
      </c>
      <c r="F43" s="558"/>
      <c r="G43" s="582"/>
      <c r="H43" s="583"/>
      <c r="I43" s="558"/>
      <c r="J43" s="584"/>
      <c r="K43" s="585"/>
      <c r="L43" s="1234">
        <f>C43</f>
        <v>0</v>
      </c>
      <c r="M43" s="586">
        <f>'AT2 Lainat,sotum., alv-osto'!Y50</f>
        <v>0</v>
      </c>
      <c r="N43" s="530">
        <f>'AT2 Lainat,sotum., alv-osto'!AB50</f>
        <v>0</v>
      </c>
      <c r="O43" s="587">
        <v>0</v>
      </c>
      <c r="P43" s="575">
        <f>IF(L43=0,0,'AT2 Lainat,sotum., alv-osto'!AE50)</f>
        <v>0</v>
      </c>
      <c r="Q43" s="698">
        <f>'AT2 Lainat,sotum., alv-osto'!AH50</f>
        <v>0</v>
      </c>
      <c r="S43" s="89"/>
    </row>
    <row r="44" spans="1:19" s="46" customFormat="1" ht="11.65" customHeight="1" thickBot="1" x14ac:dyDescent="0.25">
      <c r="B44" s="1278" t="s">
        <v>795</v>
      </c>
      <c r="C44" s="537">
        <v>0</v>
      </c>
      <c r="D44" s="397">
        <v>0</v>
      </c>
      <c r="E44" s="893">
        <v>0</v>
      </c>
      <c r="F44" s="588"/>
      <c r="G44" s="564"/>
      <c r="H44" s="589"/>
      <c r="I44" s="563"/>
      <c r="J44" s="590"/>
      <c r="K44" s="591"/>
      <c r="L44" s="592"/>
      <c r="M44" s="593"/>
      <c r="N44" s="531"/>
      <c r="O44" s="569">
        <f>C44</f>
        <v>0</v>
      </c>
      <c r="P44" s="593">
        <f>IF(O44=0,0,'AT2 Lainat,sotum., alv-osto'!AE53)</f>
        <v>0</v>
      </c>
      <c r="Q44" s="1279">
        <f>'AT2 Lainat,sotum., alv-osto'!AH53</f>
        <v>0</v>
      </c>
      <c r="S44" s="89"/>
    </row>
    <row r="45" spans="1:19" s="46" customFormat="1" ht="13.15" customHeight="1" thickTop="1" thickBot="1" x14ac:dyDescent="0.25">
      <c r="A45"/>
      <c r="B45" s="1296" t="s">
        <v>801</v>
      </c>
      <c r="C45" s="596">
        <v>0</v>
      </c>
      <c r="D45" s="398"/>
      <c r="E45" s="1013"/>
      <c r="F45" s="594">
        <f t="shared" ref="F45:Q45" si="10">SUM(F41:F44)</f>
        <v>0</v>
      </c>
      <c r="G45" s="596">
        <f t="shared" si="10"/>
        <v>0</v>
      </c>
      <c r="H45" s="595">
        <f t="shared" si="10"/>
        <v>0</v>
      </c>
      <c r="I45" s="594">
        <f t="shared" si="10"/>
        <v>0</v>
      </c>
      <c r="J45" s="596">
        <f t="shared" si="10"/>
        <v>0</v>
      </c>
      <c r="K45" s="595">
        <f t="shared" si="10"/>
        <v>0</v>
      </c>
      <c r="L45" s="594">
        <f t="shared" si="10"/>
        <v>0</v>
      </c>
      <c r="M45" s="596">
        <f t="shared" si="10"/>
        <v>0</v>
      </c>
      <c r="N45" s="595">
        <f t="shared" si="10"/>
        <v>0</v>
      </c>
      <c r="O45" s="594">
        <f t="shared" si="10"/>
        <v>0</v>
      </c>
      <c r="P45" s="597">
        <f t="shared" si="10"/>
        <v>0</v>
      </c>
      <c r="Q45" s="597">
        <f t="shared" si="10"/>
        <v>0</v>
      </c>
    </row>
    <row r="46" spans="1:19" s="67" customFormat="1" ht="13.15" customHeight="1" thickBot="1" x14ac:dyDescent="0.25">
      <c r="A46"/>
      <c r="B46" s="1297" t="s">
        <v>800</v>
      </c>
      <c r="C46" s="1358">
        <v>0</v>
      </c>
      <c r="D46" s="399"/>
      <c r="E46" s="1014">
        <v>0.1</v>
      </c>
      <c r="F46" s="598"/>
      <c r="G46" s="599"/>
      <c r="H46" s="1359">
        <f>$E46*C46</f>
        <v>0</v>
      </c>
      <c r="I46" s="598"/>
      <c r="J46" s="599"/>
      <c r="K46" s="1359">
        <f>$E46*'3. T3 BALANS'!H78</f>
        <v>0</v>
      </c>
      <c r="L46" s="598"/>
      <c r="M46" s="599"/>
      <c r="N46" s="1359">
        <f>$E46*'3. T3 BALANS'!I78</f>
        <v>0</v>
      </c>
      <c r="O46" s="598"/>
      <c r="P46" s="599"/>
      <c r="Q46" s="1358">
        <f>$E46*'3. T3 BALANS'!J78</f>
        <v>0</v>
      </c>
    </row>
    <row r="47" spans="1:19" s="1342" customFormat="1" ht="13.15" customHeight="1" thickBot="1" x14ac:dyDescent="0.25">
      <c r="B47" s="1531" t="s">
        <v>799</v>
      </c>
      <c r="C47" s="1346">
        <v>0</v>
      </c>
      <c r="D47" s="1343"/>
      <c r="E47" s="1014">
        <v>0.1</v>
      </c>
      <c r="F47" s="1344"/>
      <c r="G47" s="1345"/>
      <c r="H47" s="1359">
        <f>$E47*C47</f>
        <v>0</v>
      </c>
      <c r="I47" s="1344"/>
      <c r="J47" s="1345"/>
      <c r="K47" s="1359">
        <f>E47*('3. T3 BALANS'!H69+'3. T3 BALANS'!H79)</f>
        <v>0</v>
      </c>
      <c r="L47" s="1344"/>
      <c r="M47" s="1345"/>
      <c r="N47" s="1359">
        <f>E47*('3. T3 BALANS'!I69+'3. T3 BALANS'!I79)</f>
        <v>0</v>
      </c>
      <c r="O47" s="1344"/>
      <c r="P47" s="1345"/>
      <c r="Q47" s="1358">
        <f>E47*('3. T3 BALANS'!J69+'3. T3 BALANS'!J79)</f>
        <v>0</v>
      </c>
    </row>
    <row r="48" spans="1:19" s="67" customFormat="1" ht="21.6" customHeight="1" thickBot="1" x14ac:dyDescent="0.25">
      <c r="A48" s="46"/>
      <c r="B48" s="1298" t="s">
        <v>798</v>
      </c>
      <c r="C48" s="962">
        <v>0</v>
      </c>
      <c r="D48" s="399"/>
      <c r="E48" s="1014">
        <v>0.1</v>
      </c>
      <c r="F48" s="598"/>
      <c r="G48" s="599"/>
      <c r="H48" s="1359">
        <f>$E48*C48</f>
        <v>0</v>
      </c>
      <c r="I48" s="598"/>
      <c r="J48" s="599"/>
      <c r="K48" s="1359">
        <f>$E48*'3. T3 BALANS'!H74</f>
        <v>0</v>
      </c>
      <c r="L48" s="598"/>
      <c r="M48" s="599"/>
      <c r="N48" s="1359">
        <f>$E48*'3. T3 BALANS'!I74</f>
        <v>0</v>
      </c>
      <c r="O48" s="598"/>
      <c r="P48" s="599"/>
      <c r="Q48" s="1358">
        <f>$E48*'3. T3 BALANS'!J74</f>
        <v>0</v>
      </c>
    </row>
    <row r="49" spans="1:17" s="67" customFormat="1" ht="13.15" customHeight="1" thickBot="1" x14ac:dyDescent="0.25">
      <c r="A49" s="2"/>
      <c r="B49" s="1299" t="s">
        <v>802</v>
      </c>
      <c r="C49" s="1650"/>
      <c r="D49" s="641"/>
      <c r="E49" s="642"/>
      <c r="F49" s="930"/>
      <c r="G49" s="931"/>
      <c r="H49" s="1564">
        <f>2%*F39</f>
        <v>0</v>
      </c>
      <c r="I49" s="930"/>
      <c r="J49" s="931"/>
      <c r="K49" s="1564">
        <f>2%*I39</f>
        <v>0</v>
      </c>
      <c r="L49" s="930"/>
      <c r="M49" s="931"/>
      <c r="N49" s="1564">
        <f>2%*L39</f>
        <v>0</v>
      </c>
      <c r="O49" s="930"/>
      <c r="P49" s="931"/>
      <c r="Q49" s="1565">
        <f>2%*O39</f>
        <v>0</v>
      </c>
    </row>
    <row r="50" spans="1:17" s="46" customFormat="1" ht="13.15" customHeight="1" thickTop="1" thickBot="1" x14ac:dyDescent="0.25">
      <c r="B50" s="1300" t="s">
        <v>803</v>
      </c>
      <c r="C50" s="932">
        <v>0</v>
      </c>
      <c r="D50" s="933"/>
      <c r="E50" s="1015"/>
      <c r="F50" s="932">
        <f>F39+F45</f>
        <v>0</v>
      </c>
      <c r="G50" s="932">
        <f>G39+F18+G45+F19</f>
        <v>0</v>
      </c>
      <c r="H50" s="932">
        <f>H39+H18+H45+H46+H49+H19+H48+H47</f>
        <v>0</v>
      </c>
      <c r="I50" s="932">
        <f>I39+I45</f>
        <v>0</v>
      </c>
      <c r="J50" s="932">
        <f>J39+I18+J45+I19</f>
        <v>0</v>
      </c>
      <c r="K50" s="932">
        <f>K39+K18+K45+K46+K49+K19+K48+K47</f>
        <v>0</v>
      </c>
      <c r="L50" s="932">
        <f>L39+L45</f>
        <v>0</v>
      </c>
      <c r="M50" s="932">
        <f>M39+L18+M45+L19</f>
        <v>0</v>
      </c>
      <c r="N50" s="932">
        <f>N39+N18+N45+N46+N49+N19+N48+N47</f>
        <v>0</v>
      </c>
      <c r="O50" s="932">
        <f>O39+O45</f>
        <v>0</v>
      </c>
      <c r="P50" s="932">
        <f>P39+O18+P45+O19</f>
        <v>0</v>
      </c>
      <c r="Q50" s="932">
        <f>Q39+Q18+Q45+Q46+Q49+Q19+Q48+Q47</f>
        <v>0</v>
      </c>
    </row>
    <row r="51" spans="1:17" ht="13.5" thickTop="1" x14ac:dyDescent="0.2">
      <c r="C51" s="45"/>
      <c r="D51" s="45"/>
      <c r="E51" s="400"/>
      <c r="F51" s="400"/>
      <c r="G51" s="400"/>
      <c r="H51" s="400"/>
      <c r="I51" s="400"/>
      <c r="J51" s="400"/>
      <c r="K51" s="45"/>
      <c r="L51" s="45"/>
      <c r="M51" s="45"/>
      <c r="N51" s="1765">
        <f>STARTSIDAN!I5</f>
        <v>0</v>
      </c>
      <c r="O51" s="1765"/>
      <c r="P51" s="1765"/>
      <c r="Q51" s="1765"/>
    </row>
    <row r="52" spans="1:17" ht="12.75" customHeight="1" x14ac:dyDescent="0.2">
      <c r="B52" s="68" t="str">
        <f>STARTSIDAN!G24</f>
        <v>FT22 Det aktiva företagets resultatplan</v>
      </c>
      <c r="C52" s="68"/>
      <c r="D52" s="68"/>
      <c r="E52" s="68"/>
      <c r="F52" s="80"/>
      <c r="G52" s="80"/>
      <c r="H52" s="45"/>
      <c r="I52" s="80"/>
      <c r="J52" s="1803" t="str">
        <f>STARTSIDAN!I21</f>
        <v>FöretagsLojo</v>
      </c>
      <c r="K52" s="1803"/>
      <c r="L52" s="1803"/>
      <c r="M52" s="1803"/>
      <c r="N52" s="1803"/>
      <c r="O52" s="1803"/>
      <c r="P52" s="1803"/>
      <c r="Q52" s="1803"/>
    </row>
    <row r="53" spans="1:17" x14ac:dyDescent="0.2">
      <c r="L53" s="502"/>
      <c r="M53" s="502"/>
      <c r="N53" s="502"/>
      <c r="O53" s="502"/>
      <c r="P53" s="502"/>
      <c r="Q53" s="502"/>
    </row>
    <row r="55" spans="1:17" x14ac:dyDescent="0.2">
      <c r="B55" s="370" t="s">
        <v>104</v>
      </c>
    </row>
    <row r="56" spans="1:17" x14ac:dyDescent="0.2">
      <c r="B56" s="45" t="s">
        <v>105</v>
      </c>
    </row>
    <row r="57" spans="1:17" x14ac:dyDescent="0.2">
      <c r="B57" s="45" t="s">
        <v>106</v>
      </c>
    </row>
  </sheetData>
  <sheetProtection algorithmName="SHA-512" hashValue="KNM3mxJSTzSBtUpkoKMMC1gdIGJXNy3hVO/+JESS7zP268BPUGd0KBS+kOFZZfNI6kctmq9mSjypdeEA2wHdTw==" saltValue="7g5Y+Rm2GzWX3A8gs3F8qg==" spinCount="100000" sheet="1" objects="1" scenarios="1"/>
  <mergeCells count="69">
    <mergeCell ref="N51:Q51"/>
    <mergeCell ref="J52:Q52"/>
    <mergeCell ref="B5:D5"/>
    <mergeCell ref="O17:P17"/>
    <mergeCell ref="O18:P18"/>
    <mergeCell ref="O8:Q8"/>
    <mergeCell ref="O9:Q9"/>
    <mergeCell ref="O10:P10"/>
    <mergeCell ref="O11:P11"/>
    <mergeCell ref="O12:P12"/>
    <mergeCell ref="L12:M12"/>
    <mergeCell ref="F9:H9"/>
    <mergeCell ref="F15:G15"/>
    <mergeCell ref="O19:P19"/>
    <mergeCell ref="O20:Q20"/>
    <mergeCell ref="O21:Q21"/>
    <mergeCell ref="O13:P13"/>
    <mergeCell ref="O14:P14"/>
    <mergeCell ref="O15:P15"/>
    <mergeCell ref="O16:P16"/>
    <mergeCell ref="L21:N21"/>
    <mergeCell ref="L15:M15"/>
    <mergeCell ref="L11:M11"/>
    <mergeCell ref="L16:M16"/>
    <mergeCell ref="I14:J14"/>
    <mergeCell ref="I17:J17"/>
    <mergeCell ref="L20:N20"/>
    <mergeCell ref="I18:J18"/>
    <mergeCell ref="I19:J19"/>
    <mergeCell ref="L19:M19"/>
    <mergeCell ref="L18:M18"/>
    <mergeCell ref="L17:M17"/>
    <mergeCell ref="L13:M13"/>
    <mergeCell ref="L14:M14"/>
    <mergeCell ref="B20:B21"/>
    <mergeCell ref="I12:J12"/>
    <mergeCell ref="I16:J16"/>
    <mergeCell ref="I15:J15"/>
    <mergeCell ref="I11:J11"/>
    <mergeCell ref="I13:J13"/>
    <mergeCell ref="C20:C22"/>
    <mergeCell ref="I20:K20"/>
    <mergeCell ref="I21:K21"/>
    <mergeCell ref="B7:B9"/>
    <mergeCell ref="D20:D22"/>
    <mergeCell ref="E20:E22"/>
    <mergeCell ref="F21:H21"/>
    <mergeCell ref="F16:G16"/>
    <mergeCell ref="F14:G14"/>
    <mergeCell ref="F20:H20"/>
    <mergeCell ref="F18:G18"/>
    <mergeCell ref="F19:G19"/>
    <mergeCell ref="F13:G13"/>
    <mergeCell ref="F17:G17"/>
    <mergeCell ref="F11:G11"/>
    <mergeCell ref="F12:G12"/>
    <mergeCell ref="C7:C10"/>
    <mergeCell ref="D7:D10"/>
    <mergeCell ref="E7:E10"/>
    <mergeCell ref="O5:P5"/>
    <mergeCell ref="F8:H8"/>
    <mergeCell ref="F10:G10"/>
    <mergeCell ref="L8:N8"/>
    <mergeCell ref="I10:J10"/>
    <mergeCell ref="I8:K8"/>
    <mergeCell ref="L9:N9"/>
    <mergeCell ref="L10:M10"/>
    <mergeCell ref="I9:K9"/>
    <mergeCell ref="F7:Q7"/>
  </mergeCells>
  <printOptions horizontalCentered="1"/>
  <pageMargins left="0.23622047244094491" right="0.23622047244094491" top="0.74803149606299213" bottom="0.74803149606299213" header="0.31496062992125984" footer="0.31496062992125984"/>
  <pageSetup paperSize="9" scale="75" orientation="landscape" verticalDpi="4"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31">
    <tabColor rgb="FF0152A1"/>
  </sheetPr>
  <dimension ref="A2:AB235"/>
  <sheetViews>
    <sheetView showGridLines="0" showZeros="0" zoomScaleNormal="100" workbookViewId="0">
      <selection activeCell="R31" sqref="R31"/>
    </sheetView>
  </sheetViews>
  <sheetFormatPr defaultRowHeight="12.75" x14ac:dyDescent="0.2"/>
  <cols>
    <col min="1" max="1" width="10" customWidth="1"/>
    <col min="2" max="2" width="2.85546875" customWidth="1"/>
    <col min="3" max="3" width="37" customWidth="1"/>
    <col min="4" max="4" width="10.140625" customWidth="1"/>
    <col min="5" max="5" width="6.140625" customWidth="1"/>
    <col min="6" max="6" width="10.140625" customWidth="1"/>
    <col min="7" max="7" width="6" customWidth="1"/>
    <col min="8" max="8" width="10.140625" customWidth="1"/>
    <col min="9" max="9" width="6" customWidth="1"/>
    <col min="10" max="10" width="10.140625" customWidth="1"/>
    <col min="11" max="11" width="6" customWidth="1"/>
    <col min="12" max="12" width="10.140625" customWidth="1"/>
    <col min="13" max="13" width="6" customWidth="1"/>
    <col min="14" max="14" width="2.5703125" customWidth="1"/>
    <col min="15" max="17" width="7" customWidth="1"/>
    <col min="18" max="18" width="7.28515625" customWidth="1"/>
    <col min="25" max="27" width="9" customWidth="1"/>
  </cols>
  <sheetData>
    <row r="2" spans="1:28" ht="15.75" x14ac:dyDescent="0.25">
      <c r="B2" s="19" t="s">
        <v>425</v>
      </c>
      <c r="E2" s="1958"/>
      <c r="F2" s="1958"/>
      <c r="H2" s="19"/>
      <c r="O2" s="19" t="str">
        <f>B2</f>
        <v>E1 VERKSAMHETSKOSTNADER</v>
      </c>
      <c r="P2" s="1"/>
    </row>
    <row r="3" spans="1:28" ht="14.25" customHeight="1" x14ac:dyDescent="0.2">
      <c r="A3" s="1363" t="s">
        <v>297</v>
      </c>
      <c r="E3" s="1974"/>
      <c r="F3" s="1974"/>
      <c r="O3" s="1973"/>
      <c r="P3" s="1973"/>
      <c r="Q3" s="1973"/>
    </row>
    <row r="4" spans="1:28" ht="20.25" customHeight="1" x14ac:dyDescent="0.2">
      <c r="B4" s="41" t="s">
        <v>255</v>
      </c>
      <c r="C4" s="38"/>
      <c r="D4" s="38"/>
      <c r="E4" s="38" t="s">
        <v>256</v>
      </c>
      <c r="F4" s="51"/>
      <c r="G4" s="57"/>
      <c r="H4" s="33"/>
      <c r="I4" s="51" t="s">
        <v>0</v>
      </c>
      <c r="J4" s="51"/>
      <c r="K4" s="1965" t="s">
        <v>258</v>
      </c>
      <c r="L4" s="1965"/>
      <c r="M4" s="39"/>
      <c r="N4" s="14"/>
      <c r="O4" s="361"/>
      <c r="S4" s="362"/>
      <c r="T4" s="131"/>
      <c r="U4" s="131"/>
      <c r="V4" s="131"/>
      <c r="W4" s="131"/>
      <c r="X4" s="131"/>
    </row>
    <row r="5" spans="1:28" ht="12.75" customHeight="1" x14ac:dyDescent="0.25">
      <c r="B5" s="515">
        <f>'2. &amp; 7. T2 RESULTATB.'!B5:D5</f>
        <v>0</v>
      </c>
      <c r="C5" s="515"/>
      <c r="D5" s="518"/>
      <c r="E5" s="1880">
        <f>'2. &amp; 7. T2 RESULTATB.'!G5</f>
        <v>0</v>
      </c>
      <c r="F5" s="1880"/>
      <c r="G5" s="1880"/>
      <c r="H5" s="1880"/>
      <c r="I5" s="1880"/>
      <c r="J5" s="522"/>
      <c r="K5" s="1966">
        <f>'1. T1 INVESTERINGSP.'!E4</f>
        <v>0</v>
      </c>
      <c r="L5" s="1880"/>
      <c r="M5" s="67"/>
      <c r="N5" s="67"/>
      <c r="O5" s="362"/>
      <c r="P5" s="19"/>
      <c r="S5" s="131"/>
      <c r="T5" s="131"/>
      <c r="U5" s="131"/>
      <c r="V5" s="131"/>
      <c r="W5" s="131"/>
      <c r="X5" s="131"/>
      <c r="Z5" s="8"/>
      <c r="AA5" s="8"/>
    </row>
    <row r="6" spans="1:28" ht="10.5" customHeight="1" thickBot="1" x14ac:dyDescent="0.25">
      <c r="D6" s="261"/>
      <c r="E6" s="261"/>
      <c r="F6" s="13"/>
      <c r="K6" t="s">
        <v>0</v>
      </c>
      <c r="O6" s="1"/>
      <c r="P6" s="1"/>
      <c r="Q6" s="1"/>
      <c r="R6" s="1"/>
      <c r="S6" s="1"/>
      <c r="T6" s="1"/>
      <c r="U6" s="1"/>
      <c r="V6" s="1"/>
      <c r="W6" s="1"/>
      <c r="X6" s="1"/>
      <c r="Y6" s="1"/>
      <c r="Z6" s="8"/>
      <c r="AA6" s="8"/>
    </row>
    <row r="7" spans="1:28" ht="15.6" customHeight="1" x14ac:dyDescent="0.2">
      <c r="B7" s="1967" t="s">
        <v>424</v>
      </c>
      <c r="C7" s="1968"/>
      <c r="D7" s="1963" t="str">
        <f>'8. T4 FINANSIERINGSB.'!G10</f>
        <v>Realiserad</v>
      </c>
      <c r="E7" s="1964"/>
      <c r="F7" s="1963" t="str">
        <f>'1. T1 INVESTERINGSP.'!D15</f>
        <v>Prognos 1</v>
      </c>
      <c r="G7" s="1964"/>
      <c r="H7" s="1963" t="str">
        <f>'1. T1 INVESTERINGSP.'!E15</f>
        <v>Prognos 2</v>
      </c>
      <c r="I7" s="1964"/>
      <c r="J7" s="1963" t="str">
        <f>'1. T1 INVESTERINGSP.'!F15</f>
        <v>Prognos 3</v>
      </c>
      <c r="K7" s="1964"/>
      <c r="L7" s="1963" t="str">
        <f>'1. T1 INVESTERINGSP.'!G15</f>
        <v>Prognos 4</v>
      </c>
      <c r="M7" s="1964"/>
      <c r="N7" s="20"/>
      <c r="O7" s="266" t="s">
        <v>323</v>
      </c>
      <c r="P7" s="267"/>
      <c r="Q7" s="267"/>
      <c r="R7" s="268"/>
      <c r="S7" s="431"/>
      <c r="T7" s="431"/>
      <c r="U7" s="431"/>
      <c r="V7" s="431"/>
      <c r="W7" s="431"/>
      <c r="X7" s="431"/>
      <c r="Y7" s="432"/>
      <c r="Z7" s="433"/>
      <c r="AA7" s="433"/>
      <c r="AB7" s="434"/>
    </row>
    <row r="8" spans="1:28" ht="18.600000000000001" customHeight="1" x14ac:dyDescent="0.2">
      <c r="B8" s="1969"/>
      <c r="C8" s="1970"/>
      <c r="D8" s="1961">
        <f>'2. &amp; 7. T2 RESULTATB.'!G8</f>
        <v>2024</v>
      </c>
      <c r="E8" s="1962"/>
      <c r="F8" s="1961">
        <f>'2. &amp; 7. T2 RESULTATB.'!I8</f>
        <v>2027</v>
      </c>
      <c r="G8" s="1962"/>
      <c r="H8" s="1961">
        <f>'2. &amp; 7. T2 RESULTATB.'!K8</f>
        <v>2028</v>
      </c>
      <c r="I8" s="1962"/>
      <c r="J8" s="1961">
        <f>'2. &amp; 7. T2 RESULTATB.'!M8</f>
        <v>2029</v>
      </c>
      <c r="K8" s="1962"/>
      <c r="L8" s="1961">
        <f>'2. &amp; 7. T2 RESULTATB.'!O8</f>
        <v>2030</v>
      </c>
      <c r="M8" s="1962"/>
      <c r="N8" s="21"/>
      <c r="O8" s="494"/>
      <c r="P8" s="495"/>
      <c r="Q8" s="495"/>
      <c r="R8" s="495"/>
      <c r="S8" s="155"/>
      <c r="T8" s="155"/>
      <c r="U8" s="155"/>
      <c r="V8" s="155"/>
      <c r="W8" s="155"/>
      <c r="X8" s="155"/>
      <c r="Y8" s="155"/>
      <c r="Z8" s="496"/>
      <c r="AA8" s="496"/>
      <c r="AB8" s="323"/>
    </row>
    <row r="9" spans="1:28" ht="18.600000000000001" customHeight="1" x14ac:dyDescent="0.2">
      <c r="B9" s="1971"/>
      <c r="C9" s="1972"/>
      <c r="D9" s="1127" t="s">
        <v>15</v>
      </c>
      <c r="E9" s="1128" t="s">
        <v>13</v>
      </c>
      <c r="F9" s="1127" t="s">
        <v>15</v>
      </c>
      <c r="G9" s="1128" t="s">
        <v>13</v>
      </c>
      <c r="H9" s="1127" t="str">
        <f>F9</f>
        <v>Euroa</v>
      </c>
      <c r="I9" s="1128" t="s">
        <v>13</v>
      </c>
      <c r="J9" s="1127" t="str">
        <f>H9</f>
        <v>Euroa</v>
      </c>
      <c r="K9" s="1128" t="s">
        <v>13</v>
      </c>
      <c r="L9" s="1127" t="str">
        <f>J9</f>
        <v>Euroa</v>
      </c>
      <c r="M9" s="1128" t="s">
        <v>13</v>
      </c>
      <c r="N9" s="21"/>
      <c r="O9" s="494"/>
      <c r="P9" s="495"/>
      <c r="Q9" s="495"/>
      <c r="R9" s="495"/>
      <c r="S9" s="155"/>
      <c r="T9" s="155"/>
      <c r="U9" s="155"/>
      <c r="V9" s="155"/>
      <c r="W9" s="155"/>
      <c r="X9" s="155"/>
      <c r="Y9" s="155"/>
      <c r="Z9" s="496"/>
      <c r="AA9" s="496"/>
      <c r="AB9" s="323"/>
    </row>
    <row r="10" spans="1:28" ht="17.649999999999999" customHeight="1" thickBot="1" x14ac:dyDescent="0.25">
      <c r="B10" s="1129"/>
      <c r="C10" s="1617" t="s">
        <v>426</v>
      </c>
      <c r="D10" s="1959" t="str">
        <f>'2. &amp; 7. T2 RESULTATB.'!G10</f>
        <v>12</v>
      </c>
      <c r="E10" s="1960"/>
      <c r="F10" s="1959">
        <f>'2. &amp; 7. T2 RESULTATB.'!I10</f>
        <v>12</v>
      </c>
      <c r="G10" s="1960"/>
      <c r="H10" s="1959" t="str">
        <f>'2. &amp; 7. T2 RESULTATB.'!K10</f>
        <v>12</v>
      </c>
      <c r="I10" s="1960"/>
      <c r="J10" s="1959" t="str">
        <f>'2. &amp; 7. T2 RESULTATB.'!M10</f>
        <v>12</v>
      </c>
      <c r="K10" s="1960"/>
      <c r="L10" s="1959" t="str">
        <f>'2. &amp; 7. T2 RESULTATB.'!O10</f>
        <v>12</v>
      </c>
      <c r="M10" s="1960"/>
      <c r="N10" s="21"/>
      <c r="O10" s="494"/>
      <c r="P10" s="495"/>
      <c r="Q10" s="495"/>
      <c r="R10" s="495"/>
      <c r="S10" s="155"/>
      <c r="T10" s="155"/>
      <c r="U10" s="155"/>
      <c r="V10" s="155"/>
      <c r="W10" s="155"/>
      <c r="X10" s="155"/>
      <c r="Y10" s="155"/>
      <c r="Z10" s="496"/>
      <c r="AA10" s="496"/>
      <c r="AB10" s="323"/>
    </row>
    <row r="11" spans="1:28" s="1" customFormat="1" ht="13.9" customHeight="1" x14ac:dyDescent="0.2">
      <c r="A11"/>
      <c r="B11" s="989" t="s">
        <v>2</v>
      </c>
      <c r="C11" s="974" t="s">
        <v>427</v>
      </c>
      <c r="D11" s="217"/>
      <c r="E11" s="218"/>
      <c r="F11" s="792">
        <f>F12+F17+F24-F30</f>
        <v>0</v>
      </c>
      <c r="G11" s="793">
        <f>IF(F$44=0,0,F11/F$44*100)</f>
        <v>0</v>
      </c>
      <c r="H11" s="792">
        <f>H12+H17+H24-H30</f>
        <v>0</v>
      </c>
      <c r="I11" s="793">
        <f>IF(H$44=0,0,H11/H$44*100)</f>
        <v>0</v>
      </c>
      <c r="J11" s="792">
        <f>J12+J17+J24-J30</f>
        <v>0</v>
      </c>
      <c r="K11" s="793">
        <f>IF(J$44=0,0,J11/J$44*100)</f>
        <v>0</v>
      </c>
      <c r="L11" s="792">
        <f>L12+L17+L24-L30</f>
        <v>0</v>
      </c>
      <c r="M11" s="793">
        <f>IF(L$44=0,0,L11/L$44*100)</f>
        <v>0</v>
      </c>
      <c r="N11" s="3"/>
      <c r="O11" s="1976" t="s">
        <v>766</v>
      </c>
      <c r="P11" s="1977"/>
      <c r="Q11" s="1977"/>
      <c r="R11" s="1977"/>
      <c r="S11" s="302"/>
      <c r="T11" s="302"/>
      <c r="U11" s="302"/>
      <c r="V11" s="302"/>
      <c r="W11" s="302"/>
      <c r="X11" s="302"/>
      <c r="Y11" s="302"/>
      <c r="Z11" s="435"/>
      <c r="AA11" s="435"/>
      <c r="AB11" s="436"/>
    </row>
    <row r="12" spans="1:28" s="4" customFormat="1" ht="13.9" customHeight="1" x14ac:dyDescent="0.2">
      <c r="B12" s="391"/>
      <c r="C12" s="970" t="s">
        <v>428</v>
      </c>
      <c r="D12" s="219"/>
      <c r="E12" s="355"/>
      <c r="F12" s="794">
        <f>(F13+F14)*F15</f>
        <v>0</v>
      </c>
      <c r="G12" s="795"/>
      <c r="H12" s="794">
        <f>(H13+H14)*H15</f>
        <v>0</v>
      </c>
      <c r="I12" s="795"/>
      <c r="J12" s="794">
        <f>(J13+J14)*J15</f>
        <v>0</v>
      </c>
      <c r="K12" s="795"/>
      <c r="L12" s="794">
        <f>(L13+L14)*L15</f>
        <v>0</v>
      </c>
      <c r="M12" s="795"/>
      <c r="N12" s="26"/>
      <c r="O12" s="270">
        <f>F$8</f>
        <v>2027</v>
      </c>
      <c r="P12" s="270">
        <f>H$8</f>
        <v>2028</v>
      </c>
      <c r="Q12" s="270">
        <f>J8</f>
        <v>2029</v>
      </c>
      <c r="R12" s="270">
        <f>L$8</f>
        <v>2030</v>
      </c>
      <c r="S12" s="302">
        <v>0</v>
      </c>
      <c r="T12" s="302"/>
      <c r="U12" s="302"/>
      <c r="V12" s="302"/>
      <c r="W12" s="302"/>
      <c r="X12" s="302"/>
      <c r="Y12" s="302"/>
      <c r="Z12" s="435"/>
      <c r="AA12" s="435"/>
      <c r="AB12" s="436"/>
    </row>
    <row r="13" spans="1:28" s="45" customFormat="1" ht="13.9" customHeight="1" x14ac:dyDescent="0.2">
      <c r="B13" s="227"/>
      <c r="C13" s="966" t="s">
        <v>429</v>
      </c>
      <c r="D13" s="219"/>
      <c r="E13" s="262"/>
      <c r="F13" s="561">
        <v>0</v>
      </c>
      <c r="G13" s="796"/>
      <c r="H13" s="561">
        <f>F13+F13*P13</f>
        <v>0</v>
      </c>
      <c r="I13" s="796"/>
      <c r="J13" s="561">
        <f>H13+H13*Q13</f>
        <v>0</v>
      </c>
      <c r="K13" s="796"/>
      <c r="L13" s="561">
        <f>J13+J13*R13</f>
        <v>0</v>
      </c>
      <c r="M13" s="796"/>
      <c r="N13" s="50"/>
      <c r="O13" s="327"/>
      <c r="P13" s="357">
        <v>0.03</v>
      </c>
      <c r="Q13" s="357">
        <f>P13</f>
        <v>0.03</v>
      </c>
      <c r="R13" s="357">
        <f>Q13</f>
        <v>0.03</v>
      </c>
      <c r="S13" s="302"/>
      <c r="T13" s="302"/>
      <c r="U13" s="302"/>
      <c r="V13" s="302"/>
      <c r="W13" s="302"/>
      <c r="X13" s="302"/>
      <c r="Y13" s="302"/>
      <c r="Z13" s="435"/>
      <c r="AA13" s="435"/>
      <c r="AB13" s="436"/>
    </row>
    <row r="14" spans="1:28" s="45" customFormat="1" ht="13.9" customHeight="1" x14ac:dyDescent="0.2">
      <c r="B14" s="227"/>
      <c r="C14" s="966" t="s">
        <v>430</v>
      </c>
      <c r="D14" s="219"/>
      <c r="E14" s="262"/>
      <c r="F14" s="561">
        <v>0</v>
      </c>
      <c r="G14" s="796"/>
      <c r="H14" s="561">
        <f>F14+F14*P14</f>
        <v>0</v>
      </c>
      <c r="I14" s="796"/>
      <c r="J14" s="561">
        <f>H14+H14*Q14</f>
        <v>0</v>
      </c>
      <c r="K14" s="796"/>
      <c r="L14" s="561">
        <f>J14+J14*R14</f>
        <v>0</v>
      </c>
      <c r="M14" s="796"/>
      <c r="N14" s="50"/>
      <c r="O14" s="327"/>
      <c r="P14" s="357">
        <v>0.03</v>
      </c>
      <c r="Q14" s="357">
        <f>P14</f>
        <v>0.03</v>
      </c>
      <c r="R14" s="357">
        <f>Q14</f>
        <v>0.03</v>
      </c>
      <c r="S14" s="302"/>
      <c r="T14" s="302"/>
      <c r="U14" s="302"/>
      <c r="V14" s="302"/>
      <c r="W14" s="302"/>
      <c r="X14" s="302"/>
      <c r="Y14" s="302"/>
      <c r="Z14" s="435"/>
      <c r="AA14" s="435"/>
      <c r="AB14" s="436"/>
    </row>
    <row r="15" spans="1:28" s="45" customFormat="1" ht="13.9" customHeight="1" x14ac:dyDescent="0.2">
      <c r="B15" s="227"/>
      <c r="C15" s="966" t="s">
        <v>431</v>
      </c>
      <c r="D15" s="219"/>
      <c r="E15" s="262"/>
      <c r="F15" s="797">
        <v>12.5</v>
      </c>
      <c r="G15" s="796"/>
      <c r="H15" s="797">
        <v>12.5</v>
      </c>
      <c r="I15" s="796"/>
      <c r="J15" s="797">
        <f>H15</f>
        <v>12.5</v>
      </c>
      <c r="K15" s="796"/>
      <c r="L15" s="797">
        <f>J15</f>
        <v>12.5</v>
      </c>
      <c r="M15" s="796"/>
      <c r="N15" s="50"/>
      <c r="O15" s="1505" t="s">
        <v>538</v>
      </c>
      <c r="P15" s="297"/>
      <c r="Q15" s="297"/>
      <c r="R15" s="297"/>
      <c r="S15" s="142"/>
      <c r="T15" s="142"/>
      <c r="U15" s="142"/>
      <c r="V15" s="142"/>
      <c r="W15" s="142"/>
      <c r="X15" s="142"/>
      <c r="Y15" s="142"/>
      <c r="Z15" s="479"/>
      <c r="AA15" s="479"/>
      <c r="AB15" s="480"/>
    </row>
    <row r="16" spans="1:28" s="45" customFormat="1" ht="13.9" customHeight="1" x14ac:dyDescent="0.2">
      <c r="B16" s="227"/>
      <c r="C16" s="1067" t="s">
        <v>432</v>
      </c>
      <c r="D16" s="219"/>
      <c r="E16" s="990"/>
      <c r="F16" s="991">
        <v>0.28999999999999998</v>
      </c>
      <c r="G16" s="796"/>
      <c r="H16" s="991">
        <f>F16</f>
        <v>0.28999999999999998</v>
      </c>
      <c r="I16" s="796"/>
      <c r="J16" s="991">
        <f>H16</f>
        <v>0.28999999999999998</v>
      </c>
      <c r="K16" s="796"/>
      <c r="L16" s="991">
        <f>J16</f>
        <v>0.28999999999999998</v>
      </c>
      <c r="M16" s="796"/>
      <c r="N16" s="50"/>
      <c r="O16" s="992"/>
      <c r="P16" s="302"/>
      <c r="Q16" s="302"/>
      <c r="R16" s="302"/>
      <c r="S16" s="302"/>
      <c r="T16" s="302"/>
      <c r="U16" s="302"/>
      <c r="V16" s="302"/>
      <c r="W16" s="302"/>
      <c r="X16" s="302"/>
      <c r="Y16" s="302"/>
      <c r="Z16" s="435"/>
      <c r="AA16" s="435"/>
      <c r="AB16" s="436"/>
    </row>
    <row r="17" spans="1:28" s="4" customFormat="1" ht="13.9" customHeight="1" x14ac:dyDescent="0.2">
      <c r="A17"/>
      <c r="B17" s="391"/>
      <c r="C17" s="1508" t="s">
        <v>433</v>
      </c>
      <c r="D17" s="219"/>
      <c r="E17" s="355"/>
      <c r="F17" s="814">
        <f>F18*F19*F20*F21+F22</f>
        <v>0</v>
      </c>
      <c r="G17" s="795"/>
      <c r="H17" s="814">
        <f>H18*H19*H20*H21+H22</f>
        <v>0</v>
      </c>
      <c r="I17" s="795"/>
      <c r="J17" s="814">
        <f>J18*J19*J20*J21+J22</f>
        <v>0</v>
      </c>
      <c r="K17" s="795"/>
      <c r="L17" s="814">
        <f>L18*L19*L20*L21+L22</f>
        <v>0</v>
      </c>
      <c r="M17" s="795"/>
      <c r="N17" s="26"/>
      <c r="O17" s="270">
        <f>F$8</f>
        <v>2027</v>
      </c>
      <c r="P17" s="270">
        <f>H$8</f>
        <v>2028</v>
      </c>
      <c r="Q17" s="270">
        <f>J$8</f>
        <v>2029</v>
      </c>
      <c r="R17" s="270">
        <f>L$8</f>
        <v>2030</v>
      </c>
      <c r="S17" s="302"/>
      <c r="T17" s="302"/>
      <c r="U17" s="302"/>
      <c r="V17" s="302"/>
      <c r="W17" s="302"/>
      <c r="X17" s="302"/>
      <c r="Y17" s="302"/>
      <c r="Z17" s="435"/>
      <c r="AA17" s="435"/>
      <c r="AB17" s="436"/>
    </row>
    <row r="18" spans="1:28" s="45" customFormat="1" ht="13.9" customHeight="1" x14ac:dyDescent="0.2">
      <c r="A18" s="46"/>
      <c r="B18" s="227"/>
      <c r="C18" s="966" t="s">
        <v>434</v>
      </c>
      <c r="D18" s="221"/>
      <c r="E18" s="262"/>
      <c r="F18" s="1593">
        <v>0</v>
      </c>
      <c r="G18" s="1532"/>
      <c r="H18" s="1593">
        <f>F18+F18*P18</f>
        <v>0</v>
      </c>
      <c r="I18" s="1532"/>
      <c r="J18" s="1593">
        <f>H18+H18*Q18</f>
        <v>0</v>
      </c>
      <c r="K18" s="1532"/>
      <c r="L18" s="1593">
        <f>J18+J18*R18</f>
        <v>0</v>
      </c>
      <c r="M18" s="796"/>
      <c r="N18" s="48"/>
      <c r="O18" s="327"/>
      <c r="P18" s="357">
        <v>0.03</v>
      </c>
      <c r="Q18" s="357">
        <f>P18</f>
        <v>0.03</v>
      </c>
      <c r="R18" s="357">
        <f>Q18</f>
        <v>0.03</v>
      </c>
      <c r="S18" s="302" t="s">
        <v>0</v>
      </c>
      <c r="T18" s="302"/>
      <c r="U18" s="302"/>
      <c r="V18" s="302"/>
      <c r="W18" s="302"/>
      <c r="X18" s="302"/>
      <c r="Y18" s="302"/>
      <c r="Z18" s="435"/>
      <c r="AA18" s="435"/>
      <c r="AB18" s="436"/>
    </row>
    <row r="19" spans="1:28" s="45" customFormat="1" ht="13.9" customHeight="1" x14ac:dyDescent="0.2">
      <c r="A19" s="2"/>
      <c r="B19" s="227"/>
      <c r="C19" s="966" t="s">
        <v>435</v>
      </c>
      <c r="D19" s="221"/>
      <c r="E19" s="262"/>
      <c r="F19" s="561">
        <v>0</v>
      </c>
      <c r="G19" s="796"/>
      <c r="H19" s="561">
        <f>F19</f>
        <v>0</v>
      </c>
      <c r="I19" s="796"/>
      <c r="J19" s="561">
        <f>H19</f>
        <v>0</v>
      </c>
      <c r="K19" s="796"/>
      <c r="L19" s="561">
        <f>J19</f>
        <v>0</v>
      </c>
      <c r="M19" s="796"/>
      <c r="N19" s="48"/>
      <c r="O19" s="354"/>
      <c r="P19" s="302"/>
      <c r="Q19" s="302"/>
      <c r="R19" s="302"/>
      <c r="S19" s="302"/>
      <c r="T19" s="302"/>
      <c r="U19" s="302"/>
      <c r="V19" s="302"/>
      <c r="W19" s="302"/>
      <c r="X19" s="302"/>
      <c r="Y19" s="302"/>
      <c r="Z19" s="435"/>
      <c r="AA19" s="435"/>
      <c r="AB19" s="436"/>
    </row>
    <row r="20" spans="1:28" s="45" customFormat="1" ht="13.9" customHeight="1" x14ac:dyDescent="0.2">
      <c r="A20"/>
      <c r="B20" s="227"/>
      <c r="C20" s="966" t="s">
        <v>436</v>
      </c>
      <c r="D20" s="219"/>
      <c r="E20" s="220"/>
      <c r="F20" s="797">
        <v>0</v>
      </c>
      <c r="G20" s="796"/>
      <c r="H20" s="797">
        <f>F20</f>
        <v>0</v>
      </c>
      <c r="I20" s="796"/>
      <c r="J20" s="797">
        <f>H20</f>
        <v>0</v>
      </c>
      <c r="K20" s="796"/>
      <c r="L20" s="797">
        <f>J20</f>
        <v>0</v>
      </c>
      <c r="M20" s="796"/>
      <c r="N20" s="48"/>
      <c r="O20" s="354"/>
      <c r="P20" s="302"/>
      <c r="Q20" s="302"/>
      <c r="R20" s="302"/>
      <c r="S20" s="302"/>
      <c r="T20" s="302"/>
      <c r="U20" s="302"/>
      <c r="V20" s="302"/>
      <c r="W20" s="302"/>
      <c r="X20" s="302"/>
      <c r="Y20" s="302"/>
      <c r="Z20" s="435"/>
      <c r="AA20" s="435"/>
      <c r="AB20" s="436"/>
    </row>
    <row r="21" spans="1:28" s="45" customFormat="1" ht="13.9" customHeight="1" x14ac:dyDescent="0.2">
      <c r="A21"/>
      <c r="B21" s="227"/>
      <c r="C21" s="966" t="s">
        <v>437</v>
      </c>
      <c r="D21" s="219"/>
      <c r="E21" s="220"/>
      <c r="F21" s="797">
        <v>12.5</v>
      </c>
      <c r="G21" s="796"/>
      <c r="H21" s="797">
        <v>12.5</v>
      </c>
      <c r="I21" s="796"/>
      <c r="J21" s="797">
        <f>H21</f>
        <v>12.5</v>
      </c>
      <c r="K21" s="796"/>
      <c r="L21" s="797">
        <f>J21</f>
        <v>12.5</v>
      </c>
      <c r="M21" s="796"/>
      <c r="N21" s="48"/>
      <c r="O21" s="1506" t="s">
        <v>539</v>
      </c>
      <c r="P21" s="142"/>
      <c r="Q21" s="142"/>
      <c r="R21" s="142"/>
      <c r="S21" s="142"/>
      <c r="T21" s="142"/>
      <c r="Y21" s="142"/>
      <c r="Z21" s="479"/>
      <c r="AA21" s="479"/>
      <c r="AB21" s="480"/>
    </row>
    <row r="22" spans="1:28" s="45" customFormat="1" ht="13.9" customHeight="1" x14ac:dyDescent="0.2">
      <c r="A22"/>
      <c r="B22" s="227"/>
      <c r="C22" s="966" t="s">
        <v>438</v>
      </c>
      <c r="D22" s="219"/>
      <c r="E22" s="220"/>
      <c r="F22" s="561">
        <v>0</v>
      </c>
      <c r="G22" s="796"/>
      <c r="H22" s="561">
        <f>F22+F22*P22</f>
        <v>0</v>
      </c>
      <c r="I22" s="796"/>
      <c r="J22" s="561">
        <f>H22+H22*Q22</f>
        <v>0</v>
      </c>
      <c r="K22" s="796"/>
      <c r="L22" s="561">
        <f>J22+J22*R22</f>
        <v>0</v>
      </c>
      <c r="M22" s="796"/>
      <c r="N22" s="48"/>
      <c r="O22" s="1319"/>
      <c r="P22" s="1320">
        <v>0.03</v>
      </c>
      <c r="Q22" s="1320">
        <f>P22</f>
        <v>0.03</v>
      </c>
      <c r="R22" s="1320">
        <f>Q22</f>
        <v>0.03</v>
      </c>
      <c r="S22" s="302"/>
      <c r="T22" s="302"/>
      <c r="U22" s="302"/>
      <c r="V22" s="302"/>
      <c r="W22" s="302"/>
      <c r="X22" s="302"/>
      <c r="Y22" s="302"/>
      <c r="Z22" s="435"/>
      <c r="AA22" s="435"/>
      <c r="AB22" s="436"/>
    </row>
    <row r="23" spans="1:28" s="45" customFormat="1" ht="13.9" customHeight="1" x14ac:dyDescent="0.2">
      <c r="A23"/>
      <c r="B23" s="227"/>
      <c r="C23" s="1067" t="s">
        <v>439</v>
      </c>
      <c r="D23" s="219"/>
      <c r="E23" s="990"/>
      <c r="F23" s="991">
        <v>0.2</v>
      </c>
      <c r="G23" s="796"/>
      <c r="H23" s="991">
        <f>F23</f>
        <v>0.2</v>
      </c>
      <c r="I23" s="796"/>
      <c r="J23" s="991">
        <f>H23</f>
        <v>0.2</v>
      </c>
      <c r="K23" s="796"/>
      <c r="L23" s="991">
        <f>J23</f>
        <v>0.2</v>
      </c>
      <c r="M23" s="796"/>
      <c r="N23" s="48"/>
      <c r="O23" s="354"/>
      <c r="P23" s="302"/>
      <c r="Q23" s="302"/>
      <c r="R23" s="302"/>
      <c r="S23" s="302"/>
      <c r="T23" s="302"/>
      <c r="U23" s="302"/>
      <c r="V23" s="302"/>
      <c r="W23" s="302"/>
      <c r="X23" s="302"/>
      <c r="Y23" s="302"/>
      <c r="Z23" s="435"/>
      <c r="AA23" s="435"/>
      <c r="AB23" s="436"/>
    </row>
    <row r="24" spans="1:28" s="4" customFormat="1" ht="13.9" customHeight="1" x14ac:dyDescent="0.2">
      <c r="A24"/>
      <c r="B24" s="391"/>
      <c r="C24" s="1508" t="s">
        <v>440</v>
      </c>
      <c r="D24" s="219"/>
      <c r="E24" s="355"/>
      <c r="F24" s="798">
        <f>F25*F26*F27+F28</f>
        <v>0</v>
      </c>
      <c r="G24" s="795"/>
      <c r="H24" s="798">
        <f>H25*H26*H27+H28</f>
        <v>0</v>
      </c>
      <c r="I24" s="795"/>
      <c r="J24" s="798">
        <f>J25*J26*J27+J28</f>
        <v>0</v>
      </c>
      <c r="K24" s="795"/>
      <c r="L24" s="798">
        <f>L25*L26*L27+L28</f>
        <v>0</v>
      </c>
      <c r="M24" s="795"/>
      <c r="N24" s="26"/>
      <c r="O24" s="1323"/>
      <c r="S24" s="302"/>
      <c r="T24" s="302"/>
      <c r="U24" s="302"/>
      <c r="V24" s="302"/>
      <c r="W24" s="302"/>
      <c r="X24" s="302"/>
      <c r="Y24" s="302"/>
      <c r="Z24" s="435"/>
      <c r="AA24" s="435"/>
      <c r="AB24" s="436"/>
    </row>
    <row r="25" spans="1:28" s="45" customFormat="1" ht="13.9" customHeight="1" x14ac:dyDescent="0.2">
      <c r="A25"/>
      <c r="B25" s="227"/>
      <c r="C25" s="966" t="s">
        <v>441</v>
      </c>
      <c r="D25" s="221"/>
      <c r="E25" s="262"/>
      <c r="F25" s="561">
        <v>0</v>
      </c>
      <c r="G25" s="796"/>
      <c r="H25" s="561">
        <f>F25+F25*P25</f>
        <v>0</v>
      </c>
      <c r="I25" s="796"/>
      <c r="J25" s="561">
        <f>H25+H25*Q25</f>
        <v>0</v>
      </c>
      <c r="K25" s="796"/>
      <c r="L25" s="561">
        <f>J25+J25*R25</f>
        <v>0</v>
      </c>
      <c r="M25" s="796"/>
      <c r="N25" s="48"/>
      <c r="O25" s="327"/>
      <c r="P25" s="357">
        <v>0.03</v>
      </c>
      <c r="Q25" s="357">
        <f>P25</f>
        <v>0.03</v>
      </c>
      <c r="R25" s="357">
        <f>Q25</f>
        <v>0.03</v>
      </c>
      <c r="S25" s="302"/>
      <c r="T25" s="302"/>
      <c r="U25" s="302"/>
      <c r="V25" s="302"/>
      <c r="W25" s="302"/>
      <c r="X25" s="302"/>
      <c r="Y25" s="302"/>
      <c r="Z25" s="435"/>
      <c r="AA25" s="435"/>
      <c r="AB25" s="436"/>
    </row>
    <row r="26" spans="1:28" s="45" customFormat="1" ht="13.9" customHeight="1" x14ac:dyDescent="0.2">
      <c r="A26"/>
      <c r="B26" s="227"/>
      <c r="C26" s="966" t="s">
        <v>442</v>
      </c>
      <c r="D26" s="219"/>
      <c r="E26" s="220"/>
      <c r="F26" s="797">
        <v>0</v>
      </c>
      <c r="G26" s="796"/>
      <c r="H26" s="797">
        <f>F26</f>
        <v>0</v>
      </c>
      <c r="I26" s="796"/>
      <c r="J26" s="797">
        <f>H26</f>
        <v>0</v>
      </c>
      <c r="K26" s="796"/>
      <c r="L26" s="797">
        <f>J26</f>
        <v>0</v>
      </c>
      <c r="M26" s="796"/>
      <c r="N26" s="48"/>
      <c r="O26" s="354"/>
      <c r="P26" s="302"/>
      <c r="Q26" s="302"/>
      <c r="R26" s="302"/>
      <c r="S26" s="302"/>
      <c r="T26" s="302"/>
      <c r="U26" s="302"/>
      <c r="V26" s="302"/>
      <c r="W26" s="302"/>
      <c r="X26" s="302"/>
      <c r="Y26" s="302"/>
      <c r="Z26" s="435"/>
      <c r="AA26" s="435"/>
      <c r="AB26" s="436"/>
    </row>
    <row r="27" spans="1:28" s="45" customFormat="1" ht="13.9" customHeight="1" x14ac:dyDescent="0.2">
      <c r="A27"/>
      <c r="B27" s="227"/>
      <c r="C27" s="966" t="s">
        <v>437</v>
      </c>
      <c r="D27" s="219"/>
      <c r="E27" s="220"/>
      <c r="F27" s="797">
        <v>12.5</v>
      </c>
      <c r="G27" s="796"/>
      <c r="H27" s="797">
        <v>12.5</v>
      </c>
      <c r="I27" s="796"/>
      <c r="J27" s="797">
        <f>H27</f>
        <v>12.5</v>
      </c>
      <c r="K27" s="796"/>
      <c r="L27" s="797">
        <f>J27</f>
        <v>12.5</v>
      </c>
      <c r="M27" s="796"/>
      <c r="N27" s="48"/>
      <c r="O27" s="1507" t="s">
        <v>538</v>
      </c>
      <c r="P27" s="142"/>
      <c r="Q27" s="142"/>
      <c r="R27" s="142"/>
      <c r="S27" s="142"/>
      <c r="T27" s="142"/>
      <c r="Y27" s="142"/>
      <c r="Z27" s="479"/>
      <c r="AA27" s="479"/>
      <c r="AB27" s="480"/>
    </row>
    <row r="28" spans="1:28" s="45" customFormat="1" ht="13.9" customHeight="1" x14ac:dyDescent="0.2">
      <c r="A28"/>
      <c r="B28" s="227"/>
      <c r="C28" s="966" t="s">
        <v>438</v>
      </c>
      <c r="D28" s="219"/>
      <c r="E28" s="220"/>
      <c r="F28" s="561">
        <v>0</v>
      </c>
      <c r="G28" s="796"/>
      <c r="H28" s="561">
        <f>F28+F28*P28</f>
        <v>0</v>
      </c>
      <c r="I28" s="796"/>
      <c r="J28" s="561">
        <f>H28+H28*Q28</f>
        <v>0</v>
      </c>
      <c r="K28" s="796"/>
      <c r="L28" s="561">
        <f>J28+J28*R28</f>
        <v>0</v>
      </c>
      <c r="M28" s="796"/>
      <c r="N28" s="48"/>
      <c r="O28" s="327"/>
      <c r="P28" s="357">
        <v>0.03</v>
      </c>
      <c r="Q28" s="357">
        <f>P28</f>
        <v>0.03</v>
      </c>
      <c r="R28" s="357">
        <f>Q28</f>
        <v>0.03</v>
      </c>
      <c r="S28" s="302"/>
      <c r="T28" s="302"/>
      <c r="U28" s="302"/>
      <c r="V28" s="302"/>
      <c r="W28" s="302"/>
      <c r="X28" s="302"/>
      <c r="Y28" s="302"/>
      <c r="Z28" s="435"/>
      <c r="AA28" s="435"/>
      <c r="AB28" s="436"/>
    </row>
    <row r="29" spans="1:28" s="45" customFormat="1" ht="13.9" customHeight="1" x14ac:dyDescent="0.2">
      <c r="A29"/>
      <c r="B29" s="227"/>
      <c r="C29" s="1067" t="s">
        <v>443</v>
      </c>
      <c r="D29" s="219"/>
      <c r="E29" s="233"/>
      <c r="F29" s="991">
        <v>0.25</v>
      </c>
      <c r="G29" s="801"/>
      <c r="H29" s="991">
        <f>F29</f>
        <v>0.25</v>
      </c>
      <c r="I29" s="796"/>
      <c r="J29" s="991">
        <f>H29</f>
        <v>0.25</v>
      </c>
      <c r="K29" s="796"/>
      <c r="L29" s="991">
        <f>J29</f>
        <v>0.25</v>
      </c>
      <c r="M29" s="796"/>
      <c r="N29" s="48"/>
      <c r="O29" s="354"/>
      <c r="P29" s="302"/>
      <c r="Q29" s="302"/>
      <c r="R29" s="302"/>
      <c r="S29" s="302"/>
      <c r="T29" s="302"/>
      <c r="U29" s="302"/>
      <c r="V29" s="302"/>
      <c r="W29" s="302"/>
      <c r="X29" s="302"/>
      <c r="Y29" s="302"/>
      <c r="Z29" s="435"/>
      <c r="AA29" s="435"/>
      <c r="AB29" s="436"/>
    </row>
    <row r="30" spans="1:28" s="45" customFormat="1" ht="13.9" customHeight="1" thickBot="1" x14ac:dyDescent="0.25">
      <c r="A30"/>
      <c r="B30" s="227"/>
      <c r="C30" s="155" t="s">
        <v>444</v>
      </c>
      <c r="D30" s="219"/>
      <c r="E30" s="233"/>
      <c r="F30" s="799">
        <v>0</v>
      </c>
      <c r="G30" s="800"/>
      <c r="H30" s="799">
        <v>0</v>
      </c>
      <c r="I30" s="800"/>
      <c r="J30" s="799">
        <v>0</v>
      </c>
      <c r="K30" s="800"/>
      <c r="L30" s="799">
        <v>0</v>
      </c>
      <c r="M30" s="801"/>
      <c r="N30" s="48"/>
      <c r="O30" s="354"/>
      <c r="P30" s="302"/>
      <c r="Q30" s="302"/>
      <c r="R30" s="302"/>
      <c r="S30" s="302"/>
      <c r="T30" s="302"/>
      <c r="U30" s="302"/>
      <c r="V30" s="302"/>
      <c r="W30" s="302"/>
      <c r="X30" s="302"/>
      <c r="Y30" s="302"/>
      <c r="Z30" s="435"/>
      <c r="AA30" s="435"/>
      <c r="AB30" s="436"/>
    </row>
    <row r="31" spans="1:28" s="1" customFormat="1" ht="13.9" customHeight="1" x14ac:dyDescent="0.2">
      <c r="A31"/>
      <c r="B31" s="988" t="s">
        <v>3</v>
      </c>
      <c r="C31" s="100" t="s">
        <v>445</v>
      </c>
      <c r="D31" s="222"/>
      <c r="E31" s="218"/>
      <c r="F31" s="802">
        <f>F32+F39+F41+F43+F42</f>
        <v>0</v>
      </c>
      <c r="G31" s="803">
        <f>IF(F$44=0,0,F31/F$44*100)</f>
        <v>0</v>
      </c>
      <c r="H31" s="802">
        <f>H32+H39+H41+H43+H42</f>
        <v>0</v>
      </c>
      <c r="I31" s="803">
        <f>IF(H$44=0,0,H31/H$44*100)</f>
        <v>0</v>
      </c>
      <c r="J31" s="802">
        <f>J32+J39+J41+J43+J42</f>
        <v>0</v>
      </c>
      <c r="K31" s="803">
        <f>IF(J$44=0,0,J31/J$44*100)</f>
        <v>0</v>
      </c>
      <c r="L31" s="802">
        <f>L32+L39+L41+L43+L42</f>
        <v>0</v>
      </c>
      <c r="M31" s="803">
        <f>IF(L$44=0,0,L31/L$44*100)</f>
        <v>0</v>
      </c>
      <c r="N31" s="3"/>
      <c r="O31" s="354"/>
      <c r="P31" s="302"/>
      <c r="Q31" s="302"/>
      <c r="R31" s="302"/>
      <c r="S31" s="302"/>
      <c r="T31" s="302"/>
      <c r="U31" s="302"/>
      <c r="V31" s="302"/>
      <c r="W31" s="302"/>
      <c r="X31" s="302"/>
      <c r="Y31" s="302"/>
      <c r="Z31" s="435"/>
      <c r="AA31" s="435"/>
      <c r="AB31" s="436"/>
    </row>
    <row r="32" spans="1:28" s="4" customFormat="1" ht="13.9" customHeight="1" x14ac:dyDescent="0.2">
      <c r="A32" s="46"/>
      <c r="B32" s="391"/>
      <c r="C32" s="1260" t="s">
        <v>446</v>
      </c>
      <c r="D32" s="224"/>
      <c r="E32" s="223"/>
      <c r="F32" s="798">
        <f>F34+F37+F38</f>
        <v>0</v>
      </c>
      <c r="G32" s="804"/>
      <c r="H32" s="798">
        <f>H34+H37+H38</f>
        <v>0</v>
      </c>
      <c r="I32" s="804"/>
      <c r="J32" s="798">
        <f>J34+J37+J38</f>
        <v>0</v>
      </c>
      <c r="K32" s="804"/>
      <c r="L32" s="798">
        <f>L34+L37+L38</f>
        <v>0</v>
      </c>
      <c r="M32" s="804"/>
      <c r="N32" s="27"/>
      <c r="O32" s="354"/>
      <c r="P32" s="302"/>
      <c r="Q32" s="302"/>
      <c r="R32" s="302"/>
      <c r="S32" s="302"/>
      <c r="T32" s="302"/>
      <c r="U32" s="302"/>
      <c r="V32" s="302"/>
      <c r="W32" s="302"/>
      <c r="X32" s="302"/>
      <c r="Y32" s="302"/>
      <c r="Z32" s="435"/>
      <c r="AA32" s="435"/>
      <c r="AB32" s="436"/>
    </row>
    <row r="33" spans="1:28" s="45" customFormat="1" ht="13.9" customHeight="1" x14ac:dyDescent="0.2">
      <c r="A33" s="2"/>
      <c r="B33" s="227"/>
      <c r="C33" s="966" t="s">
        <v>447</v>
      </c>
      <c r="D33" s="224"/>
      <c r="E33" s="225"/>
      <c r="F33" s="805">
        <v>0.17100000000000001</v>
      </c>
      <c r="G33" s="806"/>
      <c r="H33" s="807">
        <f>F33</f>
        <v>0.17100000000000001</v>
      </c>
      <c r="I33" s="808"/>
      <c r="J33" s="807">
        <f>H33</f>
        <v>0.17100000000000001</v>
      </c>
      <c r="K33" s="806"/>
      <c r="L33" s="807">
        <f>J33</f>
        <v>0.17100000000000001</v>
      </c>
      <c r="M33" s="806"/>
      <c r="N33" s="48"/>
      <c r="O33" s="354"/>
      <c r="P33" s="302"/>
      <c r="Q33" s="302"/>
      <c r="R33" s="302"/>
      <c r="S33" s="302"/>
      <c r="T33" s="302"/>
      <c r="U33" s="302"/>
      <c r="V33" s="302"/>
      <c r="W33" s="302"/>
      <c r="X33" s="302"/>
      <c r="Y33" s="302"/>
      <c r="Z33" s="435"/>
      <c r="AA33" s="435"/>
      <c r="AB33" s="436"/>
    </row>
    <row r="34" spans="1:28" s="45" customFormat="1" ht="13.9" customHeight="1" x14ac:dyDescent="0.2">
      <c r="A34"/>
      <c r="B34" s="227"/>
      <c r="C34" s="966" t="s">
        <v>448</v>
      </c>
      <c r="D34" s="224"/>
      <c r="E34" s="220"/>
      <c r="F34" s="809">
        <f>(F33)*(F17+F24+F22+F28)</f>
        <v>0</v>
      </c>
      <c r="G34" s="810"/>
      <c r="H34" s="809">
        <f>(H33)*(H17+H24+H22+H28)</f>
        <v>0</v>
      </c>
      <c r="I34" s="811"/>
      <c r="J34" s="809">
        <f>(J33)*(J17+J24+J22+J28)</f>
        <v>0</v>
      </c>
      <c r="K34" s="810"/>
      <c r="L34" s="809">
        <f>(L33)*(L17+L24+L22+L28)</f>
        <v>0</v>
      </c>
      <c r="M34" s="796"/>
      <c r="N34" s="48"/>
      <c r="O34" s="1333"/>
      <c r="P34" s="1063"/>
      <c r="Q34" s="1063"/>
      <c r="R34" s="1063"/>
      <c r="S34" s="302"/>
      <c r="T34" s="302"/>
      <c r="U34" s="302"/>
      <c r="V34" s="302"/>
      <c r="W34" s="302"/>
      <c r="X34" s="302"/>
      <c r="Y34" s="302"/>
      <c r="Z34" s="435"/>
      <c r="AA34" s="435"/>
      <c r="AB34" s="436"/>
    </row>
    <row r="35" spans="1:28" s="45" customFormat="1" ht="13.9" customHeight="1" x14ac:dyDescent="0.2">
      <c r="A35"/>
      <c r="B35" s="227"/>
      <c r="C35" s="966" t="s">
        <v>449</v>
      </c>
      <c r="D35" s="219"/>
      <c r="E35" s="220"/>
      <c r="F35" s="812">
        <f>(F13+F14)*F15</f>
        <v>0</v>
      </c>
      <c r="G35" s="796"/>
      <c r="H35" s="812">
        <f>F35+F35*P35</f>
        <v>0</v>
      </c>
      <c r="I35" s="813"/>
      <c r="J35" s="812">
        <f>H35+H35*Q35</f>
        <v>0</v>
      </c>
      <c r="K35" s="796"/>
      <c r="L35" s="812">
        <f>J35+J35*R35</f>
        <v>0</v>
      </c>
      <c r="M35" s="796"/>
      <c r="N35" s="48"/>
      <c r="O35" s="327"/>
      <c r="P35" s="357">
        <v>0.03</v>
      </c>
      <c r="Q35" s="357">
        <f>P35</f>
        <v>0.03</v>
      </c>
      <c r="R35" s="357">
        <f>Q35</f>
        <v>0.03</v>
      </c>
      <c r="S35" s="302"/>
      <c r="T35" s="302"/>
      <c r="U35" s="302"/>
      <c r="V35" s="302"/>
      <c r="W35" s="302"/>
      <c r="X35" s="302"/>
      <c r="Y35" s="302"/>
      <c r="Z35" s="435"/>
      <c r="AA35" s="435"/>
      <c r="AB35" s="436"/>
    </row>
    <row r="36" spans="1:28" s="45" customFormat="1" ht="13.9" customHeight="1" x14ac:dyDescent="0.2">
      <c r="A36"/>
      <c r="B36" s="227"/>
      <c r="C36" s="966" t="s">
        <v>450</v>
      </c>
      <c r="D36" s="224"/>
      <c r="E36" s="225"/>
      <c r="F36" s="805">
        <v>0.24399999999999999</v>
      </c>
      <c r="G36" s="806"/>
      <c r="H36" s="807">
        <f>F36</f>
        <v>0.24399999999999999</v>
      </c>
      <c r="I36" s="808"/>
      <c r="J36" s="807">
        <f>H36</f>
        <v>0.24399999999999999</v>
      </c>
      <c r="K36" s="806"/>
      <c r="L36" s="807">
        <f>J36</f>
        <v>0.24399999999999999</v>
      </c>
      <c r="M36" s="806"/>
      <c r="N36" s="48"/>
      <c r="O36" s="354"/>
      <c r="P36" s="302"/>
      <c r="Q36" s="302"/>
      <c r="R36" s="302"/>
      <c r="S36" s="302"/>
      <c r="T36" s="302"/>
      <c r="U36" s="302"/>
      <c r="V36" s="302"/>
      <c r="W36" s="302"/>
      <c r="X36" s="302"/>
      <c r="Y36" s="302"/>
      <c r="Z36" s="435"/>
      <c r="AA36" s="435"/>
      <c r="AB36" s="436"/>
    </row>
    <row r="37" spans="1:28" s="45" customFormat="1" ht="13.9" customHeight="1" x14ac:dyDescent="0.2">
      <c r="A37"/>
      <c r="B37" s="227"/>
      <c r="C37" s="966" t="s">
        <v>451</v>
      </c>
      <c r="D37" s="224"/>
      <c r="E37" s="220"/>
      <c r="F37" s="587">
        <f>F35*F36</f>
        <v>0</v>
      </c>
      <c r="G37" s="796"/>
      <c r="H37" s="587">
        <f>H35*H36</f>
        <v>0</v>
      </c>
      <c r="I37" s="813"/>
      <c r="J37" s="587">
        <f>J35*J36</f>
        <v>0</v>
      </c>
      <c r="K37" s="796"/>
      <c r="L37" s="587">
        <f>L35*L36</f>
        <v>0</v>
      </c>
      <c r="M37" s="796"/>
      <c r="N37" s="48"/>
      <c r="O37" s="354"/>
      <c r="P37" s="302"/>
      <c r="Q37" s="302"/>
      <c r="R37" s="302"/>
      <c r="S37" s="302"/>
      <c r="T37" s="302"/>
      <c r="U37" s="302"/>
      <c r="V37" s="302"/>
      <c r="W37" s="302"/>
      <c r="X37" s="302"/>
      <c r="Y37" s="302"/>
      <c r="Z37" s="435"/>
      <c r="AA37" s="435"/>
      <c r="AB37" s="436"/>
    </row>
    <row r="38" spans="1:28" s="45" customFormat="1" ht="13.9" customHeight="1" x14ac:dyDescent="0.2">
      <c r="A38"/>
      <c r="B38" s="227"/>
      <c r="C38" s="966" t="s">
        <v>452</v>
      </c>
      <c r="D38" s="224"/>
      <c r="E38" s="220"/>
      <c r="F38" s="561">
        <v>0</v>
      </c>
      <c r="G38" s="796"/>
      <c r="H38" s="561">
        <f>F38</f>
        <v>0</v>
      </c>
      <c r="I38" s="813"/>
      <c r="J38" s="561">
        <f>H38</f>
        <v>0</v>
      </c>
      <c r="K38" s="796"/>
      <c r="L38" s="561">
        <f>J38</f>
        <v>0</v>
      </c>
      <c r="M38" s="796"/>
      <c r="N38" s="48"/>
      <c r="O38" s="354" t="s">
        <v>0</v>
      </c>
      <c r="P38" s="302"/>
      <c r="Q38" s="302"/>
      <c r="R38" s="302"/>
      <c r="S38" s="302"/>
      <c r="T38" s="302"/>
      <c r="U38" s="302"/>
      <c r="V38" s="302"/>
      <c r="W38" s="302"/>
      <c r="X38" s="302"/>
      <c r="Y38" s="302"/>
      <c r="Z38" s="435"/>
      <c r="AA38" s="435"/>
      <c r="AB38" s="436"/>
    </row>
    <row r="39" spans="1:28" s="4" customFormat="1" ht="13.9" customHeight="1" x14ac:dyDescent="0.2">
      <c r="A39"/>
      <c r="B39" s="391"/>
      <c r="C39" s="1260" t="s">
        <v>453</v>
      </c>
      <c r="D39" s="463"/>
      <c r="E39" s="223"/>
      <c r="F39" s="814">
        <f>(F40)*(F17+F24+F22+F28)</f>
        <v>0</v>
      </c>
      <c r="G39" s="815"/>
      <c r="H39" s="814">
        <f>(H40)*(H17+H24+H22+H28)</f>
        <v>0</v>
      </c>
      <c r="I39" s="816"/>
      <c r="J39" s="814">
        <f>(J40)*(J17+J24+J22+J28)</f>
        <v>0</v>
      </c>
      <c r="K39" s="815"/>
      <c r="L39" s="814">
        <f>(L40)*(L17+L24+L22+L28)</f>
        <v>0</v>
      </c>
      <c r="M39" s="804"/>
      <c r="N39" s="27"/>
      <c r="O39" s="354"/>
      <c r="P39" s="302"/>
      <c r="Q39" s="302"/>
      <c r="R39" s="302"/>
      <c r="S39" s="302"/>
      <c r="T39" s="302"/>
      <c r="U39" s="302"/>
      <c r="V39" s="302"/>
      <c r="W39" s="302"/>
      <c r="X39" s="302"/>
      <c r="Y39" s="302"/>
      <c r="Z39" s="435"/>
      <c r="AA39" s="435"/>
      <c r="AB39" s="436"/>
    </row>
    <row r="40" spans="1:28" s="45" customFormat="1" ht="13.9" customHeight="1" x14ac:dyDescent="0.2">
      <c r="A40"/>
      <c r="B40" s="227"/>
      <c r="C40" s="966" t="s">
        <v>454</v>
      </c>
      <c r="D40" s="226"/>
      <c r="E40" s="225"/>
      <c r="F40" s="805">
        <v>2.7900000000000001E-2</v>
      </c>
      <c r="G40" s="806"/>
      <c r="H40" s="807">
        <f>F40</f>
        <v>2.7900000000000001E-2</v>
      </c>
      <c r="I40" s="808"/>
      <c r="J40" s="807">
        <f>H40</f>
        <v>2.7900000000000001E-2</v>
      </c>
      <c r="K40" s="806"/>
      <c r="L40" s="807">
        <f>J40</f>
        <v>2.7900000000000001E-2</v>
      </c>
      <c r="M40" s="806"/>
      <c r="N40" s="48"/>
      <c r="O40" s="354"/>
      <c r="P40" s="302"/>
      <c r="Q40" s="302"/>
      <c r="R40" s="302"/>
      <c r="S40" s="302"/>
      <c r="T40" s="302"/>
      <c r="U40" s="302"/>
      <c r="V40" s="302"/>
      <c r="W40" s="302"/>
      <c r="X40" s="302"/>
      <c r="Y40" s="302"/>
      <c r="Z40" s="435"/>
      <c r="AA40" s="435"/>
      <c r="AB40" s="436"/>
    </row>
    <row r="41" spans="1:28" s="45" customFormat="1" ht="13.9" customHeight="1" x14ac:dyDescent="0.2">
      <c r="A41"/>
      <c r="B41" s="227"/>
      <c r="C41" s="1509" t="s">
        <v>455</v>
      </c>
      <c r="D41" s="224"/>
      <c r="E41" s="220"/>
      <c r="F41" s="814">
        <f>1.7 %*F35+1.91%*(F12+F14*F15)</f>
        <v>0</v>
      </c>
      <c r="G41" s="815"/>
      <c r="H41" s="814">
        <f>1.7%*H35+1.91%*(H12+H14*H15)</f>
        <v>0</v>
      </c>
      <c r="I41" s="817"/>
      <c r="J41" s="814">
        <f>1.7%*J35+1.91%*(J12+J14*J15)</f>
        <v>0</v>
      </c>
      <c r="K41" s="815"/>
      <c r="L41" s="814">
        <f>1.7%*L35+1.91%*(L12+L14*L15)</f>
        <v>0</v>
      </c>
      <c r="M41" s="796"/>
      <c r="N41" s="48"/>
      <c r="O41" s="1334"/>
      <c r="P41" s="1335"/>
      <c r="Q41" s="1335"/>
      <c r="R41" s="1335"/>
      <c r="S41" s="302"/>
      <c r="T41" s="302"/>
      <c r="U41" s="302"/>
      <c r="V41" s="302"/>
      <c r="W41" s="302"/>
      <c r="X41" s="302"/>
      <c r="Y41" s="302"/>
      <c r="Z41" s="435"/>
      <c r="AA41" s="435"/>
      <c r="AB41" s="436"/>
    </row>
    <row r="42" spans="1:28" s="45" customFormat="1" ht="13.9" customHeight="1" x14ac:dyDescent="0.2">
      <c r="A42"/>
      <c r="B42" s="227"/>
      <c r="C42" s="1509" t="s">
        <v>456</v>
      </c>
      <c r="D42" s="224"/>
      <c r="E42" s="220"/>
      <c r="F42" s="1594">
        <v>0</v>
      </c>
      <c r="G42" s="804"/>
      <c r="H42" s="1594">
        <f>F42+F42*P42</f>
        <v>0</v>
      </c>
      <c r="I42" s="818"/>
      <c r="J42" s="1594">
        <f>H42+H42*Q42</f>
        <v>0</v>
      </c>
      <c r="K42" s="804"/>
      <c r="L42" s="1594">
        <f>J42+J42*R42</f>
        <v>0</v>
      </c>
      <c r="M42" s="796"/>
      <c r="N42" s="48"/>
      <c r="O42" s="327"/>
      <c r="P42" s="357">
        <v>0.03</v>
      </c>
      <c r="Q42" s="357">
        <f>P42</f>
        <v>0.03</v>
      </c>
      <c r="R42" s="357">
        <f>Q42</f>
        <v>0.03</v>
      </c>
      <c r="S42" s="302"/>
      <c r="T42" s="302"/>
      <c r="U42" s="302"/>
      <c r="V42" s="302"/>
      <c r="W42" s="302"/>
      <c r="X42" s="302"/>
      <c r="Y42" s="302"/>
      <c r="Z42" s="435"/>
      <c r="AA42" s="435"/>
      <c r="AB42" s="436"/>
    </row>
    <row r="43" spans="1:28" s="45" customFormat="1" ht="13.9" customHeight="1" x14ac:dyDescent="0.2">
      <c r="A43"/>
      <c r="B43" s="227"/>
      <c r="C43" s="1260" t="s">
        <v>457</v>
      </c>
      <c r="D43" s="224"/>
      <c r="E43" s="220"/>
      <c r="F43" s="819">
        <v>0</v>
      </c>
      <c r="G43" s="804"/>
      <c r="H43" s="819">
        <f>F43+F43*P43</f>
        <v>0</v>
      </c>
      <c r="I43" s="804"/>
      <c r="J43" s="819">
        <f>H43+H43*Q43</f>
        <v>0</v>
      </c>
      <c r="K43" s="804"/>
      <c r="L43" s="819">
        <f>J43+J43*R43</f>
        <v>0</v>
      </c>
      <c r="M43" s="804"/>
      <c r="N43" s="48"/>
      <c r="O43" s="327"/>
      <c r="P43" s="357">
        <v>0.03</v>
      </c>
      <c r="Q43" s="357">
        <f>P43</f>
        <v>0.03</v>
      </c>
      <c r="R43" s="357">
        <f>Q43</f>
        <v>0.03</v>
      </c>
      <c r="S43" s="302"/>
      <c r="T43" s="302"/>
      <c r="U43" s="302"/>
      <c r="V43" s="302"/>
      <c r="W43" s="302"/>
      <c r="X43" s="302"/>
      <c r="Y43" s="302"/>
      <c r="Z43" s="435"/>
      <c r="AA43" s="435"/>
      <c r="AB43" s="436"/>
    </row>
    <row r="44" spans="1:28" s="45" customFormat="1" ht="13.9" customHeight="1" thickBot="1" x14ac:dyDescent="0.25">
      <c r="A44"/>
      <c r="B44" s="227"/>
      <c r="C44" s="42" t="s">
        <v>458</v>
      </c>
      <c r="D44" s="228"/>
      <c r="E44" s="229"/>
      <c r="F44" s="820">
        <f>F31+F11</f>
        <v>0</v>
      </c>
      <c r="G44" s="821">
        <v>100</v>
      </c>
      <c r="H44" s="820">
        <f>H31+H11</f>
        <v>0</v>
      </c>
      <c r="I44" s="821">
        <v>100</v>
      </c>
      <c r="J44" s="820">
        <f>J31+J11</f>
        <v>0</v>
      </c>
      <c r="K44" s="821">
        <v>100</v>
      </c>
      <c r="L44" s="820">
        <f>L31+L11</f>
        <v>0</v>
      </c>
      <c r="M44" s="821">
        <v>100</v>
      </c>
      <c r="N44" s="48"/>
      <c r="O44" s="354"/>
      <c r="P44" s="302"/>
      <c r="Q44" s="302"/>
      <c r="R44" s="302"/>
      <c r="S44" s="302"/>
      <c r="T44" s="302"/>
      <c r="U44" s="302"/>
      <c r="V44" s="302"/>
      <c r="W44" s="302"/>
      <c r="X44" s="302"/>
      <c r="Y44" s="302"/>
      <c r="Z44" s="435"/>
      <c r="AA44" s="435"/>
      <c r="AB44" s="436"/>
    </row>
    <row r="45" spans="1:28" s="1" customFormat="1" ht="13.9" customHeight="1" x14ac:dyDescent="0.2">
      <c r="A45"/>
      <c r="B45" s="988" t="s">
        <v>4</v>
      </c>
      <c r="C45" s="994" t="s">
        <v>459</v>
      </c>
      <c r="D45" s="995">
        <f>D46+D52+D63+D69+D74+D79+D83+D86+D87+D88+D94+D99+D104+D108+D113+D117+D118+D119+D122+D120+D121+D123+D124</f>
        <v>0</v>
      </c>
      <c r="E45" s="803">
        <v>100</v>
      </c>
      <c r="F45" s="792">
        <f>F46+F52+F63+F69+F74+F79+F83+F86+F87+F88+F94+F99+F104+F108+F113+F117+F118+F119+F122+F120+F121+F123+F124</f>
        <v>0</v>
      </c>
      <c r="G45" s="793">
        <v>100</v>
      </c>
      <c r="H45" s="792">
        <f>H46+H52+H63+H69+H74+H79+H83+H86+H87+H88+H94+H99+H104+H108+H113+H117+H118+H119+H122+H120+H121+H123+H124</f>
        <v>0</v>
      </c>
      <c r="I45" s="793">
        <v>100</v>
      </c>
      <c r="J45" s="792">
        <f>J46+J52+J63+J69+J74+J79+J83+J86+J87+J88+J94+J99+J104+J108+J113+J117+J118+J119+J122+J120+J121+J123+J124</f>
        <v>0</v>
      </c>
      <c r="K45" s="793">
        <v>100</v>
      </c>
      <c r="L45" s="792">
        <f>L46+L52+L63+L69+L74+L79+L83+L86+L87+L88+L94+L99+L104+L108+L113+L117+L118+L119+L122+L120+L121+L123+L124</f>
        <v>0</v>
      </c>
      <c r="M45" s="793">
        <v>100</v>
      </c>
      <c r="N45" s="3"/>
      <c r="O45" s="354"/>
      <c r="P45" s="302"/>
      <c r="Q45" s="302"/>
      <c r="R45" s="302"/>
      <c r="S45" s="302"/>
      <c r="T45" s="302"/>
      <c r="U45" s="302"/>
      <c r="V45" s="302"/>
      <c r="W45" s="302"/>
      <c r="X45" s="302"/>
      <c r="Y45" s="302"/>
      <c r="Z45" s="435"/>
      <c r="AA45" s="435"/>
      <c r="AB45" s="436"/>
    </row>
    <row r="46" spans="1:28" s="4" customFormat="1" ht="13.9" customHeight="1" x14ac:dyDescent="0.2">
      <c r="A46"/>
      <c r="B46" s="391" t="s">
        <v>0</v>
      </c>
      <c r="C46" s="970" t="s">
        <v>460</v>
      </c>
      <c r="D46" s="993">
        <f>SUM(D47:D51)</f>
        <v>0</v>
      </c>
      <c r="E46" s="833">
        <f>IF(D$45=0,0,100*D46/D$45)</f>
        <v>0</v>
      </c>
      <c r="F46" s="832">
        <f>SUM(F47:F51)</f>
        <v>0</v>
      </c>
      <c r="G46" s="833">
        <f>IF(F$45=0,0,100*F46/F$45)</f>
        <v>0</v>
      </c>
      <c r="H46" s="832">
        <f>SUM(H47:H51)</f>
        <v>0</v>
      </c>
      <c r="I46" s="833">
        <f>IF(H$45=0,0,100*H46/H$45)</f>
        <v>0</v>
      </c>
      <c r="J46" s="832">
        <f>SUM(J47:J51)</f>
        <v>0</v>
      </c>
      <c r="K46" s="833">
        <f>IF(J$45=0,0,100*J46/J$45)</f>
        <v>0</v>
      </c>
      <c r="L46" s="832">
        <f>SUM(L47:L51)</f>
        <v>0</v>
      </c>
      <c r="M46" s="833">
        <f>IF(L$45=0,0,100*L46/L$45)</f>
        <v>0</v>
      </c>
      <c r="N46" s="43"/>
      <c r="O46" s="1336"/>
      <c r="P46" s="298"/>
      <c r="Q46" s="298"/>
      <c r="R46" s="298"/>
      <c r="S46" s="302"/>
      <c r="T46" s="302"/>
      <c r="U46" s="302"/>
      <c r="V46" s="302"/>
      <c r="W46" s="302"/>
      <c r="X46" s="302"/>
      <c r="Y46" s="302"/>
      <c r="Z46" s="435"/>
      <c r="AA46" s="435"/>
      <c r="AB46" s="436"/>
    </row>
    <row r="47" spans="1:28" s="45" customFormat="1" ht="13.9" customHeight="1" x14ac:dyDescent="0.2">
      <c r="A47"/>
      <c r="B47" s="227"/>
      <c r="C47" s="966" t="s">
        <v>461</v>
      </c>
      <c r="D47" s="965"/>
      <c r="E47" s="810"/>
      <c r="F47" s="561">
        <f>D47+D47*O47</f>
        <v>0</v>
      </c>
      <c r="G47" s="810"/>
      <c r="H47" s="561">
        <f>F47+F47*P47</f>
        <v>0</v>
      </c>
      <c r="I47" s="810"/>
      <c r="J47" s="561">
        <f>H47+H47*Q47</f>
        <v>0</v>
      </c>
      <c r="K47" s="810"/>
      <c r="L47" s="561">
        <f>J47+J47*R47</f>
        <v>0</v>
      </c>
      <c r="M47" s="810"/>
      <c r="N47" s="49"/>
      <c r="O47" s="357">
        <v>0.03</v>
      </c>
      <c r="P47" s="357">
        <f t="shared" ref="P47:R61" si="0">O47</f>
        <v>0.03</v>
      </c>
      <c r="Q47" s="357">
        <f t="shared" si="0"/>
        <v>0.03</v>
      </c>
      <c r="R47" s="357">
        <f t="shared" si="0"/>
        <v>0.03</v>
      </c>
      <c r="S47" s="302"/>
      <c r="T47" s="302"/>
      <c r="U47" s="302"/>
      <c r="V47" s="302"/>
      <c r="W47" s="302"/>
      <c r="X47" s="302"/>
      <c r="Y47" s="302"/>
      <c r="Z47" s="435"/>
      <c r="AA47" s="435"/>
      <c r="AB47" s="436"/>
    </row>
    <row r="48" spans="1:28" s="45" customFormat="1" ht="13.9" customHeight="1" x14ac:dyDescent="0.2">
      <c r="A48"/>
      <c r="B48" s="227"/>
      <c r="C48" s="966" t="s">
        <v>462</v>
      </c>
      <c r="D48" s="965"/>
      <c r="E48" s="810"/>
      <c r="F48" s="561">
        <f>D48+D48*O48</f>
        <v>0</v>
      </c>
      <c r="G48" s="810"/>
      <c r="H48" s="561">
        <f>F48+F48*P48</f>
        <v>0</v>
      </c>
      <c r="I48" s="810"/>
      <c r="J48" s="561">
        <f>H48+H48*Q48</f>
        <v>0</v>
      </c>
      <c r="K48" s="810"/>
      <c r="L48" s="561">
        <f>J48+J48*R48</f>
        <v>0</v>
      </c>
      <c r="M48" s="810"/>
      <c r="N48" s="48"/>
      <c r="O48" s="357">
        <v>0.03</v>
      </c>
      <c r="P48" s="357">
        <f t="shared" ref="P48:R49" si="1">O48</f>
        <v>0.03</v>
      </c>
      <c r="Q48" s="357">
        <f t="shared" si="1"/>
        <v>0.03</v>
      </c>
      <c r="R48" s="357">
        <f t="shared" si="1"/>
        <v>0.03</v>
      </c>
      <c r="S48" s="302"/>
      <c r="T48" s="302"/>
      <c r="U48" s="302"/>
      <c r="V48" s="302"/>
      <c r="W48" s="302"/>
      <c r="X48" s="302"/>
      <c r="Y48" s="302"/>
      <c r="Z48" s="435"/>
      <c r="AA48" s="435"/>
      <c r="AB48" s="436"/>
    </row>
    <row r="49" spans="1:28" s="45" customFormat="1" ht="13.9" customHeight="1" x14ac:dyDescent="0.2">
      <c r="A49"/>
      <c r="B49" s="227"/>
      <c r="C49" s="966" t="s">
        <v>463</v>
      </c>
      <c r="D49" s="965"/>
      <c r="E49" s="810"/>
      <c r="F49" s="561">
        <f>D49+D49*O49</f>
        <v>0</v>
      </c>
      <c r="G49" s="810"/>
      <c r="H49" s="561">
        <f>F49+F49*P49</f>
        <v>0</v>
      </c>
      <c r="I49" s="810"/>
      <c r="J49" s="561">
        <f>H49+H49*Q49</f>
        <v>0</v>
      </c>
      <c r="K49" s="810"/>
      <c r="L49" s="561">
        <f>J49+J49*R49</f>
        <v>0</v>
      </c>
      <c r="M49" s="810"/>
      <c r="N49" s="48"/>
      <c r="O49" s="357">
        <v>0.03</v>
      </c>
      <c r="P49" s="357">
        <f t="shared" si="1"/>
        <v>0.03</v>
      </c>
      <c r="Q49" s="357">
        <f t="shared" si="1"/>
        <v>0.03</v>
      </c>
      <c r="R49" s="357">
        <f t="shared" si="1"/>
        <v>0.03</v>
      </c>
      <c r="S49" s="302"/>
      <c r="T49" s="302" t="s">
        <v>168</v>
      </c>
      <c r="U49" s="302"/>
      <c r="V49" s="302"/>
      <c r="W49" s="302"/>
      <c r="X49" s="302"/>
      <c r="Y49" s="302"/>
      <c r="Z49" s="435"/>
      <c r="AA49" s="435"/>
      <c r="AB49" s="436"/>
    </row>
    <row r="50" spans="1:28" s="45" customFormat="1" ht="13.9" customHeight="1" x14ac:dyDescent="0.2">
      <c r="A50"/>
      <c r="B50" s="227"/>
      <c r="C50" s="966" t="s">
        <v>464</v>
      </c>
      <c r="D50" s="965"/>
      <c r="E50" s="810"/>
      <c r="F50" s="561">
        <f>D50+D50*O50</f>
        <v>0</v>
      </c>
      <c r="G50" s="810"/>
      <c r="H50" s="561">
        <f>F50+F50*P50</f>
        <v>0</v>
      </c>
      <c r="I50" s="810"/>
      <c r="J50" s="561">
        <f>H50+H50*Q50</f>
        <v>0</v>
      </c>
      <c r="K50" s="810"/>
      <c r="L50" s="561">
        <f>J50+J50*R50</f>
        <v>0</v>
      </c>
      <c r="M50" s="810"/>
      <c r="N50" s="48"/>
      <c r="O50" s="357">
        <v>0.03</v>
      </c>
      <c r="P50" s="357">
        <f t="shared" si="0"/>
        <v>0.03</v>
      </c>
      <c r="Q50" s="357">
        <f t="shared" si="0"/>
        <v>0.03</v>
      </c>
      <c r="R50" s="357">
        <f t="shared" si="0"/>
        <v>0.03</v>
      </c>
      <c r="S50" s="302"/>
      <c r="T50" s="302"/>
      <c r="U50" s="302"/>
      <c r="V50" s="302"/>
      <c r="W50" s="302"/>
      <c r="X50" s="302"/>
      <c r="Y50" s="302"/>
      <c r="Z50" s="435"/>
      <c r="AA50" s="435"/>
      <c r="AB50" s="436"/>
    </row>
    <row r="51" spans="1:28" s="45" customFormat="1" ht="13.9" customHeight="1" thickBot="1" x14ac:dyDescent="0.25">
      <c r="A51"/>
      <c r="B51" s="227"/>
      <c r="C51" s="968" t="s">
        <v>465</v>
      </c>
      <c r="D51" s="965"/>
      <c r="E51" s="824"/>
      <c r="F51" s="561">
        <f>D51+D51*O51</f>
        <v>0</v>
      </c>
      <c r="G51" s="824"/>
      <c r="H51" s="561">
        <f>F51+F51*P51</f>
        <v>0</v>
      </c>
      <c r="I51" s="824"/>
      <c r="J51" s="825">
        <f>H51+H51*Q51</f>
        <v>0</v>
      </c>
      <c r="K51" s="824"/>
      <c r="L51" s="825">
        <f>J51+J51*R51</f>
        <v>0</v>
      </c>
      <c r="M51" s="824"/>
      <c r="N51" s="48"/>
      <c r="O51" s="357">
        <v>0.03</v>
      </c>
      <c r="P51" s="357">
        <f t="shared" si="0"/>
        <v>0.03</v>
      </c>
      <c r="Q51" s="357">
        <f t="shared" si="0"/>
        <v>0.03</v>
      </c>
      <c r="R51" s="357">
        <f t="shared" si="0"/>
        <v>0.03</v>
      </c>
      <c r="S51" s="302"/>
      <c r="T51" s="302"/>
      <c r="U51" s="302"/>
      <c r="V51" s="302"/>
      <c r="W51" s="302"/>
      <c r="X51" s="302"/>
      <c r="Y51" s="302"/>
      <c r="Z51" s="435"/>
      <c r="AA51" s="435"/>
      <c r="AB51" s="436"/>
    </row>
    <row r="52" spans="1:28" s="4" customFormat="1" ht="13.9" customHeight="1" x14ac:dyDescent="0.2">
      <c r="A52"/>
      <c r="B52" s="975" t="s">
        <v>0</v>
      </c>
      <c r="C52" s="967" t="s">
        <v>466</v>
      </c>
      <c r="D52" s="822">
        <f>SUM(D53:D62)</f>
        <v>0</v>
      </c>
      <c r="E52" s="823">
        <f>IF(D$45=0,0,100*D52/D$45)</f>
        <v>0</v>
      </c>
      <c r="F52" s="822">
        <f>SUM(F53:F62)</f>
        <v>0</v>
      </c>
      <c r="G52" s="823">
        <f>IF(F$45=0,0,100*F52/F$45)</f>
        <v>0</v>
      </c>
      <c r="H52" s="822">
        <f>SUM(H53:H62)</f>
        <v>0</v>
      </c>
      <c r="I52" s="823">
        <f>IF(H$45=0,0,100*H52/H$45)</f>
        <v>0</v>
      </c>
      <c r="J52" s="822">
        <f>SUM(J53:J62)</f>
        <v>0</v>
      </c>
      <c r="K52" s="823">
        <f>IF(J$45=0,0,100*J52/J$45)</f>
        <v>0</v>
      </c>
      <c r="L52" s="822">
        <f>SUM(L53:L62)</f>
        <v>0</v>
      </c>
      <c r="M52" s="823">
        <f>IF(L$45=0,0,100*L52/L$45)</f>
        <v>0</v>
      </c>
      <c r="N52" s="43"/>
      <c r="O52" s="1337"/>
      <c r="P52" s="298"/>
      <c r="Q52" s="298"/>
      <c r="R52" s="298"/>
      <c r="S52" s="302"/>
      <c r="T52" s="302"/>
      <c r="U52" s="302"/>
      <c r="V52" s="302"/>
      <c r="W52" s="302"/>
      <c r="X52" s="302"/>
      <c r="Y52" s="302"/>
      <c r="Z52" s="435"/>
      <c r="AA52" s="435"/>
      <c r="AB52" s="436"/>
    </row>
    <row r="53" spans="1:28" s="45" customFormat="1" ht="13.9" customHeight="1" x14ac:dyDescent="0.2">
      <c r="A53"/>
      <c r="B53" s="976"/>
      <c r="C53" s="966" t="s">
        <v>467</v>
      </c>
      <c r="D53" s="561"/>
      <c r="E53" s="810"/>
      <c r="F53" s="561">
        <f>D53+D53*O53</f>
        <v>0</v>
      </c>
      <c r="G53" s="810"/>
      <c r="H53" s="561">
        <f>F53+F53*P53</f>
        <v>0</v>
      </c>
      <c r="I53" s="810"/>
      <c r="J53" s="561">
        <f>H53+H53*Q53</f>
        <v>0</v>
      </c>
      <c r="K53" s="810"/>
      <c r="L53" s="561">
        <f t="shared" ref="L53:L62" si="2">J53+J53*R53</f>
        <v>0</v>
      </c>
      <c r="M53" s="810"/>
      <c r="N53" s="49"/>
      <c r="O53" s="357">
        <v>0.03</v>
      </c>
      <c r="P53" s="357">
        <f t="shared" si="0"/>
        <v>0.03</v>
      </c>
      <c r="Q53" s="357">
        <f t="shared" ref="Q53:R62" si="3">P53</f>
        <v>0.03</v>
      </c>
      <c r="R53" s="357">
        <f t="shared" si="3"/>
        <v>0.03</v>
      </c>
      <c r="S53" s="302"/>
      <c r="T53" s="302"/>
      <c r="U53" s="302"/>
      <c r="V53" s="302"/>
      <c r="W53" s="302"/>
      <c r="X53" s="302"/>
      <c r="Y53" s="302"/>
      <c r="Z53" s="435"/>
      <c r="AA53" s="435"/>
      <c r="AB53" s="436"/>
    </row>
    <row r="54" spans="1:28" s="45" customFormat="1" ht="13.9" customHeight="1" x14ac:dyDescent="0.2">
      <c r="A54" s="46"/>
      <c r="B54" s="227"/>
      <c r="C54" s="966" t="s">
        <v>468</v>
      </c>
      <c r="D54" s="561"/>
      <c r="E54" s="810"/>
      <c r="F54" s="561">
        <f t="shared" ref="F54:F62" si="4">D54+D54*O54</f>
        <v>0</v>
      </c>
      <c r="G54" s="810"/>
      <c r="H54" s="561">
        <f t="shared" ref="H54:H62" si="5">F54+F54*P54</f>
        <v>0</v>
      </c>
      <c r="I54" s="810"/>
      <c r="J54" s="561">
        <f t="shared" ref="J54:J62" si="6">H54+H54*Q54</f>
        <v>0</v>
      </c>
      <c r="K54" s="810"/>
      <c r="L54" s="561">
        <f t="shared" si="2"/>
        <v>0</v>
      </c>
      <c r="M54" s="810"/>
      <c r="N54" s="50"/>
      <c r="O54" s="357">
        <v>0.03</v>
      </c>
      <c r="P54" s="357">
        <f>O54</f>
        <v>0.03</v>
      </c>
      <c r="Q54" s="357">
        <f t="shared" si="3"/>
        <v>0.03</v>
      </c>
      <c r="R54" s="357">
        <f t="shared" si="3"/>
        <v>0.03</v>
      </c>
      <c r="S54" s="302"/>
      <c r="T54" s="302"/>
      <c r="U54" s="302"/>
      <c r="V54" s="302"/>
      <c r="W54" s="302"/>
      <c r="X54" s="302"/>
      <c r="Y54" s="302"/>
      <c r="Z54" s="435"/>
      <c r="AA54" s="435"/>
      <c r="AB54" s="436"/>
    </row>
    <row r="55" spans="1:28" s="45" customFormat="1" ht="13.9" customHeight="1" x14ac:dyDescent="0.2">
      <c r="A55" s="2"/>
      <c r="B55" s="227"/>
      <c r="C55" s="966" t="s">
        <v>469</v>
      </c>
      <c r="D55" s="561"/>
      <c r="E55" s="810"/>
      <c r="F55" s="561">
        <f t="shared" si="4"/>
        <v>0</v>
      </c>
      <c r="G55" s="810"/>
      <c r="H55" s="561">
        <f t="shared" si="5"/>
        <v>0</v>
      </c>
      <c r="I55" s="810"/>
      <c r="J55" s="561">
        <f t="shared" si="6"/>
        <v>0</v>
      </c>
      <c r="K55" s="810"/>
      <c r="L55" s="561">
        <f t="shared" si="2"/>
        <v>0</v>
      </c>
      <c r="M55" s="810"/>
      <c r="N55" s="50"/>
      <c r="O55" s="357">
        <v>0.03</v>
      </c>
      <c r="P55" s="357">
        <f t="shared" si="0"/>
        <v>0.03</v>
      </c>
      <c r="Q55" s="357">
        <f t="shared" si="3"/>
        <v>0.03</v>
      </c>
      <c r="R55" s="357">
        <f t="shared" si="3"/>
        <v>0.03</v>
      </c>
      <c r="S55" s="302"/>
      <c r="T55" s="302"/>
      <c r="U55" s="302"/>
      <c r="V55" s="302"/>
      <c r="W55" s="302"/>
      <c r="X55" s="302"/>
      <c r="Y55" s="302"/>
      <c r="Z55" s="435"/>
      <c r="AA55" s="435"/>
      <c r="AB55" s="436"/>
    </row>
    <row r="56" spans="1:28" s="45" customFormat="1" ht="13.9" customHeight="1" x14ac:dyDescent="0.2">
      <c r="A56"/>
      <c r="B56" s="227"/>
      <c r="C56" s="966" t="s">
        <v>470</v>
      </c>
      <c r="D56" s="561"/>
      <c r="E56" s="810"/>
      <c r="F56" s="561">
        <f t="shared" si="4"/>
        <v>0</v>
      </c>
      <c r="G56" s="810"/>
      <c r="H56" s="561">
        <f t="shared" si="5"/>
        <v>0</v>
      </c>
      <c r="I56" s="810"/>
      <c r="J56" s="561">
        <f t="shared" si="6"/>
        <v>0</v>
      </c>
      <c r="K56" s="810"/>
      <c r="L56" s="561">
        <f t="shared" si="2"/>
        <v>0</v>
      </c>
      <c r="M56" s="810"/>
      <c r="N56" s="50"/>
      <c r="O56" s="357">
        <v>0.03</v>
      </c>
      <c r="P56" s="357">
        <f>O56</f>
        <v>0.03</v>
      </c>
      <c r="Q56" s="357">
        <f t="shared" si="3"/>
        <v>0.03</v>
      </c>
      <c r="R56" s="357">
        <f t="shared" si="3"/>
        <v>0.03</v>
      </c>
      <c r="S56" s="302"/>
      <c r="T56" s="302"/>
      <c r="U56" s="302" t="s">
        <v>167</v>
      </c>
      <c r="V56" s="302"/>
      <c r="W56" s="302"/>
      <c r="X56" s="302"/>
      <c r="Y56" s="302"/>
      <c r="Z56" s="435"/>
      <c r="AA56" s="435"/>
      <c r="AB56" s="436"/>
    </row>
    <row r="57" spans="1:28" s="45" customFormat="1" ht="13.9" customHeight="1" x14ac:dyDescent="0.2">
      <c r="A57"/>
      <c r="B57" s="227"/>
      <c r="C57" s="966" t="s">
        <v>471</v>
      </c>
      <c r="D57" s="561"/>
      <c r="E57" s="810"/>
      <c r="F57" s="561">
        <f>D57+D57*O57</f>
        <v>0</v>
      </c>
      <c r="G57" s="810"/>
      <c r="H57" s="561">
        <f>F57+F57*P57</f>
        <v>0</v>
      </c>
      <c r="I57" s="810"/>
      <c r="J57" s="561">
        <f t="shared" si="6"/>
        <v>0</v>
      </c>
      <c r="K57" s="810"/>
      <c r="L57" s="561">
        <f t="shared" si="2"/>
        <v>0</v>
      </c>
      <c r="M57" s="810"/>
      <c r="N57" s="50"/>
      <c r="O57" s="357">
        <v>0.03</v>
      </c>
      <c r="P57" s="357">
        <f t="shared" si="0"/>
        <v>0.03</v>
      </c>
      <c r="Q57" s="357">
        <f t="shared" si="3"/>
        <v>0.03</v>
      </c>
      <c r="R57" s="357">
        <f t="shared" si="3"/>
        <v>0.03</v>
      </c>
      <c r="S57" s="302"/>
      <c r="T57" s="302"/>
      <c r="U57" s="302"/>
      <c r="V57" s="302"/>
      <c r="W57" s="302"/>
      <c r="X57" s="302"/>
      <c r="Y57" s="302"/>
      <c r="Z57" s="435"/>
      <c r="AA57" s="435"/>
      <c r="AB57" s="436"/>
    </row>
    <row r="58" spans="1:28" s="45" customFormat="1" ht="13.9" customHeight="1" x14ac:dyDescent="0.2">
      <c r="B58" s="227"/>
      <c r="C58" s="966" t="s">
        <v>472</v>
      </c>
      <c r="D58" s="561"/>
      <c r="E58" s="810"/>
      <c r="F58" s="561">
        <f>D58+D58*O58</f>
        <v>0</v>
      </c>
      <c r="G58" s="810"/>
      <c r="H58" s="561">
        <f t="shared" si="5"/>
        <v>0</v>
      </c>
      <c r="I58" s="810"/>
      <c r="J58" s="561">
        <f t="shared" si="6"/>
        <v>0</v>
      </c>
      <c r="K58" s="810"/>
      <c r="L58" s="561">
        <f t="shared" si="2"/>
        <v>0</v>
      </c>
      <c r="M58" s="810"/>
      <c r="N58" s="50"/>
      <c r="O58" s="357">
        <v>0.03</v>
      </c>
      <c r="P58" s="357">
        <f>O58</f>
        <v>0.03</v>
      </c>
      <c r="Q58" s="357">
        <f t="shared" si="3"/>
        <v>0.03</v>
      </c>
      <c r="R58" s="357">
        <f t="shared" si="3"/>
        <v>0.03</v>
      </c>
      <c r="S58" s="302"/>
      <c r="T58" s="302"/>
      <c r="U58" s="302"/>
      <c r="V58" s="302"/>
      <c r="W58" s="302"/>
      <c r="X58" s="302"/>
      <c r="Y58" s="302"/>
      <c r="Z58" s="435"/>
      <c r="AA58" s="435"/>
      <c r="AB58" s="436"/>
    </row>
    <row r="59" spans="1:28" s="45" customFormat="1" ht="13.9" customHeight="1" x14ac:dyDescent="0.2">
      <c r="A59" s="4"/>
      <c r="B59" s="227"/>
      <c r="C59" s="966" t="s">
        <v>473</v>
      </c>
      <c r="D59" s="561"/>
      <c r="E59" s="810"/>
      <c r="F59" s="561">
        <f t="shared" si="4"/>
        <v>0</v>
      </c>
      <c r="G59" s="810"/>
      <c r="H59" s="561">
        <f t="shared" si="5"/>
        <v>0</v>
      </c>
      <c r="I59" s="810"/>
      <c r="J59" s="561">
        <f t="shared" si="6"/>
        <v>0</v>
      </c>
      <c r="K59" s="810"/>
      <c r="L59" s="561">
        <f t="shared" si="2"/>
        <v>0</v>
      </c>
      <c r="M59" s="810"/>
      <c r="N59" s="50"/>
      <c r="O59" s="357">
        <v>0.03</v>
      </c>
      <c r="P59" s="357">
        <f t="shared" si="0"/>
        <v>0.03</v>
      </c>
      <c r="Q59" s="357">
        <f t="shared" si="3"/>
        <v>0.03</v>
      </c>
      <c r="R59" s="357">
        <f t="shared" si="3"/>
        <v>0.03</v>
      </c>
      <c r="S59" s="302"/>
      <c r="T59" s="302"/>
      <c r="U59" s="302"/>
      <c r="V59" s="302"/>
      <c r="W59" s="302"/>
      <c r="X59" s="302"/>
      <c r="Y59" s="302"/>
      <c r="Z59" s="435"/>
      <c r="AA59" s="435"/>
      <c r="AB59" s="436"/>
    </row>
    <row r="60" spans="1:28" s="45" customFormat="1" ht="13.9" customHeight="1" x14ac:dyDescent="0.2">
      <c r="A60" s="4"/>
      <c r="B60" s="227"/>
      <c r="C60" s="966" t="s">
        <v>474</v>
      </c>
      <c r="D60" s="561"/>
      <c r="E60" s="810"/>
      <c r="F60" s="561">
        <f>D60+D60*O60</f>
        <v>0</v>
      </c>
      <c r="G60" s="810"/>
      <c r="H60" s="561">
        <f>F60+F60*P60</f>
        <v>0</v>
      </c>
      <c r="I60" s="810"/>
      <c r="J60" s="561">
        <f>H60+H60*Q60</f>
        <v>0</v>
      </c>
      <c r="K60" s="810"/>
      <c r="L60" s="561">
        <f>J60+J60*R60</f>
        <v>0</v>
      </c>
      <c r="M60" s="810"/>
      <c r="N60" s="50"/>
      <c r="O60" s="357">
        <v>0.03</v>
      </c>
      <c r="P60" s="357">
        <f>O60</f>
        <v>0.03</v>
      </c>
      <c r="Q60" s="357">
        <f t="shared" si="3"/>
        <v>0.03</v>
      </c>
      <c r="R60" s="357">
        <f t="shared" si="3"/>
        <v>0.03</v>
      </c>
      <c r="S60" s="302"/>
      <c r="T60" s="302"/>
      <c r="U60" s="302"/>
      <c r="V60" s="302"/>
      <c r="W60" s="302"/>
      <c r="X60" s="302"/>
      <c r="Y60" s="302"/>
      <c r="Z60" s="435"/>
      <c r="AA60" s="435"/>
      <c r="AB60" s="436"/>
    </row>
    <row r="61" spans="1:28" s="45" customFormat="1" ht="13.9" customHeight="1" x14ac:dyDescent="0.2">
      <c r="A61" s="2"/>
      <c r="B61" s="227"/>
      <c r="C61" s="966" t="s">
        <v>475</v>
      </c>
      <c r="D61" s="561"/>
      <c r="E61" s="810"/>
      <c r="F61" s="561">
        <f>D61+D61*O61</f>
        <v>0</v>
      </c>
      <c r="G61" s="810"/>
      <c r="H61" s="561">
        <f t="shared" si="5"/>
        <v>0</v>
      </c>
      <c r="I61" s="810">
        <v>0</v>
      </c>
      <c r="J61" s="561">
        <f t="shared" si="6"/>
        <v>0</v>
      </c>
      <c r="K61" s="810"/>
      <c r="L61" s="561">
        <f t="shared" si="2"/>
        <v>0</v>
      </c>
      <c r="M61" s="810"/>
      <c r="N61" s="50"/>
      <c r="O61" s="357">
        <v>0.03</v>
      </c>
      <c r="P61" s="357">
        <f t="shared" si="0"/>
        <v>0.03</v>
      </c>
      <c r="Q61" s="357">
        <f t="shared" si="3"/>
        <v>0.03</v>
      </c>
      <c r="R61" s="357">
        <f t="shared" si="3"/>
        <v>0.03</v>
      </c>
      <c r="S61" s="302"/>
      <c r="T61" s="302"/>
      <c r="U61" s="302"/>
      <c r="V61" s="302"/>
      <c r="W61" s="302"/>
      <c r="X61" s="302"/>
      <c r="Y61" s="302"/>
      <c r="Z61" s="435"/>
      <c r="AA61" s="435"/>
      <c r="AB61" s="436"/>
    </row>
    <row r="62" spans="1:28" s="45" customFormat="1" ht="13.9" customHeight="1" thickBot="1" x14ac:dyDescent="0.25">
      <c r="A62" s="46"/>
      <c r="B62" s="227"/>
      <c r="C62" s="969" t="s">
        <v>476</v>
      </c>
      <c r="D62" s="561"/>
      <c r="E62" s="826"/>
      <c r="F62" s="561">
        <f t="shared" si="4"/>
        <v>0</v>
      </c>
      <c r="G62" s="826"/>
      <c r="H62" s="561">
        <f t="shared" si="5"/>
        <v>0</v>
      </c>
      <c r="I62" s="826"/>
      <c r="J62" s="561">
        <f t="shared" si="6"/>
        <v>0</v>
      </c>
      <c r="K62" s="826"/>
      <c r="L62" s="561">
        <f t="shared" si="2"/>
        <v>0</v>
      </c>
      <c r="M62" s="826"/>
      <c r="N62" s="50"/>
      <c r="O62" s="357">
        <v>0.03</v>
      </c>
      <c r="P62" s="357">
        <f>O62</f>
        <v>0.03</v>
      </c>
      <c r="Q62" s="357">
        <f t="shared" si="3"/>
        <v>0.03</v>
      </c>
      <c r="R62" s="357">
        <f t="shared" si="3"/>
        <v>0.03</v>
      </c>
      <c r="S62" s="302"/>
      <c r="T62" s="302"/>
      <c r="U62" s="302"/>
      <c r="V62" s="302"/>
      <c r="W62" s="302"/>
      <c r="X62" s="302"/>
      <c r="Y62" s="302"/>
      <c r="Z62" s="435"/>
      <c r="AA62" s="435"/>
      <c r="AB62" s="436"/>
    </row>
    <row r="63" spans="1:28" s="4" customFormat="1" ht="13.9" customHeight="1" x14ac:dyDescent="0.2">
      <c r="A63"/>
      <c r="B63" s="391"/>
      <c r="C63" s="967" t="s">
        <v>477</v>
      </c>
      <c r="D63" s="822">
        <f>SUM(D64:D68)</f>
        <v>0</v>
      </c>
      <c r="E63" s="823">
        <f>IF(D$45=0,0,100*D63/D$45)</f>
        <v>0</v>
      </c>
      <c r="F63" s="822">
        <f>SUM(F64:F68)</f>
        <v>0</v>
      </c>
      <c r="G63" s="823">
        <f>IF(F$45=0,0,100*F63/F$45)</f>
        <v>0</v>
      </c>
      <c r="H63" s="822">
        <f>SUM(H64:H68)</f>
        <v>0</v>
      </c>
      <c r="I63" s="823">
        <f>IF(H$45=0,0,100*H63/H$45)</f>
        <v>0</v>
      </c>
      <c r="J63" s="822">
        <f>SUM(J64:J68)</f>
        <v>0</v>
      </c>
      <c r="K63" s="823">
        <f>IF(J$45=0,0,100*J63/J$45)</f>
        <v>0</v>
      </c>
      <c r="L63" s="822">
        <f>SUM(L64:L68)</f>
        <v>0</v>
      </c>
      <c r="M63" s="823">
        <f>IF(L$45=0,0,100*L63/L$45)</f>
        <v>0</v>
      </c>
      <c r="N63" s="27"/>
      <c r="O63" s="1337"/>
      <c r="P63" s="298"/>
      <c r="Q63" s="298"/>
      <c r="R63" s="298"/>
      <c r="S63" s="302"/>
      <c r="T63" s="302"/>
      <c r="U63" s="302"/>
      <c r="V63" s="302"/>
      <c r="W63" s="302"/>
      <c r="X63" s="302"/>
      <c r="Y63" s="302"/>
      <c r="Z63" s="435"/>
      <c r="AA63" s="435"/>
      <c r="AB63" s="436"/>
    </row>
    <row r="64" spans="1:28" s="45" customFormat="1" ht="13.9" customHeight="1" x14ac:dyDescent="0.2">
      <c r="A64" s="46"/>
      <c r="B64" s="227"/>
      <c r="C64" s="966" t="s">
        <v>478</v>
      </c>
      <c r="D64" s="561"/>
      <c r="E64" s="810"/>
      <c r="F64" s="561">
        <f>D64+D64*O64</f>
        <v>0</v>
      </c>
      <c r="G64" s="810"/>
      <c r="H64" s="561">
        <f>F64+F64*Q64</f>
        <v>0</v>
      </c>
      <c r="I64" s="810"/>
      <c r="J64" s="561">
        <f>H64+H64*Q64</f>
        <v>0</v>
      </c>
      <c r="K64" s="810"/>
      <c r="L64" s="561">
        <f>J64+J64*R64</f>
        <v>0</v>
      </c>
      <c r="M64" s="810"/>
      <c r="N64" s="48"/>
      <c r="O64" s="357">
        <v>0.03</v>
      </c>
      <c r="P64" s="357">
        <f t="shared" ref="P64" si="7">O64</f>
        <v>0.03</v>
      </c>
      <c r="Q64" s="357">
        <f t="shared" ref="Q64:R68" si="8">P64</f>
        <v>0.03</v>
      </c>
      <c r="R64" s="357">
        <f t="shared" si="8"/>
        <v>0.03</v>
      </c>
      <c r="S64" s="302"/>
      <c r="T64" s="302"/>
      <c r="U64" s="302"/>
      <c r="V64" s="302"/>
      <c r="W64" s="302"/>
      <c r="X64" s="302"/>
      <c r="Y64" s="302"/>
      <c r="Z64" s="435"/>
      <c r="AA64" s="435"/>
      <c r="AB64" s="436"/>
    </row>
    <row r="65" spans="2:28" s="45" customFormat="1" ht="13.9" customHeight="1" x14ac:dyDescent="0.2">
      <c r="B65" s="227"/>
      <c r="C65" s="966" t="s">
        <v>479</v>
      </c>
      <c r="D65" s="561"/>
      <c r="E65" s="810"/>
      <c r="F65" s="561">
        <f>D65+D65*O65</f>
        <v>0</v>
      </c>
      <c r="G65" s="810"/>
      <c r="H65" s="561">
        <f>F65+F65*P65</f>
        <v>0</v>
      </c>
      <c r="I65" s="810"/>
      <c r="J65" s="561">
        <f>H65+H65*Q65</f>
        <v>0</v>
      </c>
      <c r="K65" s="810"/>
      <c r="L65" s="561">
        <f>J65+J65*R65</f>
        <v>0</v>
      </c>
      <c r="M65" s="810"/>
      <c r="N65" s="48"/>
      <c r="O65" s="357">
        <v>0.03</v>
      </c>
      <c r="P65" s="357">
        <f>O65</f>
        <v>0.03</v>
      </c>
      <c r="Q65" s="357">
        <f t="shared" si="8"/>
        <v>0.03</v>
      </c>
      <c r="R65" s="357">
        <f t="shared" si="8"/>
        <v>0.03</v>
      </c>
      <c r="S65" s="302"/>
      <c r="T65" s="302"/>
      <c r="U65" s="302"/>
      <c r="V65" s="302"/>
      <c r="W65" s="302"/>
      <c r="X65" s="302"/>
      <c r="Y65" s="302"/>
      <c r="Z65" s="435"/>
      <c r="AA65" s="435"/>
      <c r="AB65" s="436"/>
    </row>
    <row r="66" spans="2:28" s="45" customFormat="1" ht="13.9" customHeight="1" x14ac:dyDescent="0.2">
      <c r="B66" s="227"/>
      <c r="C66" s="966" t="s">
        <v>480</v>
      </c>
      <c r="D66" s="561"/>
      <c r="E66" s="810"/>
      <c r="F66" s="561">
        <f>D66+D66*O66</f>
        <v>0</v>
      </c>
      <c r="G66" s="810"/>
      <c r="H66" s="561">
        <f>F66+F66*P66</f>
        <v>0</v>
      </c>
      <c r="I66" s="810"/>
      <c r="J66" s="561">
        <f>H66+H66*Q66</f>
        <v>0</v>
      </c>
      <c r="K66" s="810"/>
      <c r="L66" s="561">
        <f>J66+J66*R66</f>
        <v>0</v>
      </c>
      <c r="M66" s="810"/>
      <c r="N66" s="48"/>
      <c r="O66" s="357">
        <v>0.03</v>
      </c>
      <c r="P66" s="357">
        <f t="shared" ref="P66:P67" si="9">O66</f>
        <v>0.03</v>
      </c>
      <c r="Q66" s="357">
        <f t="shared" si="8"/>
        <v>0.03</v>
      </c>
      <c r="R66" s="357">
        <f t="shared" si="8"/>
        <v>0.03</v>
      </c>
      <c r="S66" s="302"/>
      <c r="T66" s="302"/>
      <c r="U66" s="302"/>
      <c r="V66" s="302"/>
      <c r="W66" s="302"/>
      <c r="X66" s="302"/>
      <c r="Y66" s="302"/>
      <c r="Z66" s="435"/>
      <c r="AA66" s="435"/>
      <c r="AB66" s="436"/>
    </row>
    <row r="67" spans="2:28" s="45" customFormat="1" ht="13.9" customHeight="1" x14ac:dyDescent="0.2">
      <c r="B67" s="227"/>
      <c r="C67" s="966" t="s">
        <v>481</v>
      </c>
      <c r="D67" s="561"/>
      <c r="E67" s="810"/>
      <c r="F67" s="561">
        <f>D67+D67*O67</f>
        <v>0</v>
      </c>
      <c r="G67" s="810"/>
      <c r="H67" s="561">
        <f>F67+F67*P67</f>
        <v>0</v>
      </c>
      <c r="I67" s="810"/>
      <c r="J67" s="561">
        <f>H67+H67*Q67</f>
        <v>0</v>
      </c>
      <c r="K67" s="810"/>
      <c r="L67" s="561">
        <f>J67+J67*R67</f>
        <v>0</v>
      </c>
      <c r="M67" s="810"/>
      <c r="N67" s="48"/>
      <c r="O67" s="357">
        <v>0.03</v>
      </c>
      <c r="P67" s="357">
        <f t="shared" si="9"/>
        <v>0.03</v>
      </c>
      <c r="Q67" s="357">
        <f t="shared" si="8"/>
        <v>0.03</v>
      </c>
      <c r="R67" s="357">
        <f t="shared" si="8"/>
        <v>0.03</v>
      </c>
      <c r="S67" s="302"/>
      <c r="T67" s="302"/>
      <c r="U67" s="302"/>
      <c r="V67" s="302"/>
      <c r="W67" s="302"/>
      <c r="X67" s="302"/>
      <c r="Y67" s="302"/>
      <c r="Z67" s="435"/>
      <c r="AA67" s="435"/>
      <c r="AB67" s="436"/>
    </row>
    <row r="68" spans="2:28" s="45" customFormat="1" ht="13.9" customHeight="1" thickBot="1" x14ac:dyDescent="0.25">
      <c r="B68" s="977"/>
      <c r="C68" s="969" t="s">
        <v>482</v>
      </c>
      <c r="D68" s="561">
        <v>0</v>
      </c>
      <c r="E68" s="826"/>
      <c r="F68" s="561">
        <f>D68+D68*O68</f>
        <v>0</v>
      </c>
      <c r="G68" s="826"/>
      <c r="H68" s="561">
        <f>F68+F68*P68</f>
        <v>0</v>
      </c>
      <c r="I68" s="826"/>
      <c r="J68" s="561">
        <f>H68+H68*Q68</f>
        <v>0</v>
      </c>
      <c r="K68" s="826"/>
      <c r="L68" s="561">
        <f>J68+J68*R68</f>
        <v>0</v>
      </c>
      <c r="M68" s="826"/>
      <c r="N68" s="48"/>
      <c r="O68" s="357">
        <v>0.03</v>
      </c>
      <c r="P68" s="357">
        <f>O68</f>
        <v>0.03</v>
      </c>
      <c r="Q68" s="357">
        <f t="shared" si="8"/>
        <v>0.03</v>
      </c>
      <c r="R68" s="357">
        <f t="shared" si="8"/>
        <v>0.03</v>
      </c>
      <c r="S68" s="437"/>
      <c r="T68" s="437"/>
      <c r="U68" s="437"/>
      <c r="V68" s="437"/>
      <c r="W68" s="437"/>
      <c r="X68" s="437"/>
      <c r="Y68" s="437"/>
      <c r="Z68" s="438"/>
      <c r="AA68" s="438"/>
      <c r="AB68" s="439"/>
    </row>
    <row r="69" spans="2:28" s="4" customFormat="1" ht="13.9" customHeight="1" x14ac:dyDescent="0.2">
      <c r="B69" s="391"/>
      <c r="C69" s="967" t="s">
        <v>483</v>
      </c>
      <c r="D69" s="822">
        <f>SUM(D70:D73)</f>
        <v>0</v>
      </c>
      <c r="E69" s="823">
        <f>IF(D$45=0,0,100*D69/D$45)</f>
        <v>0</v>
      </c>
      <c r="F69" s="822">
        <f>SUM(F70:F73)</f>
        <v>0</v>
      </c>
      <c r="G69" s="823">
        <f>IF(F$45=0,0,100*F69/F$45)</f>
        <v>0</v>
      </c>
      <c r="H69" s="822">
        <f>SUM(H70:H73)</f>
        <v>0</v>
      </c>
      <c r="I69" s="823">
        <f>IF(H$45=0,0,100*H69/H$45)</f>
        <v>0</v>
      </c>
      <c r="J69" s="822">
        <f>SUM(J70:J73)</f>
        <v>0</v>
      </c>
      <c r="K69" s="823">
        <f>IF(J$45=0,0,100*J69/J$45)</f>
        <v>0</v>
      </c>
      <c r="L69" s="822">
        <f>SUM(L70:L73)</f>
        <v>0</v>
      </c>
      <c r="M69" s="823">
        <f>IF(L$45=0,0,100*L69/L$45)</f>
        <v>0</v>
      </c>
      <c r="N69" s="27"/>
      <c r="O69" s="1337"/>
      <c r="P69" s="298"/>
      <c r="Q69" s="298"/>
      <c r="R69" s="298"/>
      <c r="S69" s="302"/>
      <c r="T69" s="302"/>
      <c r="U69" s="302"/>
      <c r="V69" s="302"/>
      <c r="W69" s="302"/>
      <c r="X69" s="302"/>
      <c r="Y69" s="302"/>
      <c r="Z69" s="435"/>
      <c r="AA69" s="435"/>
      <c r="AB69" s="436"/>
    </row>
    <row r="70" spans="2:28" s="45" customFormat="1" ht="13.9" customHeight="1" x14ac:dyDescent="0.2">
      <c r="B70" s="227"/>
      <c r="C70" s="966" t="s">
        <v>790</v>
      </c>
      <c r="D70" s="561">
        <v>0</v>
      </c>
      <c r="E70" s="810"/>
      <c r="F70" s="561">
        <f>D70+D70*O70</f>
        <v>0</v>
      </c>
      <c r="G70" s="810"/>
      <c r="H70" s="561">
        <f>F70+F70*P70</f>
        <v>0</v>
      </c>
      <c r="I70" s="810"/>
      <c r="J70" s="561">
        <f>H70+H70*Q70</f>
        <v>0</v>
      </c>
      <c r="K70" s="810"/>
      <c r="L70" s="561">
        <f>J70+J70*R70</f>
        <v>0</v>
      </c>
      <c r="M70" s="810"/>
      <c r="N70" s="48"/>
      <c r="O70" s="357">
        <v>0.03</v>
      </c>
      <c r="P70" s="357">
        <f t="shared" ref="P70" si="10">O70</f>
        <v>0.03</v>
      </c>
      <c r="Q70" s="357">
        <f t="shared" ref="Q70:R73" si="11">P70</f>
        <v>0.03</v>
      </c>
      <c r="R70" s="357">
        <f t="shared" si="11"/>
        <v>0.03</v>
      </c>
      <c r="S70" s="302"/>
      <c r="T70" s="302"/>
      <c r="U70" s="302"/>
      <c r="V70" s="302"/>
      <c r="W70" s="302"/>
      <c r="X70" s="302"/>
      <c r="Y70" s="302"/>
      <c r="Z70" s="435"/>
      <c r="AA70" s="435"/>
      <c r="AB70" s="436"/>
    </row>
    <row r="71" spans="2:28" s="45" customFormat="1" ht="13.9" customHeight="1" x14ac:dyDescent="0.2">
      <c r="B71" s="227"/>
      <c r="C71" s="966" t="s">
        <v>484</v>
      </c>
      <c r="D71" s="561"/>
      <c r="E71" s="810"/>
      <c r="F71" s="561">
        <f>D71+D71*O71</f>
        <v>0</v>
      </c>
      <c r="G71" s="810"/>
      <c r="H71" s="561">
        <f>F71+F71*P71</f>
        <v>0</v>
      </c>
      <c r="I71" s="810"/>
      <c r="J71" s="561">
        <f>H71+H71*Q71</f>
        <v>0</v>
      </c>
      <c r="K71" s="810"/>
      <c r="L71" s="561">
        <f>J71+J71*R71</f>
        <v>0</v>
      </c>
      <c r="M71" s="810"/>
      <c r="N71" s="48"/>
      <c r="O71" s="357">
        <v>0.03</v>
      </c>
      <c r="P71" s="357">
        <f>O71</f>
        <v>0.03</v>
      </c>
      <c r="Q71" s="357">
        <f t="shared" si="11"/>
        <v>0.03</v>
      </c>
      <c r="R71" s="357">
        <f t="shared" si="11"/>
        <v>0.03</v>
      </c>
      <c r="S71" s="302"/>
      <c r="T71" s="302"/>
      <c r="U71" s="302"/>
      <c r="V71" s="302"/>
      <c r="W71" s="302"/>
      <c r="X71" s="302"/>
      <c r="Y71" s="302"/>
      <c r="Z71" s="435"/>
      <c r="AA71" s="435"/>
      <c r="AB71" s="436"/>
    </row>
    <row r="72" spans="2:28" s="45" customFormat="1" ht="13.9" customHeight="1" x14ac:dyDescent="0.2">
      <c r="B72" s="227"/>
      <c r="C72" s="966" t="s">
        <v>485</v>
      </c>
      <c r="D72" s="561">
        <v>0</v>
      </c>
      <c r="E72" s="810"/>
      <c r="F72" s="561">
        <f>D72+D72*O72</f>
        <v>0</v>
      </c>
      <c r="G72" s="810"/>
      <c r="H72" s="561">
        <f>F72+F72*P72</f>
        <v>0</v>
      </c>
      <c r="I72" s="810"/>
      <c r="J72" s="561">
        <f>H72+H72*Q72</f>
        <v>0</v>
      </c>
      <c r="K72" s="810"/>
      <c r="L72" s="561">
        <f>J72+J72*R72</f>
        <v>0</v>
      </c>
      <c r="M72" s="810"/>
      <c r="N72" s="48"/>
      <c r="O72" s="357">
        <v>0.03</v>
      </c>
      <c r="P72" s="357">
        <f t="shared" ref="P72" si="12">O72</f>
        <v>0.03</v>
      </c>
      <c r="Q72" s="357">
        <f t="shared" si="11"/>
        <v>0.03</v>
      </c>
      <c r="R72" s="357">
        <f t="shared" si="11"/>
        <v>0.03</v>
      </c>
      <c r="S72" s="302"/>
      <c r="T72" s="302"/>
      <c r="U72" s="302"/>
      <c r="V72" s="302"/>
      <c r="W72" s="302"/>
      <c r="X72" s="302"/>
      <c r="Y72" s="302"/>
      <c r="Z72" s="435"/>
      <c r="AA72" s="435"/>
      <c r="AB72" s="436"/>
    </row>
    <row r="73" spans="2:28" s="45" customFormat="1" ht="13.9" customHeight="1" thickBot="1" x14ac:dyDescent="0.25">
      <c r="B73" s="227"/>
      <c r="C73" s="969" t="s">
        <v>486</v>
      </c>
      <c r="D73" s="561">
        <v>0</v>
      </c>
      <c r="E73" s="826"/>
      <c r="F73" s="561">
        <f>D73+D73*O73</f>
        <v>0</v>
      </c>
      <c r="G73" s="826"/>
      <c r="H73" s="561">
        <f>F73+F73*P73</f>
        <v>0</v>
      </c>
      <c r="I73" s="826"/>
      <c r="J73" s="555">
        <f>H73+H73*Q73</f>
        <v>0</v>
      </c>
      <c r="K73" s="826"/>
      <c r="L73" s="555">
        <f>J73+J73*R73</f>
        <v>0</v>
      </c>
      <c r="M73" s="826"/>
      <c r="N73" s="48"/>
      <c r="O73" s="357">
        <v>0.03</v>
      </c>
      <c r="P73" s="357">
        <f>O73</f>
        <v>0.03</v>
      </c>
      <c r="Q73" s="357">
        <f t="shared" si="11"/>
        <v>0.03</v>
      </c>
      <c r="R73" s="357">
        <f t="shared" si="11"/>
        <v>0.03</v>
      </c>
      <c r="S73" s="302"/>
      <c r="T73" s="302"/>
      <c r="U73" s="302"/>
      <c r="V73" s="302"/>
      <c r="W73" s="302"/>
      <c r="X73" s="302"/>
      <c r="Y73" s="302"/>
      <c r="Z73" s="435"/>
      <c r="AA73" s="435"/>
      <c r="AB73" s="436"/>
    </row>
    <row r="74" spans="2:28" s="4" customFormat="1" ht="13.9" customHeight="1" x14ac:dyDescent="0.2">
      <c r="B74" s="391"/>
      <c r="C74" s="970" t="s">
        <v>487</v>
      </c>
      <c r="D74" s="822">
        <f>SUM(D75:D78)</f>
        <v>0</v>
      </c>
      <c r="E74" s="823">
        <f>IF(D$45=0,0,100*D74/D$45)</f>
        <v>0</v>
      </c>
      <c r="F74" s="822">
        <f>SUM(F75:F78)</f>
        <v>0</v>
      </c>
      <c r="G74" s="823">
        <f>IF(F$45=0,0,100*F74/F$45)</f>
        <v>0</v>
      </c>
      <c r="H74" s="822">
        <f>SUM(H75:H78)</f>
        <v>0</v>
      </c>
      <c r="I74" s="823">
        <f>IF(H$45=0,0,100*H74/H$45)</f>
        <v>0</v>
      </c>
      <c r="J74" s="822">
        <f>SUM(J75:J78)</f>
        <v>0</v>
      </c>
      <c r="K74" s="823">
        <f>IF(J$45=0,0,100*J74/J$45)</f>
        <v>0</v>
      </c>
      <c r="L74" s="822">
        <f>SUM(L75:L78)</f>
        <v>0</v>
      </c>
      <c r="M74" s="827">
        <f>IF(L$45=0,0,100*L74/L$45)</f>
        <v>0</v>
      </c>
      <c r="N74" s="27"/>
      <c r="O74" s="1337"/>
      <c r="P74" s="298"/>
      <c r="Q74" s="298"/>
      <c r="R74" s="298"/>
      <c r="S74" s="302"/>
      <c r="T74" s="302"/>
      <c r="U74" s="302"/>
      <c r="V74" s="302"/>
      <c r="W74" s="302"/>
      <c r="X74" s="302"/>
      <c r="Y74" s="302"/>
      <c r="Z74" s="435"/>
      <c r="AA74" s="435"/>
      <c r="AB74" s="436"/>
    </row>
    <row r="75" spans="2:28" s="45" customFormat="1" ht="13.9" customHeight="1" x14ac:dyDescent="0.2">
      <c r="B75" s="227"/>
      <c r="C75" s="966" t="s">
        <v>790</v>
      </c>
      <c r="D75" s="561">
        <v>0</v>
      </c>
      <c r="E75" s="810"/>
      <c r="F75" s="561">
        <f t="shared" ref="F75" si="13">D75+D75*O75</f>
        <v>0</v>
      </c>
      <c r="G75" s="810"/>
      <c r="H75" s="561">
        <f>F75+F75*P75</f>
        <v>0</v>
      </c>
      <c r="I75" s="810"/>
      <c r="J75" s="561">
        <f>H75+H75*Q75</f>
        <v>0</v>
      </c>
      <c r="K75" s="810"/>
      <c r="L75" s="561">
        <f>J75+J75*R75</f>
        <v>0</v>
      </c>
      <c r="M75" s="810"/>
      <c r="N75" s="48"/>
      <c r="O75" s="357">
        <v>0.03</v>
      </c>
      <c r="P75" s="357">
        <f t="shared" ref="P75" si="14">O75</f>
        <v>0.03</v>
      </c>
      <c r="Q75" s="357">
        <f t="shared" ref="Q75:R78" si="15">P75</f>
        <v>0.03</v>
      </c>
      <c r="R75" s="357">
        <f t="shared" si="15"/>
        <v>0.03</v>
      </c>
      <c r="S75" s="302"/>
      <c r="T75" s="302"/>
      <c r="U75" s="302"/>
      <c r="V75" s="302"/>
      <c r="W75" s="302"/>
      <c r="X75" s="302"/>
      <c r="Y75" s="302"/>
      <c r="Z75" s="435"/>
      <c r="AA75" s="435"/>
      <c r="AB75" s="436"/>
    </row>
    <row r="76" spans="2:28" s="45" customFormat="1" ht="13.9" customHeight="1" x14ac:dyDescent="0.2">
      <c r="B76" s="227"/>
      <c r="C76" s="966" t="s">
        <v>488</v>
      </c>
      <c r="D76" s="561">
        <v>0</v>
      </c>
      <c r="E76" s="810"/>
      <c r="F76" s="561">
        <f>D76+D76*O76</f>
        <v>0</v>
      </c>
      <c r="G76" s="810"/>
      <c r="H76" s="561">
        <f>F76+F76*P76</f>
        <v>0</v>
      </c>
      <c r="I76" s="810"/>
      <c r="J76" s="561">
        <f>H76+H76*Q76</f>
        <v>0</v>
      </c>
      <c r="K76" s="810"/>
      <c r="L76" s="561">
        <f>J76+J76*R76</f>
        <v>0</v>
      </c>
      <c r="M76" s="810"/>
      <c r="N76" s="48"/>
      <c r="O76" s="357">
        <v>0.03</v>
      </c>
      <c r="P76" s="357">
        <f>O76</f>
        <v>0.03</v>
      </c>
      <c r="Q76" s="357">
        <f t="shared" si="15"/>
        <v>0.03</v>
      </c>
      <c r="R76" s="357">
        <f t="shared" si="15"/>
        <v>0.03</v>
      </c>
      <c r="S76" s="302"/>
      <c r="T76" s="302"/>
      <c r="U76" s="302"/>
      <c r="V76" s="302"/>
      <c r="W76" s="302"/>
      <c r="X76" s="302"/>
      <c r="Y76" s="302"/>
      <c r="Z76" s="435"/>
      <c r="AA76" s="435"/>
      <c r="AB76" s="436"/>
    </row>
    <row r="77" spans="2:28" s="45" customFormat="1" ht="13.9" customHeight="1" x14ac:dyDescent="0.2">
      <c r="B77" s="227"/>
      <c r="C77" s="966" t="s">
        <v>489</v>
      </c>
      <c r="D77" s="561">
        <v>0</v>
      </c>
      <c r="E77" s="810"/>
      <c r="F77" s="561">
        <f t="shared" ref="F77" si="16">D77+D77*O77</f>
        <v>0</v>
      </c>
      <c r="G77" s="810"/>
      <c r="H77" s="561">
        <f>F77+F77*P77</f>
        <v>0</v>
      </c>
      <c r="I77" s="810"/>
      <c r="J77" s="561">
        <f>H77+H77*Q77</f>
        <v>0</v>
      </c>
      <c r="K77" s="810"/>
      <c r="L77" s="561">
        <f>J77+J77*R77</f>
        <v>0</v>
      </c>
      <c r="M77" s="810"/>
      <c r="N77" s="48"/>
      <c r="O77" s="357">
        <v>0.03</v>
      </c>
      <c r="P77" s="357">
        <f t="shared" ref="P77" si="17">O77</f>
        <v>0.03</v>
      </c>
      <c r="Q77" s="357">
        <f t="shared" si="15"/>
        <v>0.03</v>
      </c>
      <c r="R77" s="357">
        <f t="shared" si="15"/>
        <v>0.03</v>
      </c>
      <c r="S77" s="302"/>
      <c r="T77" s="302"/>
      <c r="U77" s="302"/>
      <c r="V77" s="302"/>
      <c r="W77" s="302"/>
      <c r="X77" s="302"/>
      <c r="Y77" s="302"/>
      <c r="Z77" s="435"/>
      <c r="AA77" s="435"/>
      <c r="AB77" s="436"/>
    </row>
    <row r="78" spans="2:28" s="45" customFormat="1" ht="13.9" customHeight="1" thickBot="1" x14ac:dyDescent="0.25">
      <c r="B78" s="227"/>
      <c r="C78" s="969" t="s">
        <v>490</v>
      </c>
      <c r="D78" s="561">
        <v>0</v>
      </c>
      <c r="E78" s="826"/>
      <c r="F78" s="561">
        <f>D78+D78*O78</f>
        <v>0</v>
      </c>
      <c r="G78" s="826"/>
      <c r="H78" s="561">
        <f>F78+F78*P78</f>
        <v>0</v>
      </c>
      <c r="I78" s="826"/>
      <c r="J78" s="561">
        <f>H78+H78*Q78</f>
        <v>0</v>
      </c>
      <c r="K78" s="826"/>
      <c r="L78" s="561">
        <f>J78+J78*R78</f>
        <v>0</v>
      </c>
      <c r="M78" s="826"/>
      <c r="N78" s="48"/>
      <c r="O78" s="357">
        <v>0.03</v>
      </c>
      <c r="P78" s="357">
        <f>O78</f>
        <v>0.03</v>
      </c>
      <c r="Q78" s="357">
        <f t="shared" si="15"/>
        <v>0.03</v>
      </c>
      <c r="R78" s="357">
        <f t="shared" si="15"/>
        <v>0.03</v>
      </c>
      <c r="S78" s="302"/>
      <c r="T78" s="302"/>
      <c r="U78" s="302"/>
      <c r="V78" s="302"/>
      <c r="W78" s="302"/>
      <c r="X78" s="302"/>
      <c r="Y78" s="302"/>
      <c r="Z78" s="435"/>
      <c r="AA78" s="435"/>
      <c r="AB78" s="436"/>
    </row>
    <row r="79" spans="2:28" s="4" customFormat="1" ht="13.9" customHeight="1" x14ac:dyDescent="0.2">
      <c r="B79" s="391"/>
      <c r="C79" s="967" t="s">
        <v>491</v>
      </c>
      <c r="D79" s="822">
        <f>SUM(D80:D82)</f>
        <v>0</v>
      </c>
      <c r="E79" s="823">
        <f>IF(D$45=0,0,100*D79/D$45)</f>
        <v>0</v>
      </c>
      <c r="F79" s="822">
        <f>SUM(F80:F82)</f>
        <v>0</v>
      </c>
      <c r="G79" s="823">
        <f>IF(F$45=0,0,100*F79/F$45)</f>
        <v>0</v>
      </c>
      <c r="H79" s="822">
        <f>SUM(H80:H82)</f>
        <v>0</v>
      </c>
      <c r="I79" s="823">
        <f>IF(H$45=0,0,100*H79/H$45)</f>
        <v>0</v>
      </c>
      <c r="J79" s="822">
        <f>SUM(J80:J82)</f>
        <v>0</v>
      </c>
      <c r="K79" s="823">
        <f>IF(J$45=0,0,100*J79/J$45)</f>
        <v>0</v>
      </c>
      <c r="L79" s="822">
        <f>SUM(L80:L82)</f>
        <v>0</v>
      </c>
      <c r="M79" s="823">
        <f>IF(L$45=0,0,100*L79/L$45)</f>
        <v>0</v>
      </c>
      <c r="N79" s="27"/>
      <c r="O79" s="1337"/>
      <c r="P79" s="298"/>
      <c r="Q79" s="298"/>
      <c r="R79" s="298"/>
      <c r="S79" s="302"/>
      <c r="T79" s="302"/>
      <c r="U79" s="302"/>
      <c r="V79" s="302"/>
      <c r="W79" s="302"/>
      <c r="X79" s="302"/>
      <c r="Y79" s="302"/>
      <c r="Z79" s="435"/>
      <c r="AA79" s="435"/>
      <c r="AB79" s="436"/>
    </row>
    <row r="80" spans="2:28" s="45" customFormat="1" ht="13.9" customHeight="1" x14ac:dyDescent="0.2">
      <c r="B80" s="227"/>
      <c r="C80" s="966" t="s">
        <v>492</v>
      </c>
      <c r="D80" s="561"/>
      <c r="E80" s="810"/>
      <c r="F80" s="561">
        <f t="shared" ref="F80:F87" si="18">D80+D80*O80</f>
        <v>0</v>
      </c>
      <c r="G80" s="810"/>
      <c r="H80" s="561">
        <f>F80+F80*P80</f>
        <v>0</v>
      </c>
      <c r="I80" s="810"/>
      <c r="J80" s="561">
        <f>H80+H80*Q80</f>
        <v>0</v>
      </c>
      <c r="K80" s="810"/>
      <c r="L80" s="561">
        <f>J80+J80*R80</f>
        <v>0</v>
      </c>
      <c r="M80" s="810"/>
      <c r="N80" s="48"/>
      <c r="O80" s="357">
        <v>0.03</v>
      </c>
      <c r="P80" s="357">
        <f t="shared" ref="P80:P81" si="19">O80</f>
        <v>0.03</v>
      </c>
      <c r="Q80" s="357">
        <f t="shared" ref="Q80:R82" si="20">P80</f>
        <v>0.03</v>
      </c>
      <c r="R80" s="357">
        <f t="shared" si="20"/>
        <v>0.03</v>
      </c>
      <c r="S80" s="302"/>
      <c r="T80" s="302"/>
      <c r="U80" s="302"/>
      <c r="V80" s="302"/>
      <c r="W80" s="302"/>
      <c r="X80" s="302"/>
      <c r="Y80" s="302"/>
      <c r="Z80" s="435"/>
      <c r="AA80" s="435"/>
      <c r="AB80" s="436"/>
    </row>
    <row r="81" spans="1:28" s="45" customFormat="1" ht="13.9" customHeight="1" x14ac:dyDescent="0.2">
      <c r="B81" s="227"/>
      <c r="C81" s="966" t="s">
        <v>493</v>
      </c>
      <c r="D81" s="561"/>
      <c r="E81" s="810"/>
      <c r="F81" s="561">
        <f t="shared" si="18"/>
        <v>0</v>
      </c>
      <c r="G81" s="810"/>
      <c r="H81" s="561">
        <f>F81+F81*P81</f>
        <v>0</v>
      </c>
      <c r="I81" s="810"/>
      <c r="J81" s="561">
        <f>H81+H81*Q81</f>
        <v>0</v>
      </c>
      <c r="K81" s="810"/>
      <c r="L81" s="561">
        <f>J81+J81*R81</f>
        <v>0</v>
      </c>
      <c r="M81" s="810"/>
      <c r="N81" s="48"/>
      <c r="O81" s="357">
        <v>0.03</v>
      </c>
      <c r="P81" s="357">
        <f t="shared" si="19"/>
        <v>0.03</v>
      </c>
      <c r="Q81" s="357">
        <f t="shared" si="20"/>
        <v>0.03</v>
      </c>
      <c r="R81" s="357">
        <f t="shared" si="20"/>
        <v>0.03</v>
      </c>
      <c r="S81" s="302"/>
      <c r="T81" s="302"/>
      <c r="U81" s="302"/>
      <c r="V81" s="302"/>
      <c r="W81" s="302"/>
      <c r="X81" s="302"/>
      <c r="Y81" s="302"/>
      <c r="Z81" s="435"/>
      <c r="AA81" s="435"/>
      <c r="AB81" s="436"/>
    </row>
    <row r="82" spans="1:28" s="45" customFormat="1" ht="13.9" customHeight="1" thickBot="1" x14ac:dyDescent="0.25">
      <c r="A82"/>
      <c r="B82" s="227"/>
      <c r="C82" s="969" t="s">
        <v>494</v>
      </c>
      <c r="D82" s="555"/>
      <c r="E82" s="826"/>
      <c r="F82" s="555">
        <f t="shared" si="18"/>
        <v>0</v>
      </c>
      <c r="G82" s="826"/>
      <c r="H82" s="561">
        <f>F82+F82*P82</f>
        <v>0</v>
      </c>
      <c r="I82" s="826"/>
      <c r="J82" s="561">
        <f>H82+H82*Q82</f>
        <v>0</v>
      </c>
      <c r="K82" s="826"/>
      <c r="L82" s="561">
        <f>J82+J82*R82</f>
        <v>0</v>
      </c>
      <c r="M82" s="826"/>
      <c r="N82" s="48"/>
      <c r="O82" s="357">
        <v>0.03</v>
      </c>
      <c r="P82" s="357">
        <f>O82</f>
        <v>0.03</v>
      </c>
      <c r="Q82" s="357">
        <f t="shared" si="20"/>
        <v>0.03</v>
      </c>
      <c r="R82" s="357">
        <f t="shared" si="20"/>
        <v>0.03</v>
      </c>
      <c r="S82" s="302"/>
      <c r="T82" s="302"/>
      <c r="U82" s="302"/>
      <c r="V82" s="302"/>
      <c r="W82" s="302"/>
      <c r="X82" s="302"/>
      <c r="Y82" s="302"/>
      <c r="Z82" s="435"/>
      <c r="AA82" s="435"/>
      <c r="AB82" s="436"/>
    </row>
    <row r="83" spans="1:28" s="4" customFormat="1" ht="13.9" customHeight="1" x14ac:dyDescent="0.2">
      <c r="A83"/>
      <c r="B83" s="391"/>
      <c r="C83" s="970" t="s">
        <v>495</v>
      </c>
      <c r="D83" s="822">
        <f>SUM(D84:D85)</f>
        <v>0</v>
      </c>
      <c r="E83" s="823">
        <f>IF(D$45=0,0,100*D83/D$45)</f>
        <v>0</v>
      </c>
      <c r="F83" s="822">
        <f>SUM(F84:F85)</f>
        <v>0</v>
      </c>
      <c r="G83" s="823">
        <f>IF(F$45=0,0,100*F83/F$45)</f>
        <v>0</v>
      </c>
      <c r="H83" s="822">
        <f>SUM(H84:H85)</f>
        <v>0</v>
      </c>
      <c r="I83" s="823">
        <f>IF(H$45=0,0,100*H83/H$45)</f>
        <v>0</v>
      </c>
      <c r="J83" s="822">
        <f>SUM(J84:J85)</f>
        <v>0</v>
      </c>
      <c r="K83" s="823">
        <f>IF(J$45=0,0,100*J83/J$45)</f>
        <v>0</v>
      </c>
      <c r="L83" s="822">
        <f>SUM(L84:L85)</f>
        <v>0</v>
      </c>
      <c r="M83" s="823">
        <f>IF(L$45=0,0,100*L83/L$45)</f>
        <v>0</v>
      </c>
      <c r="N83" s="27"/>
      <c r="O83" s="1337"/>
      <c r="P83" s="298"/>
      <c r="Q83" s="298"/>
      <c r="R83" s="298"/>
      <c r="S83" s="302"/>
      <c r="T83" s="302"/>
      <c r="U83" s="302"/>
      <c r="V83" s="302"/>
      <c r="W83" s="302"/>
      <c r="X83" s="302"/>
      <c r="Y83" s="302"/>
      <c r="Z83" s="435"/>
      <c r="AA83" s="435"/>
      <c r="AB83" s="436"/>
    </row>
    <row r="84" spans="1:28" s="45" customFormat="1" ht="13.9" customHeight="1" x14ac:dyDescent="0.2">
      <c r="A84"/>
      <c r="B84" s="227"/>
      <c r="C84" s="966" t="s">
        <v>496</v>
      </c>
      <c r="D84" s="561">
        <v>0</v>
      </c>
      <c r="E84" s="810"/>
      <c r="F84" s="561">
        <f t="shared" si="18"/>
        <v>0</v>
      </c>
      <c r="G84" s="810"/>
      <c r="H84" s="561">
        <f>F84+F84*P84</f>
        <v>0</v>
      </c>
      <c r="I84" s="810"/>
      <c r="J84" s="561">
        <f>H84+H84*Q84</f>
        <v>0</v>
      </c>
      <c r="K84" s="810"/>
      <c r="L84" s="561">
        <f>J84+J84*R84</f>
        <v>0</v>
      </c>
      <c r="M84" s="810"/>
      <c r="N84" s="48"/>
      <c r="O84" s="357">
        <v>0.03</v>
      </c>
      <c r="P84" s="357">
        <f t="shared" ref="P84" si="21">O84</f>
        <v>0.03</v>
      </c>
      <c r="Q84" s="357">
        <f t="shared" ref="Q84:R87" si="22">P84</f>
        <v>0.03</v>
      </c>
      <c r="R84" s="357">
        <f t="shared" si="22"/>
        <v>0.03</v>
      </c>
      <c r="S84" s="302"/>
      <c r="T84" s="302"/>
      <c r="U84" s="302"/>
      <c r="V84" s="302"/>
      <c r="W84" s="302"/>
      <c r="X84" s="302"/>
      <c r="Y84" s="302"/>
      <c r="Z84" s="435"/>
      <c r="AA84" s="435"/>
      <c r="AB84" s="436"/>
    </row>
    <row r="85" spans="1:28" s="45" customFormat="1" ht="13.9" customHeight="1" thickBot="1" x14ac:dyDescent="0.25">
      <c r="A85" s="46"/>
      <c r="B85" s="227"/>
      <c r="C85" s="968" t="s">
        <v>497</v>
      </c>
      <c r="D85" s="825">
        <v>0</v>
      </c>
      <c r="E85" s="824"/>
      <c r="F85" s="825">
        <f t="shared" si="18"/>
        <v>0</v>
      </c>
      <c r="G85" s="824"/>
      <c r="H85" s="561">
        <f>F85+F85*P85</f>
        <v>0</v>
      </c>
      <c r="I85" s="824"/>
      <c r="J85" s="825">
        <f>H85+H85*Q85</f>
        <v>0</v>
      </c>
      <c r="K85" s="824"/>
      <c r="L85" s="825">
        <f>J85+J85*R85</f>
        <v>0</v>
      </c>
      <c r="M85" s="826"/>
      <c r="N85" s="48"/>
      <c r="O85" s="357">
        <v>0.03</v>
      </c>
      <c r="P85" s="357">
        <f>O85</f>
        <v>0.03</v>
      </c>
      <c r="Q85" s="357">
        <f t="shared" si="22"/>
        <v>0.03</v>
      </c>
      <c r="R85" s="357">
        <f t="shared" si="22"/>
        <v>0.03</v>
      </c>
      <c r="S85" s="302"/>
      <c r="T85" s="302"/>
      <c r="U85" s="302"/>
      <c r="V85" s="302"/>
      <c r="W85" s="302"/>
      <c r="X85" s="302"/>
      <c r="Y85" s="302"/>
      <c r="Z85" s="435"/>
      <c r="AA85" s="435"/>
      <c r="AB85" s="436"/>
    </row>
    <row r="86" spans="1:28" s="4" customFormat="1" ht="13.9" customHeight="1" thickBot="1" x14ac:dyDescent="0.25">
      <c r="A86"/>
      <c r="B86" s="391"/>
      <c r="C86" s="971" t="s">
        <v>498</v>
      </c>
      <c r="D86" s="830">
        <v>0</v>
      </c>
      <c r="E86" s="829">
        <f>IF(D$45=0,0,100*D86/D$45)</f>
        <v>0</v>
      </c>
      <c r="F86" s="828">
        <f>D86+D86*O86</f>
        <v>0</v>
      </c>
      <c r="G86" s="829">
        <f>IF(F$45=0,0,100*F86/F$45)</f>
        <v>0</v>
      </c>
      <c r="H86" s="830">
        <f>F86+F86*P86</f>
        <v>0</v>
      </c>
      <c r="I86" s="829">
        <f>IF(H$45=0,0,100*H86/H$45)</f>
        <v>0</v>
      </c>
      <c r="J86" s="830">
        <f>H86+H86*Q86</f>
        <v>0</v>
      </c>
      <c r="K86" s="829">
        <f>IF(J$45=0,0,100*J86/J$45)</f>
        <v>0</v>
      </c>
      <c r="L86" s="828">
        <f>J86+J86*R86</f>
        <v>0</v>
      </c>
      <c r="M86" s="831">
        <f>IF(L$45=0,0,100*L86/L$45)</f>
        <v>0</v>
      </c>
      <c r="N86" s="27"/>
      <c r="O86" s="357">
        <v>0.03</v>
      </c>
      <c r="P86" s="357">
        <f t="shared" ref="P86" si="23">O86</f>
        <v>0.03</v>
      </c>
      <c r="Q86" s="357">
        <f t="shared" si="22"/>
        <v>0.03</v>
      </c>
      <c r="R86" s="357">
        <f t="shared" si="22"/>
        <v>0.03</v>
      </c>
      <c r="S86" s="302"/>
      <c r="T86" s="302"/>
      <c r="U86" s="302"/>
      <c r="V86" s="302"/>
      <c r="W86" s="302"/>
      <c r="X86" s="302"/>
      <c r="Y86" s="302"/>
      <c r="Z86" s="435"/>
      <c r="AA86" s="435"/>
      <c r="AB86" s="436"/>
    </row>
    <row r="87" spans="1:28" s="4" customFormat="1" ht="13.9" customHeight="1" thickBot="1" x14ac:dyDescent="0.25">
      <c r="A87" s="46"/>
      <c r="B87" s="391"/>
      <c r="C87" s="970" t="s">
        <v>499</v>
      </c>
      <c r="D87" s="828">
        <v>0</v>
      </c>
      <c r="E87" s="831">
        <f>IF(D$45=0,0,100*D87/D$45)</f>
        <v>0</v>
      </c>
      <c r="F87" s="828">
        <f t="shared" si="18"/>
        <v>0</v>
      </c>
      <c r="G87" s="831">
        <f>IF(F$45=0,0,100*F87/F$45)</f>
        <v>0</v>
      </c>
      <c r="H87" s="828">
        <f>F87+F87*P87</f>
        <v>0</v>
      </c>
      <c r="I87" s="831">
        <f>IF(H$45=0,0,100*H87/H$45)</f>
        <v>0</v>
      </c>
      <c r="J87" s="828">
        <f>H87+H87*Q87</f>
        <v>0</v>
      </c>
      <c r="K87" s="831">
        <f>IF(J$45=0,0,100*J87/J$45)</f>
        <v>0</v>
      </c>
      <c r="L87" s="828">
        <f>J87+J87*R87</f>
        <v>0</v>
      </c>
      <c r="M87" s="823">
        <f>IF(L$45=0,0,100*L87/L$45)</f>
        <v>0</v>
      </c>
      <c r="N87" s="27"/>
      <c r="O87" s="357">
        <v>0.03</v>
      </c>
      <c r="P87" s="357">
        <f>O87</f>
        <v>0.03</v>
      </c>
      <c r="Q87" s="357">
        <f t="shared" si="22"/>
        <v>0.03</v>
      </c>
      <c r="R87" s="357">
        <f t="shared" si="22"/>
        <v>0.03</v>
      </c>
      <c r="S87" s="302"/>
      <c r="T87" s="302"/>
      <c r="U87" s="302"/>
      <c r="V87" s="302"/>
      <c r="W87" s="302"/>
      <c r="X87" s="302"/>
      <c r="Y87" s="302"/>
      <c r="Z87" s="435"/>
      <c r="AA87" s="435"/>
      <c r="AB87" s="436"/>
    </row>
    <row r="88" spans="1:28" s="4" customFormat="1" ht="13.9" customHeight="1" x14ac:dyDescent="0.2">
      <c r="A88" s="2"/>
      <c r="B88" s="391"/>
      <c r="C88" s="967" t="s">
        <v>500</v>
      </c>
      <c r="D88" s="832">
        <f>SUM(D89:D93)</f>
        <v>0</v>
      </c>
      <c r="E88" s="833">
        <f>IF(D$45=0,0,100*D88/D$45)</f>
        <v>0</v>
      </c>
      <c r="F88" s="832">
        <f>SUM(F89:F93)</f>
        <v>0</v>
      </c>
      <c r="G88" s="833">
        <f>IF(F$45=0,0,100*F88/F$45)</f>
        <v>0</v>
      </c>
      <c r="H88" s="832">
        <f>SUM(H89:H93)</f>
        <v>0</v>
      </c>
      <c r="I88" s="833">
        <f>IF(H$45=0,0,100*H88/H$45)</f>
        <v>0</v>
      </c>
      <c r="J88" s="832">
        <f>SUM(J89:J93)</f>
        <v>0</v>
      </c>
      <c r="K88" s="833">
        <f>IF(J$45=0,0,100*J88/J$45)</f>
        <v>0</v>
      </c>
      <c r="L88" s="832">
        <f>SUM(L89:L93)</f>
        <v>0</v>
      </c>
      <c r="M88" s="823">
        <f>IF(L$45=0,0,100*L88/L$45)</f>
        <v>0</v>
      </c>
      <c r="N88" s="26"/>
      <c r="O88" s="1337"/>
      <c r="P88" s="298"/>
      <c r="Q88" s="298"/>
      <c r="R88" s="298"/>
      <c r="S88" s="302"/>
      <c r="T88" s="302"/>
      <c r="U88" s="302"/>
      <c r="V88" s="302"/>
      <c r="W88" s="302"/>
      <c r="X88" s="302"/>
      <c r="Y88" s="302"/>
      <c r="Z88" s="435"/>
      <c r="AA88" s="435"/>
      <c r="AB88" s="436"/>
    </row>
    <row r="89" spans="1:28" s="45" customFormat="1" ht="13.9" customHeight="1" x14ac:dyDescent="0.2">
      <c r="A89"/>
      <c r="B89" s="227"/>
      <c r="C89" s="966" t="s">
        <v>501</v>
      </c>
      <c r="D89" s="561">
        <v>0</v>
      </c>
      <c r="E89" s="810"/>
      <c r="F89" s="561">
        <f>D89+D89*O89</f>
        <v>0</v>
      </c>
      <c r="G89" s="810"/>
      <c r="H89" s="561">
        <f>F89+F89*P89</f>
        <v>0</v>
      </c>
      <c r="I89" s="810"/>
      <c r="J89" s="561">
        <f>H89+H89*Q89</f>
        <v>0</v>
      </c>
      <c r="K89" s="810"/>
      <c r="L89" s="561">
        <f>J89+J89*R89</f>
        <v>0</v>
      </c>
      <c r="M89" s="810"/>
      <c r="N89" s="50"/>
      <c r="O89" s="357">
        <v>0.03</v>
      </c>
      <c r="P89" s="357">
        <f t="shared" ref="P89" si="24">O89</f>
        <v>0.03</v>
      </c>
      <c r="Q89" s="357">
        <f t="shared" ref="Q89:R93" si="25">P89</f>
        <v>0.03</v>
      </c>
      <c r="R89" s="357">
        <f t="shared" si="25"/>
        <v>0.03</v>
      </c>
      <c r="S89" s="302"/>
      <c r="T89" s="302"/>
      <c r="U89" s="302"/>
      <c r="V89" s="302"/>
      <c r="W89" s="302"/>
      <c r="X89" s="302"/>
      <c r="Y89" s="302"/>
      <c r="Z89" s="435"/>
      <c r="AA89" s="435"/>
      <c r="AB89" s="436"/>
    </row>
    <row r="90" spans="1:28" s="45" customFormat="1" ht="13.9" customHeight="1" x14ac:dyDescent="0.2">
      <c r="A90"/>
      <c r="B90" s="227"/>
      <c r="C90" s="966" t="s">
        <v>502</v>
      </c>
      <c r="D90" s="561">
        <v>0</v>
      </c>
      <c r="E90" s="810"/>
      <c r="F90" s="561">
        <f>D90+D90*O90</f>
        <v>0</v>
      </c>
      <c r="G90" s="810"/>
      <c r="H90" s="561">
        <f>F90+F90*P90</f>
        <v>0</v>
      </c>
      <c r="I90" s="810"/>
      <c r="J90" s="561">
        <f>H90+H90*Q90</f>
        <v>0</v>
      </c>
      <c r="K90" s="810"/>
      <c r="L90" s="561">
        <f>J90+J90*R90</f>
        <v>0</v>
      </c>
      <c r="M90" s="810"/>
      <c r="N90" s="50"/>
      <c r="O90" s="357">
        <v>0.03</v>
      </c>
      <c r="P90" s="357">
        <f>O90</f>
        <v>0.03</v>
      </c>
      <c r="Q90" s="357">
        <f t="shared" si="25"/>
        <v>0.03</v>
      </c>
      <c r="R90" s="357">
        <f t="shared" si="25"/>
        <v>0.03</v>
      </c>
      <c r="S90" s="302"/>
      <c r="T90" s="302"/>
      <c r="U90" s="302"/>
      <c r="V90" s="302"/>
      <c r="W90" s="302"/>
      <c r="X90" s="302"/>
      <c r="Y90" s="302"/>
      <c r="Z90" s="435"/>
      <c r="AA90" s="435"/>
      <c r="AB90" s="436"/>
    </row>
    <row r="91" spans="1:28" s="45" customFormat="1" ht="13.9" customHeight="1" x14ac:dyDescent="0.2">
      <c r="A91"/>
      <c r="B91" s="227"/>
      <c r="C91" s="966" t="s">
        <v>503</v>
      </c>
      <c r="D91" s="561">
        <v>0</v>
      </c>
      <c r="E91" s="810"/>
      <c r="F91" s="561">
        <f>D91+D91*O91</f>
        <v>0</v>
      </c>
      <c r="G91" s="810"/>
      <c r="H91" s="561">
        <f>F91+F91*P91</f>
        <v>0</v>
      </c>
      <c r="I91" s="810"/>
      <c r="J91" s="561">
        <f>H91+H91*Q91</f>
        <v>0</v>
      </c>
      <c r="K91" s="810"/>
      <c r="L91" s="561">
        <f>J91+J91*R91</f>
        <v>0</v>
      </c>
      <c r="M91" s="810"/>
      <c r="N91" s="50"/>
      <c r="O91" s="357">
        <v>0.03</v>
      </c>
      <c r="P91" s="357">
        <f t="shared" ref="P91:P92" si="26">O91</f>
        <v>0.03</v>
      </c>
      <c r="Q91" s="357">
        <f t="shared" si="25"/>
        <v>0.03</v>
      </c>
      <c r="R91" s="357">
        <f t="shared" si="25"/>
        <v>0.03</v>
      </c>
      <c r="S91" s="302"/>
      <c r="T91" s="302"/>
      <c r="U91" s="302"/>
      <c r="V91" s="302"/>
      <c r="W91" s="302"/>
      <c r="X91" s="302"/>
      <c r="Y91" s="302"/>
      <c r="Z91" s="435"/>
      <c r="AA91" s="435"/>
      <c r="AB91" s="436"/>
    </row>
    <row r="92" spans="1:28" s="45" customFormat="1" ht="13.9" customHeight="1" x14ac:dyDescent="0.2">
      <c r="A92"/>
      <c r="B92" s="227"/>
      <c r="C92" s="966" t="s">
        <v>504</v>
      </c>
      <c r="D92" s="561">
        <v>0</v>
      </c>
      <c r="E92" s="810"/>
      <c r="F92" s="561">
        <f>D92+D92*O92</f>
        <v>0</v>
      </c>
      <c r="G92" s="810"/>
      <c r="H92" s="561">
        <f>F92+F92*P92</f>
        <v>0</v>
      </c>
      <c r="I92" s="810"/>
      <c r="J92" s="561">
        <f>H92+H92*Q92</f>
        <v>0</v>
      </c>
      <c r="K92" s="810"/>
      <c r="L92" s="561">
        <f>J92+J92*R92</f>
        <v>0</v>
      </c>
      <c r="M92" s="810"/>
      <c r="N92" s="50"/>
      <c r="O92" s="357">
        <v>0.03</v>
      </c>
      <c r="P92" s="357">
        <f t="shared" si="26"/>
        <v>0.03</v>
      </c>
      <c r="Q92" s="357">
        <f t="shared" si="25"/>
        <v>0.03</v>
      </c>
      <c r="R92" s="357">
        <f t="shared" si="25"/>
        <v>0.03</v>
      </c>
      <c r="S92" s="302"/>
      <c r="T92" s="302"/>
      <c r="U92" s="302"/>
      <c r="V92" s="302"/>
      <c r="W92" s="302"/>
      <c r="X92" s="302"/>
      <c r="Y92" s="302"/>
      <c r="Z92" s="435"/>
      <c r="AA92" s="435"/>
      <c r="AB92" s="436"/>
    </row>
    <row r="93" spans="1:28" s="45" customFormat="1" ht="13.9" customHeight="1" thickBot="1" x14ac:dyDescent="0.25">
      <c r="A93"/>
      <c r="B93" s="227"/>
      <c r="C93" s="969" t="s">
        <v>505</v>
      </c>
      <c r="D93" s="561">
        <v>0</v>
      </c>
      <c r="E93" s="824"/>
      <c r="F93" s="561">
        <f>D93+D93*O93</f>
        <v>0</v>
      </c>
      <c r="G93" s="824"/>
      <c r="H93" s="561">
        <f>F93+F93*P93</f>
        <v>0</v>
      </c>
      <c r="I93" s="824"/>
      <c r="J93" s="825">
        <f>H93+H93*Q93</f>
        <v>0</v>
      </c>
      <c r="K93" s="824"/>
      <c r="L93" s="825">
        <f>J93+J93*R93</f>
        <v>0</v>
      </c>
      <c r="M93" s="824"/>
      <c r="N93" s="50"/>
      <c r="O93" s="357">
        <v>0.03</v>
      </c>
      <c r="P93" s="357">
        <f>O93</f>
        <v>0.03</v>
      </c>
      <c r="Q93" s="357">
        <f t="shared" si="25"/>
        <v>0.03</v>
      </c>
      <c r="R93" s="357">
        <f t="shared" si="25"/>
        <v>0.03</v>
      </c>
      <c r="S93" s="302"/>
      <c r="T93" s="302"/>
      <c r="U93" s="302"/>
      <c r="V93" s="302"/>
      <c r="W93" s="302"/>
      <c r="X93" s="302"/>
      <c r="Y93" s="302"/>
      <c r="Z93" s="435"/>
      <c r="AA93" s="435"/>
      <c r="AB93" s="436"/>
    </row>
    <row r="94" spans="1:28" s="4" customFormat="1" ht="13.9" customHeight="1" x14ac:dyDescent="0.2">
      <c r="A94"/>
      <c r="B94" s="391"/>
      <c r="C94" s="970" t="s">
        <v>506</v>
      </c>
      <c r="D94" s="822">
        <f>SUM(D95:D98)</f>
        <v>0</v>
      </c>
      <c r="E94" s="823">
        <f>IF(D$45=0,0,100*D94/D$45)</f>
        <v>0</v>
      </c>
      <c r="F94" s="822">
        <f>SUM(F95:F98)</f>
        <v>0</v>
      </c>
      <c r="G94" s="823">
        <f>IF(F$45=0,0,100*F94/F$45)</f>
        <v>0</v>
      </c>
      <c r="H94" s="822">
        <f>SUM(H95:H98)</f>
        <v>0</v>
      </c>
      <c r="I94" s="823">
        <f>IF(H$45=0,0,100*H94/H$45)</f>
        <v>0</v>
      </c>
      <c r="J94" s="822">
        <f>SUM(J95:J98)</f>
        <v>0</v>
      </c>
      <c r="K94" s="823">
        <f>IF(J$45=0,0,100*J94/J$45)</f>
        <v>0</v>
      </c>
      <c r="L94" s="822">
        <f>SUM(L95:L98)</f>
        <v>0</v>
      </c>
      <c r="M94" s="823">
        <f>IF(L$45=0,0,100*L94/L$45)</f>
        <v>0</v>
      </c>
      <c r="N94" s="27"/>
      <c r="O94" s="1337"/>
      <c r="P94" s="298"/>
      <c r="Q94" s="298"/>
      <c r="R94" s="298"/>
      <c r="S94" s="302"/>
      <c r="T94" s="302"/>
      <c r="U94" s="302"/>
      <c r="V94" s="302"/>
      <c r="W94" s="302"/>
      <c r="X94" s="302"/>
      <c r="Y94" s="302"/>
      <c r="Z94" s="435"/>
      <c r="AA94" s="435"/>
      <c r="AB94" s="436"/>
    </row>
    <row r="95" spans="1:28" s="45" customFormat="1" ht="13.9" customHeight="1" x14ac:dyDescent="0.2">
      <c r="A95"/>
      <c r="B95" s="227"/>
      <c r="C95" s="966" t="s">
        <v>507</v>
      </c>
      <c r="D95" s="561">
        <v>0</v>
      </c>
      <c r="E95" s="810"/>
      <c r="F95" s="561">
        <f>D95+D95*O95</f>
        <v>0</v>
      </c>
      <c r="G95" s="810"/>
      <c r="H95" s="561">
        <f>F95+F95*P95</f>
        <v>0</v>
      </c>
      <c r="I95" s="810"/>
      <c r="J95" s="561">
        <f>H95+H95*Q95</f>
        <v>0</v>
      </c>
      <c r="K95" s="810"/>
      <c r="L95" s="561">
        <f>J95+J95*R95</f>
        <v>0</v>
      </c>
      <c r="M95" s="810"/>
      <c r="N95" s="48"/>
      <c r="O95" s="357">
        <v>0.03</v>
      </c>
      <c r="P95" s="357">
        <f t="shared" ref="P95" si="27">O95</f>
        <v>0.03</v>
      </c>
      <c r="Q95" s="357">
        <f t="shared" ref="Q95:R98" si="28">P95</f>
        <v>0.03</v>
      </c>
      <c r="R95" s="357">
        <f t="shared" si="28"/>
        <v>0.03</v>
      </c>
      <c r="S95" s="302"/>
      <c r="T95" s="302"/>
      <c r="U95" s="302"/>
      <c r="V95" s="302"/>
      <c r="W95" s="302"/>
      <c r="X95" s="302"/>
      <c r="Y95" s="302"/>
      <c r="Z95" s="435"/>
      <c r="AA95" s="435"/>
      <c r="AB95" s="436"/>
    </row>
    <row r="96" spans="1:28" s="45" customFormat="1" ht="13.9" customHeight="1" x14ac:dyDescent="0.2">
      <c r="A96"/>
      <c r="B96" s="227"/>
      <c r="C96" s="966" t="s">
        <v>508</v>
      </c>
      <c r="D96" s="561">
        <v>0</v>
      </c>
      <c r="E96" s="810"/>
      <c r="F96" s="561">
        <f>D96+D96*O96</f>
        <v>0</v>
      </c>
      <c r="G96" s="810"/>
      <c r="H96" s="561">
        <f>F96+F96*P96</f>
        <v>0</v>
      </c>
      <c r="I96" s="810"/>
      <c r="J96" s="561">
        <f>H96+H96*Q96</f>
        <v>0</v>
      </c>
      <c r="K96" s="810"/>
      <c r="L96" s="561">
        <f>J96+J96*R96</f>
        <v>0</v>
      </c>
      <c r="M96" s="810"/>
      <c r="N96" s="48"/>
      <c r="O96" s="357">
        <v>0.03</v>
      </c>
      <c r="P96" s="357">
        <f>O96</f>
        <v>0.03</v>
      </c>
      <c r="Q96" s="357">
        <f t="shared" si="28"/>
        <v>0.03</v>
      </c>
      <c r="R96" s="357">
        <f t="shared" si="28"/>
        <v>0.03</v>
      </c>
      <c r="S96" s="302" t="s">
        <v>0</v>
      </c>
      <c r="T96" s="302"/>
      <c r="U96" s="302"/>
      <c r="V96" s="302"/>
      <c r="W96" s="302"/>
      <c r="X96" s="302"/>
      <c r="Y96" s="302"/>
      <c r="Z96" s="435"/>
      <c r="AA96" s="435"/>
      <c r="AB96" s="436"/>
    </row>
    <row r="97" spans="1:28" s="45" customFormat="1" ht="13.9" customHeight="1" x14ac:dyDescent="0.2">
      <c r="A97"/>
      <c r="B97" s="227"/>
      <c r="C97" s="966" t="s">
        <v>509</v>
      </c>
      <c r="D97" s="561">
        <v>0</v>
      </c>
      <c r="E97" s="810"/>
      <c r="F97" s="561">
        <f>D97+D97*O97</f>
        <v>0</v>
      </c>
      <c r="G97" s="810"/>
      <c r="H97" s="561">
        <f>F97+F97*P97</f>
        <v>0</v>
      </c>
      <c r="I97" s="810"/>
      <c r="J97" s="561">
        <f>H97+H97*Q97</f>
        <v>0</v>
      </c>
      <c r="K97" s="810"/>
      <c r="L97" s="561">
        <f>J97+J97*R97</f>
        <v>0</v>
      </c>
      <c r="M97" s="810"/>
      <c r="N97" s="50"/>
      <c r="O97" s="357">
        <v>0.03</v>
      </c>
      <c r="P97" s="357">
        <f t="shared" ref="P97" si="29">O97</f>
        <v>0.03</v>
      </c>
      <c r="Q97" s="357">
        <f t="shared" si="28"/>
        <v>0.03</v>
      </c>
      <c r="R97" s="357">
        <f t="shared" si="28"/>
        <v>0.03</v>
      </c>
      <c r="S97" s="302"/>
      <c r="T97" s="302"/>
      <c r="U97" s="302"/>
      <c r="V97" s="302"/>
      <c r="W97" s="302"/>
      <c r="X97" s="302"/>
      <c r="Y97" s="302"/>
      <c r="Z97" s="435"/>
      <c r="AA97" s="435"/>
      <c r="AB97" s="436"/>
    </row>
    <row r="98" spans="1:28" s="45" customFormat="1" ht="13.9" customHeight="1" thickBot="1" x14ac:dyDescent="0.25">
      <c r="A98"/>
      <c r="B98" s="227"/>
      <c r="C98" s="42" t="s">
        <v>510</v>
      </c>
      <c r="D98" s="546">
        <v>0</v>
      </c>
      <c r="E98" s="834"/>
      <c r="F98" s="561">
        <f>D98+D98*O98</f>
        <v>0</v>
      </c>
      <c r="G98" s="834"/>
      <c r="H98" s="561">
        <f>F98+F98*P98</f>
        <v>0</v>
      </c>
      <c r="I98" s="834"/>
      <c r="J98" s="561">
        <f>H98+H98*Q98</f>
        <v>0</v>
      </c>
      <c r="K98" s="834"/>
      <c r="L98" s="561">
        <f>J98+J98*R98</f>
        <v>0</v>
      </c>
      <c r="M98" s="834"/>
      <c r="N98" s="50"/>
      <c r="O98" s="357">
        <v>0.03</v>
      </c>
      <c r="P98" s="357">
        <f>O98</f>
        <v>0.03</v>
      </c>
      <c r="Q98" s="357">
        <f t="shared" si="28"/>
        <v>0.03</v>
      </c>
      <c r="R98" s="357">
        <f t="shared" si="28"/>
        <v>0.03</v>
      </c>
      <c r="S98" s="302"/>
      <c r="T98" s="302"/>
      <c r="U98" s="302"/>
      <c r="V98" s="302"/>
      <c r="W98" s="302"/>
      <c r="X98" s="302"/>
      <c r="Y98" s="302"/>
      <c r="Z98" s="435"/>
      <c r="AA98" s="435"/>
      <c r="AB98" s="436"/>
    </row>
    <row r="99" spans="1:28" s="4" customFormat="1" ht="13.9" customHeight="1" x14ac:dyDescent="0.2">
      <c r="A99"/>
      <c r="B99" s="391"/>
      <c r="C99" s="967" t="s">
        <v>511</v>
      </c>
      <c r="D99" s="822">
        <f>SUM(D100:D103)</f>
        <v>0</v>
      </c>
      <c r="E99" s="823">
        <f>IF(D$45=0,0,100*D99/D$45)</f>
        <v>0</v>
      </c>
      <c r="F99" s="822">
        <f>SUM(F100:F103)</f>
        <v>0</v>
      </c>
      <c r="G99" s="823">
        <f>IF(F$45=0,0,100*F99/F$45)</f>
        <v>0</v>
      </c>
      <c r="H99" s="822">
        <f>SUM(H100:H103)</f>
        <v>0</v>
      </c>
      <c r="I99" s="823">
        <f>IF(H$45=0,0,100*H99/H$45)</f>
        <v>0</v>
      </c>
      <c r="J99" s="822">
        <f>SUM(J100:J103)</f>
        <v>0</v>
      </c>
      <c r="K99" s="823">
        <f>IF(J$45=0,0,100*J99/J$45)</f>
        <v>0</v>
      </c>
      <c r="L99" s="822">
        <f>SUM(L100:L103)</f>
        <v>0</v>
      </c>
      <c r="M99" s="823">
        <f>IF(L$45=0,0,100*L99/L$45)</f>
        <v>0</v>
      </c>
      <c r="N99" s="26"/>
      <c r="O99" s="1337"/>
      <c r="P99" s="298"/>
      <c r="Q99" s="298"/>
      <c r="R99" s="298"/>
      <c r="S99" s="302"/>
      <c r="T99" s="302"/>
      <c r="U99" s="302"/>
      <c r="V99" s="302"/>
      <c r="W99" s="302"/>
      <c r="X99" s="302"/>
      <c r="Y99" s="302"/>
      <c r="Z99" s="435"/>
      <c r="AA99" s="435"/>
      <c r="AB99" s="436"/>
    </row>
    <row r="100" spans="1:28" s="45" customFormat="1" ht="13.9" customHeight="1" x14ac:dyDescent="0.2">
      <c r="A100"/>
      <c r="B100" s="227"/>
      <c r="C100" s="966" t="s">
        <v>512</v>
      </c>
      <c r="D100" s="561">
        <v>0</v>
      </c>
      <c r="E100" s="810"/>
      <c r="F100" s="561">
        <f>D100+D100*O100</f>
        <v>0</v>
      </c>
      <c r="G100" s="810"/>
      <c r="H100" s="561">
        <f>F100+F100*P100</f>
        <v>0</v>
      </c>
      <c r="I100" s="810"/>
      <c r="J100" s="561">
        <f>H100+H100*Q100</f>
        <v>0</v>
      </c>
      <c r="K100" s="810"/>
      <c r="L100" s="561">
        <f>J100+J100*R100</f>
        <v>0</v>
      </c>
      <c r="M100" s="810"/>
      <c r="N100" s="50"/>
      <c r="O100" s="357">
        <v>0.03</v>
      </c>
      <c r="P100" s="357">
        <f t="shared" ref="P100" si="30">O100</f>
        <v>0.03</v>
      </c>
      <c r="Q100" s="357">
        <f t="shared" ref="Q100:R103" si="31">P100</f>
        <v>0.03</v>
      </c>
      <c r="R100" s="357">
        <f t="shared" si="31"/>
        <v>0.03</v>
      </c>
      <c r="S100" s="302"/>
      <c r="T100" s="302"/>
      <c r="U100" s="302"/>
      <c r="V100" s="302"/>
      <c r="W100" s="302"/>
      <c r="X100" s="302"/>
      <c r="Y100" s="302"/>
      <c r="Z100" s="435"/>
      <c r="AA100" s="435"/>
      <c r="AB100" s="436"/>
    </row>
    <row r="101" spans="1:28" s="45" customFormat="1" ht="13.9" customHeight="1" x14ac:dyDescent="0.2">
      <c r="A101"/>
      <c r="B101" s="227"/>
      <c r="C101" s="966" t="s">
        <v>513</v>
      </c>
      <c r="D101" s="561">
        <v>0</v>
      </c>
      <c r="E101" s="810"/>
      <c r="F101" s="561">
        <f>D101+D101*O101</f>
        <v>0</v>
      </c>
      <c r="G101" s="810"/>
      <c r="H101" s="561">
        <f>F101+F101*P101</f>
        <v>0</v>
      </c>
      <c r="I101" s="810"/>
      <c r="J101" s="561">
        <f>H101+H101*Q101</f>
        <v>0</v>
      </c>
      <c r="K101" s="810"/>
      <c r="L101" s="561">
        <f>J101+J101*R101</f>
        <v>0</v>
      </c>
      <c r="M101" s="810"/>
      <c r="N101" s="50"/>
      <c r="O101" s="357">
        <v>0.03</v>
      </c>
      <c r="P101" s="357">
        <f>O101</f>
        <v>0.03</v>
      </c>
      <c r="Q101" s="357">
        <f t="shared" si="31"/>
        <v>0.03</v>
      </c>
      <c r="R101" s="357">
        <f t="shared" si="31"/>
        <v>0.03</v>
      </c>
      <c r="S101" s="302"/>
      <c r="T101" s="302"/>
      <c r="U101" s="302"/>
      <c r="V101" s="302"/>
      <c r="W101" s="302"/>
      <c r="X101" s="302"/>
      <c r="Y101" s="302"/>
      <c r="Z101" s="435"/>
      <c r="AA101" s="435"/>
      <c r="AB101" s="436"/>
    </row>
    <row r="102" spans="1:28" s="45" customFormat="1" ht="13.9" customHeight="1" x14ac:dyDescent="0.2">
      <c r="A102"/>
      <c r="B102" s="227"/>
      <c r="C102" s="966" t="s">
        <v>514</v>
      </c>
      <c r="D102" s="561">
        <v>0</v>
      </c>
      <c r="E102" s="810"/>
      <c r="F102" s="561">
        <f>D102+D102*O102</f>
        <v>0</v>
      </c>
      <c r="G102" s="810"/>
      <c r="H102" s="561">
        <f>F102+F102*P102</f>
        <v>0</v>
      </c>
      <c r="I102" s="810"/>
      <c r="J102" s="561">
        <f>H102+H102*Q102</f>
        <v>0</v>
      </c>
      <c r="K102" s="810"/>
      <c r="L102" s="561">
        <f>J102+J102*R102</f>
        <v>0</v>
      </c>
      <c r="M102" s="810"/>
      <c r="N102" s="50"/>
      <c r="O102" s="357">
        <v>0.03</v>
      </c>
      <c r="P102" s="357">
        <f t="shared" ref="P102" si="32">O102</f>
        <v>0.03</v>
      </c>
      <c r="Q102" s="357">
        <f t="shared" si="31"/>
        <v>0.03</v>
      </c>
      <c r="R102" s="357">
        <f t="shared" si="31"/>
        <v>0.03</v>
      </c>
      <c r="S102" s="302"/>
      <c r="T102" s="302"/>
      <c r="U102" s="302"/>
      <c r="V102" s="302"/>
      <c r="W102" s="302"/>
      <c r="X102" s="302"/>
      <c r="Y102" s="302"/>
      <c r="Z102" s="435"/>
      <c r="AA102" s="435"/>
      <c r="AB102" s="436"/>
    </row>
    <row r="103" spans="1:28" s="45" customFormat="1" ht="13.9" customHeight="1" thickBot="1" x14ac:dyDescent="0.25">
      <c r="A103"/>
      <c r="B103" s="227"/>
      <c r="C103" s="968" t="s">
        <v>515</v>
      </c>
      <c r="D103" s="825">
        <v>0</v>
      </c>
      <c r="E103" s="824"/>
      <c r="F103" s="561">
        <f>D103+D103*O103</f>
        <v>0</v>
      </c>
      <c r="G103" s="824"/>
      <c r="H103" s="561">
        <f>F103+F103*P103</f>
        <v>0</v>
      </c>
      <c r="I103" s="824"/>
      <c r="J103" s="561">
        <f>H103+H103*Q103</f>
        <v>0</v>
      </c>
      <c r="K103" s="824"/>
      <c r="L103" s="561">
        <f>J103+J103*R103</f>
        <v>0</v>
      </c>
      <c r="M103" s="824"/>
      <c r="N103" s="50"/>
      <c r="O103" s="357">
        <v>0.03</v>
      </c>
      <c r="P103" s="357">
        <f>O103</f>
        <v>0.03</v>
      </c>
      <c r="Q103" s="357">
        <f t="shared" si="31"/>
        <v>0.03</v>
      </c>
      <c r="R103" s="357">
        <f t="shared" si="31"/>
        <v>0.03</v>
      </c>
      <c r="S103" s="302"/>
      <c r="T103" s="302"/>
      <c r="U103" s="302"/>
      <c r="V103" s="302"/>
      <c r="W103" s="302"/>
      <c r="X103" s="302"/>
      <c r="Y103" s="302"/>
      <c r="Z103" s="435"/>
      <c r="AA103" s="435"/>
      <c r="AB103" s="436"/>
    </row>
    <row r="104" spans="1:28" s="4" customFormat="1" ht="13.9" customHeight="1" x14ac:dyDescent="0.2">
      <c r="A104"/>
      <c r="B104" s="391"/>
      <c r="C104" s="967" t="s">
        <v>516</v>
      </c>
      <c r="D104" s="822">
        <f>SUM(D105:D107)</f>
        <v>0</v>
      </c>
      <c r="E104" s="823">
        <f>IF(D$45=0,0,100*D104/D$45)</f>
        <v>0</v>
      </c>
      <c r="F104" s="822">
        <f>SUM(F105:F107)</f>
        <v>0</v>
      </c>
      <c r="G104" s="823">
        <f>IF(F$45=0,0,100*F104/F$45)</f>
        <v>0</v>
      </c>
      <c r="H104" s="822">
        <f>SUM(H105:H107)</f>
        <v>0</v>
      </c>
      <c r="I104" s="823">
        <f>IF(H$45=0,0,100*H104/H$45)</f>
        <v>0</v>
      </c>
      <c r="J104" s="822">
        <f>SUM(J105:J107)</f>
        <v>0</v>
      </c>
      <c r="K104" s="823">
        <f>IF(J$45=0,0,100*J104/J$45)</f>
        <v>0</v>
      </c>
      <c r="L104" s="822">
        <f>SUM(L105:L107)</f>
        <v>0</v>
      </c>
      <c r="M104" s="823">
        <f>IF(L$45=0,0,100*L104/L$45)</f>
        <v>0</v>
      </c>
      <c r="N104" s="26"/>
      <c r="O104" s="1337"/>
      <c r="P104" s="298"/>
      <c r="Q104" s="298"/>
      <c r="R104" s="298"/>
      <c r="S104" s="302"/>
      <c r="T104" s="302"/>
      <c r="U104" s="302"/>
      <c r="V104" s="302"/>
      <c r="W104" s="302"/>
      <c r="X104" s="302"/>
      <c r="Y104" s="302"/>
      <c r="Z104" s="435"/>
      <c r="AA104" s="435"/>
      <c r="AB104" s="436"/>
    </row>
    <row r="105" spans="1:28" s="4" customFormat="1" ht="13.9" customHeight="1" x14ac:dyDescent="0.2">
      <c r="A105"/>
      <c r="B105" s="391"/>
      <c r="C105" s="170" t="s">
        <v>517</v>
      </c>
      <c r="D105" s="561">
        <v>0</v>
      </c>
      <c r="E105" s="810"/>
      <c r="F105" s="561">
        <f>D105+D105*O105</f>
        <v>0</v>
      </c>
      <c r="G105" s="810"/>
      <c r="H105" s="561">
        <f>F105+F105*P105</f>
        <v>0</v>
      </c>
      <c r="I105" s="810"/>
      <c r="J105" s="561">
        <f>H105+H105*Q105</f>
        <v>0</v>
      </c>
      <c r="K105" s="810"/>
      <c r="L105" s="561">
        <f>J105+J105*R105</f>
        <v>0</v>
      </c>
      <c r="M105" s="810"/>
      <c r="N105" s="50"/>
      <c r="O105" s="357">
        <v>0.03</v>
      </c>
      <c r="P105" s="357">
        <f t="shared" ref="P105" si="33">O105</f>
        <v>0.03</v>
      </c>
      <c r="Q105" s="357">
        <f>P105</f>
        <v>0.03</v>
      </c>
      <c r="R105" s="357">
        <f>Q105</f>
        <v>0.03</v>
      </c>
      <c r="S105" s="302"/>
      <c r="T105" s="302"/>
      <c r="U105" s="302"/>
      <c r="V105" s="302"/>
      <c r="W105" s="302"/>
      <c r="X105" s="302"/>
      <c r="Y105" s="302"/>
      <c r="Z105" s="435"/>
      <c r="AA105" s="435"/>
      <c r="AB105" s="436"/>
    </row>
    <row r="106" spans="1:28" s="45" customFormat="1" ht="13.9" customHeight="1" x14ac:dyDescent="0.2">
      <c r="A106"/>
      <c r="B106" s="227"/>
      <c r="C106" s="966" t="s">
        <v>518</v>
      </c>
      <c r="D106" s="561">
        <v>0</v>
      </c>
      <c r="E106" s="810"/>
      <c r="F106" s="561">
        <f>D106+D106*O106</f>
        <v>0</v>
      </c>
      <c r="G106" s="810"/>
      <c r="H106" s="561">
        <f>F106+F106*P106</f>
        <v>0</v>
      </c>
      <c r="I106" s="810"/>
      <c r="J106" s="561">
        <f>H106+H106*Q106</f>
        <v>0</v>
      </c>
      <c r="K106" s="810"/>
      <c r="L106" s="561">
        <f>J106+J106*R106</f>
        <v>0</v>
      </c>
      <c r="M106" s="810"/>
      <c r="N106" s="50"/>
      <c r="O106" s="357">
        <v>0.03</v>
      </c>
      <c r="P106" s="357">
        <f>O106</f>
        <v>0.03</v>
      </c>
      <c r="Q106" s="357">
        <f t="shared" ref="Q106" si="34">P106</f>
        <v>0.03</v>
      </c>
      <c r="R106" s="357">
        <f t="shared" ref="R106" si="35">Q106</f>
        <v>0.03</v>
      </c>
      <c r="S106" s="302"/>
      <c r="T106" s="302"/>
      <c r="U106" s="302"/>
      <c r="V106" s="302"/>
      <c r="W106" s="302"/>
      <c r="X106" s="302"/>
      <c r="Y106" s="302"/>
      <c r="Z106" s="435"/>
      <c r="AA106" s="435"/>
      <c r="AB106" s="436"/>
    </row>
    <row r="107" spans="1:28" s="45" customFormat="1" ht="13.9" customHeight="1" thickBot="1" x14ac:dyDescent="0.25">
      <c r="A107"/>
      <c r="B107" s="227"/>
      <c r="C107" s="969" t="s">
        <v>519</v>
      </c>
      <c r="D107" s="1622">
        <v>0</v>
      </c>
      <c r="E107" s="1623"/>
      <c r="F107" s="541">
        <f>D107+D107*O107</f>
        <v>0</v>
      </c>
      <c r="G107" s="1623"/>
      <c r="H107" s="541">
        <f>F107+F107*P107</f>
        <v>0</v>
      </c>
      <c r="I107" s="1623"/>
      <c r="J107" s="541">
        <f>H107+H107*Q107</f>
        <v>0</v>
      </c>
      <c r="K107" s="1623"/>
      <c r="L107" s="541">
        <f>J107+J107*R107</f>
        <v>0</v>
      </c>
      <c r="M107" s="1623"/>
      <c r="N107" s="50"/>
      <c r="O107" s="357">
        <v>0.03</v>
      </c>
      <c r="P107" s="357">
        <f>O107</f>
        <v>0.03</v>
      </c>
      <c r="Q107" s="357">
        <f t="shared" ref="Q107:R107" si="36">P107</f>
        <v>0.03</v>
      </c>
      <c r="R107" s="357">
        <f t="shared" si="36"/>
        <v>0.03</v>
      </c>
      <c r="S107" s="302"/>
      <c r="T107" s="302"/>
      <c r="U107" s="302"/>
      <c r="V107" s="302"/>
      <c r="W107" s="302"/>
      <c r="X107" s="302"/>
      <c r="Y107" s="302"/>
      <c r="Z107" s="435"/>
      <c r="AA107" s="435"/>
      <c r="AB107" s="436"/>
    </row>
    <row r="108" spans="1:28" s="4" customFormat="1" ht="13.9" customHeight="1" x14ac:dyDescent="0.2">
      <c r="A108"/>
      <c r="B108" s="391"/>
      <c r="C108" s="967" t="s">
        <v>520</v>
      </c>
      <c r="D108" s="822">
        <f>SUM(D109:D112)</f>
        <v>0</v>
      </c>
      <c r="E108" s="823">
        <f>IF(D$45=0,0,100*D108/D$45)</f>
        <v>0</v>
      </c>
      <c r="F108" s="822">
        <f>SUM(F109:F112)</f>
        <v>0</v>
      </c>
      <c r="G108" s="823">
        <f>IF(F$45=0,0,100*F108/F$45)</f>
        <v>0</v>
      </c>
      <c r="H108" s="822">
        <f>SUM(H109:H112)</f>
        <v>0</v>
      </c>
      <c r="I108" s="823">
        <f>IF(H$45=0,0,100*H108/H$45)</f>
        <v>0</v>
      </c>
      <c r="J108" s="822">
        <f>SUM(J109:J112)</f>
        <v>0</v>
      </c>
      <c r="K108" s="823">
        <f>IF(J$45=0,0,100*J108/J$45)</f>
        <v>0</v>
      </c>
      <c r="L108" s="822">
        <f>SUM(L109:L112)</f>
        <v>0</v>
      </c>
      <c r="M108" s="823">
        <f>IF(L$45=0,0,100*L108/L$45)</f>
        <v>0</v>
      </c>
      <c r="N108" s="26"/>
      <c r="O108" s="1337"/>
      <c r="P108" s="298"/>
      <c r="Q108" s="298"/>
      <c r="R108" s="298"/>
      <c r="S108" s="302"/>
      <c r="T108" s="302"/>
      <c r="U108" s="302"/>
      <c r="V108" s="302"/>
      <c r="W108" s="302"/>
      <c r="X108" s="302"/>
      <c r="Y108" s="302"/>
      <c r="Z108" s="435"/>
      <c r="AA108" s="435"/>
      <c r="AB108" s="436"/>
    </row>
    <row r="109" spans="1:28" s="45" customFormat="1" ht="13.9" customHeight="1" x14ac:dyDescent="0.2">
      <c r="A109"/>
      <c r="B109" s="227"/>
      <c r="C109" s="966" t="s">
        <v>521</v>
      </c>
      <c r="D109" s="561">
        <v>0</v>
      </c>
      <c r="E109" s="810"/>
      <c r="F109" s="561">
        <f>D109+D109*O109</f>
        <v>0</v>
      </c>
      <c r="G109" s="810"/>
      <c r="H109" s="561">
        <f>F109+F109*P109</f>
        <v>0</v>
      </c>
      <c r="I109" s="810"/>
      <c r="J109" s="561">
        <f>H109+H109*Q109</f>
        <v>0</v>
      </c>
      <c r="K109" s="810"/>
      <c r="L109" s="561">
        <f>J109+J109*R109</f>
        <v>0</v>
      </c>
      <c r="M109" s="810"/>
      <c r="N109" s="48"/>
      <c r="O109" s="357">
        <v>0.03</v>
      </c>
      <c r="P109" s="357">
        <f t="shared" ref="P109" si="37">O109</f>
        <v>0.03</v>
      </c>
      <c r="Q109" s="357">
        <f>P109</f>
        <v>0.03</v>
      </c>
      <c r="R109" s="357">
        <f>Q109</f>
        <v>0.03</v>
      </c>
      <c r="S109" s="302"/>
      <c r="T109" s="302"/>
      <c r="U109" s="302"/>
      <c r="V109" s="302"/>
      <c r="W109" s="302"/>
      <c r="X109" s="302"/>
      <c r="Y109" s="302"/>
      <c r="Z109" s="435"/>
      <c r="AA109" s="435"/>
      <c r="AB109" s="436"/>
    </row>
    <row r="110" spans="1:28" s="45" customFormat="1" ht="13.9" customHeight="1" x14ac:dyDescent="0.2">
      <c r="A110" s="46"/>
      <c r="B110" s="227"/>
      <c r="C110" s="966" t="s">
        <v>522</v>
      </c>
      <c r="D110" s="561">
        <v>0</v>
      </c>
      <c r="E110" s="810"/>
      <c r="F110" s="561">
        <f>D110+D110*O110</f>
        <v>0</v>
      </c>
      <c r="G110" s="810"/>
      <c r="H110" s="561">
        <f>F110+F110*P110</f>
        <v>0</v>
      </c>
      <c r="I110" s="810"/>
      <c r="J110" s="561">
        <f>H110+H110*Q110</f>
        <v>0</v>
      </c>
      <c r="K110" s="810"/>
      <c r="L110" s="561">
        <f>J110+J110*R110</f>
        <v>0</v>
      </c>
      <c r="M110" s="810"/>
      <c r="N110" s="48"/>
      <c r="O110" s="357">
        <v>0.03</v>
      </c>
      <c r="P110" s="357">
        <f>O110</f>
        <v>0.03</v>
      </c>
      <c r="Q110" s="357">
        <f t="shared" ref="Q110:R112" si="38">P110</f>
        <v>0.03</v>
      </c>
      <c r="R110" s="357">
        <f t="shared" si="38"/>
        <v>0.03</v>
      </c>
      <c r="S110" s="302"/>
      <c r="T110" s="302"/>
      <c r="U110" s="302"/>
      <c r="V110" s="302"/>
      <c r="W110" s="302"/>
      <c r="X110" s="302"/>
      <c r="Y110" s="302"/>
      <c r="Z110" s="435"/>
      <c r="AA110" s="435"/>
      <c r="AB110" s="436"/>
    </row>
    <row r="111" spans="1:28" s="45" customFormat="1" ht="13.9" customHeight="1" x14ac:dyDescent="0.2">
      <c r="A111" s="2"/>
      <c r="B111" s="227"/>
      <c r="C111" s="966" t="s">
        <v>523</v>
      </c>
      <c r="D111" s="561">
        <v>0</v>
      </c>
      <c r="E111" s="810"/>
      <c r="F111" s="561">
        <f>D111+D111*O111</f>
        <v>0</v>
      </c>
      <c r="G111" s="810"/>
      <c r="H111" s="561">
        <f>F111+F111*P111</f>
        <v>0</v>
      </c>
      <c r="I111" s="810"/>
      <c r="J111" s="561">
        <f>H111+H111*Q111</f>
        <v>0</v>
      </c>
      <c r="K111" s="810"/>
      <c r="L111" s="561">
        <f>J111+J111*R111</f>
        <v>0</v>
      </c>
      <c r="M111" s="810"/>
      <c r="N111" s="50"/>
      <c r="O111" s="357">
        <v>0.03</v>
      </c>
      <c r="P111" s="357">
        <f>O111</f>
        <v>0.03</v>
      </c>
      <c r="Q111" s="357">
        <f t="shared" si="38"/>
        <v>0.03</v>
      </c>
      <c r="R111" s="357">
        <f t="shared" si="38"/>
        <v>0.03</v>
      </c>
      <c r="S111" s="302"/>
      <c r="T111" s="302"/>
      <c r="U111" s="302"/>
      <c r="V111" s="302"/>
      <c r="W111" s="302"/>
      <c r="X111" s="302"/>
      <c r="Y111" s="302"/>
      <c r="Z111" s="435"/>
      <c r="AA111" s="435"/>
      <c r="AB111" s="436"/>
    </row>
    <row r="112" spans="1:28" s="45" customFormat="1" ht="13.9" customHeight="1" thickBot="1" x14ac:dyDescent="0.25">
      <c r="A112"/>
      <c r="B112" s="227"/>
      <c r="C112" s="969" t="s">
        <v>524</v>
      </c>
      <c r="D112" s="561">
        <v>0</v>
      </c>
      <c r="E112" s="824"/>
      <c r="F112" s="561">
        <f>D112+D112*O112</f>
        <v>0</v>
      </c>
      <c r="G112" s="824"/>
      <c r="H112" s="561">
        <f>F112+F112*P112</f>
        <v>0</v>
      </c>
      <c r="I112" s="824"/>
      <c r="J112" s="825">
        <f>H112+H112*Q112</f>
        <v>0</v>
      </c>
      <c r="K112" s="824"/>
      <c r="L112" s="825">
        <f>J112+J112*R112</f>
        <v>0</v>
      </c>
      <c r="M112" s="824"/>
      <c r="N112" s="50"/>
      <c r="O112" s="357">
        <v>0.03</v>
      </c>
      <c r="P112" s="357">
        <f>O112</f>
        <v>0.03</v>
      </c>
      <c r="Q112" s="357">
        <f t="shared" si="38"/>
        <v>0.03</v>
      </c>
      <c r="R112" s="357">
        <f t="shared" si="38"/>
        <v>0.03</v>
      </c>
      <c r="S112" s="302"/>
      <c r="T112" s="302"/>
      <c r="U112" s="302"/>
      <c r="V112" s="302"/>
      <c r="W112" s="302"/>
      <c r="X112" s="302"/>
      <c r="Y112" s="302"/>
      <c r="Z112" s="435"/>
      <c r="AA112" s="435"/>
      <c r="AB112" s="436"/>
    </row>
    <row r="113" spans="1:28" s="4" customFormat="1" ht="13.9" customHeight="1" x14ac:dyDescent="0.2">
      <c r="A113"/>
      <c r="B113" s="391"/>
      <c r="C113" s="970" t="s">
        <v>525</v>
      </c>
      <c r="D113" s="835">
        <f>SUM(D114:D116)</f>
        <v>0</v>
      </c>
      <c r="E113" s="823">
        <f>IF(D$45=0,0,100*D113/D$45)</f>
        <v>0</v>
      </c>
      <c r="F113" s="835">
        <f>SUM(F114:F116)</f>
        <v>0</v>
      </c>
      <c r="G113" s="823">
        <f>IF(F$45=0,0,100*F113/F$45)</f>
        <v>0</v>
      </c>
      <c r="H113" s="835">
        <f>SUM(H114:H116)</f>
        <v>0</v>
      </c>
      <c r="I113" s="823">
        <f>IF(H$45=0,0,100*H113/H$45)</f>
        <v>0</v>
      </c>
      <c r="J113" s="835">
        <f>SUM(J114:J116)</f>
        <v>0</v>
      </c>
      <c r="K113" s="823">
        <f>IF(J$45=0,0,100*J113/J$45)</f>
        <v>0</v>
      </c>
      <c r="L113" s="835">
        <f>SUM(L114:L116)</f>
        <v>0</v>
      </c>
      <c r="M113" s="823">
        <f>IF(L$45=0,0,100*L113/L$45)</f>
        <v>0</v>
      </c>
      <c r="N113" s="26"/>
      <c r="O113" s="1322"/>
      <c r="P113" s="1321"/>
      <c r="Q113" s="1321"/>
      <c r="R113" s="1321"/>
      <c r="S113" s="302"/>
      <c r="T113" s="302"/>
      <c r="U113" s="302"/>
      <c r="V113" s="302"/>
      <c r="W113" s="302"/>
      <c r="X113" s="302"/>
      <c r="Y113" s="302"/>
      <c r="Z113" s="435"/>
      <c r="AA113" s="435"/>
      <c r="AB113" s="436"/>
    </row>
    <row r="114" spans="1:28" s="45" customFormat="1" ht="13.9" customHeight="1" x14ac:dyDescent="0.2">
      <c r="A114"/>
      <c r="B114" s="227"/>
      <c r="C114" s="966" t="s">
        <v>526</v>
      </c>
      <c r="D114" s="561">
        <v>0</v>
      </c>
      <c r="E114" s="810"/>
      <c r="F114" s="561">
        <f>D114+D114*O114</f>
        <v>0</v>
      </c>
      <c r="G114" s="810"/>
      <c r="H114" s="561">
        <f t="shared" ref="H114:H124" si="39">F114+F114*P114</f>
        <v>0</v>
      </c>
      <c r="I114" s="810"/>
      <c r="J114" s="561">
        <f>H114+H114*Q114</f>
        <v>0</v>
      </c>
      <c r="K114" s="810"/>
      <c r="L114" s="561">
        <f t="shared" ref="L114:L124" si="40">J114+J114*R114</f>
        <v>0</v>
      </c>
      <c r="M114" s="810"/>
      <c r="N114" s="48"/>
      <c r="O114" s="357">
        <v>0.03</v>
      </c>
      <c r="P114" s="357">
        <f t="shared" ref="P114" si="41">O114</f>
        <v>0.03</v>
      </c>
      <c r="Q114" s="357">
        <f t="shared" ref="Q114:R124" si="42">P114</f>
        <v>0.03</v>
      </c>
      <c r="R114" s="357">
        <f t="shared" si="42"/>
        <v>0.03</v>
      </c>
      <c r="S114" s="302"/>
      <c r="T114" s="302"/>
      <c r="U114" s="302"/>
      <c r="V114" s="302"/>
      <c r="W114" s="302"/>
      <c r="X114" s="302"/>
      <c r="Y114" s="435"/>
      <c r="Z114" s="435"/>
      <c r="AA114" s="302"/>
      <c r="AB114" s="436"/>
    </row>
    <row r="115" spans="1:28" s="45" customFormat="1" ht="13.9" customHeight="1" x14ac:dyDescent="0.2">
      <c r="A115"/>
      <c r="B115" s="227"/>
      <c r="C115" s="966" t="s">
        <v>527</v>
      </c>
      <c r="D115" s="561">
        <v>0</v>
      </c>
      <c r="E115" s="810"/>
      <c r="F115" s="561">
        <f t="shared" ref="F115:F124" si="43">D115+D115*O115</f>
        <v>0</v>
      </c>
      <c r="G115" s="810"/>
      <c r="H115" s="561">
        <f t="shared" si="39"/>
        <v>0</v>
      </c>
      <c r="I115" s="810"/>
      <c r="J115" s="561">
        <f t="shared" ref="J115:J124" si="44">H115+H115*Q115</f>
        <v>0</v>
      </c>
      <c r="K115" s="810"/>
      <c r="L115" s="561">
        <f t="shared" si="40"/>
        <v>0</v>
      </c>
      <c r="M115" s="810"/>
      <c r="N115" s="48"/>
      <c r="O115" s="357">
        <v>0.03</v>
      </c>
      <c r="P115" s="357">
        <f>O115</f>
        <v>0.03</v>
      </c>
      <c r="Q115" s="357">
        <f t="shared" si="42"/>
        <v>0.03</v>
      </c>
      <c r="R115" s="357">
        <f t="shared" si="42"/>
        <v>0.03</v>
      </c>
      <c r="S115" s="302"/>
      <c r="T115" s="302"/>
      <c r="U115" s="302"/>
      <c r="V115" s="435"/>
      <c r="W115" s="435"/>
      <c r="X115" s="435"/>
      <c r="Y115" s="435"/>
      <c r="Z115" s="302"/>
      <c r="AA115" s="302"/>
      <c r="AB115" s="436"/>
    </row>
    <row r="116" spans="1:28" s="45" customFormat="1" ht="13.9" customHeight="1" thickBot="1" x14ac:dyDescent="0.25">
      <c r="B116" s="227"/>
      <c r="C116" s="968" t="s">
        <v>528</v>
      </c>
      <c r="D116" s="825">
        <v>0</v>
      </c>
      <c r="E116" s="824"/>
      <c r="F116" s="561">
        <f t="shared" si="43"/>
        <v>0</v>
      </c>
      <c r="G116" s="824"/>
      <c r="H116" s="825">
        <f t="shared" si="39"/>
        <v>0</v>
      </c>
      <c r="I116" s="824"/>
      <c r="J116" s="825">
        <f t="shared" si="44"/>
        <v>0</v>
      </c>
      <c r="K116" s="824"/>
      <c r="L116" s="825">
        <f t="shared" si="40"/>
        <v>0</v>
      </c>
      <c r="M116" s="824"/>
      <c r="N116" s="50"/>
      <c r="O116" s="357">
        <v>0.03</v>
      </c>
      <c r="P116" s="357">
        <f t="shared" ref="P116:P119" si="45">O116</f>
        <v>0.03</v>
      </c>
      <c r="Q116" s="357">
        <f t="shared" si="42"/>
        <v>0.03</v>
      </c>
      <c r="R116" s="357">
        <f t="shared" si="42"/>
        <v>0.03</v>
      </c>
      <c r="S116" s="302"/>
      <c r="T116" s="302"/>
      <c r="U116" s="302"/>
      <c r="V116" s="435"/>
      <c r="W116" s="435"/>
      <c r="X116" s="435"/>
      <c r="Y116" s="435"/>
      <c r="Z116" s="435"/>
      <c r="AA116" s="435"/>
      <c r="AB116" s="440"/>
    </row>
    <row r="117" spans="1:28" s="4" customFormat="1" ht="13.9" customHeight="1" thickBot="1" x14ac:dyDescent="0.25">
      <c r="B117" s="391"/>
      <c r="C117" s="971" t="s">
        <v>529</v>
      </c>
      <c r="D117" s="828">
        <v>0</v>
      </c>
      <c r="E117" s="831">
        <f>IF(D$45=0,0,100*D117/D$45)</f>
        <v>0</v>
      </c>
      <c r="F117" s="828">
        <f>D117+D117*O117</f>
        <v>0</v>
      </c>
      <c r="G117" s="831">
        <f t="shared" ref="G117:G124" si="46">IF(F$45=0,0,100*F117/F$45)</f>
        <v>0</v>
      </c>
      <c r="H117" s="828">
        <f t="shared" si="39"/>
        <v>0</v>
      </c>
      <c r="I117" s="831">
        <f t="shared" ref="I117:I124" si="47">IF(H$45=0,0,100*H117/H$45)</f>
        <v>0</v>
      </c>
      <c r="J117" s="828">
        <f t="shared" si="44"/>
        <v>0</v>
      </c>
      <c r="K117" s="823">
        <f t="shared" ref="K117:K124" si="48">IF(J$45=0,0,100*J117/J$45)</f>
        <v>0</v>
      </c>
      <c r="L117" s="828">
        <f t="shared" si="40"/>
        <v>0</v>
      </c>
      <c r="M117" s="823">
        <f t="shared" ref="M117:M124" si="49">IF(L$45=0,0,100*L117/L$45)</f>
        <v>0</v>
      </c>
      <c r="N117" s="26"/>
      <c r="O117" s="357">
        <v>0.03</v>
      </c>
      <c r="P117" s="357">
        <f t="shared" si="45"/>
        <v>0.03</v>
      </c>
      <c r="Q117" s="357">
        <f t="shared" si="42"/>
        <v>0.03</v>
      </c>
      <c r="R117" s="357">
        <f t="shared" si="42"/>
        <v>0.03</v>
      </c>
      <c r="S117" s="302"/>
      <c r="T117" s="302"/>
      <c r="U117" s="302"/>
      <c r="V117" s="435"/>
      <c r="W117" s="435"/>
      <c r="X117" s="435"/>
      <c r="Y117" s="435"/>
      <c r="Z117" s="435"/>
      <c r="AA117" s="435"/>
      <c r="AB117" s="440"/>
    </row>
    <row r="118" spans="1:28" s="4" customFormat="1" ht="13.9" customHeight="1" thickBot="1" x14ac:dyDescent="0.25">
      <c r="B118" s="391"/>
      <c r="C118" s="971" t="s">
        <v>530</v>
      </c>
      <c r="D118" s="828">
        <v>0</v>
      </c>
      <c r="E118" s="831">
        <f>IF(D$45=0,0,100*D118/D$45)</f>
        <v>0</v>
      </c>
      <c r="F118" s="828">
        <f t="shared" si="43"/>
        <v>0</v>
      </c>
      <c r="G118" s="831">
        <f t="shared" si="46"/>
        <v>0</v>
      </c>
      <c r="H118" s="828">
        <f t="shared" si="39"/>
        <v>0</v>
      </c>
      <c r="I118" s="831">
        <f t="shared" si="47"/>
        <v>0</v>
      </c>
      <c r="J118" s="828">
        <f t="shared" si="44"/>
        <v>0</v>
      </c>
      <c r="K118" s="823">
        <f t="shared" si="48"/>
        <v>0</v>
      </c>
      <c r="L118" s="828">
        <f t="shared" si="40"/>
        <v>0</v>
      </c>
      <c r="M118" s="823">
        <f t="shared" si="49"/>
        <v>0</v>
      </c>
      <c r="N118" s="26"/>
      <c r="O118" s="357">
        <v>0.03</v>
      </c>
      <c r="P118" s="357">
        <f t="shared" si="45"/>
        <v>0.03</v>
      </c>
      <c r="Q118" s="357">
        <f t="shared" si="42"/>
        <v>0.03</v>
      </c>
      <c r="R118" s="357">
        <f t="shared" si="42"/>
        <v>0.03</v>
      </c>
      <c r="S118" s="302"/>
      <c r="T118" s="302"/>
      <c r="U118" s="302"/>
      <c r="V118" s="435"/>
      <c r="W118" s="435"/>
      <c r="X118" s="435"/>
      <c r="Y118" s="435"/>
      <c r="Z118" s="435"/>
      <c r="AA118" s="435"/>
      <c r="AB118" s="440"/>
    </row>
    <row r="119" spans="1:28" s="4" customFormat="1" ht="13.9" customHeight="1" thickBot="1" x14ac:dyDescent="0.25">
      <c r="B119" s="975"/>
      <c r="C119" s="972" t="s">
        <v>531</v>
      </c>
      <c r="D119" s="828">
        <v>0</v>
      </c>
      <c r="E119" s="831">
        <f t="shared" ref="E119:E124" si="50">IF(D$125=0,0,100*D119/D$125)</f>
        <v>0</v>
      </c>
      <c r="F119" s="828">
        <f t="shared" si="43"/>
        <v>0</v>
      </c>
      <c r="G119" s="831">
        <f t="shared" si="46"/>
        <v>0</v>
      </c>
      <c r="H119" s="828">
        <f t="shared" si="39"/>
        <v>0</v>
      </c>
      <c r="I119" s="831">
        <f t="shared" si="47"/>
        <v>0</v>
      </c>
      <c r="J119" s="828">
        <f t="shared" si="44"/>
        <v>0</v>
      </c>
      <c r="K119" s="831">
        <f t="shared" si="48"/>
        <v>0</v>
      </c>
      <c r="L119" s="828">
        <f t="shared" si="40"/>
        <v>0</v>
      </c>
      <c r="M119" s="831">
        <f t="shared" si="49"/>
        <v>0</v>
      </c>
      <c r="N119" s="27"/>
      <c r="O119" s="357">
        <v>0.03</v>
      </c>
      <c r="P119" s="357">
        <f t="shared" si="45"/>
        <v>0.03</v>
      </c>
      <c r="Q119" s="357">
        <f t="shared" si="42"/>
        <v>0.03</v>
      </c>
      <c r="R119" s="357">
        <f t="shared" si="42"/>
        <v>0.03</v>
      </c>
      <c r="S119" s="302"/>
      <c r="T119" s="302"/>
      <c r="U119" s="302"/>
      <c r="V119" s="302"/>
      <c r="W119" s="302"/>
      <c r="X119" s="302"/>
      <c r="Y119" s="435"/>
      <c r="Z119" s="435"/>
      <c r="AA119" s="435"/>
      <c r="AB119" s="440"/>
    </row>
    <row r="120" spans="1:28" s="4" customFormat="1" ht="13.9" customHeight="1" thickBot="1" x14ac:dyDescent="0.25">
      <c r="A120"/>
      <c r="B120" s="975"/>
      <c r="C120" s="972" t="s">
        <v>532</v>
      </c>
      <c r="D120" s="828">
        <v>0</v>
      </c>
      <c r="E120" s="831">
        <f t="shared" si="50"/>
        <v>0</v>
      </c>
      <c r="F120" s="828">
        <f>D120</f>
        <v>0</v>
      </c>
      <c r="G120" s="831">
        <f t="shared" si="46"/>
        <v>0</v>
      </c>
      <c r="H120" s="828">
        <f>F120</f>
        <v>0</v>
      </c>
      <c r="I120" s="831">
        <f t="shared" si="47"/>
        <v>0</v>
      </c>
      <c r="J120" s="828">
        <f>H120</f>
        <v>0</v>
      </c>
      <c r="K120" s="831">
        <f t="shared" si="48"/>
        <v>0</v>
      </c>
      <c r="L120" s="828">
        <f>J120</f>
        <v>0</v>
      </c>
      <c r="M120" s="831">
        <f t="shared" si="49"/>
        <v>0</v>
      </c>
      <c r="N120" s="27"/>
      <c r="O120" s="498">
        <f>IF(F120&gt;0,"MERKITSE MENO KOKO SOPIMUSKAUDELLE!",0)</f>
        <v>0</v>
      </c>
      <c r="P120" s="507"/>
      <c r="Q120" s="507"/>
      <c r="R120" s="507"/>
      <c r="S120" s="142"/>
      <c r="T120" s="302"/>
      <c r="U120" s="302"/>
      <c r="V120" s="302"/>
      <c r="W120" s="302"/>
      <c r="X120" s="302"/>
      <c r="Y120" s="435"/>
      <c r="Z120" s="435"/>
      <c r="AA120" s="435"/>
      <c r="AB120" s="440"/>
    </row>
    <row r="121" spans="1:28" s="4" customFormat="1" ht="13.9" customHeight="1" thickBot="1" x14ac:dyDescent="0.25">
      <c r="B121" s="975"/>
      <c r="C121" s="973" t="s">
        <v>533</v>
      </c>
      <c r="D121" s="828">
        <v>0</v>
      </c>
      <c r="E121" s="831">
        <f t="shared" si="50"/>
        <v>0</v>
      </c>
      <c r="F121" s="828">
        <f t="shared" si="43"/>
        <v>0</v>
      </c>
      <c r="G121" s="831">
        <f t="shared" si="46"/>
        <v>0</v>
      </c>
      <c r="H121" s="828">
        <f>F121+F121*P121</f>
        <v>0</v>
      </c>
      <c r="I121" s="831">
        <f t="shared" si="47"/>
        <v>0</v>
      </c>
      <c r="J121" s="828">
        <f>H121+H121*Q121</f>
        <v>0</v>
      </c>
      <c r="K121" s="831">
        <f t="shared" si="48"/>
        <v>0</v>
      </c>
      <c r="L121" s="828">
        <f>J121+J121*R121</f>
        <v>0</v>
      </c>
      <c r="M121" s="831">
        <f t="shared" si="49"/>
        <v>0</v>
      </c>
      <c r="N121" s="27"/>
      <c r="O121" s="357">
        <v>0.03</v>
      </c>
      <c r="P121" s="357">
        <f t="shared" ref="P121" si="51">O121</f>
        <v>0.03</v>
      </c>
      <c r="Q121" s="357">
        <f t="shared" si="42"/>
        <v>0.03</v>
      </c>
      <c r="R121" s="357">
        <f t="shared" si="42"/>
        <v>0.03</v>
      </c>
      <c r="S121" s="302"/>
      <c r="T121" s="302"/>
      <c r="U121" s="302"/>
      <c r="V121" s="302"/>
      <c r="W121" s="302"/>
      <c r="X121" s="302"/>
      <c r="Y121" s="302"/>
      <c r="Z121" s="302"/>
      <c r="AA121" s="302"/>
      <c r="AB121" s="436"/>
    </row>
    <row r="122" spans="1:28" s="4" customFormat="1" ht="13.9" customHeight="1" thickBot="1" x14ac:dyDescent="0.25">
      <c r="A122"/>
      <c r="B122" s="975"/>
      <c r="C122" s="1069" t="s">
        <v>534</v>
      </c>
      <c r="D122" s="828">
        <v>0</v>
      </c>
      <c r="E122" s="831">
        <f t="shared" si="50"/>
        <v>0</v>
      </c>
      <c r="F122" s="828">
        <f t="shared" si="43"/>
        <v>0</v>
      </c>
      <c r="G122" s="831">
        <f t="shared" si="46"/>
        <v>0</v>
      </c>
      <c r="H122" s="828">
        <f t="shared" si="39"/>
        <v>0</v>
      </c>
      <c r="I122" s="831">
        <f t="shared" si="47"/>
        <v>0</v>
      </c>
      <c r="J122" s="828">
        <f t="shared" si="44"/>
        <v>0</v>
      </c>
      <c r="K122" s="831">
        <f t="shared" si="48"/>
        <v>0</v>
      </c>
      <c r="L122" s="828">
        <f t="shared" si="40"/>
        <v>0</v>
      </c>
      <c r="M122" s="831">
        <f t="shared" si="49"/>
        <v>0</v>
      </c>
      <c r="N122" s="27"/>
      <c r="O122" s="357">
        <v>0.03</v>
      </c>
      <c r="P122" s="357">
        <f>O122</f>
        <v>0.03</v>
      </c>
      <c r="Q122" s="357">
        <f t="shared" si="42"/>
        <v>0.03</v>
      </c>
      <c r="R122" s="357">
        <f t="shared" si="42"/>
        <v>0.03</v>
      </c>
      <c r="S122" s="302"/>
      <c r="T122" s="302"/>
      <c r="U122" s="302"/>
      <c r="V122" s="302"/>
      <c r="W122" s="302"/>
      <c r="X122" s="302"/>
      <c r="Y122" s="302"/>
      <c r="Z122" s="302"/>
      <c r="AA122" s="302"/>
      <c r="AB122" s="436"/>
    </row>
    <row r="123" spans="1:28" s="4" customFormat="1" ht="13.9" customHeight="1" thickBot="1" x14ac:dyDescent="0.25">
      <c r="A123"/>
      <c r="B123" s="975"/>
      <c r="C123" s="973" t="s">
        <v>535</v>
      </c>
      <c r="D123" s="828">
        <v>0</v>
      </c>
      <c r="E123" s="831">
        <f t="shared" si="50"/>
        <v>0</v>
      </c>
      <c r="F123" s="828">
        <f t="shared" si="43"/>
        <v>0</v>
      </c>
      <c r="G123" s="831">
        <f t="shared" si="46"/>
        <v>0</v>
      </c>
      <c r="H123" s="828">
        <f t="shared" si="39"/>
        <v>0</v>
      </c>
      <c r="I123" s="831">
        <f t="shared" si="47"/>
        <v>0</v>
      </c>
      <c r="J123" s="828">
        <f t="shared" si="44"/>
        <v>0</v>
      </c>
      <c r="K123" s="831">
        <f t="shared" si="48"/>
        <v>0</v>
      </c>
      <c r="L123" s="828">
        <f t="shared" si="40"/>
        <v>0</v>
      </c>
      <c r="M123" s="831">
        <f t="shared" si="49"/>
        <v>0</v>
      </c>
      <c r="N123" s="27"/>
      <c r="O123" s="357">
        <v>0.03</v>
      </c>
      <c r="P123" s="357">
        <f t="shared" ref="P123" si="52">O123</f>
        <v>0.03</v>
      </c>
      <c r="Q123" s="357">
        <f t="shared" si="42"/>
        <v>0.03</v>
      </c>
      <c r="R123" s="357">
        <f t="shared" si="42"/>
        <v>0.03</v>
      </c>
      <c r="S123" s="354"/>
      <c r="T123" s="302"/>
      <c r="U123" s="302"/>
      <c r="V123" s="302"/>
      <c r="W123" s="302"/>
      <c r="X123" s="302"/>
      <c r="Y123" s="302"/>
      <c r="Z123" s="302"/>
      <c r="AA123" s="302"/>
      <c r="AB123" s="436"/>
    </row>
    <row r="124" spans="1:28" s="4" customFormat="1" ht="13.9" customHeight="1" thickBot="1" x14ac:dyDescent="0.25">
      <c r="A124"/>
      <c r="B124" s="975"/>
      <c r="C124" s="973" t="s">
        <v>536</v>
      </c>
      <c r="D124" s="897">
        <v>0</v>
      </c>
      <c r="E124" s="831">
        <f t="shared" si="50"/>
        <v>0</v>
      </c>
      <c r="F124" s="828">
        <f t="shared" si="43"/>
        <v>0</v>
      </c>
      <c r="G124" s="831">
        <f t="shared" si="46"/>
        <v>0</v>
      </c>
      <c r="H124" s="828">
        <f t="shared" si="39"/>
        <v>0</v>
      </c>
      <c r="I124" s="831">
        <f t="shared" si="47"/>
        <v>0</v>
      </c>
      <c r="J124" s="828">
        <f t="shared" si="44"/>
        <v>0</v>
      </c>
      <c r="K124" s="831">
        <f t="shared" si="48"/>
        <v>0</v>
      </c>
      <c r="L124" s="828">
        <f t="shared" si="40"/>
        <v>0</v>
      </c>
      <c r="M124" s="831">
        <f t="shared" si="49"/>
        <v>0</v>
      </c>
      <c r="N124" s="27"/>
      <c r="O124" s="357">
        <v>0.03</v>
      </c>
      <c r="P124" s="357">
        <f>O124</f>
        <v>0.03</v>
      </c>
      <c r="Q124" s="357">
        <f t="shared" si="42"/>
        <v>0.03</v>
      </c>
      <c r="R124" s="357">
        <f t="shared" si="42"/>
        <v>0.03</v>
      </c>
      <c r="S124" s="509"/>
      <c r="T124" s="437"/>
      <c r="U124" s="437"/>
      <c r="V124" s="437"/>
      <c r="W124" s="437"/>
      <c r="X124" s="437"/>
      <c r="Y124" s="437"/>
      <c r="Z124" s="437"/>
      <c r="AA124" s="437"/>
      <c r="AB124" s="439"/>
    </row>
    <row r="125" spans="1:28" ht="17.649999999999999" customHeight="1" thickBot="1" x14ac:dyDescent="0.25">
      <c r="B125" s="1130" t="s">
        <v>5</v>
      </c>
      <c r="C125" s="1131" t="s">
        <v>537</v>
      </c>
      <c r="D125" s="1132">
        <f>D45+D44</f>
        <v>0</v>
      </c>
      <c r="E125" s="1133">
        <v>0</v>
      </c>
      <c r="F125" s="1132">
        <f>F45+F44</f>
        <v>0</v>
      </c>
      <c r="G125" s="1134">
        <v>0</v>
      </c>
      <c r="H125" s="1132">
        <f>H45+H44</f>
        <v>0</v>
      </c>
      <c r="I125" s="1135">
        <v>0</v>
      </c>
      <c r="J125" s="1132">
        <f>J45+J44</f>
        <v>0</v>
      </c>
      <c r="K125" s="1133"/>
      <c r="L125" s="1132">
        <f>L45+L44</f>
        <v>0</v>
      </c>
      <c r="M125" s="1133"/>
      <c r="N125" s="7"/>
      <c r="O125" s="36"/>
      <c r="P125" s="36"/>
      <c r="Q125" s="36"/>
      <c r="R125" s="36"/>
      <c r="S125" s="37"/>
      <c r="T125" s="37"/>
      <c r="U125" s="37"/>
      <c r="V125" s="37"/>
      <c r="W125" s="37"/>
      <c r="X125" s="37"/>
      <c r="Y125" s="37"/>
      <c r="Z125" s="23"/>
      <c r="AA125" s="23"/>
    </row>
    <row r="126" spans="1:28" ht="17.25" customHeight="1" x14ac:dyDescent="0.25">
      <c r="B126" s="1467" t="str">
        <f>IF(D46+D52&lt;0,"VIRHE! KORJAA LUVUT + MERKKISIKSI!","")</f>
        <v/>
      </c>
      <c r="D126" s="985" t="str">
        <f>IF(D125&lt;0,"MUUTA KAIKKI TAULUKON LUVUT +MERKKISIKSI!","")</f>
        <v/>
      </c>
      <c r="N126" s="3"/>
      <c r="O126" s="22"/>
      <c r="P126" s="22"/>
      <c r="Q126" s="1"/>
      <c r="R126" s="1"/>
      <c r="S126" s="1"/>
      <c r="T126" s="1"/>
      <c r="U126" s="1"/>
      <c r="V126" s="1"/>
      <c r="W126" s="1"/>
      <c r="X126" s="1"/>
      <c r="Y126" s="1"/>
      <c r="Z126" s="23"/>
      <c r="AA126" s="23"/>
    </row>
    <row r="127" spans="1:28" s="2" customFormat="1" x14ac:dyDescent="0.2">
      <c r="A127" s="4"/>
      <c r="D127" s="206"/>
      <c r="E127" s="372"/>
      <c r="F127" s="372"/>
      <c r="G127" s="372"/>
      <c r="H127" s="372"/>
      <c r="I127" s="1895">
        <f>STARTSIDAN!I5</f>
        <v>0</v>
      </c>
      <c r="J127" s="1895"/>
      <c r="K127" s="1895"/>
      <c r="L127" s="1895"/>
      <c r="M127" s="1895"/>
      <c r="N127" s="3"/>
      <c r="O127" s="37"/>
      <c r="P127" s="37"/>
      <c r="Q127" s="37"/>
      <c r="R127" s="37"/>
      <c r="S127" s="37"/>
      <c r="T127" s="37"/>
      <c r="U127" s="37"/>
      <c r="V127" s="37"/>
      <c r="W127" s="37"/>
      <c r="X127" s="37"/>
      <c r="Y127" s="37"/>
      <c r="Z127" s="23"/>
      <c r="AA127" s="23"/>
    </row>
    <row r="128" spans="1:28" s="2" customFormat="1" x14ac:dyDescent="0.2">
      <c r="B128" s="1975" t="str">
        <f>STARTSIDAN!G24</f>
        <v>FT22 Det aktiva företagets resultatplan</v>
      </c>
      <c r="C128" s="1975"/>
      <c r="D128" s="372"/>
      <c r="E128" s="372"/>
      <c r="F128" s="1978" t="str">
        <f>STARTSIDAN!I21</f>
        <v>FöretagsLojo</v>
      </c>
      <c r="G128" s="1978"/>
      <c r="H128" s="1978"/>
      <c r="I128" s="1978"/>
      <c r="J128" s="1978"/>
      <c r="K128" s="1978"/>
      <c r="L128" s="1978"/>
      <c r="M128" s="1978"/>
      <c r="N128" s="3"/>
      <c r="O128" s="37"/>
      <c r="P128" s="37"/>
      <c r="Q128" s="37"/>
      <c r="R128" s="37"/>
      <c r="S128" s="37"/>
      <c r="T128" s="37"/>
      <c r="U128" s="37"/>
      <c r="V128" s="37"/>
      <c r="W128" s="37"/>
      <c r="X128" s="37"/>
      <c r="Y128" s="37"/>
      <c r="Z128" s="23"/>
      <c r="AA128" s="23"/>
    </row>
    <row r="129" spans="1:27" s="2" customFormat="1" x14ac:dyDescent="0.2">
      <c r="B129" s="4"/>
      <c r="N129" s="3"/>
      <c r="O129" s="37"/>
      <c r="P129" s="37"/>
      <c r="Q129" s="37"/>
      <c r="R129" s="37"/>
      <c r="S129" s="37"/>
      <c r="T129" s="37"/>
      <c r="U129" s="37"/>
      <c r="V129" s="37"/>
      <c r="W129" s="37"/>
      <c r="X129" s="37"/>
      <c r="Y129" s="37"/>
      <c r="Z129" s="23"/>
      <c r="AA129" s="23"/>
    </row>
    <row r="130" spans="1:27" ht="6.75" customHeight="1" x14ac:dyDescent="0.2">
      <c r="B130" s="4"/>
      <c r="C130" s="4"/>
      <c r="D130" s="4"/>
      <c r="E130" s="4"/>
      <c r="F130" s="4"/>
      <c r="G130" s="4"/>
      <c r="H130" s="4"/>
      <c r="I130" s="4"/>
      <c r="J130" s="4"/>
      <c r="K130" s="4"/>
      <c r="L130" s="4"/>
      <c r="M130" s="4"/>
      <c r="O130" s="1"/>
      <c r="P130" s="1"/>
      <c r="Q130" s="1"/>
      <c r="R130" s="1"/>
      <c r="S130" s="1"/>
      <c r="T130" s="1"/>
      <c r="U130" s="1"/>
      <c r="V130" s="1"/>
      <c r="W130" s="1"/>
      <c r="X130" s="1"/>
      <c r="Y130" s="1"/>
      <c r="Z130" s="23"/>
      <c r="AA130" s="23"/>
    </row>
    <row r="131" spans="1:27" x14ac:dyDescent="0.2">
      <c r="B131" s="28"/>
      <c r="C131" s="370" t="s">
        <v>767</v>
      </c>
      <c r="D131" s="15"/>
      <c r="E131" s="15"/>
      <c r="F131" s="9"/>
      <c r="G131" s="15"/>
      <c r="H131" s="9"/>
      <c r="I131" s="15"/>
      <c r="J131" s="9"/>
      <c r="K131" s="15"/>
      <c r="L131" s="9"/>
      <c r="M131" s="15"/>
      <c r="N131" s="9"/>
      <c r="O131" s="9"/>
      <c r="P131" s="9"/>
      <c r="Q131" s="8"/>
      <c r="R131" s="23"/>
      <c r="S131" s="23"/>
      <c r="T131" s="23"/>
      <c r="U131" s="23"/>
      <c r="V131" s="23"/>
      <c r="W131" s="23"/>
      <c r="X131" s="23"/>
      <c r="Y131" s="23"/>
      <c r="Z131" s="23"/>
      <c r="AA131" s="23"/>
    </row>
    <row r="132" spans="1:27" s="2" customFormat="1" x14ac:dyDescent="0.2">
      <c r="B132" s="30"/>
      <c r="C132" s="45" t="s">
        <v>768</v>
      </c>
      <c r="D132" s="29"/>
      <c r="E132" s="29"/>
      <c r="F132" s="18"/>
      <c r="G132" s="29"/>
      <c r="H132" s="9"/>
      <c r="I132" s="29"/>
      <c r="J132" s="9"/>
      <c r="K132" s="29"/>
      <c r="L132" s="9"/>
      <c r="M132" s="29"/>
      <c r="N132" s="9"/>
      <c r="O132" s="9"/>
      <c r="P132" s="9"/>
      <c r="Q132" s="8"/>
      <c r="R132" s="23"/>
      <c r="S132" s="23"/>
      <c r="T132" s="23"/>
      <c r="U132" s="23"/>
      <c r="V132" s="23"/>
      <c r="W132" s="23"/>
      <c r="X132" s="23"/>
      <c r="Y132" s="23"/>
      <c r="Z132" s="23"/>
      <c r="AA132" s="23"/>
    </row>
    <row r="133" spans="1:27" s="2" customFormat="1" ht="12.75" customHeight="1" x14ac:dyDescent="0.2">
      <c r="B133" s="30"/>
      <c r="C133" s="45" t="s">
        <v>769</v>
      </c>
      <c r="D133" s="29"/>
      <c r="E133" s="29"/>
      <c r="F133" s="9"/>
      <c r="G133" s="29"/>
      <c r="H133" s="9"/>
      <c r="I133" s="29"/>
      <c r="J133" s="9"/>
      <c r="K133" s="29"/>
      <c r="L133" s="9"/>
      <c r="M133" s="29"/>
      <c r="N133" s="9"/>
      <c r="O133" s="9"/>
      <c r="P133" s="9"/>
      <c r="Q133" s="8"/>
      <c r="R133" s="23"/>
      <c r="S133" s="23"/>
      <c r="T133" s="23"/>
      <c r="U133" s="23"/>
      <c r="V133" s="23"/>
      <c r="W133" s="23"/>
      <c r="X133" s="23"/>
      <c r="Y133" s="23"/>
      <c r="Z133" s="23"/>
      <c r="AA133" s="23"/>
    </row>
    <row r="134" spans="1:27" s="448" customFormat="1" x14ac:dyDescent="0.2">
      <c r="B134" s="1461"/>
      <c r="N134" s="441"/>
      <c r="O134" s="441"/>
      <c r="P134" s="441"/>
      <c r="Q134" s="1462"/>
      <c r="R134" s="29"/>
      <c r="S134" s="1462"/>
      <c r="T134" s="1462"/>
      <c r="U134" s="1462"/>
      <c r="V134" s="1462"/>
      <c r="W134" s="1462"/>
      <c r="X134" s="1462"/>
      <c r="Y134" s="1462"/>
      <c r="Z134" s="1462"/>
      <c r="AA134" s="1462"/>
    </row>
    <row r="135" spans="1:27" s="2" customFormat="1" x14ac:dyDescent="0.2">
      <c r="B135" s="1461"/>
      <c r="N135" s="1463"/>
      <c r="O135" s="1463"/>
      <c r="P135" s="1463"/>
      <c r="Q135" s="1462"/>
      <c r="R135" s="29"/>
      <c r="S135" s="1462"/>
      <c r="T135" s="1462"/>
      <c r="U135" s="1462"/>
      <c r="V135" s="1462"/>
      <c r="W135" s="1462"/>
      <c r="X135" s="1462"/>
      <c r="Y135" s="1462"/>
      <c r="Z135" s="1462"/>
      <c r="AA135" s="1462"/>
    </row>
    <row r="136" spans="1:27" s="448" customFormat="1" x14ac:dyDescent="0.2">
      <c r="B136" s="30"/>
      <c r="N136" s="9"/>
      <c r="O136" s="9"/>
      <c r="P136" s="9"/>
      <c r="Q136" s="1462"/>
      <c r="R136" s="1462"/>
      <c r="S136" s="1462"/>
      <c r="T136" s="1462"/>
      <c r="U136" s="1462"/>
      <c r="V136" s="1462"/>
      <c r="W136" s="1462"/>
      <c r="X136" s="1462"/>
      <c r="Y136" s="1462"/>
      <c r="Z136" s="1462"/>
      <c r="AA136" s="1462"/>
    </row>
    <row r="137" spans="1:27" s="448" customFormat="1" x14ac:dyDescent="0.2">
      <c r="B137" s="1461"/>
      <c r="N137" s="441"/>
      <c r="O137" s="441"/>
      <c r="P137" s="441"/>
      <c r="Q137" s="1462"/>
      <c r="R137" s="1462"/>
      <c r="S137" s="1462"/>
      <c r="T137" s="1462"/>
      <c r="U137" s="1462"/>
      <c r="V137" s="1462"/>
      <c r="W137" s="1462"/>
      <c r="X137" s="1462"/>
      <c r="Y137" s="1462"/>
      <c r="Z137" s="1462"/>
      <c r="AA137" s="1462"/>
    </row>
    <row r="138" spans="1:27" s="448" customFormat="1" x14ac:dyDescent="0.2">
      <c r="B138" s="30"/>
      <c r="N138" s="9"/>
      <c r="O138" s="9"/>
      <c r="P138" s="9"/>
      <c r="Q138" s="1462"/>
      <c r="R138" s="1462"/>
      <c r="S138" s="1462"/>
      <c r="T138" s="1462"/>
      <c r="U138" s="1462"/>
      <c r="V138" s="1462"/>
      <c r="W138" s="1462"/>
      <c r="X138" s="1462"/>
      <c r="Y138" s="1462"/>
      <c r="Z138" s="1462"/>
      <c r="AA138" s="1462"/>
    </row>
    <row r="139" spans="1:27" s="448" customFormat="1" ht="12.75" customHeight="1" x14ac:dyDescent="0.2">
      <c r="B139" s="1462"/>
      <c r="N139" s="1464"/>
      <c r="O139" s="1464"/>
      <c r="P139" s="1464"/>
      <c r="Q139" s="1462"/>
      <c r="R139" s="1462"/>
      <c r="S139" s="1462"/>
      <c r="T139" s="1462"/>
      <c r="U139" s="1462"/>
      <c r="V139" s="1462"/>
      <c r="W139" s="1462"/>
      <c r="X139" s="1462"/>
      <c r="Y139" s="1462"/>
      <c r="Z139" s="1462"/>
      <c r="AA139" s="1462"/>
    </row>
    <row r="140" spans="1:27" s="448" customFormat="1" ht="12.75" customHeight="1" x14ac:dyDescent="0.2">
      <c r="B140" s="1462"/>
      <c r="C140" s="1465"/>
      <c r="D140" s="10"/>
      <c r="E140" s="10"/>
      <c r="F140" s="1464"/>
      <c r="G140" s="10"/>
      <c r="H140" s="441"/>
      <c r="I140" s="10"/>
      <c r="J140" s="441"/>
      <c r="K140" s="10"/>
      <c r="L140" s="441"/>
      <c r="M140" s="10"/>
      <c r="N140" s="441"/>
      <c r="O140" s="441"/>
      <c r="P140" s="441"/>
      <c r="Q140" s="1462"/>
      <c r="R140" s="1462"/>
      <c r="S140" s="1462"/>
      <c r="T140" s="1462"/>
      <c r="U140" s="1462"/>
      <c r="V140" s="1462"/>
      <c r="W140" s="1462"/>
      <c r="X140" s="1462"/>
      <c r="Y140" s="1462"/>
      <c r="Z140" s="1462"/>
      <c r="AA140" s="1462"/>
    </row>
    <row r="141" spans="1:27" s="448" customFormat="1" ht="12.75" customHeight="1" x14ac:dyDescent="0.2">
      <c r="B141" s="1462"/>
      <c r="C141" s="1465"/>
      <c r="D141" s="1462"/>
      <c r="E141" s="1462"/>
      <c r="F141" s="1464"/>
      <c r="G141" s="1462"/>
      <c r="H141" s="1464"/>
      <c r="I141" s="1462"/>
      <c r="J141" s="1464"/>
      <c r="K141" s="1462"/>
      <c r="L141" s="1464"/>
      <c r="M141" s="1462"/>
      <c r="N141" s="1464"/>
      <c r="O141" s="1464"/>
      <c r="P141" s="1464"/>
      <c r="Q141" s="1462"/>
      <c r="R141" s="1462"/>
      <c r="S141" s="1462"/>
      <c r="T141" s="1462"/>
      <c r="U141" s="1462"/>
      <c r="V141" s="1462"/>
      <c r="W141" s="1462"/>
      <c r="X141" s="1462"/>
      <c r="Y141" s="1462"/>
      <c r="Z141" s="1462"/>
      <c r="AA141" s="1462"/>
    </row>
    <row r="142" spans="1:27" s="448" customFormat="1" ht="12.75" customHeight="1" x14ac:dyDescent="0.2">
      <c r="B142" s="1462"/>
      <c r="C142" s="1465"/>
      <c r="D142" s="29"/>
      <c r="E142" s="29"/>
      <c r="F142" s="1464"/>
      <c r="G142" s="29"/>
      <c r="H142" s="1466"/>
      <c r="I142" s="29"/>
      <c r="J142" s="1466"/>
      <c r="K142" s="29"/>
      <c r="L142" s="1466"/>
      <c r="M142" s="29"/>
      <c r="N142" s="1466"/>
      <c r="O142" s="1466"/>
      <c r="P142" s="1466"/>
      <c r="Q142" s="1462"/>
      <c r="R142" s="1462"/>
      <c r="S142" s="1462"/>
      <c r="T142" s="1462"/>
      <c r="U142" s="1462"/>
      <c r="V142" s="1462"/>
      <c r="W142" s="1462"/>
      <c r="X142" s="1462"/>
      <c r="Y142" s="1462"/>
      <c r="Z142" s="1462"/>
      <c r="AA142" s="1462"/>
    </row>
    <row r="143" spans="1:27" s="448" customFormat="1" ht="12.75" customHeight="1" x14ac:dyDescent="0.2">
      <c r="A143" s="1342"/>
      <c r="B143" s="29"/>
      <c r="C143" s="1465"/>
      <c r="D143" s="29"/>
      <c r="E143" s="29"/>
      <c r="F143" s="1464"/>
      <c r="G143" s="29"/>
      <c r="H143" s="1466"/>
      <c r="I143" s="29"/>
      <c r="J143" s="1466"/>
      <c r="K143" s="29"/>
      <c r="L143" s="1466"/>
      <c r="M143" s="29"/>
      <c r="N143" s="1466"/>
      <c r="O143" s="1466"/>
      <c r="P143" s="1466"/>
      <c r="Q143" s="1462"/>
      <c r="R143" s="1462"/>
      <c r="S143" s="1462"/>
      <c r="T143" s="1462"/>
      <c r="U143" s="1462"/>
      <c r="V143" s="1462"/>
      <c r="W143" s="1462"/>
      <c r="X143" s="1462"/>
      <c r="Y143" s="1462"/>
      <c r="Z143" s="1462"/>
      <c r="AA143" s="1462"/>
    </row>
    <row r="144" spans="1:27" s="448" customFormat="1" ht="12.75" customHeight="1" x14ac:dyDescent="0.2">
      <c r="B144" s="1462"/>
      <c r="C144" s="1465"/>
      <c r="D144" s="31"/>
      <c r="E144" s="31"/>
      <c r="F144" s="1464"/>
      <c r="G144" s="31"/>
      <c r="H144" s="1466"/>
      <c r="I144" s="31"/>
      <c r="J144" s="1466"/>
      <c r="K144" s="31"/>
      <c r="L144" s="1466"/>
      <c r="M144" s="31"/>
      <c r="N144" s="1466"/>
      <c r="O144" s="1466"/>
      <c r="P144" s="1466"/>
      <c r="Q144" s="1462"/>
      <c r="R144" s="1462"/>
      <c r="S144" s="1462"/>
      <c r="T144" s="1462"/>
      <c r="U144" s="1462"/>
      <c r="V144" s="1462"/>
      <c r="W144" s="1462"/>
      <c r="X144" s="1462"/>
      <c r="Y144" s="1462"/>
      <c r="Z144" s="1462"/>
      <c r="AA144" s="1462"/>
    </row>
    <row r="145" spans="1:27" s="448" customFormat="1" ht="12.75" customHeight="1" x14ac:dyDescent="0.2">
      <c r="A145" s="1342"/>
      <c r="B145" s="1462"/>
      <c r="C145" s="1462"/>
      <c r="D145" s="29"/>
      <c r="E145" s="29"/>
      <c r="F145" s="1462"/>
      <c r="G145" s="29"/>
      <c r="H145" s="1462"/>
      <c r="I145" s="29"/>
      <c r="J145" s="1462"/>
      <c r="K145" s="29"/>
      <c r="L145" s="1462"/>
      <c r="M145" s="29"/>
      <c r="N145" s="1462"/>
      <c r="O145" s="1462"/>
      <c r="P145" s="1462"/>
      <c r="Q145" s="1462"/>
      <c r="R145" s="1462"/>
      <c r="S145" s="1462"/>
      <c r="T145" s="1462"/>
      <c r="U145" s="1462"/>
      <c r="V145" s="1462"/>
      <c r="W145" s="1462"/>
      <c r="X145" s="1462"/>
      <c r="Y145" s="1462"/>
      <c r="Z145" s="1462"/>
      <c r="AA145" s="1462"/>
    </row>
    <row r="146" spans="1:27" s="448" customFormat="1" ht="12.75" customHeight="1" x14ac:dyDescent="0.2">
      <c r="A146" s="1342"/>
      <c r="B146" s="1462"/>
      <c r="C146" s="1462"/>
      <c r="D146" s="1462"/>
      <c r="E146" s="1462"/>
      <c r="F146" s="30"/>
      <c r="G146" s="1462"/>
      <c r="H146" s="11"/>
      <c r="I146" s="1462"/>
      <c r="J146" s="11"/>
      <c r="K146" s="1462"/>
      <c r="L146" s="11"/>
      <c r="M146" s="1462"/>
      <c r="N146" s="11"/>
      <c r="O146" s="11"/>
      <c r="P146" s="11"/>
      <c r="Q146" s="1462"/>
      <c r="R146" s="1462"/>
      <c r="S146" s="1462"/>
      <c r="T146" s="1462"/>
      <c r="U146" s="1462"/>
      <c r="V146" s="1462"/>
      <c r="W146" s="1462"/>
      <c r="X146" s="1462"/>
      <c r="Y146" s="1462"/>
      <c r="Z146" s="1462"/>
      <c r="AA146" s="1462"/>
    </row>
    <row r="147" spans="1:27" s="448" customFormat="1" ht="12.75" customHeight="1" x14ac:dyDescent="0.2">
      <c r="A147" s="2"/>
      <c r="B147" s="1462"/>
      <c r="C147" s="1462"/>
      <c r="D147" s="1462"/>
      <c r="E147" s="1462"/>
      <c r="F147" s="30"/>
      <c r="G147" s="1462"/>
      <c r="H147" s="9"/>
      <c r="I147" s="1462"/>
      <c r="J147" s="9"/>
      <c r="K147" s="1462"/>
      <c r="L147" s="9"/>
      <c r="M147" s="1462"/>
      <c r="N147" s="9"/>
      <c r="O147" s="9"/>
      <c r="P147" s="9"/>
      <c r="Q147" s="1462"/>
      <c r="R147" s="1462"/>
      <c r="S147" s="1462"/>
      <c r="T147" s="1462"/>
      <c r="U147" s="1462"/>
      <c r="V147" s="1462"/>
      <c r="W147" s="1462"/>
      <c r="X147" s="1462"/>
      <c r="Y147" s="1462"/>
      <c r="Z147" s="1462"/>
      <c r="AA147" s="1462"/>
    </row>
    <row r="148" spans="1:27" s="448" customFormat="1" ht="12.75" customHeight="1" x14ac:dyDescent="0.2">
      <c r="A148" s="1342"/>
      <c r="B148" s="1462"/>
      <c r="C148" s="1462"/>
      <c r="D148" s="1462"/>
      <c r="E148" s="1462"/>
      <c r="F148" s="1462"/>
      <c r="G148" s="1462"/>
      <c r="H148" s="1462"/>
      <c r="I148" s="1462"/>
      <c r="J148" s="1462"/>
      <c r="K148" s="1462"/>
      <c r="L148" s="1462"/>
      <c r="M148" s="1462"/>
      <c r="N148" s="1462"/>
      <c r="O148" s="1462"/>
      <c r="P148" s="1462"/>
      <c r="Q148" s="1462"/>
      <c r="R148" s="1462"/>
      <c r="S148" s="1462"/>
      <c r="T148" s="1462"/>
      <c r="U148" s="1462"/>
      <c r="V148" s="1462"/>
      <c r="W148" s="1462"/>
      <c r="X148" s="1462"/>
      <c r="Y148" s="1462"/>
      <c r="Z148" s="1462"/>
      <c r="AA148" s="1462"/>
    </row>
    <row r="149" spans="1:27" s="448" customFormat="1" ht="12.75" customHeight="1" x14ac:dyDescent="0.2">
      <c r="B149" s="1462"/>
      <c r="C149" s="1462"/>
      <c r="D149" s="29"/>
      <c r="E149" s="29"/>
      <c r="F149" s="30"/>
      <c r="G149" s="29"/>
      <c r="H149" s="12"/>
      <c r="I149" s="29"/>
      <c r="J149" s="12"/>
      <c r="K149" s="29"/>
      <c r="L149" s="12"/>
      <c r="M149" s="29"/>
      <c r="N149" s="12"/>
      <c r="O149" s="12"/>
      <c r="P149" s="12"/>
      <c r="Q149" s="1462"/>
      <c r="R149" s="1462"/>
      <c r="S149" s="1462"/>
      <c r="T149" s="1462"/>
      <c r="U149" s="1462"/>
      <c r="V149" s="1462"/>
      <c r="W149" s="1462"/>
      <c r="X149" s="1462"/>
      <c r="Y149" s="1462"/>
      <c r="Z149" s="1462"/>
      <c r="AA149" s="1462"/>
    </row>
    <row r="150" spans="1:27" s="448" customFormat="1" ht="12.75" customHeight="1" x14ac:dyDescent="0.2">
      <c r="A150" s="1342"/>
    </row>
    <row r="151" spans="1:27" s="448" customFormat="1" ht="12.75" customHeight="1" x14ac:dyDescent="0.2"/>
    <row r="152" spans="1:27" s="448" customFormat="1" ht="12.75" customHeight="1" x14ac:dyDescent="0.2">
      <c r="A152" s="1342"/>
    </row>
    <row r="153" spans="1:27" s="448" customFormat="1" ht="12.75" customHeight="1" x14ac:dyDescent="0.2">
      <c r="A153" s="2"/>
    </row>
    <row r="154" spans="1:27" s="448" customFormat="1" ht="12.75" customHeight="1" x14ac:dyDescent="0.2">
      <c r="A154" s="1342"/>
    </row>
    <row r="155" spans="1:27" s="448" customFormat="1" ht="12.75" customHeight="1" x14ac:dyDescent="0.2"/>
    <row r="156" spans="1:27" s="448" customFormat="1" ht="12.75" customHeight="1" x14ac:dyDescent="0.2">
      <c r="A156" s="1342"/>
    </row>
    <row r="157" spans="1:27" s="448" customFormat="1" ht="12.75" customHeight="1" x14ac:dyDescent="0.2"/>
    <row r="158" spans="1:27" s="448" customFormat="1" ht="12.75" customHeight="1" x14ac:dyDescent="0.2">
      <c r="A158" s="1342"/>
    </row>
    <row r="159" spans="1:27" s="448" customFormat="1" ht="12.75" customHeight="1" x14ac:dyDescent="0.2">
      <c r="A159" s="2"/>
    </row>
    <row r="160" spans="1:27" s="448" customFormat="1" ht="12.75" customHeight="1" x14ac:dyDescent="0.2">
      <c r="A160" s="1342"/>
    </row>
    <row r="161" spans="1:1" s="448" customFormat="1" ht="12.75" customHeight="1" x14ac:dyDescent="0.2"/>
    <row r="162" spans="1:1" s="448" customFormat="1" x14ac:dyDescent="0.2">
      <c r="A162" s="1342"/>
    </row>
    <row r="163" spans="1:1" s="448" customFormat="1" x14ac:dyDescent="0.2"/>
    <row r="164" spans="1:1" s="448" customFormat="1" x14ac:dyDescent="0.2">
      <c r="A164" s="1342"/>
    </row>
    <row r="165" spans="1:1" s="448" customFormat="1" x14ac:dyDescent="0.2">
      <c r="A165" s="2"/>
    </row>
    <row r="166" spans="1:1" s="448" customFormat="1" x14ac:dyDescent="0.2">
      <c r="A166" s="1342"/>
    </row>
    <row r="167" spans="1:1" s="448" customFormat="1" x14ac:dyDescent="0.2">
      <c r="A167" s="4"/>
    </row>
    <row r="168" spans="1:1" s="448" customFormat="1" x14ac:dyDescent="0.2"/>
    <row r="169" spans="1:1" s="448" customFormat="1" x14ac:dyDescent="0.2"/>
    <row r="170" spans="1:1" s="448" customFormat="1" x14ac:dyDescent="0.2"/>
    <row r="171" spans="1:1" s="448" customFormat="1" x14ac:dyDescent="0.2"/>
    <row r="172" spans="1:1" s="448" customFormat="1" x14ac:dyDescent="0.2"/>
    <row r="173" spans="1:1" s="448" customFormat="1" x14ac:dyDescent="0.2"/>
    <row r="174" spans="1:1" s="448" customFormat="1" x14ac:dyDescent="0.2"/>
    <row r="175" spans="1:1" s="448" customFormat="1" x14ac:dyDescent="0.2"/>
    <row r="176" spans="1:1" s="448" customFormat="1" x14ac:dyDescent="0.2"/>
    <row r="177" s="448" customFormat="1" x14ac:dyDescent="0.2"/>
    <row r="178" s="448" customFormat="1" x14ac:dyDescent="0.2"/>
    <row r="179" s="448" customFormat="1" x14ac:dyDescent="0.2"/>
    <row r="180" s="448" customFormat="1" x14ac:dyDescent="0.2"/>
    <row r="181" s="448" customFormat="1" x14ac:dyDescent="0.2"/>
    <row r="182" s="448" customFormat="1" x14ac:dyDescent="0.2"/>
    <row r="183" s="448" customFormat="1" x14ac:dyDescent="0.2"/>
    <row r="184" s="448" customFormat="1" x14ac:dyDescent="0.2"/>
    <row r="185" s="448" customFormat="1" x14ac:dyDescent="0.2"/>
    <row r="186" s="448" customFormat="1" x14ac:dyDescent="0.2"/>
    <row r="187" s="448" customFormat="1" x14ac:dyDescent="0.2"/>
    <row r="188" s="448" customFormat="1" x14ac:dyDescent="0.2"/>
    <row r="189" s="448" customFormat="1" x14ac:dyDescent="0.2"/>
    <row r="190" s="448" customFormat="1" x14ac:dyDescent="0.2"/>
    <row r="191" s="448" customFormat="1" x14ac:dyDescent="0.2"/>
    <row r="192" s="448" customFormat="1" x14ac:dyDescent="0.2"/>
    <row r="193" s="448" customFormat="1" x14ac:dyDescent="0.2"/>
    <row r="194" s="448" customFormat="1" x14ac:dyDescent="0.2"/>
    <row r="195" s="448" customFormat="1" x14ac:dyDescent="0.2"/>
    <row r="196" s="448" customFormat="1" x14ac:dyDescent="0.2"/>
    <row r="197" s="448" customFormat="1" x14ac:dyDescent="0.2"/>
    <row r="198" s="448" customFormat="1" x14ac:dyDescent="0.2"/>
    <row r="199" s="448" customFormat="1" x14ac:dyDescent="0.2"/>
    <row r="200" s="448" customFormat="1" x14ac:dyDescent="0.2"/>
    <row r="201" s="448" customFormat="1" x14ac:dyDescent="0.2"/>
    <row r="202" s="448" customFormat="1" x14ac:dyDescent="0.2"/>
    <row r="203" s="448" customFormat="1" x14ac:dyDescent="0.2"/>
    <row r="204" s="448" customFormat="1" x14ac:dyDescent="0.2"/>
    <row r="205" s="448" customFormat="1" x14ac:dyDescent="0.2"/>
    <row r="206" s="448" customFormat="1" x14ac:dyDescent="0.2"/>
    <row r="207" s="448" customFormat="1" x14ac:dyDescent="0.2"/>
    <row r="208" s="448" customFormat="1" x14ac:dyDescent="0.2"/>
    <row r="209" s="448" customFormat="1" x14ac:dyDescent="0.2"/>
    <row r="210" s="448" customFormat="1" x14ac:dyDescent="0.2"/>
    <row r="211" s="448" customFormat="1" x14ac:dyDescent="0.2"/>
    <row r="212" s="448" customFormat="1" x14ac:dyDescent="0.2"/>
    <row r="213" s="448" customFormat="1" x14ac:dyDescent="0.2"/>
    <row r="214" s="448" customFormat="1" x14ac:dyDescent="0.2"/>
    <row r="215" s="448" customFormat="1" x14ac:dyDescent="0.2"/>
    <row r="216" s="448" customFormat="1" x14ac:dyDescent="0.2"/>
    <row r="217" s="448" customFormat="1" x14ac:dyDescent="0.2"/>
    <row r="218" s="448" customFormat="1" x14ac:dyDescent="0.2"/>
    <row r="219" s="448" customFormat="1" x14ac:dyDescent="0.2"/>
    <row r="220" s="448" customFormat="1" x14ac:dyDescent="0.2"/>
    <row r="221" s="448" customFormat="1" x14ac:dyDescent="0.2"/>
    <row r="222" s="448" customFormat="1" x14ac:dyDescent="0.2"/>
    <row r="223" s="448" customFormat="1" x14ac:dyDescent="0.2"/>
    <row r="224" s="448" customFormat="1" x14ac:dyDescent="0.2"/>
    <row r="225" s="448" customFormat="1" x14ac:dyDescent="0.2"/>
    <row r="226" s="448" customFormat="1" x14ac:dyDescent="0.2"/>
    <row r="227" s="448" customFormat="1" x14ac:dyDescent="0.2"/>
    <row r="228" s="448" customFormat="1" x14ac:dyDescent="0.2"/>
    <row r="229" s="448" customFormat="1" x14ac:dyDescent="0.2"/>
    <row r="230" s="448" customFormat="1" x14ac:dyDescent="0.2"/>
    <row r="231" s="448" customFormat="1" x14ac:dyDescent="0.2"/>
    <row r="232" s="448" customFormat="1" x14ac:dyDescent="0.2"/>
    <row r="233" s="448" customFormat="1" x14ac:dyDescent="0.2"/>
    <row r="234" s="448" customFormat="1" x14ac:dyDescent="0.2"/>
    <row r="235" s="448" customFormat="1" x14ac:dyDescent="0.2"/>
  </sheetData>
  <sheetProtection algorithmName="SHA-512" hashValue="pGVdlzWUIc+QOGHq55Ov0lNZklYBHvwADnGNZC0PGk17sP7CcCJPBtc0ReHRV47mT0QimxCgvVlTd7Lx784zcQ==" saltValue="4TE/p7XFWFlGpuRsKsPiWQ==" spinCount="100000" sheet="1" objects="1" scenarios="1"/>
  <mergeCells count="26">
    <mergeCell ref="B7:C9"/>
    <mergeCell ref="O3:Q3"/>
    <mergeCell ref="E3:F3"/>
    <mergeCell ref="E5:I5"/>
    <mergeCell ref="B128:C128"/>
    <mergeCell ref="D10:E10"/>
    <mergeCell ref="F10:G10"/>
    <mergeCell ref="O11:R11"/>
    <mergeCell ref="D7:E7"/>
    <mergeCell ref="H7:I7"/>
    <mergeCell ref="F7:G7"/>
    <mergeCell ref="L7:M7"/>
    <mergeCell ref="L8:M8"/>
    <mergeCell ref="D8:E8"/>
    <mergeCell ref="F128:M128"/>
    <mergeCell ref="I127:M127"/>
    <mergeCell ref="E2:F2"/>
    <mergeCell ref="L10:M10"/>
    <mergeCell ref="F8:G8"/>
    <mergeCell ref="H8:I8"/>
    <mergeCell ref="J8:K8"/>
    <mergeCell ref="J7:K7"/>
    <mergeCell ref="H10:I10"/>
    <mergeCell ref="J10:K10"/>
    <mergeCell ref="K4:L4"/>
    <mergeCell ref="K5:L5"/>
  </mergeCells>
  <phoneticPr fontId="6" type="noConversion"/>
  <printOptions horizontalCentered="1"/>
  <pageMargins left="0.23622047244094491" right="0.23622047244094491" top="0.74803149606299213" bottom="0.74803149606299213" header="0.31496062992125984" footer="0.31496062992125984"/>
  <pageSetup paperSize="9" scale="75" orientation="portrait" r:id="rId1"/>
  <headerFooter alignWithMargins="0"/>
  <rowBreaks count="1" manualBreakCount="1">
    <brk id="68" min="1" max="25" man="1"/>
  </rowBreaks>
  <colBreaks count="1" manualBreakCount="1">
    <brk id="13" min="1" max="123" man="1"/>
  </colBreaks>
  <ignoredErrors>
    <ignoredError sqref="H13 J13 L13 R13" unlocked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41">
    <tabColor rgb="FF0152A1"/>
  </sheetPr>
  <dimension ref="A2:Y91"/>
  <sheetViews>
    <sheetView showGridLines="0" showZeros="0" zoomScaleNormal="100" workbookViewId="0">
      <selection activeCell="P71" sqref="P71"/>
    </sheetView>
  </sheetViews>
  <sheetFormatPr defaultRowHeight="12.75" x14ac:dyDescent="0.2"/>
  <cols>
    <col min="1" max="1" width="8.7109375" customWidth="1"/>
    <col min="2" max="2" width="27" customWidth="1"/>
    <col min="3" max="3" width="5.5703125" customWidth="1"/>
    <col min="4" max="4" width="4.28515625" style="33" customWidth="1"/>
    <col min="5" max="9" width="13.28515625" customWidth="1"/>
    <col min="10" max="10" width="5.28515625" customWidth="1"/>
    <col min="15" max="22" width="8.85546875" customWidth="1"/>
  </cols>
  <sheetData>
    <row r="2" spans="1:25" ht="15.75" x14ac:dyDescent="0.25">
      <c r="B2" s="19" t="s">
        <v>544</v>
      </c>
      <c r="C2" s="19"/>
      <c r="D2"/>
      <c r="E2" s="19"/>
      <c r="G2" s="19"/>
      <c r="K2" s="2" t="str">
        <f>B2</f>
        <v>E2 HUR OMSÄTTNINGEN UPPSTÅR</v>
      </c>
      <c r="O2" s="360"/>
    </row>
    <row r="3" spans="1:25" ht="13.5" customHeight="1" x14ac:dyDescent="0.2">
      <c r="A3" s="1363" t="s">
        <v>297</v>
      </c>
      <c r="B3" s="389">
        <f>'3. T3 BALANS'!D12</f>
        <v>0</v>
      </c>
      <c r="C3" s="389"/>
      <c r="D3" s="6"/>
      <c r="E3" s="5"/>
      <c r="G3" s="6"/>
      <c r="H3" s="6"/>
      <c r="I3" s="6"/>
      <c r="O3" s="361"/>
    </row>
    <row r="4" spans="1:25" ht="17.25" customHeight="1" x14ac:dyDescent="0.2">
      <c r="B4" s="38" t="s">
        <v>255</v>
      </c>
      <c r="C4" s="38"/>
      <c r="D4" s="47"/>
      <c r="E4" s="14" t="s">
        <v>0</v>
      </c>
      <c r="F4" s="38" t="s">
        <v>256</v>
      </c>
      <c r="H4" s="14" t="s">
        <v>0</v>
      </c>
      <c r="I4" s="41"/>
      <c r="J4" s="24" t="s">
        <v>0</v>
      </c>
      <c r="K4" s="24" t="s">
        <v>0</v>
      </c>
      <c r="L4" s="24" t="s">
        <v>0</v>
      </c>
    </row>
    <row r="5" spans="1:25" ht="14.25" customHeight="1" x14ac:dyDescent="0.2">
      <c r="B5" s="515">
        <f>'2. &amp; 7. T2 RESULTATB.'!B5:D5</f>
        <v>0</v>
      </c>
      <c r="C5" s="515"/>
      <c r="D5" s="515"/>
      <c r="E5" s="518"/>
      <c r="F5" s="1989">
        <f>'1. T1 INVESTERINGSP.'!B9</f>
        <v>0</v>
      </c>
      <c r="G5" s="1989"/>
      <c r="H5" s="1989"/>
      <c r="I5" s="1616"/>
      <c r="J5" s="17"/>
      <c r="K5" s="1778"/>
      <c r="L5" s="1778"/>
      <c r="X5" s="8"/>
      <c r="Y5" s="8"/>
    </row>
    <row r="6" spans="1:25" ht="6" customHeight="1" x14ac:dyDescent="0.2">
      <c r="G6" s="13"/>
      <c r="H6" s="13"/>
      <c r="I6" s="13"/>
      <c r="M6" s="362"/>
      <c r="N6" s="131"/>
      <c r="O6" s="131"/>
      <c r="P6" s="131"/>
      <c r="Q6" s="1"/>
      <c r="R6" s="1"/>
      <c r="S6" s="1"/>
      <c r="T6" s="1"/>
      <c r="U6" s="1"/>
      <c r="V6" s="1"/>
      <c r="W6" s="1"/>
      <c r="X6" s="8"/>
      <c r="Y6" s="8"/>
    </row>
    <row r="7" spans="1:25" x14ac:dyDescent="0.2">
      <c r="B7" s="1983"/>
      <c r="C7" s="1983"/>
      <c r="D7" s="1984"/>
      <c r="E7" s="1309" t="s">
        <v>321</v>
      </c>
      <c r="F7" s="1309" t="s">
        <v>276</v>
      </c>
      <c r="G7" s="1309" t="s">
        <v>277</v>
      </c>
      <c r="H7" s="1309" t="s">
        <v>278</v>
      </c>
      <c r="I7" s="1237" t="s">
        <v>279</v>
      </c>
    </row>
    <row r="8" spans="1:25" x14ac:dyDescent="0.2">
      <c r="B8" s="1984"/>
      <c r="C8" s="1984"/>
      <c r="D8" s="1984"/>
      <c r="E8" s="1136">
        <f>'5. E1 VERKSAMHETSKOSTN.'!D$8</f>
        <v>2024</v>
      </c>
      <c r="F8" s="1136">
        <f>'5. E1 VERKSAMHETSKOSTN.'!F$8</f>
        <v>2027</v>
      </c>
      <c r="G8" s="1136">
        <f>'5. E1 VERKSAMHETSKOSTN.'!H$8</f>
        <v>2028</v>
      </c>
      <c r="H8" s="1136">
        <f>'5. E1 VERKSAMHETSKOSTN.'!J$8</f>
        <v>2029</v>
      </c>
      <c r="I8" s="1308">
        <f>'2. &amp; 7. T2 RESULTATB.'!O8</f>
        <v>2030</v>
      </c>
      <c r="J8" s="34"/>
      <c r="K8" s="299"/>
      <c r="L8" s="299"/>
      <c r="M8" s="299"/>
      <c r="N8" s="299"/>
      <c r="O8" s="155"/>
      <c r="P8" s="155"/>
      <c r="Q8" s="155"/>
      <c r="R8" s="155"/>
      <c r="S8" s="155"/>
      <c r="T8" s="155"/>
      <c r="U8" s="155"/>
      <c r="V8" s="155"/>
    </row>
    <row r="9" spans="1:25" x14ac:dyDescent="0.2">
      <c r="B9" s="1987" t="str">
        <f>'5. E1 VERKSAMHETSKOSTN.'!C10</f>
        <v>Räkenskapsperiodens längd (månader)</v>
      </c>
      <c r="C9" s="1987"/>
      <c r="D9" s="1987"/>
      <c r="E9" s="1310" t="str">
        <f>'5. E1 VERKSAMHETSKOSTN.'!D10</f>
        <v>12</v>
      </c>
      <c r="F9" s="1310">
        <f>'5. E1 VERKSAMHETSKOSTN.'!F10</f>
        <v>12</v>
      </c>
      <c r="G9" s="1310" t="str">
        <f>'5. E1 VERKSAMHETSKOSTN.'!H10</f>
        <v>12</v>
      </c>
      <c r="H9" s="1310" t="str">
        <f>'5. E1 VERKSAMHETSKOSTN.'!J10</f>
        <v>12</v>
      </c>
      <c r="I9" s="1308" t="str">
        <f>'5. E1 VERKSAMHETSKOSTN.'!L10</f>
        <v>12</v>
      </c>
      <c r="J9" s="34"/>
      <c r="K9" s="299"/>
      <c r="L9" s="299"/>
      <c r="M9" s="299"/>
      <c r="N9" s="299"/>
      <c r="O9" s="155"/>
      <c r="P9" s="155"/>
      <c r="Q9" s="155"/>
      <c r="R9" s="155"/>
      <c r="S9" s="155"/>
      <c r="T9" s="155"/>
      <c r="U9" s="155"/>
      <c r="V9" s="155"/>
    </row>
    <row r="10" spans="1:25" ht="14.1" customHeight="1" x14ac:dyDescent="0.2">
      <c r="B10" s="2307" t="s">
        <v>299</v>
      </c>
      <c r="C10" s="2308" t="s">
        <v>299</v>
      </c>
      <c r="D10" s="374" t="s">
        <v>207</v>
      </c>
      <c r="E10" s="707">
        <f>(E17+E24+E31+E38+E45+E52+E59+E66+E73+E80)</f>
        <v>0</v>
      </c>
      <c r="F10" s="708">
        <f>(F17+F24+F31+F38+F45+F52+F59+F66+F73+F80)</f>
        <v>0</v>
      </c>
      <c r="G10" s="708">
        <f>(G17+G24+G31+G38+G45+G52+G59+G66+G73+G80)</f>
        <v>0</v>
      </c>
      <c r="H10" s="708">
        <f>(H17+H24+H31+H38+H45+H52+H59+H66+H73+H80)</f>
        <v>0</v>
      </c>
      <c r="I10" s="708">
        <f>(I17+I24+I31+I38+I45+I52+I59+I66+I73+I80)</f>
        <v>0</v>
      </c>
      <c r="K10" s="155"/>
      <c r="L10" s="155"/>
      <c r="M10" s="155"/>
      <c r="N10" s="155"/>
      <c r="O10" s="155"/>
      <c r="P10" s="155"/>
      <c r="Q10" s="155"/>
      <c r="R10" s="155"/>
      <c r="S10" s="155"/>
      <c r="T10" s="155"/>
      <c r="U10" s="155"/>
      <c r="V10" s="155"/>
    </row>
    <row r="11" spans="1:25" ht="14.1" customHeight="1" x14ac:dyDescent="0.2">
      <c r="B11" s="2307" t="s">
        <v>545</v>
      </c>
      <c r="C11" s="2308" t="s">
        <v>545</v>
      </c>
      <c r="D11" s="374" t="s">
        <v>207</v>
      </c>
      <c r="E11" s="707">
        <f>(E21+E28+E35+E42+E49+E56+E63+E70+E77+E84)</f>
        <v>0</v>
      </c>
      <c r="F11" s="708">
        <f>(F21+F28+F35+F42+F49+F56+F63+F70+F77+F84)</f>
        <v>0</v>
      </c>
      <c r="G11" s="708">
        <f>(G21+G28+G35+G42+G49+G56+G63+G70+G77+G84)</f>
        <v>0</v>
      </c>
      <c r="H11" s="708">
        <f>(H21+H28+H35+H42+H49+H56+H63+H70+H77+H84)</f>
        <v>0</v>
      </c>
      <c r="I11" s="708">
        <f>(I21+I28+I35+I42+I49+I56+I63+I70+I77+I84)</f>
        <v>0</v>
      </c>
      <c r="K11" s="155"/>
      <c r="L11" s="155"/>
      <c r="M11" s="155"/>
      <c r="N11" s="155"/>
      <c r="O11" s="155"/>
      <c r="P11" s="155"/>
      <c r="Q11" s="155"/>
      <c r="R11" s="155"/>
      <c r="S11" s="155"/>
      <c r="T11" s="155"/>
      <c r="U11" s="155"/>
      <c r="V11" s="155"/>
    </row>
    <row r="12" spans="1:25" ht="14.1" customHeight="1" x14ac:dyDescent="0.2">
      <c r="B12" s="2307" t="s">
        <v>546</v>
      </c>
      <c r="C12" s="2308" t="s">
        <v>546</v>
      </c>
      <c r="D12" s="374"/>
      <c r="E12" s="709">
        <f>IF(E11=0,0,E11/E10)</f>
        <v>0</v>
      </c>
      <c r="F12" s="710">
        <f>IF(F11=0,0,F11/F10)</f>
        <v>0</v>
      </c>
      <c r="G12" s="710">
        <f>IF(G11=0,0,G11/G10)</f>
        <v>0</v>
      </c>
      <c r="H12" s="710">
        <f>IF(H11=0,0,H11/H10)</f>
        <v>0</v>
      </c>
      <c r="I12" s="710">
        <f>IF(I11=0,0,I11/I10)</f>
        <v>0</v>
      </c>
      <c r="K12" s="155"/>
      <c r="L12" s="155"/>
      <c r="M12" s="155"/>
      <c r="N12" s="155"/>
      <c r="O12" s="155"/>
      <c r="P12" s="155"/>
      <c r="Q12" s="155"/>
      <c r="R12" s="155"/>
      <c r="S12" s="155"/>
      <c r="T12" s="155"/>
      <c r="U12" s="155"/>
      <c r="V12" s="155"/>
    </row>
    <row r="13" spans="1:25" ht="14.1" customHeight="1" x14ac:dyDescent="0.2">
      <c r="B13" s="2307" t="s">
        <v>547</v>
      </c>
      <c r="C13" s="2308" t="s">
        <v>547</v>
      </c>
      <c r="D13" s="374" t="s">
        <v>207</v>
      </c>
      <c r="E13" s="711"/>
      <c r="F13" s="708">
        <f>(F16*F17+F23*F24+F30*F31+F37*F38+F44*F45+F51*F52+F58*F59+F65*F66+F72*F73+F79*F80)</f>
        <v>0</v>
      </c>
      <c r="G13" s="708">
        <f>(G16*G17+G23*G24+G30*G31+G37*G38+G44*G45+G51*G52+G58*G59+G65*G66+G72*G73+G79*G80)</f>
        <v>0</v>
      </c>
      <c r="H13" s="708">
        <f>(H16*H17+H23*H24+H30*H31+H37*H38+H44*H45+H51*H52+H58*H59+H65*H66+H72*H73+H79*H80)</f>
        <v>0</v>
      </c>
      <c r="I13" s="708">
        <f>(I16*I17+I23*I24+I30*I31+I37*I38+I44*I45+I51*I52+I58*I59+I65*I66+I72*I73+I79*I80)</f>
        <v>0</v>
      </c>
      <c r="K13" s="170"/>
      <c r="L13" s="170"/>
      <c r="M13" s="170"/>
      <c r="N13" s="170"/>
      <c r="O13" s="170"/>
      <c r="P13" s="170"/>
      <c r="Q13" s="170"/>
      <c r="R13" s="170"/>
      <c r="S13" s="170"/>
      <c r="T13" s="170"/>
      <c r="U13" s="170"/>
      <c r="V13" s="170"/>
    </row>
    <row r="14" spans="1:25" ht="14.1" customHeight="1" x14ac:dyDescent="0.2">
      <c r="B14" s="2307" t="s">
        <v>548</v>
      </c>
      <c r="C14" s="2308" t="s">
        <v>548</v>
      </c>
      <c r="D14" s="374" t="s">
        <v>207</v>
      </c>
      <c r="E14" s="711"/>
      <c r="F14" s="708">
        <f>F12*F13</f>
        <v>0</v>
      </c>
      <c r="G14" s="708">
        <f>G12*G13</f>
        <v>0</v>
      </c>
      <c r="H14" s="708">
        <f>H12*H13</f>
        <v>0</v>
      </c>
      <c r="I14" s="708">
        <f>I12*I13</f>
        <v>0</v>
      </c>
      <c r="K14" s="1648" t="s">
        <v>549</v>
      </c>
      <c r="L14" s="1326"/>
      <c r="M14" s="1196"/>
      <c r="N14" s="1196"/>
      <c r="O14" s="1196"/>
      <c r="P14" s="1196"/>
      <c r="Q14" s="1327"/>
      <c r="R14" s="1327"/>
      <c r="S14" s="1327"/>
      <c r="T14" s="1327"/>
      <c r="U14" s="1327"/>
      <c r="V14" s="1328"/>
    </row>
    <row r="15" spans="1:25" ht="6" customHeight="1" x14ac:dyDescent="0.2">
      <c r="B15" s="1495"/>
      <c r="C15" s="1495"/>
      <c r="D15" s="1496"/>
      <c r="E15" s="1497"/>
      <c r="F15" s="1498"/>
      <c r="G15" s="1498"/>
      <c r="H15" s="1498"/>
      <c r="I15" s="1498"/>
      <c r="K15" s="1329"/>
      <c r="L15" s="299"/>
      <c r="M15" s="299"/>
      <c r="N15" s="299"/>
      <c r="O15" s="155"/>
      <c r="P15" s="155"/>
      <c r="Q15" s="155"/>
      <c r="R15" s="155"/>
      <c r="S15" s="155"/>
      <c r="T15" s="155"/>
      <c r="U15" s="155"/>
      <c r="V15" s="323"/>
    </row>
    <row r="16" spans="1:25" ht="12" customHeight="1" x14ac:dyDescent="0.2">
      <c r="A16" s="46"/>
      <c r="B16" s="1306"/>
      <c r="C16" s="1307"/>
      <c r="D16" s="1307"/>
      <c r="E16" s="1559" t="s">
        <v>552</v>
      </c>
      <c r="F16" s="602">
        <v>0.255</v>
      </c>
      <c r="G16" s="602">
        <f>F16</f>
        <v>0.255</v>
      </c>
      <c r="H16" s="602">
        <f>G16</f>
        <v>0.255</v>
      </c>
      <c r="I16" s="1305">
        <f>H16</f>
        <v>0.255</v>
      </c>
      <c r="J16" s="34"/>
      <c r="K16" s="1985" t="s">
        <v>553</v>
      </c>
      <c r="L16" s="1986"/>
      <c r="M16" s="1986"/>
      <c r="N16" s="1986"/>
      <c r="O16" s="302"/>
      <c r="P16" s="302"/>
      <c r="Q16" s="302"/>
      <c r="R16" s="302"/>
      <c r="S16" s="302"/>
      <c r="T16" s="302"/>
      <c r="U16" s="302"/>
      <c r="V16" s="436"/>
    </row>
    <row r="17" spans="1:22" ht="12.75" customHeight="1" x14ac:dyDescent="0.2">
      <c r="B17" s="1304" t="s">
        <v>770</v>
      </c>
      <c r="C17" s="1979" t="s">
        <v>550</v>
      </c>
      <c r="D17" s="1980"/>
      <c r="E17" s="535">
        <v>0</v>
      </c>
      <c r="F17" s="1631">
        <f>F18*F19</f>
        <v>0</v>
      </c>
      <c r="G17" s="1631">
        <f>G18*G19</f>
        <v>0</v>
      </c>
      <c r="H17" s="581">
        <f>H18*H19</f>
        <v>0</v>
      </c>
      <c r="I17" s="1631">
        <f>I18*I19</f>
        <v>0</v>
      </c>
      <c r="K17" s="270">
        <f>F$8</f>
        <v>2027</v>
      </c>
      <c r="L17" s="270">
        <f>G$8</f>
        <v>2028</v>
      </c>
      <c r="M17" s="270">
        <f>H$8</f>
        <v>2029</v>
      </c>
      <c r="N17" s="270">
        <f>I$8</f>
        <v>2030</v>
      </c>
      <c r="O17" s="302"/>
      <c r="P17" s="302"/>
      <c r="Q17" s="302"/>
      <c r="R17" s="302"/>
      <c r="S17" s="302"/>
      <c r="T17" s="302"/>
      <c r="U17" s="302"/>
      <c r="V17" s="436"/>
    </row>
    <row r="18" spans="1:22" ht="12" customHeight="1" x14ac:dyDescent="0.2">
      <c r="A18" s="46"/>
      <c r="B18" s="1629" t="s">
        <v>540</v>
      </c>
      <c r="C18" s="1632"/>
      <c r="D18" s="1313" t="s">
        <v>551</v>
      </c>
      <c r="E18" s="535">
        <v>0</v>
      </c>
      <c r="F18" s="535">
        <f>E18+E18*K18</f>
        <v>0</v>
      </c>
      <c r="G18" s="535">
        <f t="shared" ref="G18:G19" si="0">F18+F18*L18</f>
        <v>0</v>
      </c>
      <c r="H18" s="535">
        <f>G18+G18*M18</f>
        <v>0</v>
      </c>
      <c r="I18" s="535">
        <f>H18+H18*N18</f>
        <v>0</v>
      </c>
      <c r="K18" s="357">
        <v>0</v>
      </c>
      <c r="L18" s="357">
        <f t="shared" ref="L18:N19" si="1">K18</f>
        <v>0</v>
      </c>
      <c r="M18" s="357">
        <f t="shared" si="1"/>
        <v>0</v>
      </c>
      <c r="N18" s="357">
        <f t="shared" si="1"/>
        <v>0</v>
      </c>
      <c r="O18" s="302"/>
      <c r="P18" s="1330"/>
      <c r="Q18" s="302"/>
      <c r="R18" s="302"/>
      <c r="S18" s="302"/>
      <c r="T18" s="302"/>
      <c r="U18" s="302"/>
      <c r="V18" s="436"/>
    </row>
    <row r="19" spans="1:22" ht="12" customHeight="1" x14ac:dyDescent="0.2">
      <c r="A19" s="2"/>
      <c r="B19" s="1629" t="s">
        <v>541</v>
      </c>
      <c r="C19" s="1632"/>
      <c r="D19" s="1313" t="s">
        <v>207</v>
      </c>
      <c r="E19" s="699">
        <f>IF(E18=0,0,E17/E18)</f>
        <v>0</v>
      </c>
      <c r="F19" s="700">
        <f>E19+E19*K19</f>
        <v>0</v>
      </c>
      <c r="G19" s="700">
        <f t="shared" si="0"/>
        <v>0</v>
      </c>
      <c r="H19" s="700">
        <f>G19+G19*M19</f>
        <v>0</v>
      </c>
      <c r="I19" s="700">
        <f>H19+H19*N19</f>
        <v>0</v>
      </c>
      <c r="K19" s="357">
        <v>0.03</v>
      </c>
      <c r="L19" s="357">
        <f t="shared" si="1"/>
        <v>0.03</v>
      </c>
      <c r="M19" s="357">
        <f t="shared" si="1"/>
        <v>0.03</v>
      </c>
      <c r="N19" s="357">
        <f t="shared" si="1"/>
        <v>0.03</v>
      </c>
      <c r="O19" s="302"/>
      <c r="P19" s="302"/>
      <c r="Q19" s="302"/>
      <c r="R19" s="302"/>
      <c r="S19" s="302"/>
      <c r="T19" s="302"/>
      <c r="U19" s="302"/>
      <c r="V19" s="436"/>
    </row>
    <row r="20" spans="1:22" ht="12" customHeight="1" x14ac:dyDescent="0.2">
      <c r="A20" s="46"/>
      <c r="B20" s="1629" t="s">
        <v>542</v>
      </c>
      <c r="C20" s="1632"/>
      <c r="D20" s="328"/>
      <c r="E20" s="701">
        <f>IF(E17=0,0,E21/E17)</f>
        <v>0</v>
      </c>
      <c r="F20" s="702">
        <f>E20</f>
        <v>0</v>
      </c>
      <c r="G20" s="702">
        <f>F20</f>
        <v>0</v>
      </c>
      <c r="H20" s="702">
        <f>G20</f>
        <v>0</v>
      </c>
      <c r="I20" s="702">
        <f>H20</f>
        <v>0</v>
      </c>
      <c r="K20" s="354"/>
      <c r="L20" s="467"/>
      <c r="M20" s="302"/>
      <c r="N20" s="302"/>
      <c r="O20" s="302"/>
      <c r="P20" s="302"/>
      <c r="Q20" s="302"/>
      <c r="R20" s="302"/>
      <c r="S20" s="302"/>
      <c r="T20" s="302"/>
      <c r="U20" s="302"/>
      <c r="V20" s="436"/>
    </row>
    <row r="21" spans="1:22" ht="12" customHeight="1" x14ac:dyDescent="0.2">
      <c r="B21" s="1629" t="s">
        <v>543</v>
      </c>
      <c r="C21" s="1632"/>
      <c r="D21" s="328" t="s">
        <v>207</v>
      </c>
      <c r="E21" s="535">
        <v>0</v>
      </c>
      <c r="F21" s="1053">
        <f>IF(F20=0,0,F17*F20)</f>
        <v>0</v>
      </c>
      <c r="G21" s="1053">
        <f>IF(G20=0,0,G17*G20)</f>
        <v>0</v>
      </c>
      <c r="H21" s="1053">
        <f>IF(H20=0,0,H17*H20)</f>
        <v>0</v>
      </c>
      <c r="I21" s="1053">
        <f>IF(I20=0,0,I17*I20)</f>
        <v>0</v>
      </c>
      <c r="K21" s="354"/>
      <c r="L21" s="302"/>
      <c r="M21" s="302"/>
      <c r="N21" s="302"/>
      <c r="O21" s="302"/>
      <c r="P21" s="302"/>
      <c r="Q21" s="302"/>
      <c r="R21" s="302"/>
      <c r="S21" s="302"/>
      <c r="T21" s="302"/>
      <c r="U21" s="302"/>
      <c r="V21" s="436"/>
    </row>
    <row r="22" spans="1:22" ht="6" customHeight="1" x14ac:dyDescent="0.2">
      <c r="B22" s="42"/>
      <c r="C22" s="42"/>
      <c r="D22" s="66"/>
      <c r="E22" s="1291"/>
      <c r="F22" s="1288"/>
      <c r="G22" s="1288"/>
      <c r="H22" s="1288"/>
      <c r="I22" s="1288"/>
      <c r="K22" s="354"/>
      <c r="L22" s="302"/>
      <c r="M22" s="302"/>
      <c r="N22" s="302"/>
      <c r="O22" s="302"/>
      <c r="P22" s="302"/>
      <c r="Q22" s="302"/>
      <c r="R22" s="302"/>
      <c r="S22" s="302"/>
      <c r="T22" s="302"/>
      <c r="U22" s="302"/>
      <c r="V22" s="436"/>
    </row>
    <row r="23" spans="1:22" ht="12" customHeight="1" x14ac:dyDescent="0.2">
      <c r="B23" s="42"/>
      <c r="C23" s="42"/>
      <c r="D23" s="66"/>
      <c r="E23" s="1559" t="s">
        <v>552</v>
      </c>
      <c r="F23" s="702">
        <v>0.255</v>
      </c>
      <c r="G23" s="1311">
        <f>F23</f>
        <v>0.255</v>
      </c>
      <c r="H23" s="1311">
        <f>G23</f>
        <v>0.255</v>
      </c>
      <c r="I23" s="1312">
        <f>H23</f>
        <v>0.255</v>
      </c>
      <c r="K23" s="354"/>
      <c r="L23" s="302"/>
      <c r="M23" s="302"/>
      <c r="N23" s="302"/>
      <c r="O23" s="302"/>
      <c r="P23" s="302"/>
      <c r="Q23" s="302"/>
      <c r="R23" s="302"/>
      <c r="S23" s="302"/>
      <c r="T23" s="302"/>
      <c r="U23" s="302"/>
      <c r="V23" s="436"/>
    </row>
    <row r="24" spans="1:22" ht="12" customHeight="1" x14ac:dyDescent="0.2">
      <c r="B24" s="1304">
        <v>0</v>
      </c>
      <c r="C24" s="1979" t="s">
        <v>550</v>
      </c>
      <c r="D24" s="1980"/>
      <c r="E24" s="535">
        <v>0</v>
      </c>
      <c r="F24" s="1631">
        <f>F25*F26</f>
        <v>0</v>
      </c>
      <c r="G24" s="1633">
        <f>G25*G26</f>
        <v>0</v>
      </c>
      <c r="H24" s="1634">
        <f>H25*H26</f>
        <v>0</v>
      </c>
      <c r="I24" s="1633">
        <f>I25*I26</f>
        <v>0</v>
      </c>
      <c r="K24" s="1340"/>
      <c r="L24" s="1332"/>
      <c r="M24" s="1332"/>
      <c r="N24" s="1332"/>
      <c r="O24" s="302"/>
      <c r="P24" s="302"/>
      <c r="Q24" s="302"/>
      <c r="R24" s="302"/>
      <c r="S24" s="302"/>
      <c r="T24" s="302"/>
      <c r="U24" s="302"/>
      <c r="V24" s="436"/>
    </row>
    <row r="25" spans="1:22" ht="12" customHeight="1" x14ac:dyDescent="0.2">
      <c r="B25" s="1629" t="s">
        <v>540</v>
      </c>
      <c r="C25" s="1632"/>
      <c r="D25" s="393"/>
      <c r="E25" s="535">
        <v>0</v>
      </c>
      <c r="F25" s="535">
        <f>E25+E25*K25</f>
        <v>0</v>
      </c>
      <c r="G25" s="535">
        <f>F25+F25*L25</f>
        <v>0</v>
      </c>
      <c r="H25" s="535">
        <f t="shared" ref="H25:I26" si="2">G25+G25*M25</f>
        <v>0</v>
      </c>
      <c r="I25" s="535">
        <f t="shared" si="2"/>
        <v>0</v>
      </c>
      <c r="K25" s="1320">
        <v>0</v>
      </c>
      <c r="L25" s="1320">
        <f t="shared" ref="L25" si="3">K25</f>
        <v>0</v>
      </c>
      <c r="M25" s="1320">
        <f t="shared" ref="M25" si="4">L25</f>
        <v>0</v>
      </c>
      <c r="N25" s="1320">
        <f t="shared" ref="N25" si="5">M25</f>
        <v>0</v>
      </c>
      <c r="O25" s="302"/>
      <c r="P25" s="302"/>
      <c r="Q25" s="302"/>
      <c r="R25" s="302"/>
      <c r="S25" s="302"/>
      <c r="T25" s="302"/>
      <c r="U25" s="302"/>
      <c r="V25" s="436"/>
    </row>
    <row r="26" spans="1:22" ht="12" customHeight="1" x14ac:dyDescent="0.2">
      <c r="B26" s="1629" t="s">
        <v>541</v>
      </c>
      <c r="C26" s="1632"/>
      <c r="D26" s="393" t="s">
        <v>207</v>
      </c>
      <c r="E26" s="699">
        <f>IF(E25=0,0,E24/E25)</f>
        <v>0</v>
      </c>
      <c r="F26" s="700">
        <f>E26+E26*K26</f>
        <v>0</v>
      </c>
      <c r="G26" s="700">
        <f t="shared" ref="G26" si="6">F26+F26*L26</f>
        <v>0</v>
      </c>
      <c r="H26" s="700">
        <f t="shared" si="2"/>
        <v>0</v>
      </c>
      <c r="I26" s="700">
        <f t="shared" si="2"/>
        <v>0</v>
      </c>
      <c r="K26" s="357">
        <v>0.03</v>
      </c>
      <c r="L26" s="357">
        <f t="shared" ref="L26" si="7">K26</f>
        <v>0.03</v>
      </c>
      <c r="M26" s="357">
        <f t="shared" ref="M26:N26" si="8">L26</f>
        <v>0.03</v>
      </c>
      <c r="N26" s="357">
        <f t="shared" si="8"/>
        <v>0.03</v>
      </c>
      <c r="O26" s="302"/>
      <c r="P26" s="302"/>
      <c r="Q26" s="302"/>
      <c r="R26" s="302"/>
      <c r="S26" s="302"/>
      <c r="T26" s="302"/>
      <c r="U26" s="302"/>
      <c r="V26" s="436"/>
    </row>
    <row r="27" spans="1:22" ht="12" customHeight="1" x14ac:dyDescent="0.2">
      <c r="B27" s="1629" t="s">
        <v>542</v>
      </c>
      <c r="C27" s="1632"/>
      <c r="D27" s="328"/>
      <c r="E27" s="701">
        <f>IF(E24=0,0,E28/E24)</f>
        <v>0</v>
      </c>
      <c r="F27" s="702">
        <f>E27</f>
        <v>0</v>
      </c>
      <c r="G27" s="702">
        <f>F27</f>
        <v>0</v>
      </c>
      <c r="H27" s="702">
        <f>G27</f>
        <v>0</v>
      </c>
      <c r="I27" s="702">
        <f>H27</f>
        <v>0</v>
      </c>
      <c r="K27" s="354"/>
      <c r="L27" s="467"/>
      <c r="M27" s="302"/>
      <c r="N27" s="302"/>
      <c r="O27" s="302"/>
      <c r="P27" s="302"/>
      <c r="Q27" s="302"/>
      <c r="R27" s="302"/>
      <c r="S27" s="302"/>
      <c r="T27" s="302"/>
      <c r="U27" s="302"/>
      <c r="V27" s="436"/>
    </row>
    <row r="28" spans="1:22" ht="12" customHeight="1" x14ac:dyDescent="0.2">
      <c r="B28" s="1629" t="s">
        <v>543</v>
      </c>
      <c r="C28" s="1632"/>
      <c r="D28" s="328" t="s">
        <v>207</v>
      </c>
      <c r="E28" s="535">
        <v>0</v>
      </c>
      <c r="F28" s="1053">
        <f>IF(F27=0,0,F24*F27)</f>
        <v>0</v>
      </c>
      <c r="G28" s="1053">
        <f>IF(G27=0,0,G24*G27)</f>
        <v>0</v>
      </c>
      <c r="H28" s="1053">
        <f>IF(H27=0,0,H24*H27)</f>
        <v>0</v>
      </c>
      <c r="I28" s="1053">
        <f>IF(I27=0,0,I24*I27)</f>
        <v>0</v>
      </c>
      <c r="K28" s="354"/>
      <c r="L28" s="302"/>
      <c r="M28" s="302"/>
      <c r="N28" s="302"/>
      <c r="O28" s="302"/>
      <c r="P28" s="302"/>
      <c r="Q28" s="302"/>
      <c r="R28" s="302"/>
      <c r="S28" s="302"/>
      <c r="T28" s="302"/>
      <c r="U28" s="302"/>
      <c r="V28" s="436"/>
    </row>
    <row r="29" spans="1:22" ht="6" customHeight="1" x14ac:dyDescent="0.2">
      <c r="B29" s="42"/>
      <c r="C29" s="42"/>
      <c r="D29" s="66"/>
      <c r="E29" s="1291"/>
      <c r="F29" s="1288"/>
      <c r="G29" s="1288"/>
      <c r="H29" s="1288"/>
      <c r="I29" s="1288"/>
      <c r="K29" s="354"/>
      <c r="L29" s="302"/>
      <c r="M29" s="302"/>
      <c r="N29" s="302"/>
      <c r="O29" s="302"/>
      <c r="P29" s="302"/>
      <c r="Q29" s="302"/>
      <c r="R29" s="302"/>
      <c r="S29" s="302"/>
      <c r="T29" s="302"/>
      <c r="U29" s="302"/>
      <c r="V29" s="436"/>
    </row>
    <row r="30" spans="1:22" ht="12" customHeight="1" x14ac:dyDescent="0.2">
      <c r="A30" s="46"/>
      <c r="B30" s="42"/>
      <c r="C30" s="42"/>
      <c r="D30" s="66"/>
      <c r="E30" s="1559" t="s">
        <v>552</v>
      </c>
      <c r="F30" s="1311">
        <v>0.255</v>
      </c>
      <c r="G30" s="1311">
        <f>F30</f>
        <v>0.255</v>
      </c>
      <c r="H30" s="1311">
        <f>G30</f>
        <v>0.255</v>
      </c>
      <c r="I30" s="1312">
        <f>H30</f>
        <v>0.255</v>
      </c>
      <c r="K30" s="354"/>
      <c r="L30" s="302"/>
      <c r="M30" s="302"/>
      <c r="N30" s="302"/>
      <c r="O30" s="302"/>
      <c r="P30" s="302"/>
      <c r="Q30" s="302"/>
      <c r="R30" s="302"/>
      <c r="S30" s="302"/>
      <c r="T30" s="302"/>
      <c r="U30" s="302"/>
      <c r="V30" s="436"/>
    </row>
    <row r="31" spans="1:22" ht="12" customHeight="1" x14ac:dyDescent="0.2">
      <c r="B31" s="1304">
        <v>0</v>
      </c>
      <c r="C31" s="1979" t="s">
        <v>550</v>
      </c>
      <c r="D31" s="1980"/>
      <c r="E31" s="535">
        <v>0</v>
      </c>
      <c r="F31" s="1633">
        <f>F32*F33</f>
        <v>0</v>
      </c>
      <c r="G31" s="1633">
        <f>G32*G33</f>
        <v>0</v>
      </c>
      <c r="H31" s="1634">
        <f>H32*H33</f>
        <v>0</v>
      </c>
      <c r="I31" s="1633">
        <f>I32*I33</f>
        <v>0</v>
      </c>
      <c r="K31" s="1338"/>
      <c r="L31" s="1339"/>
      <c r="M31" s="1339"/>
      <c r="N31" s="1339"/>
      <c r="O31" s="302"/>
      <c r="P31" s="302"/>
      <c r="Q31" s="302"/>
      <c r="R31" s="302"/>
      <c r="S31" s="302"/>
      <c r="T31" s="302"/>
      <c r="U31" s="302"/>
      <c r="V31" s="436"/>
    </row>
    <row r="32" spans="1:22" ht="12" customHeight="1" x14ac:dyDescent="0.2">
      <c r="B32" s="1629" t="s">
        <v>540</v>
      </c>
      <c r="C32" s="1632"/>
      <c r="D32" s="393"/>
      <c r="E32" s="535"/>
      <c r="F32" s="535">
        <f>E32+E32*K32</f>
        <v>0</v>
      </c>
      <c r="G32" s="535">
        <f>F32+F32*L32</f>
        <v>0</v>
      </c>
      <c r="H32" s="535">
        <f t="shared" ref="H32:I33" si="9">G32+G32*M32</f>
        <v>0</v>
      </c>
      <c r="I32" s="535">
        <f t="shared" si="9"/>
        <v>0</v>
      </c>
      <c r="K32" s="357">
        <v>0</v>
      </c>
      <c r="L32" s="357">
        <f t="shared" ref="L32:L33" si="10">K32</f>
        <v>0</v>
      </c>
      <c r="M32" s="357">
        <f t="shared" ref="M32:N33" si="11">L32</f>
        <v>0</v>
      </c>
      <c r="N32" s="357">
        <f t="shared" si="11"/>
        <v>0</v>
      </c>
      <c r="O32" s="302"/>
      <c r="P32" s="302"/>
      <c r="Q32" s="302"/>
      <c r="R32" s="302"/>
      <c r="S32" s="302"/>
      <c r="T32" s="302"/>
      <c r="U32" s="302"/>
      <c r="V32" s="436"/>
    </row>
    <row r="33" spans="2:22" ht="12" customHeight="1" x14ac:dyDescent="0.2">
      <c r="B33" s="1629" t="s">
        <v>541</v>
      </c>
      <c r="C33" s="1632"/>
      <c r="D33" s="393" t="s">
        <v>207</v>
      </c>
      <c r="E33" s="699">
        <f>IF(E32=0,0,E31/E32)</f>
        <v>0</v>
      </c>
      <c r="F33" s="700">
        <f>E33+E33*K33</f>
        <v>0</v>
      </c>
      <c r="G33" s="700">
        <f t="shared" ref="G33" si="12">F33+F33*L33</f>
        <v>0</v>
      </c>
      <c r="H33" s="700">
        <f>G33+G33*M33</f>
        <v>0</v>
      </c>
      <c r="I33" s="700">
        <f t="shared" si="9"/>
        <v>0</v>
      </c>
      <c r="K33" s="357">
        <v>0.03</v>
      </c>
      <c r="L33" s="357">
        <f t="shared" si="10"/>
        <v>0.03</v>
      </c>
      <c r="M33" s="357">
        <f t="shared" si="11"/>
        <v>0.03</v>
      </c>
      <c r="N33" s="357">
        <f t="shared" si="11"/>
        <v>0.03</v>
      </c>
      <c r="O33" s="302"/>
      <c r="P33" s="302"/>
      <c r="Q33" s="302"/>
      <c r="R33" s="302"/>
      <c r="S33" s="302"/>
      <c r="T33" s="302"/>
      <c r="U33" s="302"/>
      <c r="V33" s="436"/>
    </row>
    <row r="34" spans="2:22" ht="12" customHeight="1" x14ac:dyDescent="0.2">
      <c r="B34" s="1629" t="s">
        <v>542</v>
      </c>
      <c r="C34" s="1632"/>
      <c r="D34" s="328"/>
      <c r="E34" s="701">
        <f>IF(E31=0,0,E35/E31)</f>
        <v>0</v>
      </c>
      <c r="F34" s="702">
        <f>E34</f>
        <v>0</v>
      </c>
      <c r="G34" s="702">
        <f>F34</f>
        <v>0</v>
      </c>
      <c r="H34" s="702">
        <f>G34</f>
        <v>0</v>
      </c>
      <c r="I34" s="702">
        <f>H34</f>
        <v>0</v>
      </c>
      <c r="K34" s="1201"/>
      <c r="L34" s="352"/>
      <c r="M34" s="298"/>
      <c r="N34" s="298"/>
      <c r="O34" s="302"/>
      <c r="P34" s="302"/>
      <c r="Q34" s="302"/>
      <c r="R34" s="302"/>
      <c r="S34" s="302"/>
      <c r="T34" s="302"/>
      <c r="U34" s="302"/>
      <c r="V34" s="436"/>
    </row>
    <row r="35" spans="2:22" ht="12" customHeight="1" x14ac:dyDescent="0.2">
      <c r="B35" s="1629" t="s">
        <v>543</v>
      </c>
      <c r="C35" s="1632"/>
      <c r="D35" s="328" t="s">
        <v>207</v>
      </c>
      <c r="E35" s="535">
        <v>0</v>
      </c>
      <c r="F35" s="1053">
        <f>IF(F34=0,0,F31*F34)</f>
        <v>0</v>
      </c>
      <c r="G35" s="1053">
        <f>IF(G34=0,0,G31*G34)</f>
        <v>0</v>
      </c>
      <c r="H35" s="1053">
        <f>IF(H34=0,0,H31*H34)</f>
        <v>0</v>
      </c>
      <c r="I35" s="1053">
        <f>IF(I34=0,0,I31*I34)</f>
        <v>0</v>
      </c>
      <c r="K35" s="1201"/>
      <c r="L35" s="298"/>
      <c r="M35" s="298"/>
      <c r="N35" s="298"/>
      <c r="O35" s="302"/>
      <c r="P35" s="302"/>
      <c r="Q35" s="302"/>
      <c r="R35" s="302"/>
      <c r="S35" s="302"/>
      <c r="T35" s="302"/>
      <c r="U35" s="302"/>
      <c r="V35" s="436"/>
    </row>
    <row r="36" spans="2:22" ht="6" customHeight="1" x14ac:dyDescent="0.2">
      <c r="B36" s="42"/>
      <c r="C36" s="42"/>
      <c r="D36" s="66"/>
      <c r="E36" s="1291"/>
      <c r="F36" s="1288"/>
      <c r="G36" s="1288"/>
      <c r="H36" s="1288"/>
      <c r="I36" s="1288"/>
      <c r="K36" s="1201"/>
      <c r="L36" s="298"/>
      <c r="M36" s="298"/>
      <c r="N36" s="298"/>
      <c r="O36" s="302"/>
      <c r="P36" s="302"/>
      <c r="Q36" s="302"/>
      <c r="R36" s="302"/>
      <c r="S36" s="302"/>
      <c r="T36" s="302"/>
      <c r="U36" s="302"/>
      <c r="V36" s="436"/>
    </row>
    <row r="37" spans="2:22" ht="12" customHeight="1" x14ac:dyDescent="0.2">
      <c r="B37" s="42"/>
      <c r="C37" s="42"/>
      <c r="D37" s="66"/>
      <c r="E37" s="1559" t="s">
        <v>552</v>
      </c>
      <c r="F37" s="607">
        <v>0.255</v>
      </c>
      <c r="G37" s="607">
        <f>F37</f>
        <v>0.255</v>
      </c>
      <c r="H37" s="607">
        <f>G37</f>
        <v>0.255</v>
      </c>
      <c r="I37" s="702">
        <f>H37</f>
        <v>0.255</v>
      </c>
      <c r="K37" s="1201"/>
      <c r="L37" s="298"/>
      <c r="M37" s="298"/>
      <c r="N37" s="298"/>
      <c r="O37" s="302"/>
      <c r="P37" s="302"/>
      <c r="Q37" s="302"/>
      <c r="R37" s="302"/>
      <c r="S37" s="302"/>
      <c r="T37" s="302"/>
      <c r="U37" s="302"/>
      <c r="V37" s="436"/>
    </row>
    <row r="38" spans="2:22" ht="12" customHeight="1" x14ac:dyDescent="0.2">
      <c r="B38" s="1304">
        <v>0</v>
      </c>
      <c r="C38" s="1979" t="s">
        <v>550</v>
      </c>
      <c r="D38" s="1980"/>
      <c r="E38" s="535">
        <v>0</v>
      </c>
      <c r="F38" s="1631">
        <f>F39*F40</f>
        <v>0</v>
      </c>
      <c r="G38" s="1631">
        <f>G39*G40</f>
        <v>0</v>
      </c>
      <c r="H38" s="581">
        <f>H39*H40</f>
        <v>0</v>
      </c>
      <c r="I38" s="1631">
        <f>I39*I40</f>
        <v>0</v>
      </c>
      <c r="K38" s="1338"/>
      <c r="L38" s="1339"/>
      <c r="M38" s="1339"/>
      <c r="N38" s="1339"/>
      <c r="O38" s="302"/>
      <c r="P38" s="302"/>
      <c r="Q38" s="302"/>
      <c r="R38" s="302"/>
      <c r="S38" s="302"/>
      <c r="T38" s="302"/>
      <c r="U38" s="302"/>
      <c r="V38" s="436"/>
    </row>
    <row r="39" spans="2:22" ht="12" customHeight="1" x14ac:dyDescent="0.2">
      <c r="B39" s="1629" t="s">
        <v>540</v>
      </c>
      <c r="C39" s="1632"/>
      <c r="D39" s="1313"/>
      <c r="E39" s="535">
        <v>0</v>
      </c>
      <c r="F39" s="535">
        <f>E39+E39*K39</f>
        <v>0</v>
      </c>
      <c r="G39" s="535">
        <f>F39+F39*L39</f>
        <v>0</v>
      </c>
      <c r="H39" s="705">
        <f>G39+G39*M39</f>
        <v>0</v>
      </c>
      <c r="I39" s="533">
        <f t="shared" ref="G39:I40" si="13">H39+H39*N39</f>
        <v>0</v>
      </c>
      <c r="K39" s="357">
        <v>0</v>
      </c>
      <c r="L39" s="357">
        <f t="shared" ref="L39:N40" si="14">K39</f>
        <v>0</v>
      </c>
      <c r="M39" s="357">
        <f t="shared" si="14"/>
        <v>0</v>
      </c>
      <c r="N39" s="357">
        <f t="shared" si="14"/>
        <v>0</v>
      </c>
      <c r="O39" s="302"/>
      <c r="P39" s="302"/>
      <c r="Q39" s="302"/>
      <c r="R39" s="302"/>
      <c r="S39" s="302"/>
      <c r="T39" s="302"/>
      <c r="U39" s="302"/>
      <c r="V39" s="436"/>
    </row>
    <row r="40" spans="2:22" ht="12" customHeight="1" x14ac:dyDescent="0.2">
      <c r="B40" s="1629" t="s">
        <v>541</v>
      </c>
      <c r="C40" s="1632"/>
      <c r="D40" s="1313" t="s">
        <v>207</v>
      </c>
      <c r="E40" s="699">
        <f>IF(E39=0,0,E38/E39)</f>
        <v>0</v>
      </c>
      <c r="F40" s="700">
        <f>E40+E40*K40</f>
        <v>0</v>
      </c>
      <c r="G40" s="700">
        <f t="shared" si="13"/>
        <v>0</v>
      </c>
      <c r="H40" s="704">
        <f>G40+G40*M40</f>
        <v>0</v>
      </c>
      <c r="I40" s="700">
        <f t="shared" si="13"/>
        <v>0</v>
      </c>
      <c r="K40" s="357">
        <v>0.03</v>
      </c>
      <c r="L40" s="357">
        <f t="shared" si="14"/>
        <v>0.03</v>
      </c>
      <c r="M40" s="357">
        <f t="shared" si="14"/>
        <v>0.03</v>
      </c>
      <c r="N40" s="357">
        <f t="shared" si="14"/>
        <v>0.03</v>
      </c>
      <c r="O40" s="302"/>
      <c r="P40" s="302"/>
      <c r="Q40" s="302"/>
      <c r="R40" s="302"/>
      <c r="S40" s="302"/>
      <c r="T40" s="302"/>
      <c r="U40" s="302"/>
      <c r="V40" s="436"/>
    </row>
    <row r="41" spans="2:22" ht="12" customHeight="1" x14ac:dyDescent="0.2">
      <c r="B41" s="1629" t="s">
        <v>542</v>
      </c>
      <c r="C41" s="1632"/>
      <c r="D41" s="328"/>
      <c r="E41" s="701">
        <f>IF(E38=0,0,E42/E38)</f>
        <v>0</v>
      </c>
      <c r="F41" s="702">
        <f>E41</f>
        <v>0</v>
      </c>
      <c r="G41" s="702">
        <f>F41</f>
        <v>0</v>
      </c>
      <c r="H41" s="702">
        <f>G41</f>
        <v>0</v>
      </c>
      <c r="I41" s="702">
        <f>H41</f>
        <v>0</v>
      </c>
      <c r="K41" s="354"/>
      <c r="L41" s="467"/>
      <c r="M41" s="302"/>
      <c r="N41" s="302"/>
      <c r="O41" s="302"/>
      <c r="P41" s="302"/>
      <c r="Q41" s="302"/>
      <c r="R41" s="302"/>
      <c r="S41" s="302"/>
      <c r="T41" s="302"/>
      <c r="U41" s="302"/>
      <c r="V41" s="436"/>
    </row>
    <row r="42" spans="2:22" ht="12" customHeight="1" x14ac:dyDescent="0.2">
      <c r="B42" s="1629" t="s">
        <v>543</v>
      </c>
      <c r="C42" s="1632"/>
      <c r="D42" s="328" t="s">
        <v>207</v>
      </c>
      <c r="E42" s="535">
        <v>0</v>
      </c>
      <c r="F42" s="1053">
        <f>IF(F41=0,0,F38*F41)</f>
        <v>0</v>
      </c>
      <c r="G42" s="1053">
        <f>IF(G41=0,0,G38*G41)</f>
        <v>0</v>
      </c>
      <c r="H42" s="706">
        <f>IF(H41=0,0,H38*H41)</f>
        <v>0</v>
      </c>
      <c r="I42" s="1053">
        <f>IF(I41=0,0,I38*I41)</f>
        <v>0</v>
      </c>
      <c r="K42" s="354"/>
      <c r="L42" s="302"/>
      <c r="M42" s="302"/>
      <c r="N42" s="302"/>
      <c r="O42" s="302"/>
      <c r="P42" s="302"/>
      <c r="Q42" s="302"/>
      <c r="R42" s="302"/>
      <c r="S42" s="302"/>
      <c r="T42" s="302"/>
      <c r="U42" s="302"/>
      <c r="V42" s="436"/>
    </row>
    <row r="43" spans="2:22" ht="6" customHeight="1" x14ac:dyDescent="0.2">
      <c r="B43" s="42"/>
      <c r="C43" s="42"/>
      <c r="D43" s="66"/>
      <c r="E43" s="1291"/>
      <c r="F43" s="1288"/>
      <c r="G43" s="1288"/>
      <c r="H43" s="1288"/>
      <c r="I43" s="1288"/>
      <c r="K43" s="354"/>
      <c r="L43" s="302"/>
      <c r="M43" s="302"/>
      <c r="N43" s="302"/>
      <c r="O43" s="302"/>
      <c r="P43" s="302"/>
      <c r="Q43" s="302"/>
      <c r="R43" s="302"/>
      <c r="S43" s="302"/>
      <c r="T43" s="302"/>
      <c r="U43" s="302"/>
      <c r="V43" s="436"/>
    </row>
    <row r="44" spans="2:22" ht="12" customHeight="1" x14ac:dyDescent="0.2">
      <c r="B44" s="42"/>
      <c r="C44" s="42"/>
      <c r="D44" s="66"/>
      <c r="E44" s="1559" t="s">
        <v>236</v>
      </c>
      <c r="F44" s="607">
        <v>0.255</v>
      </c>
      <c r="G44" s="607">
        <f>F44</f>
        <v>0.255</v>
      </c>
      <c r="H44" s="607">
        <f>G44</f>
        <v>0.255</v>
      </c>
      <c r="I44" s="702">
        <f>H44</f>
        <v>0.255</v>
      </c>
      <c r="K44" s="354"/>
      <c r="L44" s="302"/>
      <c r="M44" s="302"/>
      <c r="N44" s="302"/>
      <c r="O44" s="302"/>
      <c r="P44" s="302"/>
      <c r="Q44" s="302"/>
      <c r="R44" s="302"/>
      <c r="S44" s="302"/>
      <c r="T44" s="302"/>
      <c r="U44" s="302"/>
      <c r="V44" s="436"/>
    </row>
    <row r="45" spans="2:22" ht="12" customHeight="1" x14ac:dyDescent="0.2">
      <c r="B45" s="1304">
        <v>0</v>
      </c>
      <c r="C45" s="1979" t="s">
        <v>550</v>
      </c>
      <c r="D45" s="1980"/>
      <c r="E45" s="535">
        <v>0</v>
      </c>
      <c r="F45" s="1631">
        <f>F46*F47</f>
        <v>0</v>
      </c>
      <c r="G45" s="1631">
        <f>G46*G47</f>
        <v>0</v>
      </c>
      <c r="H45" s="581">
        <f>H46*H47</f>
        <v>0</v>
      </c>
      <c r="I45" s="1631">
        <f>I46*I47</f>
        <v>0</v>
      </c>
      <c r="K45" s="1338"/>
      <c r="L45" s="1339"/>
      <c r="M45" s="1339"/>
      <c r="N45" s="1339"/>
      <c r="O45" s="302"/>
      <c r="P45" s="302"/>
      <c r="Q45" s="302"/>
      <c r="R45" s="302"/>
      <c r="S45" s="302"/>
      <c r="T45" s="302"/>
      <c r="U45" s="302"/>
      <c r="V45" s="436"/>
    </row>
    <row r="46" spans="2:22" ht="12" customHeight="1" x14ac:dyDescent="0.2">
      <c r="B46" s="1629" t="s">
        <v>540</v>
      </c>
      <c r="C46" s="1632"/>
      <c r="D46" s="1313"/>
      <c r="E46" s="535">
        <v>0</v>
      </c>
      <c r="F46" s="535">
        <f>E46+E46*K46</f>
        <v>0</v>
      </c>
      <c r="G46" s="535">
        <f>F46+F46*L46</f>
        <v>0</v>
      </c>
      <c r="H46" s="705">
        <f t="shared" ref="G46:I47" si="15">G46+G46*M46</f>
        <v>0</v>
      </c>
      <c r="I46" s="535">
        <f t="shared" si="15"/>
        <v>0</v>
      </c>
      <c r="K46" s="357">
        <v>0</v>
      </c>
      <c r="L46" s="357">
        <f t="shared" ref="L46:N47" si="16">K46</f>
        <v>0</v>
      </c>
      <c r="M46" s="357">
        <f t="shared" si="16"/>
        <v>0</v>
      </c>
      <c r="N46" s="357">
        <f t="shared" si="16"/>
        <v>0</v>
      </c>
      <c r="O46" s="302"/>
      <c r="P46" s="302"/>
      <c r="Q46" s="302"/>
      <c r="R46" s="302"/>
      <c r="S46" s="302"/>
      <c r="T46" s="302"/>
      <c r="U46" s="302"/>
      <c r="V46" s="436"/>
    </row>
    <row r="47" spans="2:22" ht="12" customHeight="1" x14ac:dyDescent="0.2">
      <c r="B47" s="1629" t="s">
        <v>541</v>
      </c>
      <c r="C47" s="1632"/>
      <c r="D47" s="1313" t="s">
        <v>207</v>
      </c>
      <c r="E47" s="699">
        <f>IF(E46=0,0,E45/E46)</f>
        <v>0</v>
      </c>
      <c r="F47" s="700">
        <f>E47+E47*K47</f>
        <v>0</v>
      </c>
      <c r="G47" s="700">
        <f t="shared" si="15"/>
        <v>0</v>
      </c>
      <c r="H47" s="704">
        <f t="shared" si="15"/>
        <v>0</v>
      </c>
      <c r="I47" s="700">
        <f t="shared" si="15"/>
        <v>0</v>
      </c>
      <c r="K47" s="357">
        <v>0.03</v>
      </c>
      <c r="L47" s="357">
        <f t="shared" si="16"/>
        <v>0.03</v>
      </c>
      <c r="M47" s="357">
        <f t="shared" si="16"/>
        <v>0.03</v>
      </c>
      <c r="N47" s="357">
        <f t="shared" si="16"/>
        <v>0.03</v>
      </c>
      <c r="O47" s="302"/>
      <c r="P47" s="302"/>
      <c r="Q47" s="302"/>
      <c r="R47" s="302"/>
      <c r="S47" s="302"/>
      <c r="T47" s="302"/>
      <c r="U47" s="302"/>
      <c r="V47" s="436"/>
    </row>
    <row r="48" spans="2:22" ht="12" customHeight="1" x14ac:dyDescent="0.2">
      <c r="B48" s="1629" t="s">
        <v>542</v>
      </c>
      <c r="C48" s="1632"/>
      <c r="D48" s="328"/>
      <c r="E48" s="701">
        <f>IF(E45=0,0,E49/E45)</f>
        <v>0</v>
      </c>
      <c r="F48" s="702">
        <f>E48</f>
        <v>0</v>
      </c>
      <c r="G48" s="702">
        <f>F48</f>
        <v>0</v>
      </c>
      <c r="H48" s="702">
        <f>G48</f>
        <v>0</v>
      </c>
      <c r="I48" s="702">
        <f>H48</f>
        <v>0</v>
      </c>
      <c r="K48" s="354"/>
      <c r="L48" s="467"/>
      <c r="M48" s="302"/>
      <c r="N48" s="302"/>
      <c r="O48" s="302"/>
      <c r="P48" s="302"/>
      <c r="Q48" s="302"/>
      <c r="R48" s="302"/>
      <c r="S48" s="302"/>
      <c r="T48" s="302"/>
      <c r="U48" s="302"/>
      <c r="V48" s="436"/>
    </row>
    <row r="49" spans="2:22" ht="12" customHeight="1" x14ac:dyDescent="0.2">
      <c r="B49" s="1629" t="s">
        <v>543</v>
      </c>
      <c r="C49" s="1632"/>
      <c r="D49" s="328" t="s">
        <v>207</v>
      </c>
      <c r="E49" s="535">
        <v>0</v>
      </c>
      <c r="F49" s="1053">
        <f>IF(F48=0,0,F45*F48)</f>
        <v>0</v>
      </c>
      <c r="G49" s="1053">
        <f>IF(G48=0,0,G45*G48)</f>
        <v>0</v>
      </c>
      <c r="H49" s="706">
        <f>IF(H48=0,0,H45*H48)</f>
        <v>0</v>
      </c>
      <c r="I49" s="1053">
        <f>IF(I48=0,0,I45*I48)</f>
        <v>0</v>
      </c>
      <c r="K49" s="354"/>
      <c r="L49" s="302"/>
      <c r="M49" s="302"/>
      <c r="N49" s="302"/>
      <c r="O49" s="302"/>
      <c r="P49" s="302"/>
      <c r="Q49" s="302"/>
      <c r="R49" s="302"/>
      <c r="S49" s="302"/>
      <c r="T49" s="302"/>
      <c r="U49" s="302"/>
      <c r="V49" s="436"/>
    </row>
    <row r="50" spans="2:22" ht="6" customHeight="1" x14ac:dyDescent="0.2">
      <c r="B50" s="42"/>
      <c r="C50" s="42"/>
      <c r="D50" s="66"/>
      <c r="E50" s="1291"/>
      <c r="F50" s="1288"/>
      <c r="G50" s="1288"/>
      <c r="H50" s="1288"/>
      <c r="I50" s="1288"/>
      <c r="K50" s="354"/>
      <c r="L50" s="302"/>
      <c r="M50" s="302"/>
      <c r="N50" s="302"/>
      <c r="O50" s="302"/>
      <c r="P50" s="302"/>
      <c r="Q50" s="302"/>
      <c r="R50" s="302"/>
      <c r="S50" s="302"/>
      <c r="T50" s="302"/>
      <c r="U50" s="302"/>
      <c r="V50" s="436"/>
    </row>
    <row r="51" spans="2:22" ht="12" customHeight="1" x14ac:dyDescent="0.2">
      <c r="B51" s="42"/>
      <c r="C51" s="42"/>
      <c r="D51" s="66"/>
      <c r="E51" s="1559" t="s">
        <v>552</v>
      </c>
      <c r="F51" s="607">
        <v>0.255</v>
      </c>
      <c r="G51" s="607">
        <f>F51</f>
        <v>0.255</v>
      </c>
      <c r="H51" s="607">
        <f>G51</f>
        <v>0.255</v>
      </c>
      <c r="I51" s="702">
        <f>H51</f>
        <v>0.255</v>
      </c>
      <c r="K51" s="354"/>
      <c r="L51" s="302"/>
      <c r="M51" s="302"/>
      <c r="N51" s="302"/>
      <c r="O51" s="302"/>
      <c r="P51" s="302"/>
      <c r="Q51" s="302"/>
      <c r="R51" s="302"/>
      <c r="S51" s="302"/>
      <c r="T51" s="302"/>
      <c r="U51" s="302"/>
      <c r="V51" s="436"/>
    </row>
    <row r="52" spans="2:22" ht="12" customHeight="1" x14ac:dyDescent="0.2">
      <c r="B52" s="1304">
        <v>0</v>
      </c>
      <c r="C52" s="1979" t="s">
        <v>550</v>
      </c>
      <c r="D52" s="1980"/>
      <c r="E52" s="535">
        <v>0</v>
      </c>
      <c r="F52" s="1631">
        <f>F53*F54</f>
        <v>0</v>
      </c>
      <c r="G52" s="1631">
        <f>G53*G54</f>
        <v>0</v>
      </c>
      <c r="H52" s="581">
        <f>H53*H54</f>
        <v>0</v>
      </c>
      <c r="I52" s="1631">
        <f>I53*I54</f>
        <v>0</v>
      </c>
      <c r="K52" s="1338"/>
      <c r="L52" s="1339"/>
      <c r="M52" s="1339"/>
      <c r="N52" s="1339"/>
      <c r="O52" s="302"/>
      <c r="P52" s="302"/>
      <c r="Q52" s="302"/>
      <c r="R52" s="302"/>
      <c r="S52" s="302"/>
      <c r="T52" s="302"/>
      <c r="U52" s="302"/>
      <c r="V52" s="436"/>
    </row>
    <row r="53" spans="2:22" ht="12" customHeight="1" x14ac:dyDescent="0.2">
      <c r="B53" s="1629" t="s">
        <v>540</v>
      </c>
      <c r="C53" s="1632"/>
      <c r="D53" s="1313"/>
      <c r="E53" s="535">
        <v>0</v>
      </c>
      <c r="F53" s="535">
        <f>E53+E53*K53</f>
        <v>0</v>
      </c>
      <c r="G53" s="535">
        <f t="shared" ref="G53:I54" si="17">F53+F53*L53</f>
        <v>0</v>
      </c>
      <c r="H53" s="705">
        <f t="shared" si="17"/>
        <v>0</v>
      </c>
      <c r="I53" s="535">
        <f t="shared" si="17"/>
        <v>0</v>
      </c>
      <c r="K53" s="357">
        <v>0</v>
      </c>
      <c r="L53" s="357">
        <f t="shared" ref="L53:N54" si="18">K53</f>
        <v>0</v>
      </c>
      <c r="M53" s="357">
        <f t="shared" si="18"/>
        <v>0</v>
      </c>
      <c r="N53" s="357">
        <f t="shared" si="18"/>
        <v>0</v>
      </c>
      <c r="O53" s="302"/>
      <c r="P53" s="302"/>
      <c r="Q53" s="302"/>
      <c r="R53" s="302"/>
      <c r="S53" s="302"/>
      <c r="T53" s="302"/>
      <c r="U53" s="302"/>
      <c r="V53" s="436"/>
    </row>
    <row r="54" spans="2:22" ht="12" customHeight="1" x14ac:dyDescent="0.2">
      <c r="B54" s="1629" t="s">
        <v>541</v>
      </c>
      <c r="C54" s="1632"/>
      <c r="D54" s="1313" t="s">
        <v>207</v>
      </c>
      <c r="E54" s="699">
        <f>IF(E53=0,0,E52/E53)</f>
        <v>0</v>
      </c>
      <c r="F54" s="700">
        <f>E54+E54*K54</f>
        <v>0</v>
      </c>
      <c r="G54" s="700">
        <f t="shared" si="17"/>
        <v>0</v>
      </c>
      <c r="H54" s="704">
        <f t="shared" si="17"/>
        <v>0</v>
      </c>
      <c r="I54" s="700">
        <f t="shared" si="17"/>
        <v>0</v>
      </c>
      <c r="K54" s="357">
        <v>0.03</v>
      </c>
      <c r="L54" s="357">
        <f t="shared" si="18"/>
        <v>0.03</v>
      </c>
      <c r="M54" s="357">
        <f t="shared" si="18"/>
        <v>0.03</v>
      </c>
      <c r="N54" s="357">
        <f t="shared" si="18"/>
        <v>0.03</v>
      </c>
      <c r="O54" s="302"/>
      <c r="P54" s="302"/>
      <c r="Q54" s="302"/>
      <c r="R54" s="302"/>
      <c r="S54" s="302"/>
      <c r="T54" s="302"/>
      <c r="U54" s="302"/>
      <c r="V54" s="436"/>
    </row>
    <row r="55" spans="2:22" ht="12" customHeight="1" x14ac:dyDescent="0.2">
      <c r="B55" s="1629" t="s">
        <v>542</v>
      </c>
      <c r="C55" s="1632"/>
      <c r="D55" s="328"/>
      <c r="E55" s="701">
        <f>IF(E52=0,0,E56/E52)</f>
        <v>0</v>
      </c>
      <c r="F55" s="702">
        <f>E55</f>
        <v>0</v>
      </c>
      <c r="G55" s="702">
        <f>F55</f>
        <v>0</v>
      </c>
      <c r="H55" s="702">
        <f>G55</f>
        <v>0</v>
      </c>
      <c r="I55" s="702">
        <f>H55</f>
        <v>0</v>
      </c>
      <c r="K55" s="354"/>
      <c r="L55" s="467"/>
      <c r="M55" s="302"/>
      <c r="N55" s="302"/>
      <c r="O55" s="302"/>
      <c r="P55" s="302"/>
      <c r="Q55" s="302"/>
      <c r="R55" s="302"/>
      <c r="S55" s="302"/>
      <c r="T55" s="302"/>
      <c r="U55" s="302"/>
      <c r="V55" s="436"/>
    </row>
    <row r="56" spans="2:22" ht="12" customHeight="1" x14ac:dyDescent="0.2">
      <c r="B56" s="1629" t="s">
        <v>543</v>
      </c>
      <c r="C56" s="1632"/>
      <c r="D56" s="328" t="s">
        <v>207</v>
      </c>
      <c r="E56" s="535">
        <v>0</v>
      </c>
      <c r="F56" s="1053">
        <f>IF(F55=0,0,F52*F55)</f>
        <v>0</v>
      </c>
      <c r="G56" s="1053">
        <f>IF(G55=0,0,G52*G55)</f>
        <v>0</v>
      </c>
      <c r="H56" s="706">
        <f>IF(H55=0,0,H52*H55)</f>
        <v>0</v>
      </c>
      <c r="I56" s="1053">
        <f>IF(I55=0,0,I52*I55)</f>
        <v>0</v>
      </c>
      <c r="K56" s="354"/>
      <c r="L56" s="302"/>
      <c r="M56" s="302"/>
      <c r="N56" s="302"/>
      <c r="O56" s="302"/>
      <c r="P56" s="302"/>
      <c r="Q56" s="302"/>
      <c r="R56" s="302"/>
      <c r="S56" s="302"/>
      <c r="T56" s="302"/>
      <c r="U56" s="302"/>
      <c r="V56" s="436"/>
    </row>
    <row r="57" spans="2:22" ht="6" customHeight="1" x14ac:dyDescent="0.2">
      <c r="B57" s="42"/>
      <c r="C57" s="42"/>
      <c r="D57" s="66"/>
      <c r="E57" s="1291"/>
      <c r="F57" s="1288"/>
      <c r="G57" s="1288"/>
      <c r="H57" s="1288"/>
      <c r="I57" s="1288"/>
      <c r="K57" s="354"/>
      <c r="L57" s="302"/>
      <c r="M57" s="302"/>
      <c r="N57" s="302"/>
      <c r="O57" s="302"/>
      <c r="P57" s="302"/>
      <c r="Q57" s="302"/>
      <c r="R57" s="302"/>
      <c r="S57" s="302"/>
      <c r="T57" s="302"/>
      <c r="U57" s="302"/>
      <c r="V57" s="436"/>
    </row>
    <row r="58" spans="2:22" ht="12" customHeight="1" x14ac:dyDescent="0.2">
      <c r="B58" s="42"/>
      <c r="C58" s="42"/>
      <c r="D58" s="1301"/>
      <c r="E58" s="1559" t="s">
        <v>552</v>
      </c>
      <c r="F58" s="607">
        <v>0.255</v>
      </c>
      <c r="G58" s="607">
        <f>F58</f>
        <v>0.255</v>
      </c>
      <c r="H58" s="607">
        <f>G58</f>
        <v>0.255</v>
      </c>
      <c r="I58" s="702">
        <f>H58</f>
        <v>0.255</v>
      </c>
      <c r="K58" s="354"/>
      <c r="L58" s="302"/>
      <c r="M58" s="302"/>
      <c r="N58" s="302"/>
      <c r="O58" s="302"/>
      <c r="P58" s="302"/>
      <c r="Q58" s="302"/>
      <c r="R58" s="302"/>
      <c r="S58" s="302"/>
      <c r="T58" s="302"/>
      <c r="U58" s="302"/>
      <c r="V58" s="436"/>
    </row>
    <row r="59" spans="2:22" ht="12" customHeight="1" x14ac:dyDescent="0.2">
      <c r="B59" s="1304">
        <v>0</v>
      </c>
      <c r="C59" s="1979" t="s">
        <v>550</v>
      </c>
      <c r="D59" s="1980"/>
      <c r="E59" s="535">
        <v>0</v>
      </c>
      <c r="F59" s="1631">
        <f>F60*F61</f>
        <v>0</v>
      </c>
      <c r="G59" s="1631">
        <f>G60*G61</f>
        <v>0</v>
      </c>
      <c r="H59" s="581">
        <f>H60*H61</f>
        <v>0</v>
      </c>
      <c r="I59" s="1631">
        <f>I60*I61</f>
        <v>0</v>
      </c>
      <c r="K59" s="1338"/>
      <c r="L59" s="1339"/>
      <c r="M59" s="1339"/>
      <c r="N59" s="1339"/>
      <c r="O59" s="302"/>
      <c r="P59" s="302"/>
      <c r="Q59" s="302"/>
      <c r="R59" s="302"/>
      <c r="S59" s="302"/>
      <c r="T59" s="302"/>
      <c r="U59" s="302"/>
      <c r="V59" s="436"/>
    </row>
    <row r="60" spans="2:22" ht="12.75" customHeight="1" x14ac:dyDescent="0.2">
      <c r="B60" s="1629" t="s">
        <v>540</v>
      </c>
      <c r="C60" s="1632"/>
      <c r="D60" s="1313"/>
      <c r="E60" s="535">
        <v>0</v>
      </c>
      <c r="F60" s="535">
        <f t="shared" ref="F60:I61" si="19">E60+E60*K60</f>
        <v>0</v>
      </c>
      <c r="G60" s="535">
        <f t="shared" si="19"/>
        <v>0</v>
      </c>
      <c r="H60" s="705">
        <f t="shared" si="19"/>
        <v>0</v>
      </c>
      <c r="I60" s="535">
        <f t="shared" si="19"/>
        <v>0</v>
      </c>
      <c r="K60" s="357">
        <v>0</v>
      </c>
      <c r="L60" s="357">
        <f t="shared" ref="L60:N61" si="20">K60</f>
        <v>0</v>
      </c>
      <c r="M60" s="357">
        <f t="shared" si="20"/>
        <v>0</v>
      </c>
      <c r="N60" s="357">
        <f t="shared" si="20"/>
        <v>0</v>
      </c>
      <c r="O60" s="302"/>
      <c r="P60" s="302"/>
      <c r="Q60" s="302"/>
      <c r="R60" s="302"/>
      <c r="S60" s="302"/>
      <c r="T60" s="302"/>
      <c r="U60" s="302"/>
      <c r="V60" s="436"/>
    </row>
    <row r="61" spans="2:22" ht="12.75" customHeight="1" x14ac:dyDescent="0.2">
      <c r="B61" s="1629" t="s">
        <v>541</v>
      </c>
      <c r="C61" s="1632"/>
      <c r="D61" s="1313" t="s">
        <v>207</v>
      </c>
      <c r="E61" s="699">
        <f>IF(E60=0,0,E59/E60)</f>
        <v>0</v>
      </c>
      <c r="F61" s="700">
        <f>E61+E61*K61</f>
        <v>0</v>
      </c>
      <c r="G61" s="700">
        <f t="shared" si="19"/>
        <v>0</v>
      </c>
      <c r="H61" s="700">
        <f t="shared" si="19"/>
        <v>0</v>
      </c>
      <c r="I61" s="700">
        <f t="shared" si="19"/>
        <v>0</v>
      </c>
      <c r="K61" s="357">
        <v>0.03</v>
      </c>
      <c r="L61" s="357">
        <f t="shared" si="20"/>
        <v>0.03</v>
      </c>
      <c r="M61" s="357">
        <f t="shared" si="20"/>
        <v>0.03</v>
      </c>
      <c r="N61" s="357">
        <f t="shared" si="20"/>
        <v>0.03</v>
      </c>
      <c r="O61" s="302"/>
      <c r="P61" s="302"/>
      <c r="Q61" s="302"/>
      <c r="R61" s="302"/>
      <c r="S61" s="302"/>
      <c r="T61" s="302"/>
      <c r="U61" s="302"/>
      <c r="V61" s="436"/>
    </row>
    <row r="62" spans="2:22" x14ac:dyDescent="0.2">
      <c r="B62" s="1629" t="s">
        <v>542</v>
      </c>
      <c r="C62" s="1632"/>
      <c r="D62" s="328"/>
      <c r="E62" s="701">
        <f>IF(E59=0,0,E63/E59)</f>
        <v>0</v>
      </c>
      <c r="F62" s="702">
        <f>E62</f>
        <v>0</v>
      </c>
      <c r="G62" s="702">
        <f>F62</f>
        <v>0</v>
      </c>
      <c r="H62" s="702">
        <f>G62</f>
        <v>0</v>
      </c>
      <c r="I62" s="702">
        <f>H62</f>
        <v>0</v>
      </c>
      <c r="K62" s="1331"/>
      <c r="L62" s="155"/>
      <c r="M62" s="155"/>
      <c r="N62" s="155"/>
      <c r="O62" s="302"/>
      <c r="P62" s="302"/>
      <c r="Q62" s="302"/>
      <c r="R62" s="302"/>
      <c r="S62" s="302"/>
      <c r="T62" s="302"/>
      <c r="U62" s="302"/>
      <c r="V62" s="436"/>
    </row>
    <row r="63" spans="2:22" x14ac:dyDescent="0.2">
      <c r="B63" s="1629" t="s">
        <v>543</v>
      </c>
      <c r="C63" s="1632"/>
      <c r="D63" s="328" t="s">
        <v>207</v>
      </c>
      <c r="E63" s="535">
        <v>0</v>
      </c>
      <c r="F63" s="1053">
        <f>IF(F62=0,0,F59*F62)</f>
        <v>0</v>
      </c>
      <c r="G63" s="1053">
        <f>IF(G62=0,0,G59*G62)</f>
        <v>0</v>
      </c>
      <c r="H63" s="706">
        <f>IF(H62=0,0,H59*H62)</f>
        <v>0</v>
      </c>
      <c r="I63" s="1053">
        <f>IF(I62=0,0,I59*I62)</f>
        <v>0</v>
      </c>
      <c r="K63" s="391"/>
      <c r="L63" s="155"/>
      <c r="M63" s="155"/>
      <c r="N63" s="155"/>
      <c r="O63" s="302"/>
      <c r="P63" s="302"/>
      <c r="Q63" s="302"/>
      <c r="R63" s="302"/>
      <c r="S63" s="302"/>
      <c r="T63" s="302"/>
      <c r="U63" s="302"/>
      <c r="V63" s="436"/>
    </row>
    <row r="64" spans="2:22" ht="6" customHeight="1" x14ac:dyDescent="0.2">
      <c r="B64" s="42"/>
      <c r="C64" s="42"/>
      <c r="D64" s="66"/>
      <c r="E64" s="1291"/>
      <c r="F64" s="1288"/>
      <c r="G64" s="1288"/>
      <c r="H64" s="1288"/>
      <c r="I64" s="1288"/>
      <c r="K64" s="391"/>
      <c r="L64" s="155"/>
      <c r="M64" s="155"/>
      <c r="N64" s="155"/>
      <c r="O64" s="302"/>
      <c r="P64" s="302"/>
      <c r="Q64" s="302"/>
      <c r="R64" s="302"/>
      <c r="S64" s="302"/>
      <c r="T64" s="302"/>
      <c r="U64" s="302"/>
      <c r="V64" s="436"/>
    </row>
    <row r="65" spans="2:22" ht="12" customHeight="1" x14ac:dyDescent="0.2">
      <c r="B65" s="155"/>
      <c r="C65" s="155"/>
      <c r="D65" s="1302"/>
      <c r="E65" s="1559" t="s">
        <v>552</v>
      </c>
      <c r="F65" s="607">
        <v>0.255</v>
      </c>
      <c r="G65" s="607">
        <f>F65</f>
        <v>0.255</v>
      </c>
      <c r="H65" s="607">
        <f>G65</f>
        <v>0.255</v>
      </c>
      <c r="I65" s="702">
        <f>H65</f>
        <v>0.255</v>
      </c>
      <c r="K65" s="391"/>
      <c r="L65" s="155"/>
      <c r="M65" s="155"/>
      <c r="N65" s="155"/>
      <c r="O65" s="302"/>
      <c r="P65" s="302"/>
      <c r="Q65" s="302"/>
      <c r="R65" s="302"/>
      <c r="S65" s="302"/>
      <c r="T65" s="302"/>
      <c r="U65" s="302"/>
      <c r="V65" s="436"/>
    </row>
    <row r="66" spans="2:22" ht="12" customHeight="1" x14ac:dyDescent="0.2">
      <c r="B66" s="1304">
        <v>0</v>
      </c>
      <c r="C66" s="1979" t="s">
        <v>252</v>
      </c>
      <c r="D66" s="1980"/>
      <c r="E66" s="535">
        <v>0</v>
      </c>
      <c r="F66" s="1631">
        <f>F67*F68</f>
        <v>0</v>
      </c>
      <c r="G66" s="1631">
        <f>G67*G68</f>
        <v>0</v>
      </c>
      <c r="H66" s="581">
        <f>H67*H68</f>
        <v>0</v>
      </c>
      <c r="I66" s="1631">
        <f>I67*I68</f>
        <v>0</v>
      </c>
      <c r="K66" s="1338"/>
      <c r="L66" s="1339"/>
      <c r="M66" s="1339"/>
      <c r="N66" s="1339"/>
      <c r="O66" s="302"/>
      <c r="P66" s="302"/>
      <c r="Q66" s="302"/>
      <c r="R66" s="302"/>
      <c r="S66" s="302"/>
      <c r="T66" s="302"/>
      <c r="U66" s="302"/>
      <c r="V66" s="436"/>
    </row>
    <row r="67" spans="2:22" ht="12" customHeight="1" x14ac:dyDescent="0.2">
      <c r="B67" s="1629" t="s">
        <v>540</v>
      </c>
      <c r="C67" s="1632"/>
      <c r="D67" s="1313"/>
      <c r="E67" s="535">
        <v>0</v>
      </c>
      <c r="F67" s="535">
        <f t="shared" ref="F67:I68" si="21">E67+E67*K67</f>
        <v>0</v>
      </c>
      <c r="G67" s="535">
        <f t="shared" si="21"/>
        <v>0</v>
      </c>
      <c r="H67" s="705">
        <f t="shared" si="21"/>
        <v>0</v>
      </c>
      <c r="I67" s="535">
        <f>H67+H67*N67</f>
        <v>0</v>
      </c>
      <c r="K67" s="357">
        <v>0</v>
      </c>
      <c r="L67" s="357">
        <f t="shared" ref="L67:N68" si="22">K67</f>
        <v>0</v>
      </c>
      <c r="M67" s="357">
        <f t="shared" si="22"/>
        <v>0</v>
      </c>
      <c r="N67" s="357">
        <f t="shared" si="22"/>
        <v>0</v>
      </c>
      <c r="O67" s="302"/>
      <c r="P67" s="302"/>
      <c r="Q67" s="302"/>
      <c r="R67" s="302"/>
      <c r="S67" s="302"/>
      <c r="T67" s="302"/>
      <c r="U67" s="302"/>
      <c r="V67" s="436"/>
    </row>
    <row r="68" spans="2:22" ht="12" customHeight="1" x14ac:dyDescent="0.2">
      <c r="B68" s="1629" t="s">
        <v>541</v>
      </c>
      <c r="C68" s="1632"/>
      <c r="D68" s="1313"/>
      <c r="E68" s="699">
        <f>IF(E67=0,0,E66/E67)</f>
        <v>0</v>
      </c>
      <c r="F68" s="700">
        <f>E68+E68*K68</f>
        <v>0</v>
      </c>
      <c r="G68" s="700">
        <f t="shared" si="21"/>
        <v>0</v>
      </c>
      <c r="H68" s="700">
        <f t="shared" si="21"/>
        <v>0</v>
      </c>
      <c r="I68" s="700">
        <f t="shared" si="21"/>
        <v>0</v>
      </c>
      <c r="K68" s="357">
        <v>0.03</v>
      </c>
      <c r="L68" s="357">
        <f t="shared" si="22"/>
        <v>0.03</v>
      </c>
      <c r="M68" s="357">
        <f t="shared" si="22"/>
        <v>0.03</v>
      </c>
      <c r="N68" s="357">
        <f t="shared" si="22"/>
        <v>0.03</v>
      </c>
      <c r="O68" s="302"/>
      <c r="P68" s="302"/>
      <c r="Q68" s="302"/>
      <c r="R68" s="302"/>
      <c r="S68" s="302"/>
      <c r="T68" s="302"/>
      <c r="U68" s="302"/>
      <c r="V68" s="436"/>
    </row>
    <row r="69" spans="2:22" ht="12" customHeight="1" x14ac:dyDescent="0.2">
      <c r="B69" s="1629" t="s">
        <v>542</v>
      </c>
      <c r="C69" s="1632"/>
      <c r="D69" s="328"/>
      <c r="E69" s="701">
        <f>IF(E66=0,0,E70/E66)</f>
        <v>0</v>
      </c>
      <c r="F69" s="702">
        <f>E69</f>
        <v>0</v>
      </c>
      <c r="G69" s="702">
        <f>F69</f>
        <v>0</v>
      </c>
      <c r="H69" s="702">
        <f>G69</f>
        <v>0</v>
      </c>
      <c r="I69" s="702">
        <f>H69</f>
        <v>0</v>
      </c>
      <c r="K69" s="354"/>
      <c r="L69" s="302"/>
      <c r="M69" s="302"/>
      <c r="N69" s="302"/>
      <c r="O69" s="302"/>
      <c r="P69" s="302"/>
      <c r="Q69" s="302"/>
      <c r="R69" s="302"/>
      <c r="S69" s="302"/>
      <c r="T69" s="302"/>
      <c r="U69" s="302"/>
      <c r="V69" s="436"/>
    </row>
    <row r="70" spans="2:22" ht="12" customHeight="1" x14ac:dyDescent="0.2">
      <c r="B70" s="1629" t="s">
        <v>543</v>
      </c>
      <c r="C70" s="1632"/>
      <c r="D70" s="328" t="s">
        <v>207</v>
      </c>
      <c r="E70" s="535">
        <v>0</v>
      </c>
      <c r="F70" s="1053">
        <f>IF(F69=0,0,F66*F69)</f>
        <v>0</v>
      </c>
      <c r="G70" s="1053">
        <f>IF(G69=0,0,G66*G69)</f>
        <v>0</v>
      </c>
      <c r="H70" s="706">
        <f>IF(H69=0,0,H66*H69)</f>
        <v>0</v>
      </c>
      <c r="I70" s="1053">
        <f>IF(I69=0,0,I66*I69)</f>
        <v>0</v>
      </c>
      <c r="K70" s="354"/>
      <c r="L70" s="302"/>
      <c r="M70" s="302"/>
      <c r="N70" s="302"/>
      <c r="O70" s="302"/>
      <c r="P70" s="302"/>
      <c r="Q70" s="302"/>
      <c r="R70" s="302"/>
      <c r="S70" s="302"/>
      <c r="T70" s="302"/>
      <c r="U70" s="302"/>
      <c r="V70" s="436"/>
    </row>
    <row r="71" spans="2:22" ht="6" customHeight="1" x14ac:dyDescent="0.2">
      <c r="B71" s="42"/>
      <c r="C71" s="42"/>
      <c r="D71" s="66"/>
      <c r="E71" s="1291"/>
      <c r="F71" s="1288"/>
      <c r="G71" s="1288"/>
      <c r="H71" s="1288"/>
      <c r="I71" s="1288"/>
      <c r="K71" s="354"/>
      <c r="L71" s="302"/>
      <c r="M71" s="302"/>
      <c r="N71" s="302"/>
      <c r="O71" s="302"/>
      <c r="P71" s="302"/>
      <c r="Q71" s="302"/>
      <c r="R71" s="302"/>
      <c r="S71" s="302"/>
      <c r="T71" s="302"/>
      <c r="U71" s="302"/>
      <c r="V71" s="436"/>
    </row>
    <row r="72" spans="2:22" ht="12" customHeight="1" x14ac:dyDescent="0.2">
      <c r="B72" s="46"/>
      <c r="C72" s="46"/>
      <c r="D72" s="1303"/>
      <c r="E72" s="1559" t="s">
        <v>552</v>
      </c>
      <c r="F72" s="607">
        <v>0.255</v>
      </c>
      <c r="G72" s="607">
        <f>F72</f>
        <v>0.255</v>
      </c>
      <c r="H72" s="607">
        <f>G72</f>
        <v>0.255</v>
      </c>
      <c r="I72" s="702">
        <f>H72</f>
        <v>0.255</v>
      </c>
      <c r="K72" s="354"/>
      <c r="L72" s="302"/>
      <c r="M72" s="302"/>
      <c r="N72" s="302"/>
      <c r="O72" s="302"/>
      <c r="P72" s="302"/>
      <c r="Q72" s="302"/>
      <c r="R72" s="302"/>
      <c r="S72" s="302"/>
      <c r="T72" s="302"/>
      <c r="U72" s="302"/>
      <c r="V72" s="436"/>
    </row>
    <row r="73" spans="2:22" ht="12" customHeight="1" x14ac:dyDescent="0.2">
      <c r="B73" s="1304">
        <v>0</v>
      </c>
      <c r="C73" s="1979" t="s">
        <v>550</v>
      </c>
      <c r="D73" s="1980"/>
      <c r="E73" s="535">
        <v>0</v>
      </c>
      <c r="F73" s="1631">
        <f>F74*F75</f>
        <v>0</v>
      </c>
      <c r="G73" s="1631">
        <f>G74*G75</f>
        <v>0</v>
      </c>
      <c r="H73" s="581">
        <f>H74*H75</f>
        <v>0</v>
      </c>
      <c r="I73" s="1631">
        <f>I74*I75</f>
        <v>0</v>
      </c>
      <c r="K73" s="1338"/>
      <c r="L73" s="1339"/>
      <c r="M73" s="1339"/>
      <c r="N73" s="1339"/>
      <c r="O73" s="302"/>
      <c r="P73" s="302"/>
      <c r="Q73" s="302"/>
      <c r="R73" s="302"/>
      <c r="S73" s="302"/>
      <c r="T73" s="302"/>
      <c r="U73" s="302"/>
      <c r="V73" s="436"/>
    </row>
    <row r="74" spans="2:22" ht="12" customHeight="1" x14ac:dyDescent="0.2">
      <c r="B74" s="1629" t="s">
        <v>540</v>
      </c>
      <c r="C74" s="1632"/>
      <c r="D74" s="1313"/>
      <c r="E74" s="535">
        <v>0</v>
      </c>
      <c r="F74" s="535">
        <f t="shared" ref="F74:I75" si="23">E74+E74*K74</f>
        <v>0</v>
      </c>
      <c r="G74" s="535">
        <f t="shared" si="23"/>
        <v>0</v>
      </c>
      <c r="H74" s="705">
        <f t="shared" si="23"/>
        <v>0</v>
      </c>
      <c r="I74" s="535">
        <f t="shared" si="23"/>
        <v>0</v>
      </c>
      <c r="K74" s="357">
        <v>0</v>
      </c>
      <c r="L74" s="357">
        <f t="shared" ref="L74:N75" si="24">K74</f>
        <v>0</v>
      </c>
      <c r="M74" s="357">
        <f t="shared" si="24"/>
        <v>0</v>
      </c>
      <c r="N74" s="357">
        <f t="shared" si="24"/>
        <v>0</v>
      </c>
      <c r="O74" s="302"/>
      <c r="P74" s="302"/>
      <c r="Q74" s="302"/>
      <c r="R74" s="302"/>
      <c r="S74" s="302"/>
      <c r="T74" s="302"/>
      <c r="U74" s="302"/>
      <c r="V74" s="436"/>
    </row>
    <row r="75" spans="2:22" ht="12" customHeight="1" x14ac:dyDescent="0.2">
      <c r="B75" s="1629" t="s">
        <v>541</v>
      </c>
      <c r="C75" s="1632"/>
      <c r="D75" s="1313" t="s">
        <v>207</v>
      </c>
      <c r="E75" s="699">
        <f>IF(E74=0,0,E73/E74)</f>
        <v>0</v>
      </c>
      <c r="F75" s="700">
        <f t="shared" si="23"/>
        <v>0</v>
      </c>
      <c r="G75" s="700">
        <f t="shared" si="23"/>
        <v>0</v>
      </c>
      <c r="H75" s="700">
        <f t="shared" si="23"/>
        <v>0</v>
      </c>
      <c r="I75" s="700">
        <f t="shared" si="23"/>
        <v>0</v>
      </c>
      <c r="K75" s="357">
        <v>0.03</v>
      </c>
      <c r="L75" s="357">
        <f t="shared" si="24"/>
        <v>0.03</v>
      </c>
      <c r="M75" s="357">
        <f t="shared" si="24"/>
        <v>0.03</v>
      </c>
      <c r="N75" s="357">
        <f t="shared" si="24"/>
        <v>0.03</v>
      </c>
      <c r="O75" s="302"/>
      <c r="P75" s="302"/>
      <c r="Q75" s="302"/>
      <c r="R75" s="302"/>
      <c r="S75" s="302"/>
      <c r="T75" s="302"/>
      <c r="U75" s="302"/>
      <c r="V75" s="436"/>
    </row>
    <row r="76" spans="2:22" ht="12" customHeight="1" x14ac:dyDescent="0.2">
      <c r="B76" s="1629" t="s">
        <v>542</v>
      </c>
      <c r="C76" s="1632"/>
      <c r="D76" s="328"/>
      <c r="E76" s="701">
        <f>IF(E73=0,0,E77/E73)</f>
        <v>0</v>
      </c>
      <c r="F76" s="702">
        <f>E76</f>
        <v>0</v>
      </c>
      <c r="G76" s="702">
        <f>F76</f>
        <v>0</v>
      </c>
      <c r="H76" s="702">
        <f>G76</f>
        <v>0</v>
      </c>
      <c r="I76" s="702">
        <f>H76</f>
        <v>0</v>
      </c>
      <c r="K76" s="354">
        <v>0</v>
      </c>
      <c r="L76" s="302"/>
      <c r="M76" s="302"/>
      <c r="N76" s="302"/>
      <c r="O76" s="302"/>
      <c r="P76" s="302"/>
      <c r="Q76" s="302"/>
      <c r="R76" s="302"/>
      <c r="S76" s="302"/>
      <c r="T76" s="302"/>
      <c r="U76" s="302"/>
      <c r="V76" s="436"/>
    </row>
    <row r="77" spans="2:22" ht="12" customHeight="1" x14ac:dyDescent="0.2">
      <c r="B77" s="1629" t="s">
        <v>543</v>
      </c>
      <c r="C77" s="1632"/>
      <c r="D77" s="328" t="s">
        <v>207</v>
      </c>
      <c r="E77" s="535">
        <v>0</v>
      </c>
      <c r="F77" s="1053">
        <f>IF(F76=0,0,F73*F76)</f>
        <v>0</v>
      </c>
      <c r="G77" s="1053">
        <f>IF(G76=0,0,G73*G76)</f>
        <v>0</v>
      </c>
      <c r="H77" s="706">
        <f>IF(H76=0,0,H73*H76)</f>
        <v>0</v>
      </c>
      <c r="I77" s="1053">
        <f>IF(I76=0,0,I73*I76)</f>
        <v>0</v>
      </c>
      <c r="K77" s="354"/>
      <c r="L77" s="302"/>
      <c r="M77" s="302"/>
      <c r="N77" s="302"/>
      <c r="O77" s="302"/>
      <c r="P77" s="302"/>
      <c r="Q77" s="302"/>
      <c r="R77" s="302"/>
      <c r="S77" s="302"/>
      <c r="T77" s="302"/>
      <c r="U77" s="302"/>
      <c r="V77" s="436"/>
    </row>
    <row r="78" spans="2:22" ht="6" customHeight="1" x14ac:dyDescent="0.2">
      <c r="B78" s="42"/>
      <c r="C78" s="42"/>
      <c r="D78" s="66"/>
      <c r="E78" s="1291"/>
      <c r="F78" s="1288"/>
      <c r="G78" s="1288"/>
      <c r="H78" s="1288"/>
      <c r="I78" s="1288"/>
      <c r="K78" s="354"/>
      <c r="L78" s="302"/>
      <c r="M78" s="302"/>
      <c r="N78" s="302"/>
      <c r="O78" s="302"/>
      <c r="P78" s="302"/>
      <c r="Q78" s="302"/>
      <c r="R78" s="302"/>
      <c r="S78" s="302"/>
      <c r="T78" s="302"/>
      <c r="U78" s="302"/>
      <c r="V78" s="436"/>
    </row>
    <row r="79" spans="2:22" ht="12" customHeight="1" x14ac:dyDescent="0.2">
      <c r="B79" s="46"/>
      <c r="C79" s="46"/>
      <c r="D79" s="72"/>
      <c r="E79" s="1559" t="s">
        <v>552</v>
      </c>
      <c r="F79" s="607">
        <v>0.255</v>
      </c>
      <c r="G79" s="607">
        <f>F79</f>
        <v>0.255</v>
      </c>
      <c r="H79" s="607">
        <f>G79</f>
        <v>0.255</v>
      </c>
      <c r="I79" s="702">
        <f>H79</f>
        <v>0.255</v>
      </c>
      <c r="K79" s="354"/>
      <c r="L79" s="302"/>
      <c r="M79" s="302"/>
      <c r="N79" s="302"/>
      <c r="O79" s="302"/>
      <c r="P79" s="302"/>
      <c r="Q79" s="302"/>
      <c r="R79" s="302"/>
      <c r="S79" s="302"/>
      <c r="T79" s="302"/>
      <c r="U79" s="302"/>
      <c r="V79" s="436"/>
    </row>
    <row r="80" spans="2:22" ht="12" customHeight="1" x14ac:dyDescent="0.2">
      <c r="B80" s="1304"/>
      <c r="C80" s="1979" t="s">
        <v>550</v>
      </c>
      <c r="D80" s="1980"/>
      <c r="E80" s="1630">
        <v>0</v>
      </c>
      <c r="F80" s="1631">
        <f>F81*F82</f>
        <v>0</v>
      </c>
      <c r="G80" s="1631">
        <f>G81*G82</f>
        <v>0</v>
      </c>
      <c r="H80" s="581">
        <f>H81*H82</f>
        <v>0</v>
      </c>
      <c r="I80" s="1631">
        <f>I81*I82</f>
        <v>0</v>
      </c>
      <c r="K80" s="1324"/>
      <c r="L80" s="1325"/>
      <c r="M80" s="1325"/>
      <c r="N80" s="1325"/>
      <c r="O80" s="302"/>
      <c r="P80" s="302"/>
      <c r="Q80" s="302"/>
      <c r="R80" s="302"/>
      <c r="S80" s="302"/>
      <c r="T80" s="302"/>
      <c r="U80" s="302"/>
      <c r="V80" s="436"/>
    </row>
    <row r="81" spans="2:22" ht="12" customHeight="1" x14ac:dyDescent="0.2">
      <c r="B81" s="1629" t="s">
        <v>540</v>
      </c>
      <c r="C81" s="1632"/>
      <c r="D81" s="1313">
        <v>0</v>
      </c>
      <c r="E81" s="535">
        <v>0</v>
      </c>
      <c r="F81" s="535">
        <f>E81+E81*K81</f>
        <v>0</v>
      </c>
      <c r="G81" s="535">
        <f t="shared" ref="F81:I82" si="25">F81+F81*L81</f>
        <v>0</v>
      </c>
      <c r="H81" s="705">
        <f t="shared" si="25"/>
        <v>0</v>
      </c>
      <c r="I81" s="535">
        <f t="shared" si="25"/>
        <v>0</v>
      </c>
      <c r="K81" s="357">
        <v>0</v>
      </c>
      <c r="L81" s="357">
        <f t="shared" ref="L81:N82" si="26">K81</f>
        <v>0</v>
      </c>
      <c r="M81" s="357">
        <f t="shared" si="26"/>
        <v>0</v>
      </c>
      <c r="N81" s="357">
        <f t="shared" si="26"/>
        <v>0</v>
      </c>
      <c r="O81" s="302"/>
      <c r="P81" s="302"/>
      <c r="Q81" s="302"/>
      <c r="R81" s="302"/>
      <c r="S81" s="302"/>
      <c r="T81" s="302"/>
      <c r="U81" s="302"/>
      <c r="V81" s="436"/>
    </row>
    <row r="82" spans="2:22" ht="12" customHeight="1" x14ac:dyDescent="0.2">
      <c r="B82" s="1629" t="s">
        <v>541</v>
      </c>
      <c r="C82" s="1632"/>
      <c r="D82" s="1313" t="s">
        <v>207</v>
      </c>
      <c r="E82" s="699">
        <f>IF(E81=0,0,E80/E81)</f>
        <v>0</v>
      </c>
      <c r="F82" s="700">
        <f t="shared" si="25"/>
        <v>0</v>
      </c>
      <c r="G82" s="700">
        <f t="shared" si="25"/>
        <v>0</v>
      </c>
      <c r="H82" s="700">
        <f t="shared" si="25"/>
        <v>0</v>
      </c>
      <c r="I82" s="700">
        <f t="shared" si="25"/>
        <v>0</v>
      </c>
      <c r="K82" s="1501">
        <v>0.03</v>
      </c>
      <c r="L82" s="1501">
        <f t="shared" si="26"/>
        <v>0.03</v>
      </c>
      <c r="M82" s="1501">
        <f t="shared" si="26"/>
        <v>0.03</v>
      </c>
      <c r="N82" s="1501">
        <f t="shared" si="26"/>
        <v>0.03</v>
      </c>
      <c r="O82" s="354"/>
      <c r="P82" s="302"/>
      <c r="Q82" s="302"/>
      <c r="R82" s="302"/>
      <c r="S82" s="302"/>
      <c r="T82" s="302"/>
      <c r="U82" s="302"/>
      <c r="V82" s="436"/>
    </row>
    <row r="83" spans="2:22" ht="12" customHeight="1" x14ac:dyDescent="0.2">
      <c r="B83" s="1629" t="s">
        <v>542</v>
      </c>
      <c r="C83" s="1632"/>
      <c r="D83" s="328"/>
      <c r="E83" s="701">
        <f>IF(E80=0,0,E84/E80)</f>
        <v>0</v>
      </c>
      <c r="F83" s="702">
        <f>E83</f>
        <v>0</v>
      </c>
      <c r="G83" s="702">
        <f>F83</f>
        <v>0</v>
      </c>
      <c r="H83" s="702">
        <f>G83</f>
        <v>0</v>
      </c>
      <c r="I83" s="702">
        <f>H83</f>
        <v>0</v>
      </c>
      <c r="K83" s="1194"/>
      <c r="L83" s="467"/>
      <c r="M83" s="467"/>
      <c r="N83" s="467"/>
      <c r="O83" s="302"/>
      <c r="P83" s="302"/>
      <c r="Q83" s="302"/>
      <c r="R83" s="302"/>
      <c r="S83" s="302"/>
      <c r="T83" s="302"/>
      <c r="U83" s="302"/>
      <c r="V83" s="436"/>
    </row>
    <row r="84" spans="2:22" ht="12" customHeight="1" x14ac:dyDescent="0.2">
      <c r="B84" s="1629" t="s">
        <v>543</v>
      </c>
      <c r="C84" s="1632"/>
      <c r="D84" s="328" t="s">
        <v>207</v>
      </c>
      <c r="E84" s="535">
        <v>0</v>
      </c>
      <c r="F84" s="1499">
        <f>IF(F83=0,0,F80*F83)</f>
        <v>0</v>
      </c>
      <c r="G84" s="1499">
        <f>IF(G83=0,0,G80*G83)</f>
        <v>0</v>
      </c>
      <c r="H84" s="1500">
        <f>IF(H83=0,0,H80*H83)</f>
        <v>0</v>
      </c>
      <c r="I84" s="1499">
        <f>IF(I83=0,0,I80*I83)</f>
        <v>0</v>
      </c>
      <c r="K84" s="509"/>
      <c r="L84" s="437"/>
      <c r="M84" s="437"/>
      <c r="N84" s="437"/>
      <c r="O84" s="437"/>
      <c r="P84" s="437"/>
      <c r="Q84" s="437"/>
      <c r="R84" s="437"/>
      <c r="S84" s="437"/>
      <c r="T84" s="437"/>
      <c r="U84" s="437"/>
      <c r="V84" s="439"/>
    </row>
    <row r="85" spans="2:22" ht="4.1500000000000004" customHeight="1" x14ac:dyDescent="0.2"/>
    <row r="86" spans="2:22" x14ac:dyDescent="0.2">
      <c r="B86" s="411" t="str">
        <f>IF(E20&lt;0,"VIRHE! MERKITSE AINEKÄYTTÖ + MERKKISENÄ!","")</f>
        <v/>
      </c>
      <c r="C86" s="411"/>
      <c r="D86" s="372"/>
      <c r="E86" s="119"/>
      <c r="F86" s="119"/>
      <c r="G86" s="1988">
        <f>STARTSIDAN!I5</f>
        <v>0</v>
      </c>
      <c r="H86" s="1988"/>
      <c r="I86" s="1988"/>
    </row>
    <row r="87" spans="2:22" x14ac:dyDescent="0.2">
      <c r="B87" s="371" t="str">
        <f>'5. E1 VERKSAMHETSKOSTN.'!B128</f>
        <v>FT22 Det aktiva företagets resultatplan</v>
      </c>
      <c r="C87" s="371"/>
      <c r="E87" s="119"/>
      <c r="F87" s="1981" t="str">
        <f>STARTSIDAN!I21</f>
        <v>FöretagsLojo</v>
      </c>
      <c r="G87" s="1982"/>
      <c r="H87" s="1982"/>
      <c r="I87" s="1982"/>
    </row>
    <row r="88" spans="2:22" x14ac:dyDescent="0.2">
      <c r="B88" s="206"/>
      <c r="C88" s="206"/>
    </row>
    <row r="89" spans="2:22" x14ac:dyDescent="0.2">
      <c r="B89" s="370" t="s">
        <v>104</v>
      </c>
      <c r="C89" s="370"/>
    </row>
    <row r="90" spans="2:22" x14ac:dyDescent="0.2">
      <c r="B90" s="45" t="s">
        <v>105</v>
      </c>
      <c r="C90" s="45"/>
    </row>
    <row r="91" spans="2:22" x14ac:dyDescent="0.2">
      <c r="B91" s="45" t="s">
        <v>106</v>
      </c>
      <c r="C91" s="45"/>
    </row>
  </sheetData>
  <sheetProtection algorithmName="SHA-512" hashValue="5u2yEBKawszjnhYp7kzDFNBJp5mi6TqKyDHRUw1EXXqAxJbcQ1zsMjmezwmTCvwZyBAbgL5MovTkkCKVWA21LQ==" saltValue="i0wRHtJBjTdy7ewNeLCN4w==" spinCount="100000" sheet="1" objects="1" scenarios="1"/>
  <mergeCells count="22">
    <mergeCell ref="K5:L5"/>
    <mergeCell ref="B9:D9"/>
    <mergeCell ref="G86:I86"/>
    <mergeCell ref="F5:H5"/>
    <mergeCell ref="C17:D17"/>
    <mergeCell ref="C24:D24"/>
    <mergeCell ref="C31:D31"/>
    <mergeCell ref="C38:D38"/>
    <mergeCell ref="C45:D45"/>
    <mergeCell ref="C52:D52"/>
    <mergeCell ref="C59:D59"/>
    <mergeCell ref="C66:D66"/>
    <mergeCell ref="B10:C10"/>
    <mergeCell ref="B11:C11"/>
    <mergeCell ref="B13:C13"/>
    <mergeCell ref="B12:C12"/>
    <mergeCell ref="C73:D73"/>
    <mergeCell ref="C80:D80"/>
    <mergeCell ref="F87:I87"/>
    <mergeCell ref="B7:D8"/>
    <mergeCell ref="K16:N16"/>
    <mergeCell ref="B14:C14"/>
  </mergeCells>
  <phoneticPr fontId="6" type="noConversion"/>
  <printOptions horizontalCentered="1"/>
  <pageMargins left="0.23622047244094491" right="0.23622047244094491" top="0.74803149606299213" bottom="0.74803149606299213" header="0.31496062992125984" footer="0.31496062992125984"/>
  <pageSetup paperSize="9" scale="80" fitToWidth="0" orientation="portrait" verticalDpi="4" r:id="rId1"/>
  <headerFooter alignWithMargins="0"/>
  <colBreaks count="1" manualBreakCount="1">
    <brk id="9" min="1" max="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51">
    <tabColor rgb="FF0152A1"/>
  </sheetPr>
  <dimension ref="A1:AD100"/>
  <sheetViews>
    <sheetView showGridLines="0" showZeros="0" zoomScaleNormal="100" workbookViewId="0">
      <selection activeCell="A10" sqref="A10:A11"/>
    </sheetView>
  </sheetViews>
  <sheetFormatPr defaultRowHeight="12.75" x14ac:dyDescent="0.2"/>
  <cols>
    <col min="1" max="1" width="7.5703125" customWidth="1"/>
    <col min="2" max="2" width="3.140625" style="33" customWidth="1"/>
    <col min="3" max="3" width="23.28515625" customWidth="1"/>
    <col min="4" max="4" width="8" customWidth="1"/>
    <col min="5" max="5" width="3.140625" customWidth="1"/>
    <col min="6" max="11" width="11.28515625" customWidth="1"/>
    <col min="12" max="12" width="1.5703125" customWidth="1"/>
    <col min="13" max="14" width="10.7109375" customWidth="1"/>
    <col min="15" max="15" width="16.28515625" customWidth="1"/>
    <col min="16" max="17" width="11.28515625" customWidth="1"/>
    <col min="18" max="21" width="11.7109375" customWidth="1"/>
    <col min="22" max="22" width="3.85546875" customWidth="1"/>
  </cols>
  <sheetData>
    <row r="1" spans="1:23" x14ac:dyDescent="0.2">
      <c r="P1" s="363"/>
    </row>
    <row r="2" spans="1:23" ht="15.75" x14ac:dyDescent="0.25">
      <c r="C2" s="82" t="s">
        <v>554</v>
      </c>
      <c r="G2" s="41"/>
      <c r="J2" s="53"/>
      <c r="K2" s="53"/>
      <c r="M2" s="82" t="s">
        <v>554</v>
      </c>
      <c r="N2" s="19"/>
      <c r="P2" s="364"/>
    </row>
    <row r="3" spans="1:23" ht="4.5" customHeight="1" x14ac:dyDescent="0.2">
      <c r="B3" s="1993"/>
      <c r="C3" s="1993"/>
      <c r="G3" s="516"/>
      <c r="M3" s="389"/>
      <c r="N3" s="389"/>
      <c r="P3" s="364"/>
    </row>
    <row r="4" spans="1:23" ht="7.5" customHeight="1" x14ac:dyDescent="0.2">
      <c r="B4" s="1993"/>
      <c r="C4" s="1993"/>
      <c r="H4" s="76">
        <v>0</v>
      </c>
      <c r="M4" s="1778"/>
      <c r="N4" s="1778"/>
      <c r="P4" s="365"/>
    </row>
    <row r="5" spans="1:23" s="38" customFormat="1" ht="10.15" customHeight="1" x14ac:dyDescent="0.15">
      <c r="B5" s="41" t="s">
        <v>255</v>
      </c>
      <c r="C5" s="152"/>
      <c r="D5" s="152"/>
      <c r="E5" s="152"/>
      <c r="F5" s="152"/>
      <c r="G5" s="152"/>
      <c r="H5" s="1793"/>
      <c r="I5" s="1793"/>
      <c r="J5" s="1793"/>
      <c r="K5" s="1793"/>
      <c r="M5" s="41" t="s">
        <v>255</v>
      </c>
      <c r="N5" s="152"/>
      <c r="O5" s="152"/>
      <c r="P5" s="152"/>
      <c r="Q5" s="152"/>
      <c r="R5" s="1793"/>
      <c r="S5" s="1793"/>
      <c r="T5" s="1793"/>
      <c r="U5" s="1793"/>
    </row>
    <row r="6" spans="1:23" ht="15.75" customHeight="1" x14ac:dyDescent="0.2">
      <c r="B6" s="1989">
        <f>'2. &amp; 7. T2 RESULTATB.'!B5:D5</f>
        <v>0</v>
      </c>
      <c r="C6" s="1989"/>
      <c r="D6" s="1989"/>
      <c r="E6" s="1989"/>
      <c r="F6" s="1989"/>
      <c r="G6" s="524"/>
      <c r="H6" s="2025"/>
      <c r="I6" s="2025"/>
      <c r="J6" s="2025"/>
      <c r="K6" s="2025"/>
      <c r="M6" s="1989">
        <f>B6</f>
        <v>0</v>
      </c>
      <c r="N6" s="1989"/>
      <c r="O6" s="1989"/>
      <c r="P6" s="1989"/>
      <c r="Q6" s="524"/>
      <c r="R6" s="2025"/>
      <c r="S6" s="2025"/>
      <c r="T6" s="2025"/>
      <c r="U6" s="2025"/>
    </row>
    <row r="7" spans="1:23" s="38" customFormat="1" ht="14.25" customHeight="1" x14ac:dyDescent="0.15">
      <c r="B7" s="525" t="s">
        <v>256</v>
      </c>
      <c r="C7" s="526"/>
      <c r="D7" s="526"/>
      <c r="E7" s="526"/>
      <c r="F7" s="526"/>
      <c r="G7" s="526"/>
      <c r="H7" s="526"/>
      <c r="I7" s="526"/>
      <c r="J7" s="2026" t="s">
        <v>258</v>
      </c>
      <c r="K7" s="2026"/>
      <c r="M7" s="525" t="s">
        <v>256</v>
      </c>
      <c r="N7" s="526"/>
      <c r="O7" s="526"/>
      <c r="P7" s="526"/>
      <c r="Q7" s="526"/>
      <c r="R7" s="526"/>
      <c r="S7" s="526"/>
      <c r="T7" s="526" t="s">
        <v>258</v>
      </c>
      <c r="U7" s="526"/>
    </row>
    <row r="8" spans="1:23" ht="15" customHeight="1" x14ac:dyDescent="0.2">
      <c r="B8" s="1994">
        <f>'1. T1 INVESTERINGSP.'!B9:D9</f>
        <v>0</v>
      </c>
      <c r="C8" s="1994"/>
      <c r="D8" s="1994"/>
      <c r="E8" s="1994"/>
      <c r="F8" s="1994"/>
      <c r="G8" s="524"/>
      <c r="H8" s="722"/>
      <c r="I8" s="722"/>
      <c r="J8" s="523">
        <f>'1. T1 INVESTERINGSP.'!E4</f>
        <v>0</v>
      </c>
      <c r="K8" s="723"/>
      <c r="M8" s="1989">
        <f>B8</f>
        <v>0</v>
      </c>
      <c r="N8" s="1989"/>
      <c r="O8" s="1989"/>
      <c r="P8" s="1989"/>
      <c r="Q8" s="524"/>
      <c r="R8" s="527"/>
      <c r="S8" s="527"/>
      <c r="T8" s="523">
        <f>'1. T1 INVESTERINGSP.'!E4</f>
        <v>0</v>
      </c>
      <c r="U8" s="527"/>
    </row>
    <row r="9" spans="1:23" ht="11.25" customHeight="1" thickBot="1" x14ac:dyDescent="0.25">
      <c r="M9" s="131"/>
      <c r="N9" s="131"/>
      <c r="O9" s="131"/>
      <c r="P9" s="131"/>
      <c r="Q9" s="131"/>
      <c r="R9" s="131"/>
      <c r="S9" s="131"/>
      <c r="T9" s="131"/>
      <c r="U9" s="131"/>
    </row>
    <row r="10" spans="1:23" ht="12.75" customHeight="1" x14ac:dyDescent="0.2">
      <c r="A10" s="1990" t="s">
        <v>297</v>
      </c>
      <c r="B10" s="2010" t="s">
        <v>555</v>
      </c>
      <c r="C10" s="2011"/>
      <c r="D10" s="2011"/>
      <c r="E10" s="2012"/>
      <c r="F10" s="1077" t="str">
        <f>'3. T3 BALANS'!F10</f>
        <v>Realiserad</v>
      </c>
      <c r="G10" s="1077" t="s">
        <v>321</v>
      </c>
      <c r="H10" s="1077" t="str">
        <f>'1. T1 INVESTERINGSP.'!D15</f>
        <v>Prognos 1</v>
      </c>
      <c r="I10" s="1077" t="str">
        <f>'6. E2 OMSÄTTNING'!G7</f>
        <v>Prognos 2</v>
      </c>
      <c r="J10" s="1077" t="str">
        <f>'6. E2 OMSÄTTNING'!H7</f>
        <v>Prognos 3</v>
      </c>
      <c r="K10" s="1079" t="str">
        <f>'1. T1 INVESTERINGSP.'!G15</f>
        <v>Prognos 4</v>
      </c>
      <c r="M10" s="2004" t="s">
        <v>595</v>
      </c>
      <c r="N10" s="2005"/>
      <c r="O10" s="2006"/>
      <c r="P10" s="1653" t="str">
        <f t="shared" ref="P10:T11" si="0">F10</f>
        <v>Realiserad</v>
      </c>
      <c r="Q10" s="1653" t="str">
        <f t="shared" si="0"/>
        <v>Realiserad</v>
      </c>
      <c r="R10" s="1653" t="str">
        <f t="shared" si="0"/>
        <v>Prognos 1</v>
      </c>
      <c r="S10" s="1653" t="str">
        <f t="shared" si="0"/>
        <v>Prognos 2</v>
      </c>
      <c r="T10" s="1653" t="str">
        <f t="shared" si="0"/>
        <v>Prognos 3</v>
      </c>
      <c r="U10" s="1653" t="s">
        <v>81</v>
      </c>
    </row>
    <row r="11" spans="1:23" ht="12.75" customHeight="1" thickBot="1" x14ac:dyDescent="0.3">
      <c r="A11" s="1990"/>
      <c r="B11" s="2013"/>
      <c r="C11" s="2014"/>
      <c r="D11" s="2014"/>
      <c r="E11" s="2015"/>
      <c r="F11" s="1081">
        <f>'3. T3 BALANS'!F11</f>
        <v>2023</v>
      </c>
      <c r="G11" s="1136">
        <f>'6. E2 OMSÄTTNING'!E8</f>
        <v>2024</v>
      </c>
      <c r="H11" s="1136">
        <f>'6. E2 OMSÄTTNING'!F8</f>
        <v>2027</v>
      </c>
      <c r="I11" s="1136">
        <f>'6. E2 OMSÄTTNING'!G8</f>
        <v>2028</v>
      </c>
      <c r="J11" s="1136">
        <f>'6. E2 OMSÄTTNING'!H8</f>
        <v>2029</v>
      </c>
      <c r="K11" s="1137">
        <f>'2. &amp; 7. T2 RESULTATB.'!O8</f>
        <v>2030</v>
      </c>
      <c r="M11" s="2007"/>
      <c r="N11" s="2008"/>
      <c r="O11" s="2009"/>
      <c r="P11" s="1138">
        <f t="shared" si="0"/>
        <v>2023</v>
      </c>
      <c r="Q11" s="1138">
        <f t="shared" si="0"/>
        <v>2024</v>
      </c>
      <c r="R11" s="1138">
        <f t="shared" si="0"/>
        <v>2027</v>
      </c>
      <c r="S11" s="1138">
        <f t="shared" si="0"/>
        <v>2028</v>
      </c>
      <c r="T11" s="1138">
        <f t="shared" si="0"/>
        <v>2029</v>
      </c>
      <c r="U11" s="1138">
        <f>K11</f>
        <v>2030</v>
      </c>
      <c r="W11" s="982"/>
    </row>
    <row r="12" spans="1:23" ht="12.75" customHeight="1" thickBot="1" x14ac:dyDescent="0.25">
      <c r="A12" s="46"/>
      <c r="B12" s="2016"/>
      <c r="C12" s="2017"/>
      <c r="D12" s="2017"/>
      <c r="E12" s="2018"/>
      <c r="F12" s="1139" t="s">
        <v>15</v>
      </c>
      <c r="G12" s="1139" t="s">
        <v>15</v>
      </c>
      <c r="H12" s="1139" t="str">
        <f>G12</f>
        <v>Euroa</v>
      </c>
      <c r="I12" s="1139" t="str">
        <f>H12</f>
        <v>Euroa</v>
      </c>
      <c r="J12" s="1139" t="str">
        <f>I12</f>
        <v>Euroa</v>
      </c>
      <c r="K12" s="1140" t="str">
        <f>J12</f>
        <v>Euroa</v>
      </c>
      <c r="M12" s="1654" t="s">
        <v>596</v>
      </c>
      <c r="N12" s="148"/>
      <c r="O12" s="148"/>
      <c r="P12" s="257"/>
      <c r="Q12" s="257"/>
      <c r="R12" s="257"/>
      <c r="S12" s="257"/>
      <c r="T12" s="257"/>
      <c r="U12" s="1655"/>
    </row>
    <row r="13" spans="1:23" ht="12.75" customHeight="1" x14ac:dyDescent="0.2">
      <c r="B13" s="2027" t="s">
        <v>556</v>
      </c>
      <c r="C13" s="2028"/>
      <c r="D13" s="2028"/>
      <c r="E13" s="2029"/>
      <c r="F13" s="678"/>
      <c r="G13" s="678"/>
      <c r="H13" s="678" t="s">
        <v>24</v>
      </c>
      <c r="I13" s="678"/>
      <c r="J13" s="678"/>
      <c r="K13" s="679"/>
      <c r="M13" s="1656" t="s">
        <v>597</v>
      </c>
      <c r="N13" s="472"/>
      <c r="O13" s="472"/>
      <c r="P13" s="609">
        <f>'2. &amp; 7. T2 RESULTATB.'!E11</f>
        <v>0</v>
      </c>
      <c r="Q13" s="609">
        <f>'2. &amp; 7. T2 RESULTATB.'!G11</f>
        <v>0</v>
      </c>
      <c r="R13" s="609">
        <f>'2. &amp; 7. T2 RESULTATB.'!I11</f>
        <v>0</v>
      </c>
      <c r="S13" s="609">
        <f>'2. &amp; 7. T2 RESULTATB.'!K11</f>
        <v>0</v>
      </c>
      <c r="T13" s="609">
        <f>'2. &amp; 7. T2 RESULTATB.'!M11</f>
        <v>0</v>
      </c>
      <c r="U13" s="609">
        <f>'2. &amp; 7. T2 RESULTATB.'!O11</f>
        <v>0</v>
      </c>
    </row>
    <row r="14" spans="1:23" ht="12.75" customHeight="1" x14ac:dyDescent="0.2">
      <c r="A14" s="46"/>
      <c r="B14" s="2030"/>
      <c r="C14" s="2031"/>
      <c r="D14" s="2031"/>
      <c r="E14" s="2032"/>
      <c r="F14" s="680"/>
      <c r="G14" s="680"/>
      <c r="H14" s="680"/>
      <c r="I14" s="680"/>
      <c r="J14" s="680"/>
      <c r="K14" s="681"/>
      <c r="M14" s="1657" t="s">
        <v>598</v>
      </c>
      <c r="N14" s="474"/>
      <c r="O14" s="474"/>
      <c r="P14" s="609">
        <f>IF('2. &amp; 7. T2 RESULTATB.'!E33=0,0,P13/'2. &amp; 7. T2 RESULTATB.'!E33)</f>
        <v>0</v>
      </c>
      <c r="Q14" s="609">
        <f>IF('2. &amp; 7. T2 RESULTATB.'!G33=0,0,Q13/'2. &amp; 7. T2 RESULTATB.'!G33)</f>
        <v>0</v>
      </c>
      <c r="R14" s="609">
        <f>IF('2. &amp; 7. T2 RESULTATB.'!I33=0,0,R13/'2. &amp; 7. T2 RESULTATB.'!I33)</f>
        <v>0</v>
      </c>
      <c r="S14" s="609">
        <f>IF('2. &amp; 7. T2 RESULTATB.'!K33=0,0,S13/'2. &amp; 7. T2 RESULTATB.'!K33)</f>
        <v>0</v>
      </c>
      <c r="T14" s="609">
        <f>IF('2. &amp; 7. T2 RESULTATB.'!M33=0,0,T13/'2. &amp; 7. T2 RESULTATB.'!M33)</f>
        <v>0</v>
      </c>
      <c r="U14" s="609">
        <f>IF('2. &amp; 7. T2 RESULTATB.'!O33=0,0,U13/'2. &amp; 7. T2 RESULTATB.'!O33)</f>
        <v>0</v>
      </c>
    </row>
    <row r="15" spans="1:23" ht="12.75" customHeight="1" x14ac:dyDescent="0.2">
      <c r="B15" s="184" t="s">
        <v>2</v>
      </c>
      <c r="C15" s="1891" t="s">
        <v>557</v>
      </c>
      <c r="D15" s="1891"/>
      <c r="E15" s="416" t="s">
        <v>17</v>
      </c>
      <c r="F15" s="390">
        <f>'2. &amp; 7. T2 RESULTATB.'!E26+'2. &amp; 7. T2 RESULTATB.'!E27-'2. &amp; 7. T2 RESULTATB.'!E21</f>
        <v>0</v>
      </c>
      <c r="G15" s="390">
        <f>'2. &amp; 7. T2 RESULTATB.'!G26+'2. &amp; 7. T2 RESULTATB.'!G27-'2. &amp; 7. T2 RESULTATB.'!G21</f>
        <v>0</v>
      </c>
      <c r="H15" s="682">
        <f>'2. &amp; 7. T2 RESULTATB.'!I26+'2. &amp; 7. T2 RESULTATB.'!I27-'2. &amp; 7. T2 RESULTATB.'!I21</f>
        <v>0</v>
      </c>
      <c r="I15" s="682">
        <f>'2. &amp; 7. T2 RESULTATB.'!K26+'2. &amp; 7. T2 RESULTATB.'!K27-'2. &amp; 7. T2 RESULTATB.'!K21</f>
        <v>0</v>
      </c>
      <c r="J15" s="682">
        <f>'2. &amp; 7. T2 RESULTATB.'!M26+'2. &amp; 7. T2 RESULTATB.'!M27-'2. &amp; 7. T2 RESULTATB.'!M21</f>
        <v>0</v>
      </c>
      <c r="K15" s="610">
        <f>'2. &amp; 7. T2 RESULTATB.'!O26+'2. &amp; 7. T2 RESULTATB.'!O27-'2. &amp; 7. T2 RESULTATB.'!O21</f>
        <v>0</v>
      </c>
      <c r="M15" s="1657" t="s">
        <v>599</v>
      </c>
      <c r="N15" s="474"/>
      <c r="O15" s="474"/>
      <c r="P15" s="334">
        <f>'2. &amp; 7. T2 RESULTATB.'!E33</f>
        <v>1</v>
      </c>
      <c r="Q15" s="334">
        <f>'2. &amp; 7. T2 RESULTATB.'!G33</f>
        <v>1</v>
      </c>
      <c r="R15" s="334">
        <f>'2. &amp; 7. T2 RESULTATB.'!I33</f>
        <v>1</v>
      </c>
      <c r="S15" s="334">
        <f>'2. &amp; 7. T2 RESULTATB.'!K33</f>
        <v>1</v>
      </c>
      <c r="T15" s="334">
        <f>'2. &amp; 7. T2 RESULTATB.'!M33</f>
        <v>1</v>
      </c>
      <c r="U15" s="334">
        <f>'2. &amp; 7. T2 RESULTATB.'!O33</f>
        <v>1</v>
      </c>
    </row>
    <row r="16" spans="1:23" ht="12.75" customHeight="1" x14ac:dyDescent="0.2">
      <c r="A16" s="46"/>
      <c r="B16" s="184" t="s">
        <v>3</v>
      </c>
      <c r="C16" s="1866" t="s">
        <v>558</v>
      </c>
      <c r="D16" s="1866"/>
      <c r="E16" s="213" t="s">
        <v>17</v>
      </c>
      <c r="F16" s="677">
        <v>0</v>
      </c>
      <c r="G16" s="677">
        <v>0</v>
      </c>
      <c r="H16" s="609">
        <f>'1. T1 INVESTERINGSP.'!D48+'1. T1 INVESTERINGSP.'!D49</f>
        <v>0</v>
      </c>
      <c r="I16" s="609">
        <f>'1. T1 INVESTERINGSP.'!E48+'1. T1 INVESTERINGSP.'!E49</f>
        <v>0</v>
      </c>
      <c r="J16" s="609">
        <f>'1. T1 INVESTERINGSP.'!F48+'1. T1 INVESTERINGSP.'!F49</f>
        <v>0</v>
      </c>
      <c r="K16" s="610">
        <f>'1. T1 INVESTERINGSP.'!G48+'1. T1 INVESTERINGSP.'!G49</f>
        <v>0</v>
      </c>
      <c r="M16" s="2033" t="s">
        <v>600</v>
      </c>
      <c r="N16" s="2034"/>
      <c r="O16" s="2035"/>
      <c r="P16" s="609">
        <f t="shared" ref="P16:U16" si="1">P82</f>
        <v>0</v>
      </c>
      <c r="Q16" s="609">
        <f t="shared" si="1"/>
        <v>0</v>
      </c>
      <c r="R16" s="609">
        <f t="shared" si="1"/>
        <v>0</v>
      </c>
      <c r="S16" s="609">
        <f t="shared" si="1"/>
        <v>0</v>
      </c>
      <c r="T16" s="609">
        <f t="shared" si="1"/>
        <v>0</v>
      </c>
      <c r="U16" s="609">
        <f t="shared" si="1"/>
        <v>0</v>
      </c>
    </row>
    <row r="17" spans="1:21" ht="22.9" customHeight="1" x14ac:dyDescent="0.2">
      <c r="A17" s="2"/>
      <c r="B17" s="184" t="s">
        <v>4</v>
      </c>
      <c r="C17" s="1995" t="s">
        <v>559</v>
      </c>
      <c r="D17" s="1995"/>
      <c r="E17" s="213" t="s">
        <v>17</v>
      </c>
      <c r="F17" s="677">
        <v>0</v>
      </c>
      <c r="G17" s="677">
        <v>0</v>
      </c>
      <c r="H17" s="609">
        <f>'4. T7 LÅN '!F39+IF('3. T3 BALANS'!H74-'3. T3 BALANS'!G74&gt;0,'3. T3 BALANS'!H74-'3. T3 BALANS'!G74,0)+IF('3. T3 BALANS'!H72-'3. T3 BALANS'!G72&gt;0,'3. T3 BALANS'!H72-'3. T3 BALANS'!G72,0)</f>
        <v>0</v>
      </c>
      <c r="I17" s="609">
        <f>'4. T7 LÅN '!I39+IF('3. T3 BALANS'!I74-'3. T3 BALANS'!H74&gt;0,'3. T3 BALANS'!I74-'3. T3 BALANS'!H74,0)+IF('3. T3 BALANS'!I72-'3. T3 BALANS'!H72&gt;0,'3. T3 BALANS'!I72-'3. T3 BALANS'!H72,0)</f>
        <v>0</v>
      </c>
      <c r="J17" s="609">
        <f>'4. T7 LÅN '!L39+IF('3. T3 BALANS'!J74-'3. T3 BALANS'!I74&gt;0,'3. T3 BALANS'!J74-'3. T3 BALANS'!I74,0)+IF('3. T3 BALANS'!J72-'3. T3 BALANS'!I72&gt;0,'3. T3 BALANS'!J72-'3. T3 BALANS'!I72,0)</f>
        <v>0</v>
      </c>
      <c r="K17" s="610">
        <f>'4. T7 LÅN '!O39+IF('3. T3 BALANS'!K74-'3. T3 BALANS'!J74&gt;0,'3. T3 BALANS'!K74-'3. T3 BALANS'!J74,0)+IF('3. T3 BALANS'!K72-'3. T3 BALANS'!J72&gt;0,'3. T3 BALANS'!K72-'3. T3 BALANS'!J72,0)</f>
        <v>0</v>
      </c>
      <c r="M17" s="1658" t="s">
        <v>601</v>
      </c>
      <c r="N17" s="131"/>
      <c r="O17" s="131"/>
      <c r="P17" s="129"/>
      <c r="Q17" s="129"/>
      <c r="R17" s="129"/>
      <c r="S17" s="129"/>
      <c r="T17" s="133"/>
      <c r="U17" s="1659"/>
    </row>
    <row r="18" spans="1:21" ht="12.75" customHeight="1" x14ac:dyDescent="0.2">
      <c r="A18" s="46"/>
      <c r="B18" s="184" t="s">
        <v>5</v>
      </c>
      <c r="C18" s="1866" t="s">
        <v>560</v>
      </c>
      <c r="D18" s="1866"/>
      <c r="E18" s="213" t="s">
        <v>17</v>
      </c>
      <c r="F18" s="677">
        <v>0</v>
      </c>
      <c r="G18" s="677">
        <v>0</v>
      </c>
      <c r="H18" s="609">
        <f>'4. T7 LÅN '!F41</f>
        <v>0</v>
      </c>
      <c r="I18" s="609">
        <f>'4. T7 LÅN '!I42</f>
        <v>0</v>
      </c>
      <c r="J18" s="609">
        <f>'4. T7 LÅN '!L43</f>
        <v>0</v>
      </c>
      <c r="K18" s="610">
        <f>'4. T7 LÅN '!O45</f>
        <v>0</v>
      </c>
      <c r="M18" s="1656" t="s">
        <v>602</v>
      </c>
      <c r="N18" s="472"/>
      <c r="O18" s="472"/>
      <c r="P18" s="609">
        <f>'2. &amp; 7. T2 RESULTATB.'!E20</f>
        <v>0</v>
      </c>
      <c r="Q18" s="609">
        <f>'2. &amp; 7. T2 RESULTATB.'!G20</f>
        <v>0</v>
      </c>
      <c r="R18" s="609">
        <f>'2. &amp; 7. T2 RESULTATB.'!I20</f>
        <v>0</v>
      </c>
      <c r="S18" s="609">
        <f>'2. &amp; 7. T2 RESULTATB.'!K20</f>
        <v>0</v>
      </c>
      <c r="T18" s="609">
        <f>'2. &amp; 7. T2 RESULTATB.'!M20</f>
        <v>0</v>
      </c>
      <c r="U18" s="609">
        <f>'2. &amp; 7. T2 RESULTATB.'!O20</f>
        <v>0</v>
      </c>
    </row>
    <row r="19" spans="1:21" ht="12.75" customHeight="1" x14ac:dyDescent="0.2">
      <c r="B19" s="184" t="s">
        <v>6</v>
      </c>
      <c r="C19" s="1866" t="s">
        <v>561</v>
      </c>
      <c r="D19" s="1866"/>
      <c r="E19" s="213" t="s">
        <v>17</v>
      </c>
      <c r="F19" s="677">
        <v>0</v>
      </c>
      <c r="G19" s="677">
        <v>0</v>
      </c>
      <c r="H19" s="609">
        <f>IF('3. T3 BALANS'!H78-'3. T3 BALANS'!G78&gt;0,'3. T3 BALANS'!H78-'3. T3 BALANS'!G78,0)+IF('3. T3 BALANS'!H79-'3. T3 BALANS'!G79&gt;0,'3. T3 BALANS'!H79-'3. T3 BALANS'!G79,0)</f>
        <v>0</v>
      </c>
      <c r="I19" s="609">
        <f>IF('3. T3 BALANS'!I78-'3. T3 BALANS'!H78&gt;0,'3. T3 BALANS'!I78-'3. T3 BALANS'!H78,0)+IF('3. T3 BALANS'!I79-'3. T3 BALANS'!H79&gt;0,'3. T3 BALANS'!I79-'3. T3 BALANS'!H79,0)</f>
        <v>0</v>
      </c>
      <c r="J19" s="609">
        <f>IF('3. T3 BALANS'!J78-'3. T3 BALANS'!I78&gt;0,'3. T3 BALANS'!J78-'3. T3 BALANS'!I78,0)+IF('3. T3 BALANS'!J79-'3. T3 BALANS'!I79&gt;0,'3. T3 BALANS'!J79-'3. T3 BALANS'!I79,0)</f>
        <v>0</v>
      </c>
      <c r="K19" s="610">
        <f>IF('3. T3 BALANS'!K78-'3. T3 BALANS'!J78&gt;0,'3. T3 BALANS'!K78-'3. T3 BALANS'!J78,0)+IF('3. T3 BALANS'!K79-'3. T3 BALANS'!J79&gt;0,'3. T3 BALANS'!K79-'3. T3 BALANS'!J79,0)</f>
        <v>0</v>
      </c>
      <c r="M19" s="2033" t="s">
        <v>603</v>
      </c>
      <c r="N19" s="2034"/>
      <c r="O19" s="2035"/>
      <c r="P19" s="611">
        <f>'2. &amp; 7. T2 RESULTATB.'!F20/100</f>
        <v>0</v>
      </c>
      <c r="Q19" s="611">
        <f>'2. &amp; 7. T2 RESULTATB.'!H20/100</f>
        <v>0</v>
      </c>
      <c r="R19" s="611">
        <f>'2. &amp; 7. T2 RESULTATB.'!J20/100</f>
        <v>0</v>
      </c>
      <c r="S19" s="611">
        <f>'2. &amp; 7. T2 RESULTATB.'!L20/100</f>
        <v>0</v>
      </c>
      <c r="T19" s="611">
        <f>'2. &amp; 7. T2 RESULTATB.'!N20/100</f>
        <v>0</v>
      </c>
      <c r="U19" s="611">
        <f>'2. &amp; 7. T2 RESULTATB.'!P20/100</f>
        <v>0</v>
      </c>
    </row>
    <row r="20" spans="1:21" ht="25.9" customHeight="1" x14ac:dyDescent="0.2">
      <c r="B20" s="184" t="s">
        <v>7</v>
      </c>
      <c r="C20" s="2023" t="s">
        <v>562</v>
      </c>
      <c r="D20" s="2023"/>
      <c r="E20" s="2023"/>
      <c r="F20" s="2023"/>
      <c r="G20" s="2024"/>
      <c r="H20" s="609">
        <f>'AT1 Avustus, alv-laskenta '!C49+'1. T1 INVESTERINGSP.'!D51+'3. T3 BALANS'!H36+'3. T3 BALANS'!H16+'3. T3 BALANS'!H21+'3. T3 BALANS'!H24+'3. T3 BALANS'!H28+'3. T3 BALANS'!H32+'3. T3 BALANS'!H70</f>
        <v>0</v>
      </c>
      <c r="I20" s="609">
        <f>'AT1 Avustus, alv-laskenta '!D49+'1. T1 INVESTERINGSP.'!E51+'3. T3 BALANS'!I36+'3. T3 BALANS'!I16+'3. T3 BALANS'!I21+'3. T3 BALANS'!I24+'3. T3 BALANS'!I28+'3. T3 BALANS'!I32+'3. T3 BALANS'!I70</f>
        <v>0</v>
      </c>
      <c r="J20" s="609">
        <f>'AT1 Avustus, alv-laskenta '!E49+'1. T1 INVESTERINGSP.'!F51+'3. T3 BALANS'!J36+'3. T3 BALANS'!J16+'3. T3 BALANS'!J21+'3. T3 BALANS'!J24+'3. T3 BALANS'!J28+'3. T3 BALANS'!J32+'3. T3 BALANS'!J70</f>
        <v>0</v>
      </c>
      <c r="K20" s="610">
        <f>'AT1 Avustus, alv-laskenta '!F49+'1. T1 INVESTERINGSP.'!G51+'3. T3 BALANS'!K36+'3. T3 BALANS'!K16+'3. T3 BALANS'!K21+'3. T3 BALANS'!K24+'3. T3 BALANS'!K28+'3. T3 BALANS'!K32+'3. T3 BALANS'!K70</f>
        <v>0</v>
      </c>
      <c r="M20" s="1660" t="s">
        <v>604</v>
      </c>
      <c r="P20" s="724">
        <f>'2. &amp; 7. T2 RESULTATB.'!E22</f>
        <v>0</v>
      </c>
      <c r="Q20" s="724">
        <f>'2. &amp; 7. T2 RESULTATB.'!G22</f>
        <v>0</v>
      </c>
      <c r="R20" s="724">
        <f>'2. &amp; 7. T2 RESULTATB.'!I22</f>
        <v>0</v>
      </c>
      <c r="S20" s="724">
        <f>'2. &amp; 7. T2 RESULTATB.'!K22</f>
        <v>0</v>
      </c>
      <c r="T20" s="724">
        <f>'2. &amp; 7. T2 RESULTATB.'!M22</f>
        <v>0</v>
      </c>
      <c r="U20" s="724">
        <f>'2. &amp; 7. T2 RESULTATB.'!O22</f>
        <v>0</v>
      </c>
    </row>
    <row r="21" spans="1:21" ht="13.5" customHeight="1" thickBot="1" x14ac:dyDescent="0.25">
      <c r="B21" s="318" t="s">
        <v>8</v>
      </c>
      <c r="C21" s="461" t="s">
        <v>537</v>
      </c>
      <c r="D21" s="333"/>
      <c r="E21" s="478"/>
      <c r="F21" s="683">
        <v>0</v>
      </c>
      <c r="G21" s="683">
        <v>0</v>
      </c>
      <c r="H21" s="684">
        <f>SUM(H15:H20)</f>
        <v>0</v>
      </c>
      <c r="I21" s="684">
        <f>SUM(I15:I20)</f>
        <v>0</v>
      </c>
      <c r="J21" s="684">
        <f>SUM(J15:J20)</f>
        <v>0</v>
      </c>
      <c r="K21" s="685">
        <f>SUM(K15:K20)</f>
        <v>0</v>
      </c>
      <c r="M21" s="2033" t="s">
        <v>605</v>
      </c>
      <c r="N21" s="2034"/>
      <c r="O21" s="2035"/>
      <c r="P21" s="612">
        <f>'2. &amp; 7. T2 RESULTATB.'!F22/100</f>
        <v>0</v>
      </c>
      <c r="Q21" s="612">
        <f>'2. &amp; 7. T2 RESULTATB.'!H22/100</f>
        <v>0</v>
      </c>
      <c r="R21" s="612">
        <f>'2. &amp; 7. T2 RESULTATB.'!J22/100</f>
        <v>0</v>
      </c>
      <c r="S21" s="612">
        <f>'2. &amp; 7. T2 RESULTATB.'!L22/100</f>
        <v>0</v>
      </c>
      <c r="T21" s="612">
        <f>'2. &amp; 7. T2 RESULTATB.'!N22/100</f>
        <v>0</v>
      </c>
      <c r="U21" s="612">
        <f>'2. &amp; 7. T2 RESULTATB.'!P22/100</f>
        <v>0</v>
      </c>
    </row>
    <row r="22" spans="1:21" ht="13.5" customHeight="1" thickBot="1" x14ac:dyDescent="0.25">
      <c r="B22" s="263"/>
      <c r="C22" s="264"/>
      <c r="D22" s="265"/>
      <c r="E22" s="265"/>
      <c r="F22" s="263"/>
      <c r="G22" s="686"/>
      <c r="H22" s="687"/>
      <c r="I22" s="687"/>
      <c r="J22" s="687"/>
      <c r="K22" s="688"/>
      <c r="M22" s="2039" t="s">
        <v>620</v>
      </c>
      <c r="N22" s="2040"/>
      <c r="O22" s="2041"/>
      <c r="P22" s="614">
        <f>IF('2. &amp; 7. T2 RESULTATB.'!E14=0,0,IF(P21&gt;10%,"Bra",IF(P21&lt;5%,"Svag","Tillfredställande")))</f>
        <v>0</v>
      </c>
      <c r="Q22" s="614">
        <f>IF(Q21=0,0,IF(Q21&gt;10%,"Bra",IF(Q21&lt;5%,"Svag","Tillfredställande")))</f>
        <v>0</v>
      </c>
      <c r="R22" s="614">
        <f t="shared" ref="R22:U22" si="2">IF(R21=0,0,IF(R21&gt;10%,"Bra",IF(R21&lt;5%,"Svag","Tillfredställande")))</f>
        <v>0</v>
      </c>
      <c r="S22" s="614">
        <f t="shared" si="2"/>
        <v>0</v>
      </c>
      <c r="T22" s="614">
        <f t="shared" si="2"/>
        <v>0</v>
      </c>
      <c r="U22" s="614">
        <f t="shared" si="2"/>
        <v>0</v>
      </c>
    </row>
    <row r="23" spans="1:21" ht="12.75" customHeight="1" x14ac:dyDescent="0.2">
      <c r="B23" s="643" t="s">
        <v>563</v>
      </c>
      <c r="C23" s="424"/>
      <c r="D23" s="423"/>
      <c r="E23" s="149"/>
      <c r="F23" s="689"/>
      <c r="G23" s="689"/>
      <c r="H23" s="690"/>
      <c r="I23" s="690"/>
      <c r="J23" s="690"/>
      <c r="K23" s="691"/>
      <c r="M23" s="1662" t="s">
        <v>780</v>
      </c>
      <c r="N23" s="1510"/>
      <c r="O23" s="1510"/>
      <c r="P23" s="609">
        <f>'2. &amp; 7. T2 RESULTATB.'!E31</f>
        <v>0</v>
      </c>
      <c r="Q23" s="609">
        <f>'2. &amp; 7. T2 RESULTATB.'!G31</f>
        <v>0</v>
      </c>
      <c r="R23" s="609">
        <f>'2. &amp; 7. T2 RESULTATB.'!I31</f>
        <v>0</v>
      </c>
      <c r="S23" s="609">
        <f>'2. &amp; 7. T2 RESULTATB.'!K31</f>
        <v>0</v>
      </c>
      <c r="T23" s="609">
        <f>'2. &amp; 7. T2 RESULTATB.'!M31</f>
        <v>0</v>
      </c>
      <c r="U23" s="609">
        <f>'2. &amp; 7. T2 RESULTATB.'!O31</f>
        <v>0</v>
      </c>
    </row>
    <row r="24" spans="1:21" ht="12.75" customHeight="1" x14ac:dyDescent="0.2">
      <c r="B24" s="184" t="s">
        <v>9</v>
      </c>
      <c r="C24" s="1891" t="s">
        <v>564</v>
      </c>
      <c r="D24" s="1891"/>
      <c r="E24" s="336" t="s">
        <v>17</v>
      </c>
      <c r="F24" s="390"/>
      <c r="G24" s="390"/>
      <c r="H24" s="682">
        <f>'AT1 Avustus, alv-laskenta '!C4</f>
        <v>0</v>
      </c>
      <c r="I24" s="682">
        <f>'AT1 Avustus, alv-laskenta '!D4</f>
        <v>0</v>
      </c>
      <c r="J24" s="682">
        <f>'AT1 Avustus, alv-laskenta '!E4</f>
        <v>0</v>
      </c>
      <c r="K24" s="1318">
        <f>'AT1 Avustus, alv-laskenta '!F4</f>
        <v>0</v>
      </c>
      <c r="M24" s="1662" t="s">
        <v>781</v>
      </c>
      <c r="N24" s="1510"/>
      <c r="O24" s="1510"/>
      <c r="P24" s="612">
        <f>'2. &amp; 7. T2 RESULTATB.'!F31/100</f>
        <v>0</v>
      </c>
      <c r="Q24" s="612">
        <f>'2. &amp; 7. T2 RESULTATB.'!H31/100</f>
        <v>0</v>
      </c>
      <c r="R24" s="612">
        <f>'2. &amp; 7. T2 RESULTATB.'!J31/100</f>
        <v>0</v>
      </c>
      <c r="S24" s="612">
        <f>'2. &amp; 7. T2 RESULTATB.'!L31/100</f>
        <v>0</v>
      </c>
      <c r="T24" s="612">
        <f>'2. &amp; 7. T2 RESULTATB.'!N31/100</f>
        <v>0</v>
      </c>
      <c r="U24" s="612">
        <f>'2. &amp; 7. T2 RESULTATB.'!P31/100</f>
        <v>0</v>
      </c>
    </row>
    <row r="25" spans="1:21" ht="12.75" customHeight="1" x14ac:dyDescent="0.2">
      <c r="B25" s="184" t="s">
        <v>10</v>
      </c>
      <c r="C25" s="1866" t="s">
        <v>565</v>
      </c>
      <c r="D25" s="1866"/>
      <c r="E25" s="213" t="s">
        <v>17</v>
      </c>
      <c r="F25" s="907"/>
      <c r="G25" s="907"/>
      <c r="H25" s="609">
        <f>'AT1 Avustus, alv-laskenta '!C10+'AT1 Avustus, alv-laskenta '!C15</f>
        <v>0</v>
      </c>
      <c r="I25" s="609">
        <f>'AT1 Avustus, alv-laskenta '!D10+'AT1 Avustus, alv-laskenta '!D15</f>
        <v>0</v>
      </c>
      <c r="J25" s="609">
        <f>'AT1 Avustus, alv-laskenta '!E10+'AT1 Avustus, alv-laskenta '!E15</f>
        <v>0</v>
      </c>
      <c r="K25" s="610">
        <f>'AT1 Avustus, alv-laskenta '!F10+'AT1 Avustus, alv-laskenta '!F15</f>
        <v>0</v>
      </c>
      <c r="M25" s="1996" t="s">
        <v>782</v>
      </c>
      <c r="N25" s="1997"/>
      <c r="O25" s="1998"/>
      <c r="P25" s="612">
        <f>IF(P16=0,0,(P23-'2. &amp; 7. T2 RESULTATB.'!E27-'2. &amp; 7. T2 RESULTATB.'!E25)/'8. T4 FINANSIERINGSB.'!P16)</f>
        <v>0</v>
      </c>
      <c r="Q25" s="612">
        <f>IF(Q16=0,0,(Q23-'2. &amp; 7. T2 RESULTATB.'!G27-'2. &amp; 7. T2 RESULTATB.'!G25)/'8. T4 FINANSIERINGSB.'!Q16)</f>
        <v>0</v>
      </c>
      <c r="R25" s="612">
        <f>IF(R16=0,0,(R23-'2. &amp; 7. T2 RESULTATB.'!I27-'2. &amp; 7. T2 RESULTATB.'!I25)/'8. T4 FINANSIERINGSB.'!R16)</f>
        <v>0</v>
      </c>
      <c r="S25" s="612">
        <f>IF(S16=0,0,(S23-'2. &amp; 7. T2 RESULTATB.'!K27-'2. &amp; 7. T2 RESULTATB.'!K25)/'8. T4 FINANSIERINGSB.'!S16)</f>
        <v>0</v>
      </c>
      <c r="T25" s="612">
        <f>IF(T16=0,0,(T23-'2. &amp; 7. T2 RESULTATB.'!M27-'2. &amp; 7. T2 RESULTATB.'!M25)/'8. T4 FINANSIERINGSB.'!T16)</f>
        <v>0</v>
      </c>
      <c r="U25" s="612">
        <f>IF(U16=0,0,(U23-'2. &amp; 7. T2 RESULTATB.'!O27-'2. &amp; 7. T2 RESULTATB.'!O25)/'8. T4 FINANSIERINGSB.'!U16)</f>
        <v>0</v>
      </c>
    </row>
    <row r="26" spans="1:21" ht="12.75" customHeight="1" x14ac:dyDescent="0.2">
      <c r="B26" s="184" t="s">
        <v>11</v>
      </c>
      <c r="C26" s="1866" t="s">
        <v>566</v>
      </c>
      <c r="D26" s="1866"/>
      <c r="E26" s="213" t="s">
        <v>17</v>
      </c>
      <c r="F26" s="907"/>
      <c r="G26" s="907"/>
      <c r="H26" s="609">
        <f>'AT1 Avustus, alv-laskenta '!C23+'AT1 Avustus, alv-laskenta '!C30</f>
        <v>0</v>
      </c>
      <c r="I26" s="609">
        <f>'AT1 Avustus, alv-laskenta '!D23+'AT1 Avustus, alv-laskenta '!D30</f>
        <v>0</v>
      </c>
      <c r="J26" s="609">
        <f>'AT1 Avustus, alv-laskenta '!E23+'AT1 Avustus, alv-laskenta '!E30</f>
        <v>0</v>
      </c>
      <c r="K26" s="610">
        <f>'AT1 Avustus, alv-laskenta '!F23+'AT1 Avustus, alv-laskenta '!F30</f>
        <v>0</v>
      </c>
      <c r="M26" s="1996" t="s">
        <v>783</v>
      </c>
      <c r="N26" s="1997"/>
      <c r="O26" s="1998"/>
      <c r="P26" s="611">
        <f>IF('2. &amp; 7. T2 RESULTATB.'!E14=0,0,(('2. &amp; 7. T2 RESULTATB.'!E22+'2. &amp; 7. T2 RESULTATB.'!E24+'2. &amp; 7. T2 RESULTATB.'!E25-'2. &amp; 7. T2 RESULTATB.'!E27-'2. &amp; 7. T2 RESULTATB.'!E21)/'2. &amp; 7. T2 RESULTATB.'!E14))</f>
        <v>0</v>
      </c>
      <c r="Q26" s="611">
        <f>IF('2. &amp; 7. T2 RESULTATB.'!G14=0,0,(('2. &amp; 7. T2 RESULTATB.'!G22+'2. &amp; 7. T2 RESULTATB.'!G24+'2. &amp; 7. T2 RESULTATB.'!G25-'2. &amp; 7. T2 RESULTATB.'!IG27-'2. &amp; 7. T2 RESULTATB.'!G21)/'2. &amp; 7. T2 RESULTATB.'!G14))</f>
        <v>0</v>
      </c>
      <c r="R26" s="611">
        <f>IF('2. &amp; 7. T2 RESULTATB.'!I14=0,0,(('2. &amp; 7. T2 RESULTATB.'!I22+'2. &amp; 7. T2 RESULTATB.'!I24+'2. &amp; 7. T2 RESULTATB.'!I25-'2. &amp; 7. T2 RESULTATB.'!I27-'2. &amp; 7. T2 RESULTATB.'!I21)/'2. &amp; 7. T2 RESULTATB.'!I14))</f>
        <v>0</v>
      </c>
      <c r="S26" s="611">
        <f>IF('2. &amp; 7. T2 RESULTATB.'!K14=0,0,(('2. &amp; 7. T2 RESULTATB.'!K22+'2. &amp; 7. T2 RESULTATB.'!K24+'2. &amp; 7. T2 RESULTATB.'!K25-'2. &amp; 7. T2 RESULTATB.'!K27-'2. &amp; 7. T2 RESULTATB.'!K21)/'2. &amp; 7. T2 RESULTATB.'!K14))</f>
        <v>0</v>
      </c>
      <c r="T26" s="611">
        <f>IF('2. &amp; 7. T2 RESULTATB.'!M14=0,0,(('2. &amp; 7. T2 RESULTATB.'!M22+'2. &amp; 7. T2 RESULTATB.'!M24+'2. &amp; 7. T2 RESULTATB.'!M25-'2. &amp; 7. T2 RESULTATB.'!M27-'2. &amp; 7. T2 RESULTATB.'!M21)/'2. &amp; 7. T2 RESULTATB.'!M14))</f>
        <v>0</v>
      </c>
      <c r="U26" s="611">
        <f>IF('2. &amp; 7. T2 RESULTATB.'!O14=0,0,(('2. &amp; 7. T2 RESULTATB.'!O22+'2. &amp; 7. T2 RESULTATB.'!O24+'2. &amp; 7. T2 RESULTATB.'!O25-'2. &amp; 7. T2 RESULTATB.'!O27-'2. &amp; 7. T2 RESULTATB.'!O21)/'2. &amp; 7. T2 RESULTATB.'!O14))</f>
        <v>0</v>
      </c>
    </row>
    <row r="27" spans="1:21" ht="12.75" customHeight="1" x14ac:dyDescent="0.2">
      <c r="B27" s="184" t="s">
        <v>43</v>
      </c>
      <c r="C27" s="1866" t="s">
        <v>567</v>
      </c>
      <c r="D27" s="1866"/>
      <c r="E27" s="213" t="s">
        <v>17</v>
      </c>
      <c r="F27" s="907"/>
      <c r="G27" s="907"/>
      <c r="H27" s="609">
        <f>'AT1 Avustus, alv-laskenta '!C36+'AT1 Avustus, alv-laskenta '!C43</f>
        <v>0</v>
      </c>
      <c r="I27" s="609">
        <f>'AT1 Avustus, alv-laskenta '!D36+'AT1 Avustus, alv-laskenta '!D43</f>
        <v>0</v>
      </c>
      <c r="J27" s="609">
        <f>'AT1 Avustus, alv-laskenta '!E36+'AT1 Avustus, alv-laskenta '!E43</f>
        <v>0</v>
      </c>
      <c r="K27" s="610">
        <f>'AT1 Avustus, alv-laskenta '!F36+'AT1 Avustus, alv-laskenta '!F43</f>
        <v>0</v>
      </c>
      <c r="M27" s="1661" t="s">
        <v>620</v>
      </c>
      <c r="N27" s="1584"/>
      <c r="O27" s="1585"/>
      <c r="P27" s="1595">
        <f>IF(P26=0,0,IF(P26&lt;0,"Svag","Tillräcklig"))</f>
        <v>0</v>
      </c>
      <c r="Q27" s="1595">
        <f t="shared" ref="Q27:U27" si="3">IF(Q26=0,0,IF(Q26&lt;0,"Svag","Tillräcklig"))</f>
        <v>0</v>
      </c>
      <c r="R27" s="1595">
        <f t="shared" si="3"/>
        <v>0</v>
      </c>
      <c r="S27" s="1595">
        <f t="shared" si="3"/>
        <v>0</v>
      </c>
      <c r="T27" s="1595">
        <f t="shared" si="3"/>
        <v>0</v>
      </c>
      <c r="U27" s="1595">
        <f t="shared" si="3"/>
        <v>0</v>
      </c>
    </row>
    <row r="28" spans="1:21" ht="17.25" customHeight="1" x14ac:dyDescent="0.2">
      <c r="B28" s="184" t="s">
        <v>44</v>
      </c>
      <c r="C28" s="1866" t="s">
        <v>568</v>
      </c>
      <c r="D28" s="1866"/>
      <c r="E28" s="325" t="s">
        <v>20</v>
      </c>
      <c r="F28" s="907"/>
      <c r="G28" s="907"/>
      <c r="H28" s="609">
        <f>H61</f>
        <v>0</v>
      </c>
      <c r="I28" s="609">
        <f>I61</f>
        <v>0</v>
      </c>
      <c r="J28" s="609">
        <f>J61</f>
        <v>0</v>
      </c>
      <c r="K28" s="610">
        <f>K61</f>
        <v>0</v>
      </c>
      <c r="M28" s="1663" t="s">
        <v>607</v>
      </c>
      <c r="N28" s="1664"/>
      <c r="O28" s="1665"/>
      <c r="P28" s="129"/>
      <c r="Q28" s="129"/>
      <c r="R28" s="129"/>
      <c r="S28" s="133"/>
      <c r="T28" s="133"/>
      <c r="U28" s="1659"/>
    </row>
    <row r="29" spans="1:21" ht="12.75" customHeight="1" x14ac:dyDescent="0.2">
      <c r="B29" s="184" t="s">
        <v>118</v>
      </c>
      <c r="C29" s="1866" t="s">
        <v>569</v>
      </c>
      <c r="D29" s="1866"/>
      <c r="E29" s="213" t="s">
        <v>17</v>
      </c>
      <c r="F29" s="677"/>
      <c r="G29" s="677"/>
      <c r="H29" s="609">
        <f>'3. T3 BALANS'!H48-'3. T3 BALANS'!G48</f>
        <v>0</v>
      </c>
      <c r="I29" s="609">
        <f>'3. T3 BALANS'!I48-'3. T3 BALANS'!H48</f>
        <v>0</v>
      </c>
      <c r="J29" s="609">
        <f>'3. T3 BALANS'!J48-'3. T3 BALANS'!I48</f>
        <v>0</v>
      </c>
      <c r="K29" s="610">
        <f>'3. T3 BALANS'!K48-'3. T3 BALANS'!J48</f>
        <v>0</v>
      </c>
      <c r="M29" s="1999" t="s">
        <v>92</v>
      </c>
      <c r="N29" s="2000"/>
      <c r="O29" s="2001"/>
      <c r="P29" s="613">
        <f>IF('3. T3 BALANS'!F75=0,0,('3. T3 BALANS'!F48+'3. T3 BALANS'!F49)/'3. T3 BALANS'!F75)</f>
        <v>0</v>
      </c>
      <c r="Q29" s="613">
        <f>IF('3. T3 BALANS'!G75=0,0,('3. T3 BALANS'!G48+'3. T3 BALANS'!G49)/'3. T3 BALANS'!G75)</f>
        <v>0</v>
      </c>
      <c r="R29" s="613">
        <f>IF('3. T3 BALANS'!H75=0,0,('3. T3 BALANS'!H48+'3. T3 BALANS'!H49)/'3. T3 BALANS'!H75)</f>
        <v>0</v>
      </c>
      <c r="S29" s="613">
        <f>IF('3. T3 BALANS'!I75=0,0,('3. T3 BALANS'!I48+'3. T3 BALANS'!I49)/'3. T3 BALANS'!I75)</f>
        <v>0</v>
      </c>
      <c r="T29" s="613">
        <f>IF('3. T3 BALANS'!J75=0,0,('3. T3 BALANS'!J48+'3. T3 BALANS'!J49)/'3. T3 BALANS'!J75)</f>
        <v>0</v>
      </c>
      <c r="U29" s="613">
        <f>IF('3. T3 BALANS'!K75=0,0,('3. T3 BALANS'!K48+'3. T3 BALANS'!K49)/'3. T3 BALANS'!K75)</f>
        <v>0</v>
      </c>
    </row>
    <row r="30" spans="1:21" ht="22.7" customHeight="1" x14ac:dyDescent="0.2">
      <c r="B30" s="1558" t="s">
        <v>45</v>
      </c>
      <c r="C30" s="1995" t="s">
        <v>570</v>
      </c>
      <c r="D30" s="1995"/>
      <c r="E30" s="213" t="s">
        <v>17</v>
      </c>
      <c r="F30" s="907"/>
      <c r="G30" s="907"/>
      <c r="H30" s="609">
        <f>'4. T7 LÅN '!F18+'4. T7 LÅN '!G39</f>
        <v>0</v>
      </c>
      <c r="I30" s="609">
        <f>'4. T7 LÅN '!I18+'4. T7 LÅN '!J39</f>
        <v>0</v>
      </c>
      <c r="J30" s="609">
        <f>'4. T7 LÅN '!L18+'4. T7 LÅN '!M39</f>
        <v>0</v>
      </c>
      <c r="K30" s="610">
        <f>'4. T7 LÅN '!O18+'4. T7 LÅN '!P39</f>
        <v>0</v>
      </c>
      <c r="M30" s="1661" t="s">
        <v>620</v>
      </c>
      <c r="N30" s="1584"/>
      <c r="O30" s="1585"/>
      <c r="P30" s="614">
        <f>IF('3. T3 BALANS'!F75=0,0,IF(P29&gt;1,"Bra",IF(P29&lt;0.5,"Svag","Tillfredställande")))</f>
        <v>0</v>
      </c>
      <c r="Q30" s="614">
        <f>IF('3. T3 BALANS'!G75=0,0,IF(Q29&gt;1,"Bra",IF(Q29&lt;0.5,"Svag","Tillfredställande")))</f>
        <v>0</v>
      </c>
      <c r="R30" s="614">
        <f>IF('3. T3 BALANS'!H75=0,0,IF(R29&gt;1,"Bra",IF(R29&lt;0.5,"Svag","Tillfredställande")))</f>
        <v>0</v>
      </c>
      <c r="S30" s="614">
        <f>IF('3. T3 BALANS'!I75=0,0,IF(S29&gt;1,"Bra",IF(S29&lt;0.5,"Svag","Tillfredställande")))</f>
        <v>0</v>
      </c>
      <c r="T30" s="614">
        <f>IF('3. T3 BALANS'!J75=0,0,IF(T29&gt;1,"Bra",IF(T29&lt;0.5,"Svag","Tillfredställande")))</f>
        <v>0</v>
      </c>
      <c r="U30" s="614">
        <f>IF('3. T3 BALANS'!K75=0,0,IF(U29&gt;1,"Bra",IF(U29&lt;0.5,"Svag","Tillfredställande")))</f>
        <v>0</v>
      </c>
    </row>
    <row r="31" spans="1:21" ht="12.75" customHeight="1" x14ac:dyDescent="0.2">
      <c r="B31" s="184" t="s">
        <v>46</v>
      </c>
      <c r="C31" s="500" t="s">
        <v>571</v>
      </c>
      <c r="D31" s="500"/>
      <c r="E31" s="213" t="s">
        <v>17</v>
      </c>
      <c r="F31" s="907"/>
      <c r="G31" s="907"/>
      <c r="H31" s="609">
        <f>-IF('3. T3 BALANS'!H61-'3. T3 BALANS'!G61&lt;0,'3. T3 BALANS'!H61-'3. T3 BALANS'!G61,0)</f>
        <v>0</v>
      </c>
      <c r="I31" s="609">
        <f>-IF('3. T3 BALANS'!I61-'3. T3 BALANS'!H61&lt;0,'3. T3 BALANS'!I61-'3. T3 BALANS'!H61,0)</f>
        <v>0</v>
      </c>
      <c r="J31" s="609">
        <f>-IF('3. T3 BALANS'!J61-'3. T3 BALANS'!I61&lt;0,'3. T3 BALANS'!J61-'3. T3 BALANS'!I61,0)</f>
        <v>0</v>
      </c>
      <c r="K31" s="610">
        <f>-IF('3. T3 BALANS'!K61-'3. T3 BALANS'!J61&lt;0,'3. T3 BALANS'!K61-'3. T3 BALANS'!J61,0)</f>
        <v>0</v>
      </c>
      <c r="M31" s="1996" t="s">
        <v>93</v>
      </c>
      <c r="N31" s="1997"/>
      <c r="O31" s="1998"/>
      <c r="P31" s="615">
        <f>IF('3. T3 BALANS'!F75=0,0,('3. T3 BALANS'!F39+'3. T3 BALANS'!F48+'3. T3 BALANS'!F49)/'3. T3 BALANS'!F75)</f>
        <v>0</v>
      </c>
      <c r="Q31" s="615">
        <f>IF('3. T3 BALANS'!G75=0,0,('3. T3 BALANS'!G39+'3. T3 BALANS'!G48+'3. T3 BALANS'!G49)/'3. T3 BALANS'!G75)</f>
        <v>0</v>
      </c>
      <c r="R31" s="615">
        <f>IF('3. T3 BALANS'!H75=0,0,('3. T3 BALANS'!H39+'3. T3 BALANS'!H48+'3. T3 BALANS'!H49)/'3. T3 BALANS'!H75)</f>
        <v>0</v>
      </c>
      <c r="S31" s="615">
        <f>IF('3. T3 BALANS'!I75=0,0,('3. T3 BALANS'!I39+'3. T3 BALANS'!I48+'3. T3 BALANS'!I49)/'3. T3 BALANS'!I75)</f>
        <v>0</v>
      </c>
      <c r="T31" s="615">
        <f>IF('3. T3 BALANS'!J75=0,0,('3. T3 BALANS'!J39+'3. T3 BALANS'!J48+'3. T3 BALANS'!J49)/'3. T3 BALANS'!J75)</f>
        <v>0</v>
      </c>
      <c r="U31" s="615">
        <f>IF('3. T3 BALANS'!K75=0,0,('3. T3 BALANS'!K39+'3. T3 BALANS'!K48+'3. T3 BALANS'!K49)/'3. T3 BALANS'!K75)</f>
        <v>0</v>
      </c>
    </row>
    <row r="32" spans="1:21" ht="12.75" customHeight="1" x14ac:dyDescent="0.2">
      <c r="B32" s="184" t="s">
        <v>47</v>
      </c>
      <c r="C32" s="500" t="s">
        <v>572</v>
      </c>
      <c r="D32" s="500"/>
      <c r="E32" s="213" t="s">
        <v>17</v>
      </c>
      <c r="F32" s="907"/>
      <c r="G32" s="907"/>
      <c r="H32" s="609">
        <f>-IF('3. T3 BALANS'!H69-'3. T3 BALANS'!G69&lt;0,'3. T3 BALANS'!H69-'3. T3 BALANS'!G69+'3. T3 BALANS'!H70,0)</f>
        <v>0</v>
      </c>
      <c r="I32" s="609">
        <f>-IF('3. T3 BALANS'!I69-'3. T3 BALANS'!H69&lt;0,'3. T3 BALANS'!I69-'3. T3 BALANS'!H69+'3. T3 BALANS'!I70,0)</f>
        <v>0</v>
      </c>
      <c r="J32" s="609">
        <f>-IF('3. T3 BALANS'!J69-'3. T3 BALANS'!I69&lt;0,'3. T3 BALANS'!J69-'3. T3 BALANS'!I69+'3. T3 BALANS'!J70,0)</f>
        <v>0</v>
      </c>
      <c r="K32" s="610">
        <f>-IF('3. T3 BALANS'!K69-'3. T3 BALANS'!J69&lt;0,'3. T3 BALANS'!K69-'3. T3 BALANS'!J69+'3. T3 BALANS'!K70,0)</f>
        <v>0</v>
      </c>
      <c r="M32" s="1661" t="s">
        <v>620</v>
      </c>
      <c r="N32" s="1584"/>
      <c r="O32" s="1585"/>
      <c r="P32" s="614">
        <f>IF('3. T3 BALANS'!F75=0,0,IF(P31&gt;2,"Bra",IF(P31&lt;1,"Svag","Tillfredställande")))</f>
        <v>0</v>
      </c>
      <c r="Q32" s="614">
        <f>IF('3. T3 BALANS'!G75=0,0,IF(Q31&gt;2,"Bra",IF(Q31&lt;1,"Svag","Tillfredställande")))</f>
        <v>0</v>
      </c>
      <c r="R32" s="614">
        <f>IF('3. T3 BALANS'!H75=0,0,IF(R31&gt;2,"Bra",IF(R31&lt;1,"Svag","Tillfredställande")))</f>
        <v>0</v>
      </c>
      <c r="S32" s="614">
        <f>IF('3. T3 BALANS'!I75=0,0,IF(S31&gt;2,"Bra",IF(S31&lt;1,"Svag","Tillfredställande")))</f>
        <v>0</v>
      </c>
      <c r="T32" s="614">
        <f>IF('3. T3 BALANS'!J75=0,0,IF(T31&gt;2,"Bra",IF(T31&lt;1,"Svag","Tillfredställande")))</f>
        <v>0</v>
      </c>
      <c r="U32" s="614">
        <f>IF('3. T3 BALANS'!K75=0,0,IF(U31&gt;2,"Bra",IF(U31&lt;1,"Svag","Tillfredställande")))</f>
        <v>0</v>
      </c>
    </row>
    <row r="33" spans="2:26" ht="12.75" customHeight="1" x14ac:dyDescent="0.2">
      <c r="B33" s="184" t="s">
        <v>48</v>
      </c>
      <c r="C33" s="1995" t="s">
        <v>573</v>
      </c>
      <c r="D33" s="1995"/>
      <c r="E33" s="213" t="s">
        <v>17</v>
      </c>
      <c r="F33" s="907"/>
      <c r="G33" s="907"/>
      <c r="H33" s="609">
        <f>-IF('3. T3 BALANS'!H72-'3. T3 BALANS'!G72&lt;0,'3. T3 BALANS'!H72-'3. T3 BALANS'!G72,0)</f>
        <v>0</v>
      </c>
      <c r="I33" s="609">
        <f>-IF('3. T3 BALANS'!I72-'3. T3 BALANS'!H72&lt;0,'3. T3 BALANS'!I72-'3. T3 BALANS'!H72,0)</f>
        <v>0</v>
      </c>
      <c r="J33" s="609">
        <f>-IF('3. T3 BALANS'!J72-'3. T3 BALANS'!I72&lt;0,'3. T3 BALANS'!J72-'3. T3 BALANS'!I72,0)</f>
        <v>0</v>
      </c>
      <c r="K33" s="610">
        <f>-IF('3. T3 BALANS'!K72-'3. T3 BALANS'!J72&lt;0,'3. T3 BALANS'!K72-'3. T3 BALANS'!J72,0)</f>
        <v>0</v>
      </c>
      <c r="M33" s="1996" t="s">
        <v>608</v>
      </c>
      <c r="N33" s="1997"/>
      <c r="O33" s="1998"/>
      <c r="P33" s="616"/>
      <c r="Q33" s="979">
        <f>IF(G15=0,0,('3. T3 BALANS'!G67/'8. T4 FINANSIERINGSB.'!G15))</f>
        <v>0</v>
      </c>
      <c r="R33" s="613">
        <f>IF(H15=0,0,('AT2 Lainat,sotum., alv-osto'!O14+'AT2 Lainat,sotum., alv-osto'!O28)/'8. T4 FINANSIERINGSB.'!H15)</f>
        <v>0</v>
      </c>
      <c r="S33" s="613">
        <f>IF(I15=0,0,('AT2 Lainat,sotum., alv-osto'!U14+'AT2 Lainat,sotum., alv-osto'!U28)/'8. T4 FINANSIERINGSB.'!I15)</f>
        <v>0</v>
      </c>
      <c r="T33" s="613">
        <f>IF(J15=0,0,('AT2 Lainat,sotum., alv-osto'!AA14+'AT2 Lainat,sotum., alv-osto'!AA28)/'8. T4 FINANSIERINGSB.'!J15)</f>
        <v>0</v>
      </c>
      <c r="U33" s="613">
        <f>IF(K15=0,0,('AT2 Lainat,sotum., alv-osto'!AG14+'AT2 Lainat,sotum., alv-osto'!AG28)/'8. T4 FINANSIERINGSB.'!K15)</f>
        <v>0</v>
      </c>
    </row>
    <row r="34" spans="2:26" ht="12.75" customHeight="1" x14ac:dyDescent="0.2">
      <c r="B34" s="184" t="s">
        <v>49</v>
      </c>
      <c r="C34" s="1995" t="s">
        <v>574</v>
      </c>
      <c r="D34" s="1995"/>
      <c r="E34" s="213" t="s">
        <v>17</v>
      </c>
      <c r="F34" s="907"/>
      <c r="G34" s="907"/>
      <c r="H34" s="609">
        <f>-IF('3. T3 BALANS'!H74-'3. T3 BALANS'!G74&lt;0,'3. T3 BALANS'!H74-'3. T3 BALANS'!G74,0)</f>
        <v>0</v>
      </c>
      <c r="I34" s="609">
        <f>-IF('3. T3 BALANS'!I74-'3. T3 BALANS'!H74&lt;0,'3. T3 BALANS'!I74-'3. T3 BALANS'!H74,0)</f>
        <v>0</v>
      </c>
      <c r="J34" s="609">
        <f>-IF('3. T3 BALANS'!J74-'3. T3 BALANS'!I74&lt;0,'3. T3 BALANS'!J74-'3. T3 BALANS'!I74,0)</f>
        <v>0</v>
      </c>
      <c r="K34" s="610">
        <f>-IF('3. T3 BALANS'!K74-'3. T3 BALANS'!J74&lt;0,'3. T3 BALANS'!K74-'3. T3 BALANS'!J74,0)</f>
        <v>0</v>
      </c>
      <c r="M34" s="1996" t="s">
        <v>609</v>
      </c>
      <c r="N34" s="1997"/>
      <c r="O34" s="1998"/>
      <c r="P34" s="617"/>
      <c r="Q34" s="615">
        <f>IF('2. &amp; 7. T2 RESULTATB.'!G25+'3. T3 BALANS'!G77=0,0,(G15-'2. &amp; 7. T2 RESULTATB.'!G25)/(-'2. &amp; 7. T2 RESULTATB.'!G25+'3. T3 BALANS'!G77))</f>
        <v>0</v>
      </c>
      <c r="R34" s="615">
        <f>IF(-'2. &amp; 7. T2 RESULTATB.'!I25+'4. T7 LÅN '!F18+'4. T7 LÅN '!G39=0,0,(H15-'2. &amp; 7. T2 RESULTATB.'!I25)/(-'2. &amp; 7. T2 RESULTATB.'!I25+'4. T7 LÅN '!F18+'4. T7 LÅN '!G39))</f>
        <v>0</v>
      </c>
      <c r="S34" s="615">
        <f>IF(-'2. &amp; 7. T2 RESULTATB.'!K25+'4. T7 LÅN '!I18+'4. T7 LÅN '!J39=0,0,(I15-'2. &amp; 7. T2 RESULTATB.'!K25)/(-'2. &amp; 7. T2 RESULTATB.'!K25+'4. T7 LÅN '!I18+'4. T7 LÅN '!J39))</f>
        <v>0</v>
      </c>
      <c r="T34" s="615">
        <f>IF(-'2. &amp; 7. T2 RESULTATB.'!M25+'4. T7 LÅN '!L18+'4. T7 LÅN '!M39=0,0,(J15-'2. &amp; 7. T2 RESULTATB.'!M25)/(-'2. &amp; 7. T2 RESULTATB.'!M25+'4. T7 LÅN '!L18+'4. T7 LÅN '!M39))</f>
        <v>0</v>
      </c>
      <c r="U34" s="615">
        <f>IF(-'2. &amp; 7. T2 RESULTATB.'!O25+'4. T7 LÅN '!O18+'4. T7 LÅN '!P39=0,0,(-'2. &amp; 7. T2 RESULTATB.'!O25+'8. T4 FINANSIERINGSB.'!K15)/(-'2. &amp; 7. T2 RESULTATB.'!O25+'4. T7 LÅN '!O18+'4. T7 LÅN '!P39))</f>
        <v>0</v>
      </c>
    </row>
    <row r="35" spans="2:26" ht="12.75" customHeight="1" x14ac:dyDescent="0.2">
      <c r="B35" s="184" t="s">
        <v>50</v>
      </c>
      <c r="C35" s="1866" t="s">
        <v>575</v>
      </c>
      <c r="D35" s="1866"/>
      <c r="E35" s="325" t="s">
        <v>20</v>
      </c>
      <c r="F35" s="907"/>
      <c r="G35" s="907"/>
      <c r="H35" s="622">
        <v>0</v>
      </c>
      <c r="I35" s="622">
        <v>0</v>
      </c>
      <c r="J35" s="622">
        <v>0</v>
      </c>
      <c r="K35" s="623">
        <v>0</v>
      </c>
      <c r="M35" s="1661" t="s">
        <v>620</v>
      </c>
      <c r="N35" s="1584"/>
      <c r="O35" s="1585"/>
      <c r="P35" s="618"/>
      <c r="Q35" s="614">
        <f>IF('2. &amp; 7. T2 RESULTATB.'!G25+'3. T3 BALANS'!G77=0,0,IF(Q34&gt;2,"Hyvä",IF(Q34&lt;1,"Heikko","Tyydyttävä")))</f>
        <v>0</v>
      </c>
      <c r="R35" s="614">
        <f>IF('2. &amp; 7. T2 RESULTATB.'!I25+'4. T7 LÅN '!F18+'4. T7 LÅN '!G39=0,0,IF(R34&gt;2,"Bra",IF(R34&lt;1,"Svag","Tillfredställande")))</f>
        <v>0</v>
      </c>
      <c r="S35" s="614">
        <f>IF('2. &amp; 7. T2 RESULTATB.'!J25+'4. T7 LÅN '!G18+'4. T7 LÅN '!H39=0,0,IF(S34&gt;2,"Bra",IF(S34&lt;1,"Svag","Tillfredställande")))</f>
        <v>0</v>
      </c>
      <c r="T35" s="614">
        <f>IF('2. &amp; 7. T2 RESULTATB.'!K25+'4. T7 LÅN '!H18+'4. T7 LÅN '!I39=0,0,IF(T34&gt;2,"Bra",IF(T34&lt;1,"Svag","Tillfredställande")))</f>
        <v>0</v>
      </c>
      <c r="U35" s="614">
        <f>IF('2. &amp; 7. T2 RESULTATB.'!L25+'4. T7 LÅN '!I18+'4. T7 LÅN '!J39=0,0,IF(U34&gt;2,"Bra",IF(U34&lt;1,"Svag","Tillfredställande")))</f>
        <v>0</v>
      </c>
    </row>
    <row r="36" spans="2:26" ht="15.4" customHeight="1" x14ac:dyDescent="0.2">
      <c r="B36" s="184" t="s">
        <v>154</v>
      </c>
      <c r="C36" s="1866" t="s">
        <v>576</v>
      </c>
      <c r="D36" s="1866"/>
      <c r="E36" s="213" t="s">
        <v>17</v>
      </c>
      <c r="F36" s="907"/>
      <c r="G36" s="907"/>
      <c r="H36" s="609">
        <f>'4. T7 LÅN '!$F$19+'4. T7 LÅN '!G45</f>
        <v>0</v>
      </c>
      <c r="I36" s="609">
        <f>'4. T7 LÅN '!I19+'4. T7 LÅN '!J45</f>
        <v>0</v>
      </c>
      <c r="J36" s="609">
        <f>'4. T7 LÅN '!L19+'4. T7 LÅN '!M45</f>
        <v>0</v>
      </c>
      <c r="K36" s="610">
        <f>'4. T7 LÅN '!O19+'4. T7 LÅN '!P45</f>
        <v>0</v>
      </c>
      <c r="M36" s="1658" t="s">
        <v>610</v>
      </c>
      <c r="N36" s="131"/>
      <c r="O36" s="131"/>
      <c r="P36" s="133"/>
      <c r="Q36" s="133"/>
      <c r="R36" s="133"/>
      <c r="S36" s="133"/>
      <c r="T36" s="133"/>
      <c r="U36" s="1659"/>
    </row>
    <row r="37" spans="2:26" ht="12.75" customHeight="1" x14ac:dyDescent="0.2">
      <c r="B37" s="184" t="s">
        <v>159</v>
      </c>
      <c r="C37" s="1866" t="s">
        <v>577</v>
      </c>
      <c r="D37" s="1866"/>
      <c r="E37" s="325" t="s">
        <v>20</v>
      </c>
      <c r="F37" s="907"/>
      <c r="G37" s="907"/>
      <c r="H37" s="609">
        <f>'3. T3 BALANS'!H84+'3. T3 BALANS'!H91-'3. T3 BALANS'!G84-'3. T3 BALANS'!G91</f>
        <v>0</v>
      </c>
      <c r="I37" s="609">
        <f>'3. T3 BALANS'!I84+'3. T3 BALANS'!I91-'3. T3 BALANS'!H84-'3. T3 BALANS'!H91</f>
        <v>0</v>
      </c>
      <c r="J37" s="609">
        <f>'3. T3 BALANS'!J84+'3. T3 BALANS'!J91-'3. T3 BALANS'!I84-'3. T3 BALANS'!I91</f>
        <v>0</v>
      </c>
      <c r="K37" s="610">
        <f>'3. T3 BALANS'!K84+'3. T3 BALANS'!K91-'3. T3 BALANS'!J84-'3. T3 BALANS'!J91</f>
        <v>0</v>
      </c>
      <c r="M37" s="2036" t="s">
        <v>611</v>
      </c>
      <c r="N37" s="2037"/>
      <c r="O37" s="2038"/>
      <c r="P37" s="612">
        <f>IF('3. T3 BALANS'!F98=0,0,IF('3. T3 BALANS'!F98&lt;0,0,'3. T3 BALANS'!F56/('3. T3 BALANS'!F98-'3. T3 BALANS'!F96)))</f>
        <v>0</v>
      </c>
      <c r="Q37" s="612">
        <f>IF('3. T3 BALANS'!G98=0,0,IF('3. T3 BALANS'!G98&lt;0,0,'3. T3 BALANS'!G56/('3. T3 BALANS'!G98-'3. T3 BALANS'!G96)))</f>
        <v>0</v>
      </c>
      <c r="R37" s="612">
        <f>IF('3. T3 BALANS'!H98=0,0,IF('3. T3 BALANS'!H98&lt;0,0,'3. T3 BALANS'!H56/('3. T3 BALANS'!H98-'3. T3 BALANS'!H96)))</f>
        <v>0</v>
      </c>
      <c r="S37" s="612">
        <f>IF('3. T3 BALANS'!I98=0,0,IF('3. T3 BALANS'!I98&lt;0,0,'3. T3 BALANS'!I56/('3. T3 BALANS'!I98-'3. T3 BALANS'!I96)))</f>
        <v>0</v>
      </c>
      <c r="T37" s="612">
        <f>IF('3. T3 BALANS'!J98=0,0,IF('3. T3 BALANS'!J98&lt;0,0,'3. T3 BALANS'!J56/('3. T3 BALANS'!J98-'3. T3 BALANS'!J96)))</f>
        <v>0</v>
      </c>
      <c r="U37" s="612">
        <f>IF('3. T3 BALANS'!K98=0,0,IF('3. T3 BALANS'!K98&lt;0,0,'3. T3 BALANS'!K56/('3. T3 BALANS'!K98-'3. T3 BALANS'!K96)))</f>
        <v>0</v>
      </c>
    </row>
    <row r="38" spans="2:26" ht="12.75" customHeight="1" x14ac:dyDescent="0.2">
      <c r="B38" s="184" t="s">
        <v>160</v>
      </c>
      <c r="C38" s="1866" t="s">
        <v>578</v>
      </c>
      <c r="D38" s="1866"/>
      <c r="E38" s="213" t="s">
        <v>17</v>
      </c>
      <c r="F38" s="677"/>
      <c r="G38" s="677"/>
      <c r="H38" s="609">
        <f>-IF('3. T3 BALANS'!H78-'3. T3 BALANS'!G78&lt;0,'3. T3 BALANS'!H78-'3. T3 BALANS'!G78,0)-IF('3. T3 BALANS'!H79-'3. T3 BALANS'!G79&lt;0,'3. T3 BALANS'!H79-'3. T3 BALANS'!G79,0)</f>
        <v>0</v>
      </c>
      <c r="I38" s="609">
        <f>-IF('3. T3 BALANS'!I78-'3. T3 BALANS'!H78&lt;0,'3. T3 BALANS'!I78-'3. T3 BALANS'!H78,0)-IF('3. T3 BALANS'!I79-'3. T3 BALANS'!H79&lt;0,'3. T3 BALANS'!I79-'3. T3 BALANS'!H79,0)</f>
        <v>0</v>
      </c>
      <c r="J38" s="609">
        <f>-IF('3. T3 BALANS'!J78-'3. T3 BALANS'!I78&lt;0,'3. T3 BALANS'!J78-'3. T3 BALANS'!I78,0)-IF('3. T3 BALANS'!J79-'3. T3 BALANS'!I79&lt;0,'3. T3 BALANS'!J79-'3. T3 BALANS'!I79,0)</f>
        <v>0</v>
      </c>
      <c r="K38" s="610">
        <f>-IF('3. T3 BALANS'!K78-'3. T3 BALANS'!J78&lt;0,'3. T3 BALANS'!K78-'3. T3 BALANS'!J78,0)-IF('3. T3 BALANS'!K79-'3. T3 BALANS'!J79&lt;0,'3. T3 BALANS'!K79-'3. T3 BALANS'!J79,0)</f>
        <v>0</v>
      </c>
      <c r="M38" s="1661" t="s">
        <v>620</v>
      </c>
      <c r="N38" s="1584"/>
      <c r="O38" s="1585"/>
      <c r="P38" s="614">
        <f>IF('3. T3 BALANS'!F98=0,0,IF(P37&gt;40%,"Bra",IF(P37&lt;20%,"Svag","Tillfredställande")))</f>
        <v>0</v>
      </c>
      <c r="Q38" s="614">
        <f>IF('3. T3 BALANS'!G98=0,0,IF(Q37&gt;40%,"Bra",IF(Q37&lt;20%,"Svag","Tillfredställande")))</f>
        <v>0</v>
      </c>
      <c r="R38" s="614">
        <f>IF('3. T3 BALANS'!H98=0,0,IF(R37&gt;40%,"Bra",IF(R37&lt;20%,"Svag","Tillfredställande")))</f>
        <v>0</v>
      </c>
      <c r="S38" s="614">
        <f>IF('3. T3 BALANS'!I98=0,0,IF(S37&gt;40%,"Bra",IF(S37&lt;20%,"Svag","Tillfredställande")))</f>
        <v>0</v>
      </c>
      <c r="T38" s="614">
        <f>IF('3. T3 BALANS'!J98=0,0,IF(T37&gt;40%,"Bra",IF(T37&lt;20%,"Svag","Tillfredställande")))</f>
        <v>0</v>
      </c>
      <c r="U38" s="614">
        <f>IF('3. T3 BALANS'!K98=0,0,IF(U37&gt;40%,"Bra",IF(U37&lt;20%,"Svag","Tillfredställande")))</f>
        <v>0</v>
      </c>
      <c r="W38" s="297"/>
    </row>
    <row r="39" spans="2:26" ht="12.75" customHeight="1" x14ac:dyDescent="0.2">
      <c r="B39" s="184" t="s">
        <v>161</v>
      </c>
      <c r="C39" s="1866" t="s">
        <v>579</v>
      </c>
      <c r="D39" s="1866"/>
      <c r="E39" s="213" t="s">
        <v>17</v>
      </c>
      <c r="F39" s="907"/>
      <c r="G39" s="907"/>
      <c r="H39" s="622">
        <f>R52</f>
        <v>0</v>
      </c>
      <c r="I39" s="622">
        <f>S52</f>
        <v>0</v>
      </c>
      <c r="J39" s="622">
        <f>T52</f>
        <v>0</v>
      </c>
      <c r="K39" s="623">
        <f>U52</f>
        <v>0</v>
      </c>
      <c r="M39" s="2033" t="s">
        <v>612</v>
      </c>
      <c r="N39" s="2034"/>
      <c r="O39" s="2035"/>
      <c r="P39" s="619">
        <f t="shared" ref="P39:U39" si="4">IF(P80=0,0,(P93-P94)/P76)</f>
        <v>0</v>
      </c>
      <c r="Q39" s="619">
        <f t="shared" si="4"/>
        <v>0</v>
      </c>
      <c r="R39" s="1009">
        <f t="shared" si="4"/>
        <v>0</v>
      </c>
      <c r="S39" s="1009">
        <f t="shared" si="4"/>
        <v>0</v>
      </c>
      <c r="T39" s="1009">
        <f t="shared" si="4"/>
        <v>0</v>
      </c>
      <c r="U39" s="1009">
        <f t="shared" si="4"/>
        <v>0</v>
      </c>
    </row>
    <row r="40" spans="2:26" ht="12.75" customHeight="1" x14ac:dyDescent="0.2">
      <c r="B40" s="184" t="s">
        <v>210</v>
      </c>
      <c r="C40" s="1866" t="s">
        <v>271</v>
      </c>
      <c r="D40" s="1866"/>
      <c r="E40" s="325" t="s">
        <v>17</v>
      </c>
      <c r="F40" s="677"/>
      <c r="G40" s="677"/>
      <c r="H40" s="609">
        <f>'3. T3 BALANS'!H35</f>
        <v>0</v>
      </c>
      <c r="I40" s="609">
        <f>'3. T3 BALANS'!I35</f>
        <v>0</v>
      </c>
      <c r="J40" s="609">
        <f>'3. T3 BALANS'!J35</f>
        <v>0</v>
      </c>
      <c r="K40" s="610">
        <f>'3. T3 BALANS'!K35</f>
        <v>0</v>
      </c>
      <c r="M40" s="1666" t="s">
        <v>620</v>
      </c>
      <c r="N40" s="1652"/>
      <c r="O40" s="356"/>
      <c r="P40" s="614" t="str">
        <f>IF('3. T3 BALANS'!F98=0,"",IF('3. T3 BALANS'!F56&lt;0,"Svag",IF(P39&lt;0,"Nettoskuldfri",IF(P39&gt;1,"","Bra"))))</f>
        <v/>
      </c>
      <c r="Q40" s="614" t="str">
        <f>IF('3. T3 BALANS'!G98=0,"",IF('3. T3 BALANS'!G56&lt;0,"Svag",IF(Q39&lt;0,"Nettoskuldfri",IF(Q39&gt;1,"","Bra"))))</f>
        <v/>
      </c>
      <c r="R40" s="614" t="str">
        <f>IF('3. T3 BALANS'!H98=0,"",IF('3. T3 BALANS'!H56&lt;0,"Svag",IF(R39&lt;0,"Nettoskuldfri",IF(R39&gt;1,"","Bra"))))</f>
        <v/>
      </c>
      <c r="S40" s="614" t="str">
        <f>IF('3. T3 BALANS'!I98=0,"",IF('3. T3 BALANS'!I56&lt;0,"Svag",IF(S39&lt;0,"Nettoskuldfri",IF(S39&gt;1,"","Bra"))))</f>
        <v/>
      </c>
      <c r="T40" s="614" t="str">
        <f>IF('3. T3 BALANS'!J98=0,"",IF('3. T3 BALANS'!J56&lt;0,"Svag",IF(T39&lt;0,"Nettoskuldfri",IF(T39&gt;1,"","Bra"))))</f>
        <v/>
      </c>
      <c r="U40" s="614" t="str">
        <f>IF('3. T3 BALANS'!K98=0,"",IF('3. T3 BALANS'!K56&lt;0,"Svag",IF(U39&lt;0,"Nettoskuldfri",IF(U39&gt;1,"","Bra"))))</f>
        <v/>
      </c>
    </row>
    <row r="41" spans="2:26" ht="12.75" customHeight="1" x14ac:dyDescent="0.2">
      <c r="B41" s="184" t="s">
        <v>213</v>
      </c>
      <c r="C41" s="311" t="s">
        <v>537</v>
      </c>
      <c r="D41" s="304"/>
      <c r="E41" s="428"/>
      <c r="F41" s="907"/>
      <c r="G41" s="907"/>
      <c r="H41" s="609">
        <f>H24+H25+H26+H27+H28+H29+H30+H36-H37+H38+H39+H40+H35+H31+H32+H33+H34</f>
        <v>0</v>
      </c>
      <c r="I41" s="609">
        <f>I24+I25+I26+I27+I28+I29+I30+I36-I37+I38+I39+I40+I35+I31+I32+I33+I34</f>
        <v>0</v>
      </c>
      <c r="J41" s="609">
        <f>J24+J25+J26+J27+J28+J29+J30+J36-J37+J38+J39+J40+J35+J31+J32+J33+J34</f>
        <v>0</v>
      </c>
      <c r="K41" s="610">
        <f>K24+K25+K26+K27+K28+K29+K30+K36-K37+K38+K39+K40+K35+K31+K32+K33+K34</f>
        <v>0</v>
      </c>
      <c r="M41" s="1667" t="s">
        <v>613</v>
      </c>
      <c r="N41" s="119"/>
      <c r="O41" s="119"/>
      <c r="P41" s="125"/>
      <c r="Q41" s="125"/>
      <c r="R41" s="125"/>
      <c r="S41" s="125"/>
      <c r="T41" s="125"/>
      <c r="U41" s="1668"/>
    </row>
    <row r="42" spans="2:26" ht="12.75" customHeight="1" thickBot="1" x14ac:dyDescent="0.25">
      <c r="B42" s="326" t="s">
        <v>214</v>
      </c>
      <c r="C42" s="429" t="s">
        <v>580</v>
      </c>
      <c r="D42" s="429"/>
      <c r="E42" s="430"/>
      <c r="F42" s="692"/>
      <c r="G42" s="692"/>
      <c r="H42" s="693">
        <f>H21-H41</f>
        <v>0</v>
      </c>
      <c r="I42" s="693">
        <f>I21-I41</f>
        <v>0</v>
      </c>
      <c r="J42" s="693">
        <f>J21-J41</f>
        <v>0</v>
      </c>
      <c r="K42" s="694">
        <f>K21-K41</f>
        <v>0</v>
      </c>
      <c r="M42" s="2036" t="s">
        <v>614</v>
      </c>
      <c r="N42" s="2037"/>
      <c r="O42" s="2038"/>
      <c r="P42" s="617"/>
      <c r="Q42" s="617"/>
      <c r="R42" s="620">
        <f>('5. E1 VERKSAMHETSKOSTN.'!F11+'5. E1 VERKSAMHETSKOSTN.'!F32-'5. E1 VERKSAMHETSKOSTN.'!F38+'5. E1 VERKSAMHETSKOSTN.'!F39)/'2. &amp; 7. T2 RESULTATB.'!I33</f>
        <v>0</v>
      </c>
      <c r="S42" s="620">
        <f>('5. E1 VERKSAMHETSKOSTN.'!H11+'5. E1 VERKSAMHETSKOSTN.'!H32-'5. E1 VERKSAMHETSKOSTN.'!H38+'5. E1 VERKSAMHETSKOSTN.'!H39)/'2. &amp; 7. T2 RESULTATB.'!K33</f>
        <v>0</v>
      </c>
      <c r="T42" s="620">
        <f>('5. E1 VERKSAMHETSKOSTN.'!J11+'5. E1 VERKSAMHETSKOSTN.'!J32-'5. E1 VERKSAMHETSKOSTN.'!J38+'5. E1 VERKSAMHETSKOSTN.'!J39)/'2. &amp; 7. T2 RESULTATB.'!M33</f>
        <v>0</v>
      </c>
      <c r="U42" s="620">
        <f>('5. E1 VERKSAMHETSKOSTN.'!L11+'5. E1 VERKSAMHETSKOSTN.'!L32-'5. E1 VERKSAMHETSKOSTN.'!L38+'5. E1 VERKSAMHETSKOSTN.'!L39)/'2. &amp; 7. T2 RESULTATB.'!O33</f>
        <v>0</v>
      </c>
    </row>
    <row r="43" spans="2:26" ht="15.4" customHeight="1" thickBot="1" x14ac:dyDescent="0.25">
      <c r="B43" s="184" t="s">
        <v>215</v>
      </c>
      <c r="C43" s="1651" t="s">
        <v>581</v>
      </c>
      <c r="D43" s="425">
        <v>0</v>
      </c>
      <c r="E43" s="337"/>
      <c r="F43" s="695">
        <f>'3. T3 BALANS'!F49</f>
        <v>0</v>
      </c>
      <c r="G43" s="695">
        <f>'3. T3 BALANS'!G49</f>
        <v>0</v>
      </c>
      <c r="H43" s="695">
        <f>H42+G43</f>
        <v>0</v>
      </c>
      <c r="I43" s="695">
        <f>I42+H43</f>
        <v>0</v>
      </c>
      <c r="J43" s="695">
        <f>J42+I43</f>
        <v>0</v>
      </c>
      <c r="K43" s="696">
        <f>K42+J43</f>
        <v>0</v>
      </c>
      <c r="M43" s="2033" t="s">
        <v>615</v>
      </c>
      <c r="N43" s="2034"/>
      <c r="O43" s="2035"/>
      <c r="P43" s="621">
        <v>0</v>
      </c>
      <c r="Q43" s="617"/>
      <c r="R43" s="609">
        <f>R42+('5. E1 VERKSAMHETSKOSTN.'!E38+'5. E1 VERKSAMHETSKOSTN.'!E46)/'2. &amp; 7. T2 RESULTATB.'!I33</f>
        <v>0</v>
      </c>
      <c r="S43" s="609">
        <f>S42+('5. E1 VERKSAMHETSKOSTN.'!F38+'5. E1 VERKSAMHETSKOSTN.'!F46)/'2. &amp; 7. T2 RESULTATB.'!K33</f>
        <v>0</v>
      </c>
      <c r="T43" s="609">
        <f>T42+('5. E1 VERKSAMHETSKOSTN.'!G38+'5. E1 VERKSAMHETSKOSTN.'!G46)/'2. &amp; 7. T2 RESULTATB.'!M33</f>
        <v>0</v>
      </c>
      <c r="U43" s="609">
        <f>U42+('5. E1 VERKSAMHETSKOSTN.'!H38+'5. E1 VERKSAMHETSKOSTN.'!H46)/'2. &amp; 7. T2 RESULTATB.'!O33</f>
        <v>0</v>
      </c>
    </row>
    <row r="44" spans="2:26" ht="16.899999999999999" customHeight="1" thickBot="1" x14ac:dyDescent="0.25">
      <c r="B44" s="74"/>
      <c r="C44" s="1991" t="s">
        <v>582</v>
      </c>
      <c r="D44" s="1991"/>
      <c r="E44" s="1991"/>
      <c r="F44" s="1991"/>
      <c r="G44" s="1992"/>
      <c r="H44" s="963">
        <f>IF('5. E1 VERKSAMHETSKOSTN.'!F45=0,0,H43/'5. E1 VERKSAMHETSKOSTN.'!F45*365)</f>
        <v>0</v>
      </c>
      <c r="I44" s="963">
        <f>IF('5. E1 VERKSAMHETSKOSTN.'!H45=0,0,I43/'5. E1 VERKSAMHETSKOSTN.'!H45*365)</f>
        <v>0</v>
      </c>
      <c r="J44" s="963">
        <f>IF('5. E1 VERKSAMHETSKOSTN.'!J45=0,0,J43/'5. E1 VERKSAMHETSKOSTN.'!J45*365)</f>
        <v>0</v>
      </c>
      <c r="K44" s="964">
        <f>IF('5. E1 VERKSAMHETSKOSTN.'!L45=0,0,K43/'5. E1 VERKSAMHETSKOSTN.'!L45*365)</f>
        <v>0</v>
      </c>
      <c r="M44" s="2033" t="s">
        <v>616</v>
      </c>
      <c r="N44" s="2034"/>
      <c r="O44" s="2035" t="s">
        <v>24</v>
      </c>
      <c r="P44" s="721">
        <f>IF('2. &amp; 7. T2 RESULTATB.'!E14=0,0,1.77*100*F15/'2. &amp; 7. T2 RESULTATB.'!E14+14.14*P29+0.54*P37)</f>
        <v>0</v>
      </c>
      <c r="Q44" s="721">
        <f>IF('2. &amp; 7. T2 RESULTATB.'!G14=0,0,1.77*100*G15/'2. &amp; 7. T2 RESULTATB.'!G14+14.14*Q29+0.54*Q37)</f>
        <v>0</v>
      </c>
      <c r="R44" s="721">
        <f>IF('2. &amp; 7. T2 RESULTATB.'!I14=0,0,1.77*100*H15/'2. &amp; 7. T2 RESULTATB.'!I14+14.14*R29+0.54*R37)</f>
        <v>0</v>
      </c>
      <c r="S44" s="721">
        <f>IF('2. &amp; 7. T2 RESULTATB.'!K14=0,0,1.77*100*I15/'2. &amp; 7. T2 RESULTATB.'!K14+14.14*S29+0.54*S37)</f>
        <v>0</v>
      </c>
      <c r="T44" s="721">
        <f>IF('2. &amp; 7. T2 RESULTATB.'!M14=0,0,1.77*100*J15/'2. &amp; 7. T2 RESULTATB.'!M14+14.14*T29+0.54*T37)</f>
        <v>0</v>
      </c>
      <c r="U44" s="721">
        <f>IF('2. &amp; 7. T2 RESULTATB.'!O14=0,0,1.77*100*K15/'2. &amp; 7. T2 RESULTATB.'!O14+14.14*U29+0.54*U37)</f>
        <v>0</v>
      </c>
    </row>
    <row r="45" spans="2:26" ht="13.15" customHeight="1" thickBot="1" x14ac:dyDescent="0.25">
      <c r="B45" s="230"/>
      <c r="C45" s="46"/>
      <c r="D45" s="46"/>
      <c r="E45" s="46"/>
      <c r="F45" s="46"/>
      <c r="G45" s="260"/>
      <c r="H45" s="332"/>
      <c r="I45" s="332"/>
      <c r="J45" s="332"/>
      <c r="K45" s="332"/>
      <c r="L45" s="2"/>
      <c r="M45" s="1661" t="s">
        <v>620</v>
      </c>
      <c r="N45" s="1584"/>
      <c r="O45" s="1585"/>
      <c r="P45" s="614" cm="1">
        <f t="array" ref="P45">IF('2. &amp; 7. T2 RESULTATB.'!E14=0,0,IF(P44:U44&gt;28,"Bra",IF(P44&lt;18,"Svag","Tillfredställande")))</f>
        <v>0</v>
      </c>
      <c r="Q45" s="614">
        <f>IF('2. &amp; 7. T2 RESULTATB.'!G14=0,0,IF(Q44&gt;28,"Hyvä",IF(Q44&lt;18,"Heikko","Tyydyttävä")))</f>
        <v>0</v>
      </c>
      <c r="R45" s="1681">
        <f>IF('2. &amp; 7. T2 RESULTATB.'!I14=0,0,IF(R44&gt;28,"Bra",IF(R44&lt;18,"Svag","Tillfredställande")))</f>
        <v>0</v>
      </c>
      <c r="S45" s="1681">
        <f>IF('2. &amp; 7. T2 RESULTATB.'!I14=0,0,IF(S44&gt;28,"Bra",IF(S44&lt;18,"Svag","Tillfredställande")))</f>
        <v>0</v>
      </c>
      <c r="T45" s="1681">
        <f>IF('2. &amp; 7. T2 RESULTATB.'!K14=0,0,IF(T44&gt;28,"Bra",IF(T44&lt;18,"Svag","Tillfredställande")))</f>
        <v>0</v>
      </c>
      <c r="U45" s="1681">
        <f>IF('2. &amp; 7. T2 RESULTATB.'!K14=0,0,IF(U44&gt;28,"Bra",IF(U44&lt;18,"Svag","Tillfredställande")))</f>
        <v>0</v>
      </c>
      <c r="Z45">
        <v>0</v>
      </c>
    </row>
    <row r="46" spans="2:26" ht="12.75" customHeight="1" x14ac:dyDescent="0.2">
      <c r="B46" s="2042" t="s">
        <v>583</v>
      </c>
      <c r="C46" s="2043"/>
      <c r="D46" s="2043"/>
      <c r="E46" s="2044"/>
      <c r="F46" s="1141" t="str">
        <f t="shared" ref="F46:K46" si="5">F10</f>
        <v>Realiserad</v>
      </c>
      <c r="G46" s="1141" t="str">
        <f t="shared" si="5"/>
        <v>Realiserad</v>
      </c>
      <c r="H46" s="1142" t="str">
        <f t="shared" si="5"/>
        <v>Prognos 1</v>
      </c>
      <c r="I46" s="1142" t="str">
        <f t="shared" si="5"/>
        <v>Prognos 2</v>
      </c>
      <c r="J46" s="1142" t="str">
        <f t="shared" si="5"/>
        <v>Prognos 3</v>
      </c>
      <c r="K46" s="1143" t="str">
        <f t="shared" si="5"/>
        <v>Prognos 4</v>
      </c>
      <c r="M46" s="1669" t="s">
        <v>804</v>
      </c>
      <c r="N46" s="338"/>
      <c r="O46" s="338"/>
      <c r="P46" s="1145">
        <f>'8. T4 FINANSIERINGSB.'!F11</f>
        <v>2023</v>
      </c>
      <c r="Q46" s="1145">
        <f>'8. T4 FINANSIERINGSB.'!G11</f>
        <v>2024</v>
      </c>
      <c r="R46" s="1145">
        <f>'8. T4 FINANSIERINGSB.'!H11</f>
        <v>2027</v>
      </c>
      <c r="S46" s="1145">
        <f>'8. T4 FINANSIERINGSB.'!I11</f>
        <v>2028</v>
      </c>
      <c r="T46" s="1145">
        <f>'8. T4 FINANSIERINGSB.'!J11</f>
        <v>2029</v>
      </c>
      <c r="U46" s="1670">
        <f>'8. T4 FINANSIERINGSB.'!K11</f>
        <v>2030</v>
      </c>
    </row>
    <row r="47" spans="2:26" ht="12.75" customHeight="1" x14ac:dyDescent="0.2">
      <c r="B47" s="2045"/>
      <c r="C47" s="2046"/>
      <c r="D47" s="2046"/>
      <c r="E47" s="2047"/>
      <c r="F47" s="1144">
        <f t="shared" ref="F47:K47" si="6">F11</f>
        <v>2023</v>
      </c>
      <c r="G47" s="1144">
        <f t="shared" si="6"/>
        <v>2024</v>
      </c>
      <c r="H47" s="1136">
        <f t="shared" si="6"/>
        <v>2027</v>
      </c>
      <c r="I47" s="1136">
        <f t="shared" si="6"/>
        <v>2028</v>
      </c>
      <c r="J47" s="1136">
        <f t="shared" si="6"/>
        <v>2029</v>
      </c>
      <c r="K47" s="1137">
        <f t="shared" si="6"/>
        <v>2030</v>
      </c>
      <c r="M47" s="1656" t="s">
        <v>617</v>
      </c>
      <c r="N47" s="300"/>
      <c r="O47" s="300"/>
      <c r="P47" s="609">
        <f>'3. T3 BALANS'!F98</f>
        <v>0</v>
      </c>
      <c r="Q47" s="609">
        <f>'3. T3 BALANS'!G98</f>
        <v>0</v>
      </c>
      <c r="R47" s="609">
        <f>'3. T3 BALANS'!H98</f>
        <v>0</v>
      </c>
      <c r="S47" s="609">
        <f>'3. T3 BALANS'!I98</f>
        <v>0</v>
      </c>
      <c r="T47" s="609">
        <f>'3. T3 BALANS'!J98</f>
        <v>0</v>
      </c>
      <c r="U47" s="609">
        <f>'3. T3 BALANS'!K98</f>
        <v>0</v>
      </c>
    </row>
    <row r="48" spans="2:26" ht="12.75" customHeight="1" thickBot="1" x14ac:dyDescent="0.25">
      <c r="B48" s="2048"/>
      <c r="C48" s="2049"/>
      <c r="D48" s="2049"/>
      <c r="E48" s="2050"/>
      <c r="F48" s="1139" t="s">
        <v>15</v>
      </c>
      <c r="G48" s="1139" t="s">
        <v>15</v>
      </c>
      <c r="H48" s="1139" t="str">
        <f>G48</f>
        <v>Euroa</v>
      </c>
      <c r="I48" s="1139" t="str">
        <f>H48</f>
        <v>Euroa</v>
      </c>
      <c r="J48" s="1139" t="str">
        <f>I48</f>
        <v>Euroa</v>
      </c>
      <c r="K48" s="1140" t="str">
        <f>J48</f>
        <v>Euroa</v>
      </c>
      <c r="M48" s="1657" t="s">
        <v>621</v>
      </c>
      <c r="N48" s="301"/>
      <c r="O48" s="301"/>
      <c r="P48" s="609">
        <f>-('3. T3 BALANS'!F67+'3. T3 BALANS'!F75)</f>
        <v>0</v>
      </c>
      <c r="Q48" s="609">
        <f>-('3. T3 BALANS'!G67+'3. T3 BALANS'!G75)</f>
        <v>0</v>
      </c>
      <c r="R48" s="609">
        <f>-('3. T3 BALANS'!H67+'3. T3 BALANS'!H75)</f>
        <v>0</v>
      </c>
      <c r="S48" s="609">
        <f>-('3. T3 BALANS'!I67+'3. T3 BALANS'!I75)</f>
        <v>0</v>
      </c>
      <c r="T48" s="609">
        <f>-('3. T3 BALANS'!J67+'3. T3 BALANS'!J75)</f>
        <v>0</v>
      </c>
      <c r="U48" s="609">
        <f>-('3. T3 BALANS'!K67+'3. T3 BALANS'!K75)</f>
        <v>0</v>
      </c>
    </row>
    <row r="49" spans="1:30" ht="12.75" customHeight="1" x14ac:dyDescent="0.2">
      <c r="B49" s="184" t="s">
        <v>216</v>
      </c>
      <c r="C49" s="1891" t="s">
        <v>344</v>
      </c>
      <c r="D49" s="1891"/>
      <c r="E49" s="1488" t="s">
        <v>17</v>
      </c>
      <c r="F49" s="624">
        <f>'3. T3 BALANS'!F39</f>
        <v>0</v>
      </c>
      <c r="G49" s="624">
        <f>'3. T3 BALANS'!G39</f>
        <v>0</v>
      </c>
      <c r="H49" s="624">
        <f>IF('2. &amp; 7. T2 RESULTATB.'!I15=0,0,'2. &amp; 7. T2 RESULTATB.'!I11*'8. T4 FINANSIERINGSB.'!H50)</f>
        <v>0</v>
      </c>
      <c r="I49" s="1468">
        <f>IF('2. &amp; 7. T2 RESULTATB.'!K15=0,0,'2. &amp; 7. T2 RESULTATB.'!K11*'8. T4 FINANSIERINGSB.'!I50)</f>
        <v>0</v>
      </c>
      <c r="J49" s="1502">
        <f>IF('2. &amp; 7. T2 RESULTATB.'!M15=0,0,'2. &amp; 7. T2 RESULTATB.'!M11*'8. T4 FINANSIERINGSB.'!J50)</f>
        <v>0</v>
      </c>
      <c r="K49" s="1503">
        <f>IF('2. &amp; 7. T2 RESULTATB.'!O15=0,0,'2. &amp; 7. T2 RESULTATB.'!O11*'8. T4 FINANSIERINGSB.'!K50)</f>
        <v>0</v>
      </c>
      <c r="M49" s="2033" t="s">
        <v>622</v>
      </c>
      <c r="N49" s="2034"/>
      <c r="O49" s="2035"/>
      <c r="P49" s="622">
        <v>0</v>
      </c>
      <c r="Q49" s="622">
        <v>0</v>
      </c>
      <c r="R49" s="622">
        <v>0</v>
      </c>
      <c r="S49" s="622">
        <v>0</v>
      </c>
      <c r="T49" s="622">
        <v>0</v>
      </c>
      <c r="U49" s="622">
        <v>0</v>
      </c>
    </row>
    <row r="50" spans="1:30" ht="12.75" customHeight="1" x14ac:dyDescent="0.2">
      <c r="B50" s="184"/>
      <c r="C50" s="2019" t="s">
        <v>584</v>
      </c>
      <c r="D50" s="2020"/>
      <c r="E50" s="715"/>
      <c r="F50" s="873">
        <f>IF('2. &amp; 7. T2 RESULTATB.'!E11=0,0,F49/'2. &amp; 7. T2 RESULTATB.'!E11)</f>
        <v>0</v>
      </c>
      <c r="G50" s="873">
        <f>IF('2. &amp; 7. T2 RESULTATB.'!G11=0,0,G49/'2. &amp; 7. T2 RESULTATB.'!G11)</f>
        <v>0</v>
      </c>
      <c r="H50" s="939">
        <f>G50</f>
        <v>0</v>
      </c>
      <c r="I50" s="1470">
        <f>H50</f>
        <v>0</v>
      </c>
      <c r="J50" s="1470">
        <f>I50</f>
        <v>0</v>
      </c>
      <c r="K50" s="1471">
        <f>J50</f>
        <v>0</v>
      </c>
      <c r="M50" s="2033" t="s">
        <v>623</v>
      </c>
      <c r="N50" s="2034"/>
      <c r="O50" s="2035"/>
      <c r="P50" s="622">
        <v>0</v>
      </c>
      <c r="Q50" s="622">
        <v>0</v>
      </c>
      <c r="R50" s="622">
        <v>0</v>
      </c>
      <c r="S50" s="622">
        <v>0</v>
      </c>
      <c r="T50" s="622">
        <v>0</v>
      </c>
      <c r="U50" s="622">
        <v>0</v>
      </c>
    </row>
    <row r="51" spans="1:30" ht="12.75" customHeight="1" x14ac:dyDescent="0.2">
      <c r="B51" s="184" t="s">
        <v>217</v>
      </c>
      <c r="C51" s="2021" t="s">
        <v>585</v>
      </c>
      <c r="D51" s="2021"/>
      <c r="E51" s="1489" t="s">
        <v>17</v>
      </c>
      <c r="F51" s="609">
        <f>'3. T3 BALANS'!F42</f>
        <v>0</v>
      </c>
      <c r="G51" s="609">
        <f>'3. T3 BALANS'!G42</f>
        <v>0</v>
      </c>
      <c r="H51" s="609">
        <f>H52*'2. &amp; 7. T2 RESULTATB.'!I11/365</f>
        <v>0</v>
      </c>
      <c r="I51" s="609">
        <f>I52*'2. &amp; 7. T2 RESULTATB.'!K11/365</f>
        <v>0</v>
      </c>
      <c r="J51" s="609">
        <f>J52*'2. &amp; 7. T2 RESULTATB.'!M11/365</f>
        <v>0</v>
      </c>
      <c r="K51" s="863">
        <f>K52*'2. &amp; 7. T2 RESULTATB.'!O11/365</f>
        <v>0</v>
      </c>
      <c r="L51" s="716"/>
      <c r="M51" s="1657" t="s">
        <v>618</v>
      </c>
      <c r="N51" s="301"/>
      <c r="O51" s="301"/>
      <c r="P51" s="624">
        <f t="shared" ref="P51:U51" si="7">P47+P48-P49-P50</f>
        <v>0</v>
      </c>
      <c r="Q51" s="624">
        <f t="shared" si="7"/>
        <v>0</v>
      </c>
      <c r="R51" s="624">
        <f t="shared" si="7"/>
        <v>0</v>
      </c>
      <c r="S51" s="624">
        <f t="shared" si="7"/>
        <v>0</v>
      </c>
      <c r="T51" s="624">
        <f t="shared" si="7"/>
        <v>0</v>
      </c>
      <c r="U51" s="624">
        <f t="shared" si="7"/>
        <v>0</v>
      </c>
    </row>
    <row r="52" spans="1:30" ht="12.75" customHeight="1" x14ac:dyDescent="0.2">
      <c r="B52" s="184"/>
      <c r="C52" s="2019" t="s">
        <v>348</v>
      </c>
      <c r="D52" s="2020"/>
      <c r="E52" s="714"/>
      <c r="F52" s="941">
        <f>IF('2. &amp; 7. T2 RESULTATB.'!E11=0,0,365*F51/'2. &amp; 7. T2 RESULTATB.'!E11)</f>
        <v>0</v>
      </c>
      <c r="G52" s="941">
        <f>IF('2. &amp; 7. T2 RESULTATB.'!G11=0,0,365*G51/'2. &amp; 7. T2 RESULTATB.'!G11)</f>
        <v>0</v>
      </c>
      <c r="H52" s="942">
        <f>G52</f>
        <v>0</v>
      </c>
      <c r="I52" s="942">
        <f>H52</f>
        <v>0</v>
      </c>
      <c r="J52" s="942">
        <f>I52</f>
        <v>0</v>
      </c>
      <c r="K52" s="943">
        <f>J52</f>
        <v>0</v>
      </c>
      <c r="L52" s="716"/>
      <c r="M52" s="1671" t="s">
        <v>619</v>
      </c>
      <c r="N52" s="468"/>
      <c r="O52" s="468"/>
      <c r="P52" s="617"/>
      <c r="Q52" s="617"/>
      <c r="R52" s="622">
        <f>IF(8%*Q51&lt;0,0,8%*Q51)</f>
        <v>0</v>
      </c>
      <c r="S52" s="622">
        <f>IF(8%*R51&lt;0,0,8%*R51)</f>
        <v>0</v>
      </c>
      <c r="T52" s="622">
        <f>IF(8%*S51&lt;0,0,8%*S51)</f>
        <v>0</v>
      </c>
      <c r="U52" s="622">
        <f>IF(8%*T51&lt;0,0,8%*T51)</f>
        <v>0</v>
      </c>
    </row>
    <row r="53" spans="1:30" ht="12.75" customHeight="1" x14ac:dyDescent="0.2">
      <c r="B53" s="184" t="s">
        <v>218</v>
      </c>
      <c r="C53" s="2021" t="s">
        <v>586</v>
      </c>
      <c r="D53" s="2021"/>
      <c r="E53" s="1489" t="s">
        <v>17</v>
      </c>
      <c r="F53" s="609">
        <f>'3. T3 BALANS'!F46+'3. T3 BALANS'!F47</f>
        <v>0</v>
      </c>
      <c r="G53" s="609">
        <f>'3. T3 BALANS'!G46+'3. T3 BALANS'!G47</f>
        <v>0</v>
      </c>
      <c r="H53" s="609">
        <f>'3. T3 BALANS'!H46+'3. T3 BALANS'!H47</f>
        <v>0</v>
      </c>
      <c r="I53" s="609">
        <f>'3. T3 BALANS'!I46+'3. T3 BALANS'!I47</f>
        <v>0</v>
      </c>
      <c r="J53" s="609">
        <f>'3. T3 BALANS'!J46+'3. T3 BALANS'!J47</f>
        <v>0</v>
      </c>
      <c r="K53" s="610">
        <f>'3. T3 BALANS'!K46+'3. T3 BALANS'!K47</f>
        <v>0</v>
      </c>
      <c r="M53" s="1672" t="s">
        <v>624</v>
      </c>
      <c r="N53" s="1586"/>
      <c r="O53" s="1587"/>
      <c r="P53" s="621"/>
      <c r="Q53" s="621">
        <v>0</v>
      </c>
      <c r="R53" s="947">
        <f>IF(R52=0,0,R52/Q51)</f>
        <v>0</v>
      </c>
      <c r="S53" s="947">
        <f>IF(S52=0,0,S52/R51)</f>
        <v>0</v>
      </c>
      <c r="T53" s="947">
        <f>IF(T52=0,0,T52/S51)</f>
        <v>0</v>
      </c>
      <c r="U53" s="947">
        <f>IF(U52=0,0,U52/T51)</f>
        <v>0</v>
      </c>
    </row>
    <row r="54" spans="1:30" ht="12.75" customHeight="1" x14ac:dyDescent="0.2">
      <c r="B54" s="184" t="s">
        <v>219</v>
      </c>
      <c r="C54" s="2021" t="s">
        <v>587</v>
      </c>
      <c r="D54" s="2021"/>
      <c r="E54" s="1489" t="s">
        <v>17</v>
      </c>
      <c r="F54" s="609">
        <f>'3. T3 BALANS'!F44</f>
        <v>0</v>
      </c>
      <c r="G54" s="609">
        <f>'3. T3 BALANS'!G44</f>
        <v>0</v>
      </c>
      <c r="H54" s="609">
        <f>H55*'2. &amp; 7. T2 RESULTATB.'!I11</f>
        <v>0</v>
      </c>
      <c r="I54" s="609">
        <f>I55*'2. &amp; 7. T2 RESULTATB.'!K11</f>
        <v>0</v>
      </c>
      <c r="J54" s="609">
        <f>J55*'2. &amp; 7. T2 RESULTATB.'!M11</f>
        <v>0</v>
      </c>
      <c r="K54" s="610">
        <f>K55*'2. &amp; 7. T2 RESULTATB.'!O11</f>
        <v>0</v>
      </c>
      <c r="M54" s="1673" t="s">
        <v>625</v>
      </c>
      <c r="N54" s="1588"/>
      <c r="O54" s="1589"/>
      <c r="P54" s="621"/>
      <c r="Q54" s="621">
        <v>0</v>
      </c>
      <c r="R54" s="947">
        <f>IF(R52=0,0,R52/'2. &amp; 7. T2 RESULTATB.'!I31)</f>
        <v>0</v>
      </c>
      <c r="S54" s="947">
        <f>IF(S52=0,0,S52/'2. &amp; 7. T2 RESULTATB.'!K31)</f>
        <v>0</v>
      </c>
      <c r="T54" s="947">
        <f>IF(T52=0,0,T52/'2. &amp; 7. T2 RESULTATB.'!M31)</f>
        <v>0</v>
      </c>
      <c r="U54" s="947">
        <f>IF(U52=0,0,U52/'2. &amp; 7. T2 RESULTATB.'!O31)</f>
        <v>0</v>
      </c>
    </row>
    <row r="55" spans="1:30" ht="12.75" customHeight="1" x14ac:dyDescent="0.2">
      <c r="B55" s="184"/>
      <c r="C55" s="2019" t="s">
        <v>588</v>
      </c>
      <c r="D55" s="2020"/>
      <c r="E55" s="714"/>
      <c r="F55" s="873">
        <f>IF('2. &amp; 7. T2 RESULTATB.'!E11=0,0,F54/'2. &amp; 7. T2 RESULTATB.'!E11)</f>
        <v>0</v>
      </c>
      <c r="G55" s="873">
        <f>IF('2. &amp; 7. T2 RESULTATB.'!G11=0,0,G54/'2. &amp; 7. T2 RESULTATB.'!G11)</f>
        <v>0</v>
      </c>
      <c r="H55" s="936">
        <f>G55</f>
        <v>0</v>
      </c>
      <c r="I55" s="936">
        <f>H55</f>
        <v>0</v>
      </c>
      <c r="J55" s="936">
        <f>I55</f>
        <v>0</v>
      </c>
      <c r="K55" s="938">
        <f>J55</f>
        <v>0</v>
      </c>
      <c r="M55" s="354"/>
      <c r="N55" s="302"/>
      <c r="O55" s="302"/>
      <c r="P55" s="302"/>
      <c r="Q55" s="302"/>
      <c r="R55" s="302"/>
      <c r="S55" s="302"/>
      <c r="T55" s="302"/>
      <c r="U55" s="436"/>
    </row>
    <row r="56" spans="1:30" ht="12.75" customHeight="1" x14ac:dyDescent="0.2">
      <c r="B56" s="184" t="s">
        <v>220</v>
      </c>
      <c r="C56" s="1866" t="s">
        <v>589</v>
      </c>
      <c r="D56" s="1866"/>
      <c r="E56" s="1490" t="s">
        <v>152</v>
      </c>
      <c r="F56" s="609">
        <f>'3. T3 BALANS'!F81</f>
        <v>0</v>
      </c>
      <c r="G56" s="609">
        <f>'3. T3 BALANS'!G81</f>
        <v>0</v>
      </c>
      <c r="H56" s="609">
        <f>IF('2. &amp; 7. T2 RESULTATB.'!I11=0,0,-H57*('2. &amp; 7. T2 RESULTATB.'!I15+'2. &amp; 7. T2 RESULTATB.'!I16+'2. &amp; 7. T2 RESULTATB.'!I18)/365)</f>
        <v>0</v>
      </c>
      <c r="I56" s="609">
        <f>IF('2. &amp; 7. T2 RESULTATB.'!K11=0,0,-I57*('2. &amp; 7. T2 RESULTATB.'!K15+'2. &amp; 7. T2 RESULTATB.'!K16+'2. &amp; 7. T2 RESULTATB.'!K18)/365)</f>
        <v>0</v>
      </c>
      <c r="J56" s="609">
        <f>IF('2. &amp; 7. T2 RESULTATB.'!M11=0,0,-J57*('2. &amp; 7. T2 RESULTATB.'!M15+'2. &amp; 7. T2 RESULTATB.'!M16+'2. &amp; 7. T2 RESULTATB.'!M18)/365)</f>
        <v>0</v>
      </c>
      <c r="K56" s="610">
        <f>IF('2. &amp; 7. T2 RESULTATB.'!O11=0,0,-K57*('2. &amp; 7. T2 RESULTATB.'!O15+'2. &amp; 7. T2 RESULTATB.'!O16+'2. &amp; 7. T2 RESULTATB.'!O18)/365)</f>
        <v>0</v>
      </c>
      <c r="M56" s="354"/>
      <c r="N56" s="302"/>
      <c r="O56" s="302"/>
      <c r="P56" s="302"/>
      <c r="Q56" s="302"/>
      <c r="R56" s="302"/>
      <c r="S56" s="302"/>
      <c r="T56" s="302"/>
      <c r="U56" s="436"/>
    </row>
    <row r="57" spans="1:30" ht="12.75" customHeight="1" x14ac:dyDescent="0.2">
      <c r="B57" s="184"/>
      <c r="C57" s="2019" t="s">
        <v>590</v>
      </c>
      <c r="D57" s="2020"/>
      <c r="E57" s="714"/>
      <c r="F57" s="941">
        <f>-IF('2. &amp; 7. T2 RESULTATB.'!E15+'2. &amp; 7. T2 RESULTATB.'!E16+'2. &amp; 7. T2 RESULTATB.'!E18=0,0,365*F56/('2. &amp; 7. T2 RESULTATB.'!E15+'2. &amp; 7. T2 RESULTATB.'!E16+'2. &amp; 7. T2 RESULTATB.'!E18))</f>
        <v>0</v>
      </c>
      <c r="G57" s="941">
        <f>-IF('2. &amp; 7. T2 RESULTATB.'!G15+'2. &amp; 7. T2 RESULTATB.'!G16+'2. &amp; 7. T2 RESULTATB.'!G18=0,0,365*G56/('2. &amp; 7. T2 RESULTATB.'!G15+'2. &amp; 7. T2 RESULTATB.'!G16+'2. &amp; 7. T2 RESULTATB.'!G18))</f>
        <v>0</v>
      </c>
      <c r="H57" s="942">
        <f>G57</f>
        <v>0</v>
      </c>
      <c r="I57" s="942">
        <f>H57</f>
        <v>0</v>
      </c>
      <c r="J57" s="942">
        <f>I57</f>
        <v>0</v>
      </c>
      <c r="K57" s="943">
        <f>J57</f>
        <v>0</v>
      </c>
      <c r="M57" s="354"/>
      <c r="N57" s="302"/>
      <c r="O57" s="302"/>
      <c r="P57" s="302"/>
      <c r="Q57" s="302"/>
      <c r="R57" s="302"/>
      <c r="S57" s="302"/>
      <c r="T57" s="302"/>
      <c r="U57" s="436"/>
    </row>
    <row r="58" spans="1:30" ht="12.75" customHeight="1" x14ac:dyDescent="0.2">
      <c r="B58" s="184" t="s">
        <v>221</v>
      </c>
      <c r="C58" s="1866" t="s">
        <v>591</v>
      </c>
      <c r="D58" s="1866"/>
      <c r="E58" s="1490" t="s">
        <v>152</v>
      </c>
      <c r="F58" s="609">
        <f>'3. T3 BALANS'!F96</f>
        <v>0</v>
      </c>
      <c r="G58" s="609">
        <f>'3. T3 BALANS'!G96</f>
        <v>0</v>
      </c>
      <c r="H58" s="609">
        <f>H59*'2. &amp; 7. T2 RESULTATB.'!I11</f>
        <v>0</v>
      </c>
      <c r="I58" s="609">
        <f>I59*'2. &amp; 7. T2 RESULTATB.'!K11</f>
        <v>0</v>
      </c>
      <c r="J58" s="609">
        <f>J59*'2. &amp; 7. T2 RESULTATB.'!M11</f>
        <v>0</v>
      </c>
      <c r="K58" s="610">
        <f>K59*'2. &amp; 7. T2 RESULTATB.'!O11</f>
        <v>0</v>
      </c>
      <c r="M58" s="354"/>
      <c r="N58" s="302"/>
      <c r="O58" s="302"/>
      <c r="P58" s="302"/>
      <c r="Q58" s="302"/>
      <c r="R58" s="302"/>
      <c r="S58" s="302"/>
      <c r="T58" s="302"/>
      <c r="U58" s="436"/>
    </row>
    <row r="59" spans="1:30" ht="12.75" customHeight="1" x14ac:dyDescent="0.2">
      <c r="B59" s="184"/>
      <c r="C59" s="2019" t="s">
        <v>592</v>
      </c>
      <c r="D59" s="2020"/>
      <c r="E59" s="714"/>
      <c r="F59" s="944">
        <f>IF('2. &amp; 7. T2 RESULTATB.'!E11=0,0,F58/'2. &amp; 7. T2 RESULTATB.'!E11)</f>
        <v>0</v>
      </c>
      <c r="G59" s="944">
        <f>IF('2. &amp; 7. T2 RESULTATB.'!G11=0,0,G58/'2. &amp; 7. T2 RESULTATB.'!G11)</f>
        <v>0</v>
      </c>
      <c r="H59" s="945">
        <f>G59</f>
        <v>0</v>
      </c>
      <c r="I59" s="945">
        <f>H59</f>
        <v>0</v>
      </c>
      <c r="J59" s="945">
        <f>I59</f>
        <v>0</v>
      </c>
      <c r="K59" s="946">
        <f>J59</f>
        <v>0</v>
      </c>
      <c r="M59" s="354"/>
      <c r="N59" s="302"/>
      <c r="O59" s="302"/>
      <c r="P59" s="302"/>
      <c r="Q59" s="302"/>
      <c r="R59" s="302"/>
      <c r="S59" s="302"/>
      <c r="T59" s="302"/>
      <c r="U59" s="436"/>
    </row>
    <row r="60" spans="1:30" ht="12.75" customHeight="1" x14ac:dyDescent="0.2">
      <c r="B60" s="184" t="s">
        <v>222</v>
      </c>
      <c r="C60" s="1866" t="s">
        <v>593</v>
      </c>
      <c r="D60" s="1866"/>
      <c r="E60" s="477" t="s">
        <v>37</v>
      </c>
      <c r="F60" s="609">
        <f t="shared" ref="F60:K60" si="8">F49+F51+F54-F56-F58+F53</f>
        <v>0</v>
      </c>
      <c r="G60" s="609">
        <f t="shared" si="8"/>
        <v>0</v>
      </c>
      <c r="H60" s="609">
        <f t="shared" si="8"/>
        <v>0</v>
      </c>
      <c r="I60" s="609">
        <f t="shared" si="8"/>
        <v>0</v>
      </c>
      <c r="J60" s="609">
        <f t="shared" si="8"/>
        <v>0</v>
      </c>
      <c r="K60" s="610">
        <f t="shared" si="8"/>
        <v>0</v>
      </c>
      <c r="M60" s="354"/>
      <c r="N60" s="302"/>
      <c r="O60" s="302"/>
      <c r="P60" s="302"/>
      <c r="Q60" s="302"/>
      <c r="R60" s="302"/>
      <c r="S60" s="302"/>
      <c r="T60" s="302"/>
      <c r="U60" s="436"/>
    </row>
    <row r="61" spans="1:30" ht="12.75" customHeight="1" thickBot="1" x14ac:dyDescent="0.25">
      <c r="B61" s="326" t="s">
        <v>235</v>
      </c>
      <c r="C61" s="2003" t="s">
        <v>594</v>
      </c>
      <c r="D61" s="2003"/>
      <c r="E61" s="1491" t="s">
        <v>20</v>
      </c>
      <c r="F61" s="697"/>
      <c r="G61" s="693">
        <f>G60-F60</f>
        <v>0</v>
      </c>
      <c r="H61" s="693">
        <f>IF(G60=0,0,H60-G60)</f>
        <v>0</v>
      </c>
      <c r="I61" s="693">
        <f>I60-H60</f>
        <v>0</v>
      </c>
      <c r="J61" s="693">
        <f>J60-I60</f>
        <v>0</v>
      </c>
      <c r="K61" s="694">
        <f>K60-J60</f>
        <v>0</v>
      </c>
      <c r="M61" s="509"/>
      <c r="N61" s="437"/>
      <c r="O61" s="437"/>
      <c r="P61" s="437"/>
      <c r="Q61" s="437"/>
      <c r="R61" s="437"/>
      <c r="S61" s="437"/>
      <c r="T61" s="437"/>
      <c r="U61" s="439"/>
    </row>
    <row r="62" spans="1:30" ht="12.75" customHeight="1" x14ac:dyDescent="0.2">
      <c r="A62" s="119"/>
      <c r="B62" s="120"/>
      <c r="C62" s="297"/>
      <c r="D62" s="297"/>
      <c r="E62" s="137"/>
      <c r="F62" s="909"/>
      <c r="G62" s="909"/>
      <c r="H62" s="909"/>
      <c r="I62" s="909"/>
      <c r="J62" s="909"/>
      <c r="K62" s="910"/>
      <c r="L62" s="119"/>
      <c r="M62" s="752"/>
      <c r="N62" s="752"/>
      <c r="O62" s="752"/>
      <c r="P62" s="752"/>
      <c r="Q62" s="752"/>
      <c r="R62" s="752"/>
      <c r="S62" s="752"/>
      <c r="T62" s="752"/>
      <c r="U62" s="752"/>
      <c r="V62" s="119"/>
      <c r="W62" s="119"/>
      <c r="X62" s="119"/>
      <c r="Y62" s="119"/>
      <c r="Z62" s="119"/>
      <c r="AA62" s="119"/>
      <c r="AB62" s="119"/>
      <c r="AC62" s="119"/>
      <c r="AD62" s="119"/>
    </row>
    <row r="63" spans="1:30" ht="12.75" hidden="1" customHeight="1" x14ac:dyDescent="0.2">
      <c r="A63" s="119"/>
      <c r="B63" s="243" t="s">
        <v>109</v>
      </c>
      <c r="C63" s="119"/>
      <c r="D63" s="119"/>
      <c r="E63" s="119"/>
      <c r="F63" s="119"/>
      <c r="G63" s="119"/>
      <c r="H63" s="119"/>
      <c r="I63" s="1895">
        <f>STARTSIDAN!I5</f>
        <v>0</v>
      </c>
      <c r="J63" s="1895"/>
      <c r="K63" s="1895"/>
      <c r="L63" s="119"/>
      <c r="M63" s="119"/>
      <c r="N63" s="119"/>
      <c r="O63" s="119"/>
      <c r="P63" s="119"/>
      <c r="Q63" s="119"/>
      <c r="R63" s="119"/>
      <c r="S63" s="119"/>
      <c r="T63" s="119"/>
      <c r="U63" s="119"/>
      <c r="V63" s="119"/>
      <c r="W63" s="119"/>
      <c r="X63" s="119"/>
      <c r="Y63" s="119"/>
      <c r="Z63" s="119"/>
      <c r="AA63" s="119"/>
      <c r="AB63" s="119"/>
      <c r="AC63" s="119"/>
      <c r="AD63" s="119"/>
    </row>
    <row r="64" spans="1:30" ht="12.75" hidden="1" customHeight="1" x14ac:dyDescent="0.2">
      <c r="A64" s="119"/>
      <c r="B64" s="243" t="str">
        <f>STARTSIDAN!G24</f>
        <v>FT22 Det aktiva företagets resultatplan</v>
      </c>
      <c r="C64" s="119"/>
      <c r="D64" s="119"/>
      <c r="E64" s="119"/>
      <c r="F64" s="119"/>
      <c r="G64" s="2022" t="str">
        <f>STARTSIDAN!I21</f>
        <v>FöretagsLojo</v>
      </c>
      <c r="H64" s="2022"/>
      <c r="I64" s="2022"/>
      <c r="J64" s="2022"/>
      <c r="K64" s="2022"/>
      <c r="L64" s="119"/>
      <c r="M64" s="119"/>
      <c r="N64" s="119"/>
      <c r="O64" s="119"/>
      <c r="P64" s="119"/>
      <c r="Q64" s="119"/>
      <c r="R64" s="2002" t="str">
        <f>STARTSIDAN!G24</f>
        <v>FT22 Det aktiva företagets resultatplan</v>
      </c>
      <c r="S64" s="2002"/>
      <c r="T64" s="2002"/>
      <c r="U64" s="2002"/>
      <c r="V64" s="119"/>
      <c r="W64" s="119"/>
      <c r="X64" s="119"/>
      <c r="Y64" s="119"/>
      <c r="Z64" s="119"/>
      <c r="AA64" s="119"/>
      <c r="AB64" s="119"/>
      <c r="AC64" s="119"/>
      <c r="AD64" s="119"/>
    </row>
    <row r="65" spans="1:30" hidden="1" x14ac:dyDescent="0.2">
      <c r="A65" s="119"/>
      <c r="B65" s="1975"/>
      <c r="C65" s="1975"/>
      <c r="D65" s="1975"/>
      <c r="E65" s="1975"/>
      <c r="F65" s="119"/>
      <c r="G65" s="896"/>
      <c r="H65" s="896"/>
      <c r="I65" s="896"/>
      <c r="J65" s="896"/>
      <c r="K65" s="896"/>
      <c r="L65" s="119"/>
      <c r="M65" s="119"/>
      <c r="N65" s="119"/>
      <c r="O65" s="119"/>
      <c r="P65" s="119"/>
      <c r="Q65" s="119"/>
      <c r="R65" s="119"/>
      <c r="S65" s="119"/>
      <c r="T65" s="119"/>
      <c r="U65" s="1469"/>
      <c r="V65" s="119"/>
      <c r="W65" s="119"/>
      <c r="X65" s="119"/>
      <c r="Y65" s="119"/>
      <c r="Z65" s="119"/>
      <c r="AA65" s="119"/>
      <c r="AB65" s="119"/>
      <c r="AC65" s="119"/>
      <c r="AD65" s="119"/>
    </row>
    <row r="66" spans="1:30" hidden="1" x14ac:dyDescent="0.2">
      <c r="A66" s="119"/>
      <c r="B66" s="125"/>
      <c r="C66" s="119"/>
      <c r="D66" s="119"/>
      <c r="E66" s="119"/>
      <c r="F66" s="119"/>
      <c r="G66" s="119"/>
      <c r="H66" s="119"/>
      <c r="I66" s="119"/>
      <c r="J66" s="119"/>
      <c r="K66" s="119"/>
      <c r="L66" s="119"/>
      <c r="M66" s="1478"/>
      <c r="N66" s="131"/>
      <c r="O66" s="131"/>
      <c r="P66" s="131"/>
      <c r="Q66" s="119"/>
      <c r="R66" s="119"/>
      <c r="S66" s="119"/>
      <c r="T66" s="119"/>
      <c r="U66" s="119"/>
      <c r="V66" s="119"/>
      <c r="W66" s="119"/>
      <c r="X66" s="119"/>
      <c r="Y66" s="119"/>
      <c r="Z66" s="119"/>
      <c r="AA66" s="119"/>
      <c r="AB66" s="119"/>
      <c r="AC66" s="119"/>
      <c r="AD66" s="119"/>
    </row>
    <row r="67" spans="1:30" hidden="1" x14ac:dyDescent="0.2">
      <c r="A67" s="119"/>
      <c r="B67" s="1479" t="s">
        <v>104</v>
      </c>
      <c r="C67" s="119"/>
      <c r="D67" s="119"/>
      <c r="E67" s="119"/>
      <c r="F67" s="119"/>
      <c r="G67" s="119"/>
      <c r="H67" s="119"/>
      <c r="I67" s="119"/>
      <c r="J67" s="119"/>
      <c r="K67" s="119"/>
      <c r="L67" s="119"/>
      <c r="M67" s="131"/>
      <c r="N67" s="131"/>
      <c r="O67" s="131"/>
      <c r="P67" s="131"/>
      <c r="Q67" s="119"/>
      <c r="R67" s="119"/>
      <c r="S67" s="119"/>
      <c r="T67" s="119"/>
      <c r="U67" s="119"/>
      <c r="V67" s="119"/>
      <c r="W67" s="119"/>
      <c r="X67" s="119"/>
      <c r="Y67" s="119"/>
      <c r="Z67" s="119"/>
      <c r="AA67" s="119"/>
      <c r="AB67" s="119"/>
      <c r="AC67" s="119"/>
      <c r="AD67" s="119"/>
    </row>
    <row r="68" spans="1:30" hidden="1" x14ac:dyDescent="0.2">
      <c r="A68" s="119"/>
      <c r="B68" s="371" t="s">
        <v>105</v>
      </c>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row>
    <row r="69" spans="1:30" hidden="1" x14ac:dyDescent="0.2">
      <c r="A69" s="119"/>
      <c r="B69" s="371" t="s">
        <v>106</v>
      </c>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row>
    <row r="70" spans="1:30" hidden="1" x14ac:dyDescent="0.2">
      <c r="A70" s="119"/>
      <c r="B70" s="125"/>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row>
    <row r="71" spans="1:30" x14ac:dyDescent="0.2">
      <c r="A71" s="119"/>
      <c r="B71" s="125"/>
      <c r="C71" s="119"/>
      <c r="D71" s="119"/>
      <c r="E71" s="119"/>
      <c r="F71" s="119"/>
      <c r="G71" s="119"/>
      <c r="H71" s="119"/>
      <c r="I71" s="119"/>
      <c r="J71" s="119"/>
      <c r="K71" s="119"/>
      <c r="L71" s="119"/>
      <c r="M71" s="119"/>
      <c r="N71" s="119"/>
      <c r="O71" s="119"/>
      <c r="P71" s="119"/>
      <c r="Q71" s="119"/>
      <c r="R71" s="119"/>
      <c r="S71" s="119"/>
      <c r="T71" s="119"/>
      <c r="U71" s="1745" t="str">
        <f>STARTSIDAN!$I$21</f>
        <v>FöretagsLojo</v>
      </c>
      <c r="V71" s="119"/>
      <c r="W71" s="119"/>
      <c r="X71" s="119"/>
      <c r="Y71" s="119"/>
      <c r="Z71" s="119"/>
      <c r="AA71" s="119"/>
      <c r="AB71" s="119"/>
      <c r="AC71" s="119"/>
      <c r="AD71" s="119"/>
    </row>
    <row r="72" spans="1:30" hidden="1" x14ac:dyDescent="0.2">
      <c r="A72" s="119"/>
      <c r="B72" s="125"/>
      <c r="C72" s="119"/>
      <c r="D72" s="119"/>
      <c r="E72" s="119"/>
      <c r="F72" s="119"/>
      <c r="G72" s="119"/>
      <c r="H72" s="119"/>
      <c r="I72" s="119"/>
      <c r="J72" s="119"/>
      <c r="K72" s="119"/>
      <c r="L72" s="119"/>
      <c r="M72" s="1005" t="s">
        <v>169</v>
      </c>
      <c r="N72" s="121"/>
      <c r="O72" s="121"/>
      <c r="P72" s="1008">
        <f>P11</f>
        <v>2023</v>
      </c>
      <c r="Q72" s="1008">
        <f>Q11</f>
        <v>2024</v>
      </c>
      <c r="R72" s="1016" t="s">
        <v>23</v>
      </c>
      <c r="S72" s="1016" t="s">
        <v>21</v>
      </c>
      <c r="T72" s="1016" t="s">
        <v>22</v>
      </c>
      <c r="U72" s="1016" t="s">
        <v>81</v>
      </c>
      <c r="V72" s="119"/>
      <c r="W72" s="119"/>
      <c r="X72" s="119"/>
      <c r="Y72" s="119"/>
      <c r="Z72" s="119"/>
      <c r="AA72" s="119"/>
      <c r="AB72" s="119"/>
      <c r="AC72" s="119"/>
      <c r="AD72" s="119"/>
    </row>
    <row r="73" spans="1:30" hidden="1" x14ac:dyDescent="0.2">
      <c r="A73" s="119"/>
      <c r="B73" s="125"/>
      <c r="C73" s="119"/>
      <c r="D73" s="119"/>
      <c r="E73" s="119"/>
      <c r="F73" s="119"/>
      <c r="G73" s="119"/>
      <c r="H73" s="119"/>
      <c r="I73" s="119"/>
      <c r="J73" s="119"/>
      <c r="K73" s="119"/>
      <c r="L73" s="119"/>
      <c r="M73" s="1006" t="s">
        <v>170</v>
      </c>
      <c r="N73" s="1006"/>
      <c r="O73" s="1006"/>
      <c r="P73" s="1017"/>
      <c r="Q73" s="1017"/>
      <c r="R73" s="1017"/>
      <c r="S73" s="1017"/>
      <c r="T73" s="1017"/>
      <c r="U73" s="1018"/>
      <c r="V73" s="119"/>
      <c r="W73" s="119"/>
      <c r="X73" s="119"/>
      <c r="Y73" s="119"/>
      <c r="Z73" s="119"/>
      <c r="AA73" s="119"/>
      <c r="AB73" s="119"/>
      <c r="AC73" s="119"/>
      <c r="AD73" s="119"/>
    </row>
    <row r="74" spans="1:30" hidden="1" x14ac:dyDescent="0.2">
      <c r="A74" s="119"/>
      <c r="B74" s="125"/>
      <c r="C74" s="119"/>
      <c r="D74" s="119"/>
      <c r="E74" s="119"/>
      <c r="F74" s="119"/>
      <c r="G74" s="119"/>
      <c r="H74" s="119"/>
      <c r="I74" s="119"/>
      <c r="J74" s="119"/>
      <c r="K74" s="119"/>
      <c r="L74" s="119"/>
      <c r="M74" s="1006" t="s">
        <v>171</v>
      </c>
      <c r="N74" s="1006"/>
      <c r="O74" s="1006"/>
      <c r="P74" s="620">
        <f>P20+'2. &amp; 7. T2 RESULTATB.'!E24+'2. &amp; 7. T2 RESULTATB.'!E25+'2. &amp; 7. T2 RESULTATB.'!E27</f>
        <v>0</v>
      </c>
      <c r="Q74" s="620">
        <f>Q20+'2. &amp; 7. T2 RESULTATB.'!G24+'2. &amp; 7. T2 RESULTATB.'!G25+'2. &amp; 7. T2 RESULTATB.'!G27</f>
        <v>0</v>
      </c>
      <c r="R74" s="620">
        <f>R20+'2. &amp; 7. T2 RESULTATB.'!I24+'2. &amp; 7. T2 RESULTATB.'!I25+'2. &amp; 7. T2 RESULTATB.'!I27</f>
        <v>0</v>
      </c>
      <c r="S74" s="620">
        <f>S20+'2. &amp; 7. T2 RESULTATB.'!K24+'2. &amp; 7. T2 RESULTATB.'!K25+'2. &amp; 7. T2 RESULTATB.'!K27</f>
        <v>0</v>
      </c>
      <c r="T74" s="620">
        <f>T20+'2. &amp; 7. T2 RESULTATB.'!M24+'2. &amp; 7. T2 RESULTATB.'!M25+'2. &amp; 7. T2 RESULTATB.'!M27</f>
        <v>0</v>
      </c>
      <c r="U74" s="620">
        <f>U20+'2. &amp; 7. T2 RESULTATB.'!O24+'2. &amp; 7. T2 RESULTATB.'!O25+'2. &amp; 7. T2 RESULTATB.'!O27</f>
        <v>0</v>
      </c>
      <c r="V74" s="119"/>
      <c r="W74" s="119"/>
      <c r="X74" s="119"/>
      <c r="Y74" s="119"/>
      <c r="Z74" s="119"/>
      <c r="AA74" s="119"/>
      <c r="AB74" s="119"/>
      <c r="AC74" s="119"/>
      <c r="AD74" s="119"/>
    </row>
    <row r="75" spans="1:30" hidden="1" x14ac:dyDescent="0.2">
      <c r="A75" s="119"/>
      <c r="B75" s="125"/>
      <c r="C75" s="119"/>
      <c r="D75" s="119"/>
      <c r="E75" s="119"/>
      <c r="F75" s="119"/>
      <c r="G75" s="119"/>
      <c r="H75" s="119"/>
      <c r="I75" s="119"/>
      <c r="J75" s="119"/>
      <c r="K75" s="119"/>
      <c r="L75" s="119"/>
      <c r="M75" s="1006" t="s">
        <v>172</v>
      </c>
      <c r="N75" s="1006"/>
      <c r="O75" s="1006"/>
      <c r="P75" s="620">
        <v>0</v>
      </c>
      <c r="Q75" s="620">
        <f>P76</f>
        <v>0</v>
      </c>
      <c r="R75" s="620">
        <f>Q76</f>
        <v>0</v>
      </c>
      <c r="S75" s="620">
        <f>R76</f>
        <v>0</v>
      </c>
      <c r="T75" s="620">
        <f>S76</f>
        <v>0</v>
      </c>
      <c r="U75" s="620">
        <f>T76</f>
        <v>0</v>
      </c>
      <c r="V75" s="119"/>
      <c r="W75" s="119"/>
      <c r="X75" s="119"/>
      <c r="Y75" s="119"/>
      <c r="Z75" s="119"/>
      <c r="AA75" s="119"/>
      <c r="AB75" s="119"/>
      <c r="AC75" s="119"/>
      <c r="AD75" s="119"/>
    </row>
    <row r="76" spans="1:30" hidden="1" x14ac:dyDescent="0.2">
      <c r="A76" s="119"/>
      <c r="B76" s="125"/>
      <c r="C76" s="119"/>
      <c r="D76" s="119"/>
      <c r="E76" s="119"/>
      <c r="F76" s="119"/>
      <c r="G76" s="119"/>
      <c r="H76" s="119"/>
      <c r="I76" s="119"/>
      <c r="J76" s="119"/>
      <c r="K76" s="119"/>
      <c r="L76" s="119"/>
      <c r="M76" s="1006" t="s">
        <v>173</v>
      </c>
      <c r="N76" s="1006"/>
      <c r="O76" s="1006"/>
      <c r="P76" s="620">
        <f>'3. T3 BALANS'!F56</f>
        <v>0</v>
      </c>
      <c r="Q76" s="620">
        <f>'3. T3 BALANS'!G56</f>
        <v>0</v>
      </c>
      <c r="R76" s="620">
        <f>'3. T3 BALANS'!H56</f>
        <v>0</v>
      </c>
      <c r="S76" s="620">
        <f>'3. T3 BALANS'!I56</f>
        <v>0</v>
      </c>
      <c r="T76" s="620">
        <f>'3. T3 BALANS'!J56</f>
        <v>0</v>
      </c>
      <c r="U76" s="620">
        <f>'3. T3 BALANS'!K56</f>
        <v>0</v>
      </c>
      <c r="V76" s="119"/>
      <c r="W76" s="119"/>
      <c r="X76" s="119"/>
      <c r="Y76" s="119"/>
      <c r="Z76" s="119"/>
      <c r="AA76" s="119"/>
      <c r="AB76" s="119"/>
      <c r="AC76" s="119"/>
      <c r="AD76" s="119"/>
    </row>
    <row r="77" spans="1:30" hidden="1" x14ac:dyDescent="0.2">
      <c r="A77" s="119"/>
      <c r="B77" s="125"/>
      <c r="C77" s="119"/>
      <c r="D77" s="119"/>
      <c r="E77" s="119"/>
      <c r="F77" s="119"/>
      <c r="G77" s="119"/>
      <c r="H77" s="119"/>
      <c r="I77" s="119"/>
      <c r="J77" s="119"/>
      <c r="K77" s="119"/>
      <c r="L77" s="119"/>
      <c r="M77" s="1006" t="s">
        <v>174</v>
      </c>
      <c r="N77" s="1006"/>
      <c r="O77" s="1006"/>
      <c r="P77" s="620">
        <f t="shared" ref="P77:U77" si="9">(P75+P76)/2</f>
        <v>0</v>
      </c>
      <c r="Q77" s="620">
        <f t="shared" si="9"/>
        <v>0</v>
      </c>
      <c r="R77" s="620">
        <f t="shared" si="9"/>
        <v>0</v>
      </c>
      <c r="S77" s="620">
        <f t="shared" si="9"/>
        <v>0</v>
      </c>
      <c r="T77" s="620">
        <f t="shared" si="9"/>
        <v>0</v>
      </c>
      <c r="U77" s="620">
        <f t="shared" si="9"/>
        <v>0</v>
      </c>
      <c r="V77" s="119"/>
      <c r="W77" s="119"/>
      <c r="X77" s="119"/>
      <c r="Y77" s="119"/>
      <c r="Z77" s="119"/>
      <c r="AA77" s="119"/>
      <c r="AB77" s="119"/>
      <c r="AC77" s="119"/>
      <c r="AD77" s="119"/>
    </row>
    <row r="78" spans="1:30" hidden="1" x14ac:dyDescent="0.2">
      <c r="A78" s="119"/>
      <c r="B78" s="125"/>
      <c r="C78" s="119"/>
      <c r="D78" s="119"/>
      <c r="E78" s="119"/>
      <c r="F78" s="119"/>
      <c r="G78" s="119"/>
      <c r="H78" s="119"/>
      <c r="I78" s="119"/>
      <c r="J78" s="119"/>
      <c r="K78" s="119"/>
      <c r="L78" s="119"/>
      <c r="M78" s="121"/>
      <c r="N78" s="121"/>
      <c r="O78" s="121"/>
      <c r="P78" s="620"/>
      <c r="Q78" s="620"/>
      <c r="R78" s="620"/>
      <c r="S78" s="620"/>
      <c r="T78" s="620"/>
      <c r="U78" s="620"/>
      <c r="V78" s="119"/>
      <c r="W78" s="119"/>
      <c r="X78" s="119"/>
      <c r="Y78" s="119"/>
      <c r="Z78" s="119"/>
      <c r="AA78" s="119"/>
      <c r="AB78" s="119"/>
      <c r="AC78" s="119"/>
      <c r="AD78" s="119"/>
    </row>
    <row r="79" spans="1:30" hidden="1" x14ac:dyDescent="0.2">
      <c r="A79" s="119"/>
      <c r="B79" s="125"/>
      <c r="C79" s="119"/>
      <c r="D79" s="119"/>
      <c r="E79" s="119"/>
      <c r="F79" s="119"/>
      <c r="G79" s="119"/>
      <c r="H79" s="119"/>
      <c r="I79" s="119"/>
      <c r="J79" s="119"/>
      <c r="K79" s="119"/>
      <c r="L79" s="119"/>
      <c r="M79" s="1006" t="s">
        <v>175</v>
      </c>
      <c r="N79" s="1006"/>
      <c r="O79" s="1006"/>
      <c r="P79" s="620"/>
      <c r="Q79" s="620">
        <f>P80</f>
        <v>0</v>
      </c>
      <c r="R79" s="620">
        <f>Q80</f>
        <v>0</v>
      </c>
      <c r="S79" s="620">
        <f>R80</f>
        <v>0</v>
      </c>
      <c r="T79" s="620">
        <f>S80</f>
        <v>0</v>
      </c>
      <c r="U79" s="620">
        <f>T80</f>
        <v>0</v>
      </c>
      <c r="V79" s="119"/>
      <c r="W79" s="119"/>
      <c r="X79" s="119"/>
      <c r="Y79" s="119"/>
      <c r="Z79" s="119"/>
      <c r="AA79" s="119"/>
      <c r="AB79" s="119"/>
      <c r="AC79" s="119"/>
      <c r="AD79" s="119"/>
    </row>
    <row r="80" spans="1:30" hidden="1" x14ac:dyDescent="0.2">
      <c r="A80" s="119"/>
      <c r="B80" s="125"/>
      <c r="C80" s="119"/>
      <c r="D80" s="119"/>
      <c r="E80" s="119"/>
      <c r="F80" s="119"/>
      <c r="G80" s="119"/>
      <c r="H80" s="119"/>
      <c r="I80" s="119"/>
      <c r="J80" s="119"/>
      <c r="K80" s="119"/>
      <c r="L80" s="119"/>
      <c r="M80" s="1006" t="s">
        <v>176</v>
      </c>
      <c r="N80" s="1006"/>
      <c r="O80" s="1006"/>
      <c r="P80" s="620">
        <f>'3. T3 BALANS'!F67+'3. T3 BALANS'!F76+'3. T3 BALANS'!F79+'3. T3 BALANS'!F83</f>
        <v>0</v>
      </c>
      <c r="Q80" s="620">
        <f>'3. T3 BALANS'!G67+'3. T3 BALANS'!G76+'3. T3 BALANS'!G79+'3. T3 BALANS'!G83</f>
        <v>0</v>
      </c>
      <c r="R80" s="620">
        <f>'3. T3 BALANS'!H67+'3. T3 BALANS'!H76+'3. T3 BALANS'!H79+'3. T3 BALANS'!H83</f>
        <v>0</v>
      </c>
      <c r="S80" s="620">
        <f>'3. T3 BALANS'!I67+'3. T3 BALANS'!I76+'3. T3 BALANS'!I79+'3. T3 BALANS'!I83</f>
        <v>0</v>
      </c>
      <c r="T80" s="620">
        <f>'3. T3 BALANS'!J67+'3. T3 BALANS'!J76+'3. T3 BALANS'!J79+'3. T3 BALANS'!J83</f>
        <v>0</v>
      </c>
      <c r="U80" s="620">
        <f>'3. T3 BALANS'!K67+'3. T3 BALANS'!K76+'3. T3 BALANS'!K79+'3. T3 BALANS'!K83</f>
        <v>0</v>
      </c>
      <c r="V80" s="119"/>
      <c r="W80" s="119"/>
      <c r="X80" s="119"/>
      <c r="Y80" s="119"/>
      <c r="Z80" s="119"/>
      <c r="AA80" s="119"/>
      <c r="AB80" s="119"/>
      <c r="AC80" s="119"/>
      <c r="AD80" s="119"/>
    </row>
    <row r="81" spans="1:30" hidden="1" x14ac:dyDescent="0.2">
      <c r="A81" s="119"/>
      <c r="B81" s="125"/>
      <c r="C81" s="119"/>
      <c r="D81" s="119"/>
      <c r="E81" s="119"/>
      <c r="F81" s="119"/>
      <c r="G81" s="119"/>
      <c r="H81" s="119"/>
      <c r="I81" s="119"/>
      <c r="J81" s="119"/>
      <c r="K81" s="119"/>
      <c r="L81" s="119"/>
      <c r="M81" s="1006" t="s">
        <v>177</v>
      </c>
      <c r="N81" s="1006"/>
      <c r="O81" s="1006"/>
      <c r="P81" s="620">
        <f t="shared" ref="P81:U81" si="10">(P79+P80)/2</f>
        <v>0</v>
      </c>
      <c r="Q81" s="620">
        <f t="shared" si="10"/>
        <v>0</v>
      </c>
      <c r="R81" s="620">
        <f t="shared" si="10"/>
        <v>0</v>
      </c>
      <c r="S81" s="620">
        <f t="shared" si="10"/>
        <v>0</v>
      </c>
      <c r="T81" s="620">
        <f t="shared" si="10"/>
        <v>0</v>
      </c>
      <c r="U81" s="620">
        <f t="shared" si="10"/>
        <v>0</v>
      </c>
      <c r="V81" s="119"/>
      <c r="W81" s="119"/>
      <c r="X81" s="119"/>
      <c r="Y81" s="119"/>
      <c r="Z81" s="119"/>
      <c r="AA81" s="119"/>
      <c r="AB81" s="119"/>
      <c r="AC81" s="119"/>
      <c r="AD81" s="119"/>
    </row>
    <row r="82" spans="1:30" hidden="1" x14ac:dyDescent="0.2">
      <c r="A82" s="119"/>
      <c r="B82" s="125"/>
      <c r="C82" s="119"/>
      <c r="D82" s="119"/>
      <c r="E82" s="119"/>
      <c r="F82" s="119"/>
      <c r="G82" s="119"/>
      <c r="H82" s="119"/>
      <c r="I82" s="119"/>
      <c r="J82" s="119"/>
      <c r="K82" s="119"/>
      <c r="L82" s="119"/>
      <c r="M82" s="1019" t="s">
        <v>178</v>
      </c>
      <c r="N82" s="1019"/>
      <c r="O82" s="1020"/>
      <c r="P82" s="708">
        <f t="shared" ref="P82:U82" si="11">IF(P77&lt;0,P81,P77+P81)</f>
        <v>0</v>
      </c>
      <c r="Q82" s="708">
        <f t="shared" si="11"/>
        <v>0</v>
      </c>
      <c r="R82" s="708">
        <f t="shared" si="11"/>
        <v>0</v>
      </c>
      <c r="S82" s="708">
        <f t="shared" si="11"/>
        <v>0</v>
      </c>
      <c r="T82" s="708">
        <f t="shared" si="11"/>
        <v>0</v>
      </c>
      <c r="U82" s="708">
        <f t="shared" si="11"/>
        <v>0</v>
      </c>
      <c r="V82" s="119"/>
      <c r="W82" s="119"/>
      <c r="X82" s="119"/>
      <c r="Y82" s="119"/>
      <c r="Z82" s="119"/>
      <c r="AA82" s="119"/>
      <c r="AB82" s="119"/>
      <c r="AC82" s="119"/>
      <c r="AD82" s="119"/>
    </row>
    <row r="83" spans="1:30" hidden="1" x14ac:dyDescent="0.2">
      <c r="A83" s="119"/>
      <c r="B83" s="125"/>
      <c r="C83" s="119"/>
      <c r="D83" s="119"/>
      <c r="E83" s="119"/>
      <c r="F83" s="119"/>
      <c r="G83" s="119"/>
      <c r="H83" s="119"/>
      <c r="I83" s="119"/>
      <c r="J83" s="119"/>
      <c r="K83" s="119"/>
      <c r="L83" s="119"/>
      <c r="M83" s="1005"/>
      <c r="N83" s="1005"/>
      <c r="O83" s="1005"/>
      <c r="P83" s="1590"/>
      <c r="Q83" s="1590"/>
      <c r="R83" s="1590"/>
      <c r="S83" s="1590"/>
      <c r="T83" s="1590"/>
      <c r="U83" s="1590"/>
      <c r="V83" s="119"/>
      <c r="W83" s="119"/>
      <c r="X83" s="119"/>
      <c r="Y83" s="119"/>
      <c r="Z83" s="119"/>
      <c r="AA83" s="119"/>
      <c r="AB83" s="119"/>
      <c r="AC83" s="119"/>
      <c r="AD83" s="119"/>
    </row>
    <row r="84" spans="1:30" hidden="1" x14ac:dyDescent="0.2">
      <c r="A84" s="119"/>
      <c r="B84" s="125"/>
      <c r="C84" s="119"/>
      <c r="D84" s="119"/>
      <c r="E84" s="119"/>
      <c r="F84" s="119"/>
      <c r="G84" s="119"/>
      <c r="H84" s="119"/>
      <c r="I84" s="119"/>
      <c r="J84" s="119"/>
      <c r="K84" s="119"/>
      <c r="L84" s="119"/>
      <c r="M84" s="372" t="s">
        <v>242</v>
      </c>
      <c r="N84" s="119"/>
      <c r="O84" s="119"/>
      <c r="P84" s="1480"/>
      <c r="Q84" s="1480"/>
      <c r="R84" s="1480">
        <f>R85+R86+R87+R89</f>
        <v>0</v>
      </c>
      <c r="S84" s="1480">
        <f t="shared" ref="S84:U84" si="12">S85+S86+S87+S89</f>
        <v>0</v>
      </c>
      <c r="T84" s="1480">
        <f t="shared" si="12"/>
        <v>0</v>
      </c>
      <c r="U84" s="1480">
        <f t="shared" si="12"/>
        <v>0</v>
      </c>
      <c r="V84" s="119"/>
      <c r="W84" s="119"/>
      <c r="X84" s="119"/>
      <c r="Y84" s="119"/>
      <c r="Z84" s="119"/>
      <c r="AA84" s="119"/>
      <c r="AB84" s="119"/>
      <c r="AC84" s="119"/>
      <c r="AD84" s="119"/>
    </row>
    <row r="85" spans="1:30" hidden="1" x14ac:dyDescent="0.2">
      <c r="A85" s="119"/>
      <c r="B85" s="125"/>
      <c r="C85" s="119"/>
      <c r="D85" s="119"/>
      <c r="E85" s="119"/>
      <c r="F85" s="119"/>
      <c r="G85" s="119"/>
      <c r="H85" s="119"/>
      <c r="I85" s="119"/>
      <c r="J85" s="119"/>
      <c r="K85" s="119"/>
      <c r="L85" s="119"/>
      <c r="M85" s="1591" t="s">
        <v>239</v>
      </c>
      <c r="N85" s="119"/>
      <c r="O85" s="119"/>
      <c r="P85" s="617"/>
      <c r="Q85" s="617"/>
      <c r="R85" s="1480">
        <f>'3. T3 BALANS'!G77</f>
        <v>0</v>
      </c>
      <c r="S85" s="1480">
        <f>'3. T3 BALANS'!H77</f>
        <v>0</v>
      </c>
      <c r="T85" s="1480">
        <f>'3. T3 BALANS'!I77</f>
        <v>0</v>
      </c>
      <c r="U85" s="1480">
        <f>'3. T3 BALANS'!J77</f>
        <v>0</v>
      </c>
      <c r="V85" s="119"/>
      <c r="W85" s="119"/>
      <c r="X85" s="119"/>
      <c r="Y85" s="119"/>
      <c r="Z85" s="119"/>
      <c r="AA85" s="119"/>
      <c r="AB85" s="119"/>
      <c r="AC85" s="119"/>
      <c r="AD85" s="119"/>
    </row>
    <row r="86" spans="1:30" hidden="1" x14ac:dyDescent="0.2">
      <c r="A86" s="119"/>
      <c r="B86" s="125"/>
      <c r="C86" s="119"/>
      <c r="D86" s="119"/>
      <c r="E86" s="119"/>
      <c r="F86" s="119"/>
      <c r="G86" s="119"/>
      <c r="H86" s="119"/>
      <c r="I86" s="119"/>
      <c r="J86" s="119"/>
      <c r="K86" s="119"/>
      <c r="L86" s="119"/>
      <c r="M86" s="1591" t="s">
        <v>240</v>
      </c>
      <c r="N86" s="119"/>
      <c r="O86" s="119"/>
      <c r="P86" s="617"/>
      <c r="Q86" s="617"/>
      <c r="R86" s="1480">
        <f>'1. T1 INVESTERINGSP.'!D50</f>
        <v>0</v>
      </c>
      <c r="S86" s="1480">
        <f>'1. T1 INVESTERINGSP.'!E50</f>
        <v>0</v>
      </c>
      <c r="T86" s="1480">
        <f>'1. T1 INVESTERINGSP.'!F50</f>
        <v>0</v>
      </c>
      <c r="U86" s="1480">
        <f>'1. T1 INVESTERINGSP.'!G50</f>
        <v>0</v>
      </c>
      <c r="V86" s="119"/>
      <c r="W86" s="119"/>
      <c r="X86" s="119"/>
      <c r="Y86" s="119"/>
      <c r="Z86" s="119"/>
      <c r="AA86" s="119"/>
      <c r="AB86" s="119"/>
      <c r="AC86" s="119"/>
      <c r="AD86" s="119"/>
    </row>
    <row r="87" spans="1:30" hidden="1" x14ac:dyDescent="0.2">
      <c r="A87" s="119"/>
      <c r="B87" s="125"/>
      <c r="C87" s="119"/>
      <c r="D87" s="119"/>
      <c r="E87" s="119"/>
      <c r="F87" s="119"/>
      <c r="G87" s="119"/>
      <c r="H87" s="119"/>
      <c r="I87" s="119"/>
      <c r="J87" s="119"/>
      <c r="K87" s="119"/>
      <c r="L87" s="119"/>
      <c r="M87" s="1591" t="s">
        <v>25</v>
      </c>
      <c r="N87" s="119"/>
      <c r="O87" s="119"/>
      <c r="P87" s="1592"/>
      <c r="Q87" s="1592"/>
      <c r="R87" s="1480">
        <f>H61</f>
        <v>0</v>
      </c>
      <c r="S87" s="1480">
        <f t="shared" ref="S87:U87" si="13">I61</f>
        <v>0</v>
      </c>
      <c r="T87" s="1480">
        <f t="shared" si="13"/>
        <v>0</v>
      </c>
      <c r="U87" s="1480">
        <f t="shared" si="13"/>
        <v>0</v>
      </c>
      <c r="V87" s="119"/>
      <c r="W87" s="119"/>
      <c r="X87" s="119"/>
      <c r="Y87" s="119"/>
      <c r="Z87" s="119"/>
      <c r="AA87" s="119"/>
      <c r="AB87" s="119"/>
      <c r="AC87" s="119"/>
      <c r="AD87" s="119"/>
    </row>
    <row r="88" spans="1:30" hidden="1" x14ac:dyDescent="0.2">
      <c r="A88" s="119"/>
      <c r="B88" s="125"/>
      <c r="C88" s="119"/>
      <c r="D88" s="119"/>
      <c r="E88" s="119"/>
      <c r="F88" s="119"/>
      <c r="G88" s="119"/>
      <c r="H88" s="119"/>
      <c r="I88" s="119"/>
      <c r="J88" s="119"/>
      <c r="K88" s="119"/>
      <c r="L88" s="119"/>
      <c r="M88" s="1591" t="s">
        <v>84</v>
      </c>
      <c r="N88" s="119"/>
      <c r="O88" s="119"/>
      <c r="P88" s="1592"/>
      <c r="Q88" s="1592"/>
      <c r="R88" s="1480">
        <f>'3. T3 BALANS'!H56</f>
        <v>0</v>
      </c>
      <c r="S88" s="1480">
        <f>'3. T3 BALANS'!I56</f>
        <v>0</v>
      </c>
      <c r="T88" s="1480">
        <f>'3. T3 BALANS'!J56</f>
        <v>0</v>
      </c>
      <c r="U88" s="1480">
        <f>'3. T3 BALANS'!K56</f>
        <v>0</v>
      </c>
      <c r="V88" s="119"/>
      <c r="W88" s="119"/>
      <c r="X88" s="119"/>
      <c r="Y88" s="119"/>
      <c r="Z88" s="119"/>
      <c r="AA88" s="119"/>
      <c r="AB88" s="119"/>
      <c r="AC88" s="119"/>
      <c r="AD88" s="119"/>
    </row>
    <row r="89" spans="1:30" hidden="1" x14ac:dyDescent="0.2">
      <c r="A89" s="119"/>
      <c r="B89" s="125"/>
      <c r="C89" s="119"/>
      <c r="D89" s="119"/>
      <c r="E89" s="119"/>
      <c r="F89" s="119"/>
      <c r="G89" s="119"/>
      <c r="H89" s="119"/>
      <c r="I89" s="119"/>
      <c r="J89" s="119"/>
      <c r="K89" s="119"/>
      <c r="L89" s="119"/>
      <c r="M89" s="1591" t="s">
        <v>241</v>
      </c>
      <c r="N89" s="119"/>
      <c r="O89" s="119"/>
      <c r="P89" s="1592"/>
      <c r="Q89" s="1592"/>
      <c r="R89" s="1480">
        <f>10%*R88</f>
        <v>0</v>
      </c>
      <c r="S89" s="1480"/>
      <c r="T89" s="1480"/>
      <c r="U89" s="1480"/>
      <c r="V89" s="119"/>
      <c r="W89" s="119"/>
      <c r="X89" s="119"/>
      <c r="Y89" s="119"/>
      <c r="Z89" s="119"/>
      <c r="AA89" s="119"/>
      <c r="AB89" s="119"/>
      <c r="AC89" s="119"/>
      <c r="AD89" s="119"/>
    </row>
    <row r="90" spans="1:30" hidden="1" x14ac:dyDescent="0.2">
      <c r="A90" s="119"/>
      <c r="B90" s="125"/>
      <c r="C90" s="119"/>
      <c r="D90" s="119"/>
      <c r="E90" s="119"/>
      <c r="F90" s="119"/>
      <c r="G90" s="119"/>
      <c r="H90" s="119"/>
      <c r="I90" s="119"/>
      <c r="J90" s="119"/>
      <c r="K90" s="119"/>
      <c r="L90" s="119"/>
      <c r="M90" s="372"/>
      <c r="N90" s="119"/>
      <c r="O90" s="119"/>
      <c r="P90" s="1480"/>
      <c r="Q90" s="1480"/>
      <c r="R90" s="1480"/>
      <c r="S90" s="1480"/>
      <c r="T90" s="1480"/>
      <c r="U90" s="1480"/>
      <c r="V90" s="119"/>
      <c r="W90" s="119"/>
      <c r="X90" s="119"/>
      <c r="Y90" s="119"/>
      <c r="Z90" s="119"/>
      <c r="AA90" s="119"/>
      <c r="AB90" s="119"/>
      <c r="AC90" s="119"/>
      <c r="AD90" s="119"/>
    </row>
    <row r="91" spans="1:30" hidden="1" x14ac:dyDescent="0.2">
      <c r="A91" s="119"/>
      <c r="B91" s="125"/>
      <c r="C91" s="119"/>
      <c r="D91" s="119"/>
      <c r="E91" s="119"/>
      <c r="F91" s="119"/>
      <c r="G91" s="119"/>
      <c r="H91" s="119"/>
      <c r="I91" s="119"/>
      <c r="J91" s="119"/>
      <c r="K91" s="119"/>
      <c r="L91" s="119"/>
      <c r="M91" s="1007" t="s">
        <v>179</v>
      </c>
      <c r="N91" s="1481"/>
      <c r="O91" s="1481"/>
      <c r="P91" s="1482"/>
      <c r="Q91" s="1482"/>
      <c r="R91" s="1482"/>
      <c r="S91" s="1482"/>
      <c r="T91" s="1482"/>
      <c r="U91" s="1482"/>
      <c r="V91" s="119"/>
      <c r="W91" s="119"/>
      <c r="X91" s="119"/>
      <c r="Y91" s="119"/>
      <c r="Z91" s="119"/>
      <c r="AA91" s="119"/>
      <c r="AB91" s="119"/>
      <c r="AC91" s="119"/>
      <c r="AD91" s="119"/>
    </row>
    <row r="92" spans="1:30" hidden="1" x14ac:dyDescent="0.2">
      <c r="A92" s="119"/>
      <c r="B92" s="125"/>
      <c r="C92" s="119"/>
      <c r="D92" s="119"/>
      <c r="E92" s="119"/>
      <c r="F92" s="119"/>
      <c r="G92" s="119"/>
      <c r="H92" s="119"/>
      <c r="I92" s="119"/>
      <c r="J92" s="119"/>
      <c r="K92" s="119"/>
      <c r="L92" s="119"/>
      <c r="M92" s="1022" t="s">
        <v>187</v>
      </c>
      <c r="N92" s="1022"/>
      <c r="O92" s="1022"/>
      <c r="P92" s="1483"/>
      <c r="Q92" s="1483"/>
      <c r="R92" s="1483"/>
      <c r="S92" s="1483"/>
      <c r="T92" s="1483"/>
      <c r="U92" s="1483"/>
      <c r="V92" s="119"/>
      <c r="W92" s="119"/>
      <c r="X92" s="119"/>
      <c r="Y92" s="119"/>
      <c r="Z92" s="119"/>
      <c r="AA92" s="119"/>
      <c r="AB92" s="119"/>
      <c r="AC92" s="119"/>
      <c r="AD92" s="119"/>
    </row>
    <row r="93" spans="1:30" hidden="1" x14ac:dyDescent="0.2">
      <c r="A93" s="119"/>
      <c r="B93" s="125"/>
      <c r="C93" s="119"/>
      <c r="D93" s="119"/>
      <c r="E93" s="119"/>
      <c r="F93" s="119"/>
      <c r="G93" s="119"/>
      <c r="H93" s="119"/>
      <c r="I93" s="119"/>
      <c r="J93" s="119"/>
      <c r="K93" s="119"/>
      <c r="L93" s="119"/>
      <c r="M93" s="1484" t="s">
        <v>180</v>
      </c>
      <c r="N93" s="1484"/>
      <c r="O93" s="1485"/>
      <c r="P93" s="620">
        <f>P80-'3. T3 BALANS'!F96</f>
        <v>0</v>
      </c>
      <c r="Q93" s="620">
        <f>Q80-'3. T3 BALANS'!G96</f>
        <v>0</v>
      </c>
      <c r="R93" s="620">
        <f>R80-'3. T3 BALANS'!H96</f>
        <v>0</v>
      </c>
      <c r="S93" s="620">
        <f>S80-'3. T3 BALANS'!I96</f>
        <v>0</v>
      </c>
      <c r="T93" s="620">
        <f>T80-'3. T3 BALANS'!J96</f>
        <v>0</v>
      </c>
      <c r="U93" s="620">
        <f>U80-'3. T3 BALANS'!K96</f>
        <v>0</v>
      </c>
      <c r="V93" s="119"/>
      <c r="W93" s="119"/>
      <c r="X93" s="119"/>
      <c r="Y93" s="119"/>
      <c r="Z93" s="119"/>
      <c r="AA93" s="119"/>
      <c r="AB93" s="119"/>
      <c r="AC93" s="119"/>
      <c r="AD93" s="119"/>
    </row>
    <row r="94" spans="1:30" hidden="1" x14ac:dyDescent="0.2">
      <c r="A94" s="119"/>
      <c r="B94" s="125"/>
      <c r="C94" s="119"/>
      <c r="D94" s="119"/>
      <c r="E94" s="119"/>
      <c r="F94" s="119"/>
      <c r="G94" s="119"/>
      <c r="H94" s="119"/>
      <c r="I94" s="119"/>
      <c r="J94" s="119"/>
      <c r="K94" s="119"/>
      <c r="L94" s="119"/>
      <c r="M94" s="1006" t="s">
        <v>181</v>
      </c>
      <c r="N94" s="1486"/>
      <c r="O94" s="1487"/>
      <c r="P94" s="620">
        <f>'3. T3 BALANS'!F48+'3. T3 BALANS'!F49</f>
        <v>0</v>
      </c>
      <c r="Q94" s="620">
        <f>'3. T3 BALANS'!G48+'3. T3 BALANS'!G49</f>
        <v>0</v>
      </c>
      <c r="R94" s="620">
        <f>'3. T3 BALANS'!H48+'3. T3 BALANS'!H49</f>
        <v>0</v>
      </c>
      <c r="S94" s="620">
        <f>'3. T3 BALANS'!I48+'3. T3 BALANS'!I49</f>
        <v>0</v>
      </c>
      <c r="T94" s="620">
        <f>'3. T3 BALANS'!J48+'3. T3 BALANS'!J49</f>
        <v>0</v>
      </c>
      <c r="U94" s="620">
        <f>'3. T3 BALANS'!K48+'3. T3 BALANS'!K49</f>
        <v>0</v>
      </c>
      <c r="V94" s="119"/>
      <c r="W94" s="119"/>
      <c r="X94" s="119"/>
      <c r="Y94" s="119"/>
      <c r="Z94" s="119"/>
      <c r="AA94" s="119"/>
      <c r="AB94" s="119"/>
      <c r="AC94" s="119"/>
      <c r="AD94" s="119"/>
    </row>
    <row r="95" spans="1:30" x14ac:dyDescent="0.2">
      <c r="A95" s="119"/>
      <c r="B95" s="125"/>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row>
    <row r="96" spans="1:30" x14ac:dyDescent="0.2">
      <c r="A96" s="119"/>
      <c r="B96" s="125"/>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row>
    <row r="97" spans="1:30" x14ac:dyDescent="0.2">
      <c r="A97" s="119"/>
      <c r="B97" s="125"/>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row>
    <row r="98" spans="1:30" x14ac:dyDescent="0.2">
      <c r="A98" s="119"/>
      <c r="B98" s="125"/>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row>
    <row r="99" spans="1:30" x14ac:dyDescent="0.2">
      <c r="A99" s="119"/>
      <c r="B99" s="125"/>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row>
    <row r="100" spans="1:30" x14ac:dyDescent="0.2">
      <c r="A100" s="119"/>
      <c r="B100" s="125"/>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row>
  </sheetData>
  <sheetProtection algorithmName="SHA-512" hashValue="8Bl9YMh3YdJ67Nq+bIkkWazaA+YkfDaIx2+tdALMFKBvcMnZoxaHuO2O62yfYtphn4V4Ier4EhCon/qaEWMG2w==" saltValue="2oKe2/WBIJxhD1sV77m1mw==" spinCount="100000" sheet="1" objects="1" scenarios="1"/>
  <mergeCells count="72">
    <mergeCell ref="I63:K63"/>
    <mergeCell ref="C54:D54"/>
    <mergeCell ref="C55:D55"/>
    <mergeCell ref="C38:D38"/>
    <mergeCell ref="C53:D53"/>
    <mergeCell ref="C50:D50"/>
    <mergeCell ref="C49:D49"/>
    <mergeCell ref="C40:D40"/>
    <mergeCell ref="C39:D39"/>
    <mergeCell ref="B46:E48"/>
    <mergeCell ref="M39:O39"/>
    <mergeCell ref="M16:O16"/>
    <mergeCell ref="M19:O19"/>
    <mergeCell ref="M21:O21"/>
    <mergeCell ref="M25:O25"/>
    <mergeCell ref="M22:O22"/>
    <mergeCell ref="M37:O37"/>
    <mergeCell ref="M34:O34"/>
    <mergeCell ref="M49:O49"/>
    <mergeCell ref="M50:O50"/>
    <mergeCell ref="M44:O44"/>
    <mergeCell ref="M43:O43"/>
    <mergeCell ref="M42:O42"/>
    <mergeCell ref="R5:U5"/>
    <mergeCell ref="R6:U6"/>
    <mergeCell ref="H5:K5"/>
    <mergeCell ref="H6:K6"/>
    <mergeCell ref="C18:D18"/>
    <mergeCell ref="J7:K7"/>
    <mergeCell ref="M8:P8"/>
    <mergeCell ref="M6:P6"/>
    <mergeCell ref="B13:E14"/>
    <mergeCell ref="C17:D17"/>
    <mergeCell ref="C16:D16"/>
    <mergeCell ref="C15:D15"/>
    <mergeCell ref="B65:E65"/>
    <mergeCell ref="R64:U64"/>
    <mergeCell ref="C61:D61"/>
    <mergeCell ref="M10:O11"/>
    <mergeCell ref="B10:E12"/>
    <mergeCell ref="C56:D56"/>
    <mergeCell ref="C57:D57"/>
    <mergeCell ref="C58:D58"/>
    <mergeCell ref="C59:D59"/>
    <mergeCell ref="C60:D60"/>
    <mergeCell ref="C51:D51"/>
    <mergeCell ref="C52:D52"/>
    <mergeCell ref="G64:K64"/>
    <mergeCell ref="C20:G20"/>
    <mergeCell ref="C26:D26"/>
    <mergeCell ref="C25:D25"/>
    <mergeCell ref="C29:D29"/>
    <mergeCell ref="C30:D30"/>
    <mergeCell ref="C36:D36"/>
    <mergeCell ref="C35:D35"/>
    <mergeCell ref="C34:D34"/>
    <mergeCell ref="A10:A11"/>
    <mergeCell ref="C44:G44"/>
    <mergeCell ref="M4:N4"/>
    <mergeCell ref="B3:C4"/>
    <mergeCell ref="B8:F8"/>
    <mergeCell ref="B6:F6"/>
    <mergeCell ref="C33:D33"/>
    <mergeCell ref="C24:D24"/>
    <mergeCell ref="C19:D19"/>
    <mergeCell ref="M33:O33"/>
    <mergeCell ref="M31:O31"/>
    <mergeCell ref="C27:D27"/>
    <mergeCell ref="M26:O26"/>
    <mergeCell ref="M29:O29"/>
    <mergeCell ref="C37:D37"/>
    <mergeCell ref="C28:D28"/>
  </mergeCells>
  <conditionalFormatting sqref="P22:U22">
    <cfRule type="containsText" dxfId="54" priority="28" operator="containsText" text="Tillfredställande">
      <formula>NOT(ISERROR(SEARCH("Tillfredställande",P22)))</formula>
    </cfRule>
    <cfRule type="containsText" dxfId="53" priority="29" operator="containsText" text="Bra">
      <formula>NOT(ISERROR(SEARCH("Bra",P22)))</formula>
    </cfRule>
    <cfRule type="containsText" dxfId="52" priority="30" operator="containsText" text="Svag">
      <formula>NOT(ISERROR(SEARCH("Svag",P22)))</formula>
    </cfRule>
  </conditionalFormatting>
  <conditionalFormatting sqref="P27:U27">
    <cfRule type="containsText" dxfId="51" priority="1" operator="containsText" text="Svag">
      <formula>NOT(ISERROR(SEARCH("Svag",P27)))</formula>
    </cfRule>
    <cfRule type="containsText" dxfId="50" priority="3" operator="containsText" text="Tillräcklig">
      <formula>NOT(ISERROR(SEARCH("Tillräcklig",P27)))</formula>
    </cfRule>
  </conditionalFormatting>
  <conditionalFormatting sqref="P30:U30">
    <cfRule type="containsText" dxfId="49" priority="25" operator="containsText" text="Tillfredställande">
      <formula>NOT(ISERROR(SEARCH("Tillfredställande",P30)))</formula>
    </cfRule>
    <cfRule type="containsText" dxfId="48" priority="26" operator="containsText" text="Bra">
      <formula>NOT(ISERROR(SEARCH("Bra",P30)))</formula>
    </cfRule>
    <cfRule type="containsText" dxfId="47" priority="27" operator="containsText" text="Svag">
      <formula>NOT(ISERROR(SEARCH("Svag",P30)))</formula>
    </cfRule>
  </conditionalFormatting>
  <conditionalFormatting sqref="P32:U32">
    <cfRule type="containsText" dxfId="46" priority="22" operator="containsText" text="Bra">
      <formula>NOT(ISERROR(SEARCH("Bra",P32)))</formula>
    </cfRule>
    <cfRule type="containsText" dxfId="45" priority="23" operator="containsText" text="Tillfredställande">
      <formula>NOT(ISERROR(SEARCH("Tillfredställande",P32)))</formula>
    </cfRule>
    <cfRule type="containsText" dxfId="44" priority="24" operator="containsText" text="Svag">
      <formula>NOT(ISERROR(SEARCH("Svag",P32)))</formula>
    </cfRule>
  </conditionalFormatting>
  <conditionalFormatting sqref="P38:U38">
    <cfRule type="containsText" dxfId="43" priority="10" operator="containsText" text="Tillfredställande">
      <formula>NOT(ISERROR(SEARCH("Tillfredställande",P38)))</formula>
    </cfRule>
    <cfRule type="containsText" dxfId="42" priority="16" operator="containsText" text="Bra">
      <formula>NOT(ISERROR(SEARCH("Bra",P38)))</formula>
    </cfRule>
    <cfRule type="containsText" dxfId="41" priority="18" operator="containsText" text="Svag">
      <formula>NOT(ISERROR(SEARCH("Svag",P38)))</formula>
    </cfRule>
  </conditionalFormatting>
  <conditionalFormatting sqref="P40:U40">
    <cfRule type="containsText" dxfId="40" priority="8" operator="containsText" text="Nettoskuldfri">
      <formula>NOT(ISERROR(SEARCH("Nettoskuldfri",P40)))</formula>
    </cfRule>
    <cfRule type="containsText" dxfId="39" priority="9" operator="containsText" text="Bra">
      <formula>NOT(ISERROR(SEARCH("Bra",P40)))</formula>
    </cfRule>
    <cfRule type="containsText" dxfId="38" priority="12" operator="containsText" text="Svag">
      <formula>NOT(ISERROR(SEARCH("Svag",P40)))</formula>
    </cfRule>
  </conditionalFormatting>
  <conditionalFormatting sqref="P45:U45">
    <cfRule type="containsText" dxfId="37" priority="13" operator="containsText" text="Bra">
      <formula>NOT(ISERROR(SEARCH("Bra",P45)))</formula>
    </cfRule>
    <cfRule type="containsText" dxfId="36" priority="14" operator="containsText" text="Tillfredställande">
      <formula>NOT(ISERROR(SEARCH("Tillfredställande",P45)))</formula>
    </cfRule>
    <cfRule type="containsText" dxfId="35" priority="15" operator="containsText" text="Svag">
      <formula>NOT(ISERROR(SEARCH("Svag",P45)))</formula>
    </cfRule>
  </conditionalFormatting>
  <conditionalFormatting sqref="Q35:U35">
    <cfRule type="containsText" dxfId="34" priority="19" operator="containsText" text="Bra">
      <formula>NOT(ISERROR(SEARCH("Bra",Q35)))</formula>
    </cfRule>
    <cfRule type="containsText" dxfId="33" priority="20" operator="containsText" text="Tillfredställande">
      <formula>NOT(ISERROR(SEARCH("Tillfredställande",Q35)))</formula>
    </cfRule>
    <cfRule type="containsText" dxfId="32" priority="21" operator="containsText" text="Svag">
      <formula>NOT(ISERROR(SEARCH("Svag",Q35)))</formula>
    </cfRule>
  </conditionalFormatting>
  <printOptions horizontalCentered="1"/>
  <pageMargins left="0.25" right="0.25" top="0.75" bottom="0.75" header="0.3" footer="0.3"/>
  <pageSetup paperSize="9" scale="90" orientation="portrait" verticalDpi="4" r:id="rId1"/>
  <colBreaks count="1" manualBreakCount="1">
    <brk id="11" min="1" max="63" man="1"/>
  </colBreaks>
  <ignoredErrors>
    <ignoredError sqref="H39:K39" unlockedFormula="1"/>
    <ignoredError sqref="H49"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27</vt:i4>
      </vt:variant>
    </vt:vector>
  </HeadingPairs>
  <TitlesOfParts>
    <vt:vector size="42" baseType="lpstr">
      <vt:lpstr>STARTSIDAN</vt:lpstr>
      <vt:lpstr>1. T1 INVESTERINGSP.</vt:lpstr>
      <vt:lpstr>2. &amp; 7. T2 RESULTATB.</vt:lpstr>
      <vt:lpstr>Kaavio</vt:lpstr>
      <vt:lpstr>3. T3 BALANS</vt:lpstr>
      <vt:lpstr>4. T7 LÅN </vt:lpstr>
      <vt:lpstr>5. E1 VERKSAMHETSKOSTN.</vt:lpstr>
      <vt:lpstr>6. E2 OMSÄTTNING</vt:lpstr>
      <vt:lpstr>8. T4 FINANSIERINGSB.</vt:lpstr>
      <vt:lpstr>9. T5 KASSABUDGET</vt:lpstr>
      <vt:lpstr>AT T5 Kassa</vt:lpstr>
      <vt:lpstr>UTSKRIVNING</vt:lpstr>
      <vt:lpstr>Päiväkirja</vt:lpstr>
      <vt:lpstr>AT1 Avustus, alv-laskenta </vt:lpstr>
      <vt:lpstr>AT2 Lainat,sotum., alv-osto</vt:lpstr>
      <vt:lpstr>_3_2010</vt:lpstr>
      <vt:lpstr>_3_2012</vt:lpstr>
      <vt:lpstr>'5. E1 VERKSAMHETSKOSTN.'!Teksti37</vt:lpstr>
      <vt:lpstr>'5. E1 VERKSAMHETSKOSTN.'!Teksti38</vt:lpstr>
      <vt:lpstr>'5. E1 VERKSAMHETSKOSTN.'!Teksti39</vt:lpstr>
      <vt:lpstr>'1. T1 INVESTERINGSP.'!Tulostusalue</vt:lpstr>
      <vt:lpstr>'2. &amp; 7. T2 RESULTATB.'!Tulostusalue</vt:lpstr>
      <vt:lpstr>'3. T3 BALANS'!Tulostusalue</vt:lpstr>
      <vt:lpstr>'4. T7 LÅN '!Tulostusalue</vt:lpstr>
      <vt:lpstr>'5. E1 VERKSAMHETSKOSTN.'!Tulostusalue</vt:lpstr>
      <vt:lpstr>'6. E2 OMSÄTTNING'!Tulostusalue</vt:lpstr>
      <vt:lpstr>'8. T4 FINANSIERINGSB.'!Tulostusalue</vt:lpstr>
      <vt:lpstr>'9. T5 KASSABUDGET'!Tulostusalue</vt:lpstr>
      <vt:lpstr>STARTSIDAN!Tulostusalue</vt:lpstr>
      <vt:lpstr>UTSKRIVNING!Tulostusalue</vt:lpstr>
      <vt:lpstr>'3. T3 BALANS'!Tulostusotsikot</vt:lpstr>
      <vt:lpstr>'5. E1 VERKSAMHETSKOSTN.'!Tulostusotsikot</vt:lpstr>
      <vt:lpstr>'5. E1 VERKSAMHETSKOSTN.'!Yritystulkki</vt:lpstr>
      <vt:lpstr>'1. T1 INVESTERINGSP.'!YT</vt:lpstr>
      <vt:lpstr>'2. &amp; 7. T2 RESULTATB.'!YT</vt:lpstr>
      <vt:lpstr>'3. T3 BALANS'!YT</vt:lpstr>
      <vt:lpstr>'4. T7 LÅN '!YT</vt:lpstr>
      <vt:lpstr>'5. E1 VERKSAMHETSKOSTN.'!YT</vt:lpstr>
      <vt:lpstr>'6. E2 OMSÄTTNING'!YT</vt:lpstr>
      <vt:lpstr>'8. T4 FINANSIERINGSB.'!YT</vt:lpstr>
      <vt:lpstr>'9. T5 KASSABUDGET'!YT</vt:lpstr>
      <vt:lpstr>UTSKRIVNING!YT</vt:lpstr>
    </vt:vector>
  </TitlesOfParts>
  <Company>Företagstolken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FT22 Resultatpaln</dc:title>
  <dc:creator>Yritystulkki</dc:creator>
  <cp:keywords>FT22</cp:keywords>
  <cp:lastModifiedBy>yritysTULKKI</cp:lastModifiedBy>
  <cp:lastPrinted>2026-05-27T05:32:23Z</cp:lastPrinted>
  <dcterms:created xsi:type="dcterms:W3CDTF">2006-08-01T10:09:48Z</dcterms:created>
  <dcterms:modified xsi:type="dcterms:W3CDTF">2026-05-27T05:51:12Z</dcterms:modified>
</cp:coreProperties>
</file>